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tables/table2.xml" ContentType="application/vnd.openxmlformats-officedocument.spreadsheetml.table+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showInkAnnotation="0" codeName="ThisWorkbook" defaultThemeVersion="124226"/>
  <mc:AlternateContent xmlns:mc="http://schemas.openxmlformats.org/markup-compatibility/2006">
    <mc:Choice Requires="x15">
      <x15ac:absPath xmlns:x15ac="http://schemas.microsoft.com/office/spreadsheetml/2010/11/ac" url="Y:\Frogs\Warner Center - 21300 W Oxnard\7. Financing\3. TCAC-CDLAC\2022 Round 1 TCAC-CDLAC Application\Final\TAB 40 - Joint TCAC-CDLAC Workbook\"/>
    </mc:Choice>
  </mc:AlternateContent>
  <xr:revisionPtr revIDLastSave="0" documentId="13_ncr:1_{6B8FAC1B-B38C-4243-9407-3B605D4D1B63}" xr6:coauthVersionLast="47" xr6:coauthVersionMax="47" xr10:uidLastSave="{00000000-0000-0000-0000-000000000000}"/>
  <bookViews>
    <workbookView xWindow="-120" yWindow="-120" windowWidth="29040" windowHeight="1764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Basis &amp; Credits" sheetId="15" r:id="rId10"/>
    <sheet name="CalHFA Addendum" sheetId="26"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10">[2]Application!$BP$669:$BV$669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10">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Forma'!$A$1:$AH$78</definedName>
    <definedName name="_xlnm.Print_Area" localSheetId="4">Application!$A$1:$AS$1071</definedName>
    <definedName name="_xlnm.Print_Area" localSheetId="3">'Application Checklist'!$A$1:$I$1112</definedName>
    <definedName name="_xlnm.Print_Area" localSheetId="9">'Basis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10">[2]Application!$BP$670:$BV$727</definedName>
    <definedName name="TC_Rent" localSheetId="1">'[4]100%RENTS'!$A$5:$H$62</definedName>
    <definedName name="TC_Rent" localSheetId="2">[1]Application!$BC$649:$BI$706</definedName>
    <definedName name="TC_Rent">Application!$BP$656:$BV$713</definedName>
    <definedName name="TcacRents" localSheetId="10">Application!$BQ$656:$BV$713</definedName>
    <definedName name="TcacRents">Application!$BQ$656:$BV$713</definedName>
    <definedName name="UnitSizes" localSheetId="10">Application!$BA$595:$BA$600</definedName>
    <definedName name="UnitSizes">Application!$BA$595:$BA$600</definedName>
    <definedName name="Z_48A1B9AA_9520_4513_968D_1FB22989E0AF_.wvu.Cols" localSheetId="9"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9"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9"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Forma'!$A$1:$AH$78</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64" i="7" l="1"/>
  <c r="AG54" i="7"/>
  <c r="AE54" i="7"/>
  <c r="AG17" i="7"/>
  <c r="AE17" i="7"/>
  <c r="AC17" i="7"/>
  <c r="AA17" i="7"/>
  <c r="Y17" i="7"/>
  <c r="W17" i="7"/>
  <c r="U17" i="7"/>
  <c r="S17" i="7"/>
  <c r="Q17" i="7"/>
  <c r="O17" i="7"/>
  <c r="M17" i="7"/>
  <c r="K17" i="7"/>
  <c r="I17" i="7"/>
  <c r="G17" i="7"/>
  <c r="AG16" i="7"/>
  <c r="AE16" i="7"/>
  <c r="AC16" i="7"/>
  <c r="AA16" i="7"/>
  <c r="Y16" i="7"/>
  <c r="W16" i="7"/>
  <c r="U16" i="7"/>
  <c r="S16" i="7"/>
  <c r="Q16" i="7"/>
  <c r="O16" i="7"/>
  <c r="M16" i="7"/>
  <c r="K16" i="7"/>
  <c r="I16" i="7"/>
  <c r="G16" i="7"/>
  <c r="AG442" i="3" l="1"/>
  <c r="AG441" i="3"/>
  <c r="C33" i="7" l="1"/>
  <c r="Y64" i="7" l="1"/>
  <c r="AA64" i="7"/>
  <c r="AC64" i="7"/>
  <c r="I63" i="7"/>
  <c r="I62" i="7"/>
  <c r="G63" i="7"/>
  <c r="G62" i="7"/>
  <c r="G61" i="7"/>
  <c r="I61" i="7" s="1"/>
  <c r="E64" i="7"/>
  <c r="G64" i="7" l="1"/>
  <c r="I64" i="7"/>
  <c r="E6" i="4" l="1"/>
  <c r="E7" i="4"/>
  <c r="K64" i="7" l="1"/>
  <c r="M64" i="7"/>
  <c r="AD188" i="20"/>
  <c r="AA902" i="3"/>
  <c r="AA901" i="3" l="1"/>
  <c r="O64" i="7"/>
  <c r="Q64" i="7" l="1"/>
  <c r="AP282" i="20"/>
  <c r="AP284" i="20" s="1"/>
  <c r="AK327" i="20" s="1"/>
  <c r="S64" i="7" l="1"/>
  <c r="P19" i="26"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U64" i="7" l="1"/>
  <c r="J28" i="26"/>
  <c r="J20" i="26"/>
  <c r="J27" i="26"/>
  <c r="J25" i="26"/>
  <c r="J19" i="26"/>
  <c r="J22" i="26"/>
  <c r="J21" i="26"/>
  <c r="V29" i="26"/>
  <c r="AH29" i="26"/>
  <c r="J26" i="26"/>
  <c r="P29" i="26"/>
  <c r="J24" i="26"/>
  <c r="AB29" i="26"/>
  <c r="AN29" i="26"/>
  <c r="J23" i="26"/>
  <c r="W64" i="7" l="1"/>
  <c r="J29" i="26"/>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G64" i="7" l="1"/>
  <c r="AT624" i="3"/>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A40" i="7"/>
  <c r="E33" i="7"/>
  <c r="E31" i="7"/>
  <c r="G31" i="7" s="1"/>
  <c r="I31" i="7" s="1"/>
  <c r="K31" i="7" s="1"/>
  <c r="M31" i="7" s="1"/>
  <c r="O31" i="7" s="1"/>
  <c r="Q31" i="7" s="1"/>
  <c r="S31" i="7" s="1"/>
  <c r="U31" i="7" s="1"/>
  <c r="W31" i="7" s="1"/>
  <c r="Y31" i="7" s="1"/>
  <c r="AA31" i="7" s="1"/>
  <c r="AC31" i="7" s="1"/>
  <c r="AE31" i="7" s="1"/>
  <c r="AG31" i="7" s="1"/>
  <c r="E30" i="7"/>
  <c r="G30" i="7" s="1"/>
  <c r="I30" i="7" s="1"/>
  <c r="K30" i="7" s="1"/>
  <c r="M30" i="7" s="1"/>
  <c r="O30" i="7" s="1"/>
  <c r="Q30" i="7" s="1"/>
  <c r="S30" i="7" s="1"/>
  <c r="U30" i="7" s="1"/>
  <c r="W30" i="7" s="1"/>
  <c r="Y30" i="7" s="1"/>
  <c r="AA30" i="7" s="1"/>
  <c r="AC30" i="7" s="1"/>
  <c r="AE30" i="7" s="1"/>
  <c r="AG30" i="7" s="1"/>
  <c r="E29" i="7"/>
  <c r="Y29" i="7" s="1"/>
  <c r="E28" i="7"/>
  <c r="K28" i="7" s="1"/>
  <c r="E27" i="7"/>
  <c r="E26" i="7"/>
  <c r="J4" i="8"/>
  <c r="J5" i="8"/>
  <c r="J6" i="8"/>
  <c r="J7" i="8"/>
  <c r="J8" i="8"/>
  <c r="J9" i="8"/>
  <c r="J10" i="8"/>
  <c r="J11" i="8"/>
  <c r="J12" i="8"/>
  <c r="J13" i="8"/>
  <c r="J14" i="8"/>
  <c r="J15" i="8"/>
  <c r="J16" i="8"/>
  <c r="J17" i="8"/>
  <c r="J18" i="8"/>
  <c r="J19" i="8"/>
  <c r="J20" i="8"/>
  <c r="J21" i="8"/>
  <c r="J22" i="8"/>
  <c r="J23" i="8"/>
  <c r="J24" i="8"/>
  <c r="J25" i="8"/>
  <c r="J26" i="8"/>
  <c r="J27" i="8"/>
  <c r="J28" i="8"/>
  <c r="AC759" i="3"/>
  <c r="AC760" i="3"/>
  <c r="AC761" i="3"/>
  <c r="AC772" i="3"/>
  <c r="AC773" i="3"/>
  <c r="AC774" i="3"/>
  <c r="AC775" i="3"/>
  <c r="AC776" i="3"/>
  <c r="AC777" i="3"/>
  <c r="AC778" i="3"/>
  <c r="AC779" i="3"/>
  <c r="AC780" i="3"/>
  <c r="AC781" i="3"/>
  <c r="T25" i="15"/>
  <c r="Y7" i="15" s="1"/>
  <c r="CB785" i="3"/>
  <c r="R958" i="3" s="1"/>
  <c r="BN596" i="3"/>
  <c r="BN597" i="3"/>
  <c r="BN598" i="3"/>
  <c r="BN599" i="3"/>
  <c r="DX599" i="3" s="1"/>
  <c r="BN600" i="3"/>
  <c r="DX600" i="3" s="1"/>
  <c r="BN601" i="3"/>
  <c r="DX601" i="3" s="1"/>
  <c r="BN602" i="3"/>
  <c r="DX602" i="3" s="1"/>
  <c r="BN603" i="3"/>
  <c r="DX603" i="3" s="1"/>
  <c r="BN604" i="3"/>
  <c r="DX604" i="3" s="1"/>
  <c r="BN605" i="3"/>
  <c r="DX605" i="3" s="1"/>
  <c r="BN606" i="3"/>
  <c r="DX606" i="3" s="1"/>
  <c r="BN607" i="3"/>
  <c r="BN608" i="3"/>
  <c r="BN609" i="3"/>
  <c r="DX609" i="3" s="1"/>
  <c r="BN610" i="3"/>
  <c r="DX610" i="3" s="1"/>
  <c r="BN611" i="3"/>
  <c r="BN612" i="3"/>
  <c r="DX612" i="3" s="1"/>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EC596" i="3" s="1"/>
  <c r="BS597" i="3"/>
  <c r="EC597" i="3" s="1"/>
  <c r="BS598" i="3"/>
  <c r="BS599" i="3"/>
  <c r="BS600" i="3"/>
  <c r="BS601" i="3"/>
  <c r="BS602" i="3"/>
  <c r="BS603" i="3"/>
  <c r="EC603" i="3" s="1"/>
  <c r="BS604" i="3"/>
  <c r="BS605" i="3"/>
  <c r="EC605" i="3" s="1"/>
  <c r="BS606" i="3"/>
  <c r="EC606" i="3" s="1"/>
  <c r="BS607" i="3"/>
  <c r="EC607" i="3" s="1"/>
  <c r="BS608" i="3"/>
  <c r="EC608" i="3" s="1"/>
  <c r="BS609" i="3"/>
  <c r="EC609" i="3" s="1"/>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EH596" i="3" s="1"/>
  <c r="BX597" i="3"/>
  <c r="EH597" i="3" s="1"/>
  <c r="BX598" i="3"/>
  <c r="EH598" i="3" s="1"/>
  <c r="BX599" i="3"/>
  <c r="EH599" i="3" s="1"/>
  <c r="BX600" i="3"/>
  <c r="EH600" i="3" s="1"/>
  <c r="BX601" i="3"/>
  <c r="BX602" i="3"/>
  <c r="BX603" i="3"/>
  <c r="BX604" i="3"/>
  <c r="BX605" i="3"/>
  <c r="BX606" i="3"/>
  <c r="EH606" i="3" s="1"/>
  <c r="BX607" i="3"/>
  <c r="EH607" i="3" s="1"/>
  <c r="BX608" i="3"/>
  <c r="EH608" i="3" s="1"/>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DC639" i="3" s="1"/>
  <c r="BX640" i="3"/>
  <c r="DC640" i="3" s="1"/>
  <c r="BX641" i="3"/>
  <c r="BX642" i="3"/>
  <c r="DC642" i="3" s="1"/>
  <c r="BX643" i="3"/>
  <c r="CC596" i="3"/>
  <c r="CC597" i="3"/>
  <c r="EM597" i="3" s="1"/>
  <c r="CC598" i="3"/>
  <c r="CC599" i="3"/>
  <c r="EM599" i="3" s="1"/>
  <c r="CC600" i="3"/>
  <c r="EM600" i="3" s="1"/>
  <c r="CC601" i="3"/>
  <c r="EM601" i="3" s="1"/>
  <c r="CC602" i="3"/>
  <c r="EM602" i="3" s="1"/>
  <c r="CC603" i="3"/>
  <c r="EM603" i="3" s="1"/>
  <c r="CC604" i="3"/>
  <c r="EM604" i="3" s="1"/>
  <c r="CC605" i="3"/>
  <c r="EM605" i="3" s="1"/>
  <c r="CC606" i="3"/>
  <c r="CC607" i="3"/>
  <c r="CC608" i="3"/>
  <c r="CC609" i="3"/>
  <c r="EM609" i="3" s="1"/>
  <c r="CC610" i="3"/>
  <c r="CC611" i="3"/>
  <c r="CC612" i="3"/>
  <c r="EM612" i="3" s="1"/>
  <c r="CC613" i="3"/>
  <c r="EM613" i="3" s="1"/>
  <c r="CC614" i="3"/>
  <c r="CC615" i="3"/>
  <c r="EM615" i="3" s="1"/>
  <c r="CC616" i="3"/>
  <c r="CC617" i="3"/>
  <c r="EM617" i="3" s="1"/>
  <c r="CC618" i="3"/>
  <c r="CC619" i="3"/>
  <c r="CC620" i="3"/>
  <c r="EM620" i="3" s="1"/>
  <c r="CC626" i="3"/>
  <c r="CC627" i="3"/>
  <c r="CC628" i="3"/>
  <c r="CC629" i="3"/>
  <c r="CC634" i="3"/>
  <c r="DH634" i="3" s="1"/>
  <c r="CC635" i="3"/>
  <c r="DH635" i="3" s="1"/>
  <c r="CC636" i="3"/>
  <c r="DH636" i="3" s="1"/>
  <c r="CC637" i="3"/>
  <c r="CC638" i="3"/>
  <c r="CC639" i="3"/>
  <c r="DH639" i="3" s="1"/>
  <c r="CC640" i="3"/>
  <c r="CC641" i="3"/>
  <c r="DH641" i="3" s="1"/>
  <c r="CC642" i="3"/>
  <c r="DH642" i="3" s="1"/>
  <c r="CC643" i="3"/>
  <c r="DH643" i="3" s="1"/>
  <c r="CM634" i="3"/>
  <c r="CM635" i="3"/>
  <c r="DR635" i="3" s="1"/>
  <c r="CM636" i="3"/>
  <c r="DR636" i="3" s="1"/>
  <c r="CM637" i="3"/>
  <c r="DR637" i="3" s="1"/>
  <c r="CM638" i="3"/>
  <c r="DR638" i="3" s="1"/>
  <c r="CM639" i="3"/>
  <c r="DR639" i="3" s="1"/>
  <c r="CM640" i="3"/>
  <c r="DR640" i="3" s="1"/>
  <c r="CM641" i="3"/>
  <c r="DR641" i="3" s="1"/>
  <c r="CM642" i="3"/>
  <c r="DR642" i="3" s="1"/>
  <c r="CM643" i="3"/>
  <c r="DR643" i="3" s="1"/>
  <c r="CM626" i="3"/>
  <c r="CM627" i="3"/>
  <c r="CM628" i="3"/>
  <c r="CM629" i="3"/>
  <c r="CM596" i="3"/>
  <c r="EW596" i="3" s="1"/>
  <c r="CM597" i="3"/>
  <c r="EW597" i="3" s="1"/>
  <c r="CM598" i="3"/>
  <c r="CM599" i="3"/>
  <c r="CM600" i="3"/>
  <c r="EW600" i="3" s="1"/>
  <c r="CM601" i="3"/>
  <c r="EW601" i="3" s="1"/>
  <c r="CM602" i="3"/>
  <c r="EW602" i="3" s="1"/>
  <c r="CM603" i="3"/>
  <c r="EW603" i="3" s="1"/>
  <c r="CM604" i="3"/>
  <c r="EW604" i="3" s="1"/>
  <c r="CM605" i="3"/>
  <c r="CM606" i="3"/>
  <c r="EW606" i="3" s="1"/>
  <c r="CM607" i="3"/>
  <c r="EW607" i="3" s="1"/>
  <c r="CM608" i="3"/>
  <c r="EW608" i="3" s="1"/>
  <c r="CM609" i="3"/>
  <c r="CM610" i="3"/>
  <c r="EW610" i="3" s="1"/>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CH599" i="3"/>
  <c r="ER599" i="3" s="1"/>
  <c r="CH600" i="3"/>
  <c r="ER600" i="3" s="1"/>
  <c r="CH601" i="3"/>
  <c r="ER601" i="3" s="1"/>
  <c r="CH602" i="3"/>
  <c r="ER602" i="3" s="1"/>
  <c r="CH603" i="3"/>
  <c r="ER603" i="3" s="1"/>
  <c r="CH604" i="3"/>
  <c r="CH605" i="3"/>
  <c r="ER605" i="3" s="1"/>
  <c r="CH606" i="3"/>
  <c r="ER606" i="3" s="1"/>
  <c r="CH607" i="3"/>
  <c r="ER607" i="3" s="1"/>
  <c r="CH608" i="3"/>
  <c r="ER608" i="3" s="1"/>
  <c r="CH609" i="3"/>
  <c r="ER609" i="3" s="1"/>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6" i="3"/>
  <c r="AJ978" i="3"/>
  <c r="AJ981" i="3"/>
  <c r="AJ997" i="3"/>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43" i="3"/>
  <c r="DH637" i="3"/>
  <c r="DH638" i="3"/>
  <c r="DH640" i="3"/>
  <c r="DM635" i="3"/>
  <c r="DM643" i="3"/>
  <c r="DR634" i="3"/>
  <c r="AJ610" i="20"/>
  <c r="E104" i="21"/>
  <c r="E95" i="21"/>
  <c r="B85" i="21"/>
  <c r="B60" i="21"/>
  <c r="B51" i="21"/>
  <c r="B42" i="21"/>
  <c r="B33" i="21"/>
  <c r="B18" i="21"/>
  <c r="B7" i="8"/>
  <c r="G7" i="8" s="1"/>
  <c r="AV764" i="3"/>
  <c r="U363" i="20"/>
  <c r="AK274" i="20"/>
  <c r="T799" i="20" s="1"/>
  <c r="AF799" i="20" s="1"/>
  <c r="B24" i="4"/>
  <c r="R36" i="4"/>
  <c r="B36" i="4"/>
  <c r="E36" i="4" s="1"/>
  <c r="B66" i="4"/>
  <c r="E66" i="4" s="1"/>
  <c r="B67" i="4"/>
  <c r="E67" i="4" s="1"/>
  <c r="B68" i="4"/>
  <c r="E68" i="4" s="1"/>
  <c r="R68" i="4" s="1"/>
  <c r="R66" i="4"/>
  <c r="R67" i="4"/>
  <c r="A104" i="11"/>
  <c r="C101" i="11"/>
  <c r="C102" i="11"/>
  <c r="C103" i="11"/>
  <c r="C104" i="11"/>
  <c r="B101" i="11"/>
  <c r="B102" i="11"/>
  <c r="B103" i="11"/>
  <c r="B104" i="11"/>
  <c r="C88" i="11"/>
  <c r="D88" i="11" s="1"/>
  <c r="C93" i="11"/>
  <c r="B88" i="11"/>
  <c r="B93" i="11"/>
  <c r="A70" i="11"/>
  <c r="C67" i="11"/>
  <c r="C68" i="11"/>
  <c r="C69" i="11"/>
  <c r="B67" i="11"/>
  <c r="B68" i="11"/>
  <c r="B69" i="11"/>
  <c r="A62" i="11"/>
  <c r="A54" i="11"/>
  <c r="A38" i="11"/>
  <c r="A26" i="11"/>
  <c r="C35" i="11"/>
  <c r="D35" i="11" s="1"/>
  <c r="C37" i="11"/>
  <c r="B35" i="11"/>
  <c r="B37" i="11"/>
  <c r="C24" i="11"/>
  <c r="C25" i="11"/>
  <c r="C26" i="11"/>
  <c r="C27" i="11" s="1"/>
  <c r="B25" i="11"/>
  <c r="B26" i="11"/>
  <c r="D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B67" i="13"/>
  <c r="B68" i="13"/>
  <c r="A53" i="13"/>
  <c r="H36" i="13"/>
  <c r="E36" i="13"/>
  <c r="F36" i="13" s="1"/>
  <c r="B36" i="13"/>
  <c r="C36" i="13" s="1"/>
  <c r="H24" i="13"/>
  <c r="E24" i="13"/>
  <c r="B24" i="13"/>
  <c r="G69" i="7"/>
  <c r="I69" i="7" s="1"/>
  <c r="K69" i="7" s="1"/>
  <c r="M69" i="7" s="1"/>
  <c r="O69" i="7" s="1"/>
  <c r="Q69" i="7" s="1"/>
  <c r="S69" i="7" s="1"/>
  <c r="U69" i="7" s="1"/>
  <c r="W69" i="7" s="1"/>
  <c r="Y69" i="7" s="1"/>
  <c r="AA69" i="7" s="1"/>
  <c r="AC69" i="7" s="1"/>
  <c r="AE69" i="7" s="1"/>
  <c r="AG69" i="7" s="1"/>
  <c r="G70" i="7"/>
  <c r="I70" i="7" s="1"/>
  <c r="K70" i="7" s="1"/>
  <c r="M70" i="7" s="1"/>
  <c r="O70" i="7" s="1"/>
  <c r="Q70" i="7" s="1"/>
  <c r="S70" i="7" s="1"/>
  <c r="U70" i="7" s="1"/>
  <c r="W70" i="7" s="1"/>
  <c r="Y70" i="7" s="1"/>
  <c r="AA70" i="7" s="1"/>
  <c r="AC70" i="7" s="1"/>
  <c r="AE70" i="7" s="1"/>
  <c r="AG70" i="7" s="1"/>
  <c r="A61" i="15"/>
  <c r="BA478" i="3"/>
  <c r="BA470" i="3"/>
  <c r="G24" i="7"/>
  <c r="I24" i="7" s="1"/>
  <c r="K24" i="7" s="1"/>
  <c r="M24" i="7" s="1"/>
  <c r="O24" i="7" s="1"/>
  <c r="Q24" i="7" s="1"/>
  <c r="S24" i="7" s="1"/>
  <c r="U24" i="7" s="1"/>
  <c r="W24" i="7" s="1"/>
  <c r="Y24" i="7" s="1"/>
  <c r="AA24" i="7" s="1"/>
  <c r="AC24" i="7" s="1"/>
  <c r="AE24" i="7" s="1"/>
  <c r="AG24" i="7" s="1"/>
  <c r="AA29" i="7"/>
  <c r="B100" i="4"/>
  <c r="R100" i="4"/>
  <c r="AQ119" i="20"/>
  <c r="AQ120" i="20"/>
  <c r="AQ121" i="20"/>
  <c r="AQ122" i="20"/>
  <c r="AQ123" i="20"/>
  <c r="AQ124" i="20"/>
  <c r="AQ125" i="20"/>
  <c r="AQ126" i="20"/>
  <c r="AQ127" i="20"/>
  <c r="AQ128" i="20"/>
  <c r="AQ129" i="20"/>
  <c r="AQ130"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BA664" i="3"/>
  <c r="BA665" i="3"/>
  <c r="BA663" i="3"/>
  <c r="BA666"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AI7" i="15"/>
  <c r="B59" i="4"/>
  <c r="E59" i="4" s="1"/>
  <c r="I96" i="13"/>
  <c r="J96" i="13"/>
  <c r="J81" i="13"/>
  <c r="I81" i="13"/>
  <c r="G81" i="13"/>
  <c r="D81" i="13"/>
  <c r="H80" i="13"/>
  <c r="D81" i="4"/>
  <c r="F81" i="4"/>
  <c r="G81" i="4"/>
  <c r="H81" i="4"/>
  <c r="I81" i="4"/>
  <c r="J81" i="4"/>
  <c r="K81" i="4"/>
  <c r="L81" i="4"/>
  <c r="M81" i="4"/>
  <c r="N81" i="4"/>
  <c r="O81" i="4"/>
  <c r="P81" i="4"/>
  <c r="Q81" i="4"/>
  <c r="T81" i="4"/>
  <c r="H81" i="13"/>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3" i="13"/>
  <c r="F93" i="13" s="1"/>
  <c r="E92" i="13"/>
  <c r="F92" i="13" s="1"/>
  <c r="E91" i="13"/>
  <c r="F91" i="13" s="1"/>
  <c r="E87" i="13"/>
  <c r="F87" i="13" s="1"/>
  <c r="E53" i="13"/>
  <c r="F53" i="13" s="1"/>
  <c r="E49" i="13"/>
  <c r="F49" i="13" s="1"/>
  <c r="E48" i="13"/>
  <c r="F48" i="13" s="1"/>
  <c r="E34" i="13"/>
  <c r="F34" i="13" s="1"/>
  <c r="E27" i="13"/>
  <c r="E25" i="13"/>
  <c r="E23" i="13"/>
  <c r="E22" i="13"/>
  <c r="E21" i="13"/>
  <c r="E20" i="13"/>
  <c r="E19" i="13"/>
  <c r="E18" i="13"/>
  <c r="E17" i="13"/>
  <c r="E15" i="13"/>
  <c r="E10" i="13"/>
  <c r="B92" i="13"/>
  <c r="C92" i="13" s="1"/>
  <c r="B87" i="13"/>
  <c r="C87" i="13" s="1"/>
  <c r="B76" i="13"/>
  <c r="B74" i="13"/>
  <c r="B73" i="13"/>
  <c r="B72" i="13"/>
  <c r="B60" i="13"/>
  <c r="B59" i="13"/>
  <c r="B56" i="13"/>
  <c r="B53" i="13"/>
  <c r="C53" i="13" s="1"/>
  <c r="B49" i="13"/>
  <c r="C49" i="13" s="1"/>
  <c r="B34" i="13"/>
  <c r="C34" i="13" s="1"/>
  <c r="B27" i="13"/>
  <c r="B25" i="13"/>
  <c r="B23" i="13"/>
  <c r="B22" i="13"/>
  <c r="B21" i="13"/>
  <c r="B20" i="13"/>
  <c r="B19" i="13"/>
  <c r="B18" i="13"/>
  <c r="B17" i="13"/>
  <c r="B6" i="13"/>
  <c r="B7" i="13"/>
  <c r="B9" i="13"/>
  <c r="B10" i="13"/>
  <c r="B15"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c r="R103" i="4"/>
  <c r="R102" i="4"/>
  <c r="R101" i="4"/>
  <c r="R59" i="4"/>
  <c r="R56" i="4"/>
  <c r="R34" i="4"/>
  <c r="R27" i="4"/>
  <c r="R25" i="4"/>
  <c r="R23" i="4"/>
  <c r="R22" i="4"/>
  <c r="R21" i="4"/>
  <c r="R20" i="4"/>
  <c r="R19" i="4"/>
  <c r="R18" i="4"/>
  <c r="R17" i="4"/>
  <c r="R15" i="4"/>
  <c r="R9" i="4"/>
  <c r="R11" i="4"/>
  <c r="R7" i="4"/>
  <c r="R6" i="4"/>
  <c r="B7" i="11"/>
  <c r="C7" i="11"/>
  <c r="D7" i="11" s="1"/>
  <c r="C8" i="11"/>
  <c r="B8" i="11"/>
  <c r="B10" i="11"/>
  <c r="B11" i="11"/>
  <c r="C10" i="11"/>
  <c r="C11" i="11"/>
  <c r="B16" i="11"/>
  <c r="C16" i="11"/>
  <c r="B18" i="11"/>
  <c r="C18" i="11"/>
  <c r="B19" i="11"/>
  <c r="C19" i="11"/>
  <c r="B20" i="11"/>
  <c r="C20" i="11"/>
  <c r="B21" i="11"/>
  <c r="C21" i="11"/>
  <c r="B22" i="11"/>
  <c r="C22" i="11"/>
  <c r="B23" i="11"/>
  <c r="C23" i="11"/>
  <c r="B24" i="11"/>
  <c r="B28" i="11"/>
  <c r="C28" i="11"/>
  <c r="B50" i="11"/>
  <c r="D50" i="11" s="1"/>
  <c r="C50" i="11"/>
  <c r="B57" i="11"/>
  <c r="C57" i="11"/>
  <c r="B60" i="11"/>
  <c r="C60" i="11"/>
  <c r="B61" i="11"/>
  <c r="C61" i="11"/>
  <c r="D61" i="11" s="1"/>
  <c r="B73" i="11"/>
  <c r="C73" i="11"/>
  <c r="B74" i="11"/>
  <c r="C74" i="11"/>
  <c r="B75" i="11"/>
  <c r="C75" i="11"/>
  <c r="B77" i="11"/>
  <c r="C77" i="11"/>
  <c r="A4" i="8"/>
  <c r="I4" i="8"/>
  <c r="A5" i="8"/>
  <c r="I5" i="8"/>
  <c r="A6" i="8"/>
  <c r="I6" i="8"/>
  <c r="A7" i="8"/>
  <c r="I7" i="8"/>
  <c r="A8" i="8"/>
  <c r="I8" i="8"/>
  <c r="A9" i="8"/>
  <c r="I9" i="8"/>
  <c r="A10" i="8"/>
  <c r="I10" i="8"/>
  <c r="A11" i="8"/>
  <c r="I11" i="8"/>
  <c r="A12" i="8"/>
  <c r="I12" i="8"/>
  <c r="A13" i="8"/>
  <c r="I13" i="8"/>
  <c r="A14" i="8"/>
  <c r="I14" i="8"/>
  <c r="A15" i="8"/>
  <c r="I15" i="8"/>
  <c r="A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H11" i="13"/>
  <c r="T26" i="4"/>
  <c r="H26" i="13"/>
  <c r="T38" i="4"/>
  <c r="H38" i="13"/>
  <c r="T42" i="4"/>
  <c r="H42" i="13"/>
  <c r="T54" i="4"/>
  <c r="H54" i="13"/>
  <c r="T70" i="4"/>
  <c r="H70" i="13"/>
  <c r="T96" i="4"/>
  <c r="H96" i="13"/>
  <c r="DX607" i="3"/>
  <c r="DX608" i="3"/>
  <c r="DX611" i="3"/>
  <c r="DX613" i="3"/>
  <c r="DX615" i="3"/>
  <c r="DX616" i="3"/>
  <c r="DX617" i="3"/>
  <c r="DX618" i="3"/>
  <c r="DX619" i="3"/>
  <c r="DX620" i="3"/>
  <c r="EC598" i="3"/>
  <c r="EC604" i="3"/>
  <c r="EC611" i="3"/>
  <c r="EC613" i="3"/>
  <c r="EC614" i="3"/>
  <c r="EC615" i="3"/>
  <c r="EC617" i="3"/>
  <c r="EC620" i="3"/>
  <c r="EH601" i="3"/>
  <c r="EH609" i="3"/>
  <c r="EH611" i="3"/>
  <c r="EH612" i="3"/>
  <c r="EH613" i="3"/>
  <c r="EH614" i="3"/>
  <c r="EH617" i="3"/>
  <c r="EH619" i="3"/>
  <c r="EH620" i="3"/>
  <c r="EM598" i="3"/>
  <c r="EM610" i="3"/>
  <c r="EM611" i="3"/>
  <c r="EM614" i="3"/>
  <c r="EM616" i="3"/>
  <c r="EM618" i="3"/>
  <c r="EM619" i="3"/>
  <c r="EW599" i="3"/>
  <c r="EW605" i="3"/>
  <c r="EW609" i="3"/>
  <c r="EW611" i="3"/>
  <c r="EW615" i="3"/>
  <c r="EW616" i="3"/>
  <c r="EW617" i="3"/>
  <c r="ER598" i="3"/>
  <c r="ER604" i="3"/>
  <c r="ER610" i="3"/>
  <c r="ER612" i="3"/>
  <c r="ER613" i="3"/>
  <c r="ER614" i="3"/>
  <c r="ER615" i="3"/>
  <c r="ER616" i="3"/>
  <c r="ER617" i="3"/>
  <c r="ER620" i="3"/>
  <c r="C11" i="4"/>
  <c r="B26" i="13"/>
  <c r="D8" i="4"/>
  <c r="D11" i="4"/>
  <c r="D26" i="4"/>
  <c r="D38" i="4"/>
  <c r="D42" i="4"/>
  <c r="D54" i="4"/>
  <c r="D62" i="4"/>
  <c r="D77" i="4"/>
  <c r="D96" i="4"/>
  <c r="D104" i="4"/>
  <c r="E26" i="13"/>
  <c r="F2" i="4"/>
  <c r="G2" i="4"/>
  <c r="H2" i="4"/>
  <c r="I2" i="4"/>
  <c r="J2" i="4"/>
  <c r="K2" i="4"/>
  <c r="L2" i="4"/>
  <c r="M2" i="4"/>
  <c r="N2" i="4"/>
  <c r="O2" i="4"/>
  <c r="P2" i="4"/>
  <c r="Q2" i="4"/>
  <c r="B6" i="4"/>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34" i="4"/>
  <c r="E34" i="4" s="1"/>
  <c r="G38" i="4"/>
  <c r="H38" i="4"/>
  <c r="K38" i="4"/>
  <c r="L38" i="4"/>
  <c r="O38" i="4"/>
  <c r="P38" i="4"/>
  <c r="P42" i="4"/>
  <c r="P54" i="4"/>
  <c r="P62" i="4"/>
  <c r="P70" i="4"/>
  <c r="P77" i="4"/>
  <c r="P96" i="4"/>
  <c r="P104" i="4"/>
  <c r="Q38" i="4"/>
  <c r="G42" i="4"/>
  <c r="H42" i="4"/>
  <c r="K42" i="4"/>
  <c r="L42" i="4"/>
  <c r="O42" i="4"/>
  <c r="Q42" i="4"/>
  <c r="B49" i="4"/>
  <c r="E49" i="4" s="1"/>
  <c r="R49" i="4" s="1"/>
  <c r="B53" i="4"/>
  <c r="E53" i="4" s="1"/>
  <c r="R53" i="4" s="1"/>
  <c r="G54" i="4"/>
  <c r="H54" i="4"/>
  <c r="K54" i="4"/>
  <c r="L54" i="4"/>
  <c r="O54" i="4"/>
  <c r="Q54" i="4"/>
  <c r="B56" i="4"/>
  <c r="E56" i="4" s="1"/>
  <c r="B60" i="4"/>
  <c r="E60" i="4" s="1"/>
  <c r="R60" i="4" s="1"/>
  <c r="G62" i="4"/>
  <c r="H62" i="4"/>
  <c r="K62" i="4"/>
  <c r="L62" i="4"/>
  <c r="O62" i="4"/>
  <c r="O70" i="4"/>
  <c r="O77" i="4"/>
  <c r="O96" i="4"/>
  <c r="O104" i="4"/>
  <c r="Q62" i="4"/>
  <c r="F70" i="4"/>
  <c r="G70" i="4"/>
  <c r="H70" i="4"/>
  <c r="I70" i="4"/>
  <c r="K70" i="4"/>
  <c r="L70" i="4"/>
  <c r="Q70" i="4"/>
  <c r="B72" i="4"/>
  <c r="E72" i="4" s="1"/>
  <c r="R72" i="4" s="1"/>
  <c r="B73" i="4"/>
  <c r="E73" i="4" s="1"/>
  <c r="R73" i="4" s="1"/>
  <c r="B74" i="4"/>
  <c r="E74" i="4" s="1"/>
  <c r="R74" i="4" s="1"/>
  <c r="B76" i="4"/>
  <c r="E76" i="4" s="1"/>
  <c r="R76" i="4" s="1"/>
  <c r="F77" i="4"/>
  <c r="G77" i="4"/>
  <c r="H77" i="4"/>
  <c r="I77" i="4"/>
  <c r="K77" i="4"/>
  <c r="L77" i="4"/>
  <c r="Q77" i="4"/>
  <c r="B87" i="4"/>
  <c r="E87" i="4" s="1"/>
  <c r="R87" i="4" s="1"/>
  <c r="B92" i="4"/>
  <c r="E92" i="4" s="1"/>
  <c r="R92" i="4" s="1"/>
  <c r="F96" i="4"/>
  <c r="G96" i="4"/>
  <c r="H96" i="4"/>
  <c r="I96" i="4"/>
  <c r="K96" i="4"/>
  <c r="L96" i="4"/>
  <c r="Q96" i="4"/>
  <c r="B101" i="4"/>
  <c r="B102" i="4"/>
  <c r="B103" i="4"/>
  <c r="F104" i="4"/>
  <c r="H104" i="4"/>
  <c r="I104" i="4"/>
  <c r="K104" i="4"/>
  <c r="L104" i="4"/>
  <c r="Q104" i="4"/>
  <c r="H108" i="4"/>
  <c r="I108" i="4"/>
  <c r="J108" i="4"/>
  <c r="K108" i="4"/>
  <c r="L108" i="4"/>
  <c r="M108" i="4"/>
  <c r="N108" i="4"/>
  <c r="O108" i="4"/>
  <c r="P108" i="4"/>
  <c r="Q108" i="4"/>
  <c r="B131" i="4"/>
  <c r="I184" i="3"/>
  <c r="W417" i="3"/>
  <c r="AF417" i="3" s="1"/>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I63" i="13"/>
  <c r="I97" i="13"/>
  <c r="I105" i="13"/>
  <c r="I107" i="13"/>
  <c r="D54" i="11"/>
  <c r="J63" i="13"/>
  <c r="J97" i="13"/>
  <c r="J105" i="13"/>
  <c r="J107" i="13"/>
  <c r="L12" i="4"/>
  <c r="D93" i="11"/>
  <c r="I12" i="4"/>
  <c r="G12" i="4"/>
  <c r="L63" i="4"/>
  <c r="L97" i="4"/>
  <c r="L105" i="4"/>
  <c r="Q12" i="4"/>
  <c r="B11" i="4"/>
  <c r="O63" i="4"/>
  <c r="O97" i="4"/>
  <c r="O105" i="4"/>
  <c r="D18" i="11"/>
  <c r="D10" i="11"/>
  <c r="G63" i="13"/>
  <c r="G97" i="13"/>
  <c r="G105" i="13"/>
  <c r="G107" i="13"/>
  <c r="D57" i="11"/>
  <c r="D20" i="11"/>
  <c r="D8" i="11"/>
  <c r="D102" i="11"/>
  <c r="K12" i="4"/>
  <c r="D63" i="4"/>
  <c r="D97" i="4"/>
  <c r="D105" i="4"/>
  <c r="J12" i="4"/>
  <c r="D22" i="11"/>
  <c r="O12" i="4"/>
  <c r="I63" i="4"/>
  <c r="I97" i="4"/>
  <c r="I105" i="4"/>
  <c r="D25" i="11"/>
  <c r="B11" i="13"/>
  <c r="D12" i="4"/>
  <c r="H12" i="4"/>
  <c r="D23" i="11"/>
  <c r="D19" i="11"/>
  <c r="D73" i="11"/>
  <c r="D63" i="13"/>
  <c r="D97" i="13"/>
  <c r="D105" i="13"/>
  <c r="Q63" i="4"/>
  <c r="Q97" i="4"/>
  <c r="Q105" i="4"/>
  <c r="N63" i="4"/>
  <c r="N97" i="4"/>
  <c r="N105" i="4"/>
  <c r="N12" i="4"/>
  <c r="H63" i="4"/>
  <c r="H97" i="4"/>
  <c r="H105" i="4"/>
  <c r="F12" i="4"/>
  <c r="D60" i="11"/>
  <c r="M12" i="4"/>
  <c r="D74" i="11"/>
  <c r="P63" i="4"/>
  <c r="P97" i="4"/>
  <c r="P105" i="4"/>
  <c r="D12" i="13"/>
  <c r="D24" i="11"/>
  <c r="D101" i="11"/>
  <c r="D75" i="11"/>
  <c r="D28" i="11"/>
  <c r="D103" i="11"/>
  <c r="D21" i="11"/>
  <c r="D16" i="11"/>
  <c r="B12" i="11"/>
  <c r="R26" i="4"/>
  <c r="AD199" i="20"/>
  <c r="D77" i="11"/>
  <c r="M63" i="4"/>
  <c r="M97" i="4"/>
  <c r="M105" i="4"/>
  <c r="G63" i="4"/>
  <c r="G97" i="4"/>
  <c r="J63" i="4"/>
  <c r="J97" i="4"/>
  <c r="J105" i="4"/>
  <c r="C12" i="11"/>
  <c r="K63" i="4"/>
  <c r="K97" i="4"/>
  <c r="K105" i="4"/>
  <c r="AD7" i="15"/>
  <c r="D104" i="11"/>
  <c r="T63" i="4"/>
  <c r="T97" i="4"/>
  <c r="D11" i="11"/>
  <c r="D12" i="11"/>
  <c r="H63" i="13"/>
  <c r="T105" i="4"/>
  <c r="H97" i="13"/>
  <c r="T107" i="4"/>
  <c r="H105" i="13"/>
  <c r="H107" i="13"/>
  <c r="AD11" i="15"/>
  <c r="AB223" i="20"/>
  <c r="AB239" i="20" s="1"/>
  <c r="AB241" i="20" s="1"/>
  <c r="AB243" i="20" s="1"/>
  <c r="AB249" i="20" s="1"/>
  <c r="AD198" i="20" s="1"/>
  <c r="AD200" i="20" s="1"/>
  <c r="O29" i="7" l="1"/>
  <c r="AG29" i="7"/>
  <c r="Q28" i="7"/>
  <c r="K29" i="7"/>
  <c r="Y28" i="7"/>
  <c r="S29" i="7"/>
  <c r="AA28" i="7"/>
  <c r="S28" i="7"/>
  <c r="AE28" i="7"/>
  <c r="G28" i="7"/>
  <c r="W28" i="7"/>
  <c r="M28" i="7"/>
  <c r="I28" i="7"/>
  <c r="AG28" i="7"/>
  <c r="O28" i="7"/>
  <c r="U28" i="7"/>
  <c r="AC28" i="7"/>
  <c r="AK172" i="20"/>
  <c r="AO65" i="20"/>
  <c r="Q30" i="21" a="1"/>
  <c r="Q30" i="21" s="1"/>
  <c r="BA973" i="3"/>
  <c r="I1013" i="3" s="1"/>
  <c r="AP355" i="20"/>
  <c r="AQ355" i="20" s="1"/>
  <c r="AS349" i="20" s="1"/>
  <c r="G67" i="21"/>
  <c r="T801" i="20"/>
  <c r="AO17" i="20"/>
  <c r="T793" i="20"/>
  <c r="AF793" i="20" s="1"/>
  <c r="AK779" i="20"/>
  <c r="T804" i="20" s="1"/>
  <c r="AF804" i="20" s="1"/>
  <c r="AO36" i="20"/>
  <c r="AK56" i="20" s="1"/>
  <c r="T44" i="21"/>
  <c r="P44" i="21" a="1"/>
  <c r="P44" i="21" s="1"/>
  <c r="Q21" i="21" a="1"/>
  <c r="Q21" i="21" s="1"/>
  <c r="T21" i="2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AD28" i="15" s="1"/>
  <c r="DR621" i="3"/>
  <c r="S24" i="21"/>
  <c r="B27" i="11"/>
  <c r="D26" i="11"/>
  <c r="D27" i="11" s="1"/>
  <c r="S30" i="21"/>
  <c r="O40" i="21"/>
  <c r="T7" i="15"/>
  <c r="AC29" i="7"/>
  <c r="M29" i="7"/>
  <c r="Q44" i="21" a="1"/>
  <c r="Q44" i="21" s="1"/>
  <c r="G29" i="7"/>
  <c r="Q29" i="7"/>
  <c r="O36" i="21"/>
  <c r="AE29" i="7"/>
  <c r="P36" i="21" a="1"/>
  <c r="P36" i="21" s="1"/>
  <c r="S28" i="21"/>
  <c r="W29" i="7"/>
  <c r="P40" i="21" a="1"/>
  <c r="P40" i="21"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CX644" i="3"/>
  <c r="Q35" i="21" a="1"/>
  <c r="Q35" i="21" s="1"/>
  <c r="Q43" i="21" a="1"/>
  <c r="Q43" i="21" s="1"/>
  <c r="O35" i="21"/>
  <c r="Q31" i="21" a="1"/>
  <c r="Q31" i="21" s="1"/>
  <c r="R957" i="3"/>
  <c r="G112" i="21" s="1"/>
  <c r="G114" i="21" s="1"/>
  <c r="I15" i="21" s="1"/>
  <c r="R956" i="3"/>
  <c r="R955" i="3"/>
  <c r="O34" i="21"/>
  <c r="T22" i="21"/>
  <c r="S41" i="21"/>
  <c r="E99" i="20"/>
  <c r="O44" i="21"/>
  <c r="R41" i="21"/>
  <c r="T41" i="21"/>
  <c r="Q23" i="21" a="1"/>
  <c r="Q23" i="21" s="1"/>
  <c r="E98" i="20"/>
  <c r="Q40" i="21" a="1"/>
  <c r="Q40" i="21" s="1"/>
  <c r="O41" i="21"/>
  <c r="R40" i="21"/>
  <c r="T40" i="21"/>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Q32" i="21" a="1"/>
  <c r="Q32" i="21" s="1"/>
  <c r="T32" i="21"/>
  <c r="S32" i="21"/>
  <c r="S26" i="21"/>
  <c r="T26" i="21"/>
  <c r="Q26" i="21" a="1"/>
  <c r="Q26" i="21" s="1"/>
  <c r="BK621" i="3"/>
  <c r="X1017" i="3" s="1"/>
  <c r="CH621" i="3"/>
  <c r="BS644" i="3"/>
  <c r="BW645" i="3" s="1"/>
  <c r="BG714" i="3"/>
  <c r="BH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BN621" i="3"/>
  <c r="DX628" i="3" s="1"/>
  <c r="CH644" i="3"/>
  <c r="CL645" i="3" s="1"/>
  <c r="DM634" i="3"/>
  <c r="DM644" i="3" s="1"/>
  <c r="DH644" i="3"/>
  <c r="AC868" i="3"/>
  <c r="CC644" i="3"/>
  <c r="CG645" i="3" s="1"/>
  <c r="BX621" i="3"/>
  <c r="EH602" i="3"/>
  <c r="CS637" i="3"/>
  <c r="CS644" i="3" s="1"/>
  <c r="BN644"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Q33" i="21" a="1"/>
  <c r="Q33" i="21" s="1"/>
  <c r="R33" i="21"/>
  <c r="T25" i="21"/>
  <c r="O43" i="21"/>
  <c r="Q24" i="21" a="1"/>
  <c r="Q24" i="21" s="1"/>
  <c r="E25" i="21"/>
  <c r="J30" i="8"/>
  <c r="Z793" i="3" s="1"/>
  <c r="G53" i="21"/>
  <c r="E24" i="21"/>
  <c r="E22" i="21"/>
  <c r="F22" i="21" s="1"/>
  <c r="G30" i="8"/>
  <c r="AI11" i="15"/>
  <c r="E26" i="21"/>
  <c r="E23" i="21"/>
  <c r="F23" i="21" s="1"/>
  <c r="G23" i="21" s="1"/>
  <c r="I1017" i="3" l="1"/>
  <c r="AS351" i="20"/>
  <c r="AS347" i="20" s="1"/>
  <c r="AK458" i="20" s="1"/>
  <c r="T802" i="20" s="1"/>
  <c r="AF802" i="20" s="1"/>
  <c r="T800" i="20"/>
  <c r="AF800" i="20" s="1"/>
  <c r="Y27" i="15"/>
  <c r="AI27" i="15"/>
  <c r="T789" i="20"/>
  <c r="AF789" i="20" s="1"/>
  <c r="AK78" i="20"/>
  <c r="AI23" i="15"/>
  <c r="AI26" i="15" s="1"/>
  <c r="T27" i="15"/>
  <c r="BH702" i="3"/>
  <c r="BI702" i="3" s="1"/>
  <c r="EC634" i="3"/>
  <c r="EC636" i="3"/>
  <c r="EC626" i="3"/>
  <c r="EC642" i="3"/>
  <c r="BH691" i="3"/>
  <c r="EC638" i="3"/>
  <c r="DX635" i="3"/>
  <c r="BW623" i="3"/>
  <c r="EC639" i="3"/>
  <c r="CS631" i="3"/>
  <c r="EC646" i="3"/>
  <c r="EC645" i="3"/>
  <c r="EC632" i="3"/>
  <c r="BH692" i="3"/>
  <c r="EC647" i="3"/>
  <c r="EC641" i="3"/>
  <c r="EC648" i="3"/>
  <c r="EC635" i="3"/>
  <c r="EC624" i="3"/>
  <c r="EC625" i="3"/>
  <c r="EC640" i="3"/>
  <c r="EC633" i="3"/>
  <c r="EC644" i="3"/>
  <c r="AW112" i="20"/>
  <c r="AW110" i="20"/>
  <c r="BH695" i="3"/>
  <c r="EM625" i="3"/>
  <c r="BH713" i="3"/>
  <c r="BI713" i="3" s="1"/>
  <c r="BH707" i="3"/>
  <c r="BI707" i="3" s="1"/>
  <c r="EC643" i="3"/>
  <c r="S18" i="21"/>
  <c r="G44" i="21" s="1"/>
  <c r="BH703" i="3"/>
  <c r="BI703" i="3" s="1"/>
  <c r="CS630" i="3"/>
  <c r="EC631" i="3"/>
  <c r="AW111" i="20"/>
  <c r="AW114" i="20"/>
  <c r="BH700" i="3"/>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43" i="3"/>
  <c r="EH628" i="3"/>
  <c r="EH640" i="3"/>
  <c r="EH624" i="3"/>
  <c r="EH636" i="3"/>
  <c r="EH634" i="3"/>
  <c r="EH638" i="3"/>
  <c r="EH639" i="3"/>
  <c r="EH648" i="3"/>
  <c r="EH627" i="3"/>
  <c r="EH641" i="3"/>
  <c r="EH637" i="3"/>
  <c r="EH625" i="3"/>
  <c r="CB623" i="3"/>
  <c r="EH629" i="3"/>
  <c r="EH644" i="3"/>
  <c r="EH646" i="3"/>
  <c r="EH635" i="3"/>
  <c r="EH645" i="3"/>
  <c r="EH647" i="3"/>
  <c r="G35" i="21" a="1"/>
  <c r="G35" i="21" s="1"/>
  <c r="G36" i="21" s="1"/>
  <c r="DX638" i="3"/>
  <c r="DX629" i="3"/>
  <c r="DX631" i="3"/>
  <c r="DX630" i="3"/>
  <c r="BR623" i="3"/>
  <c r="DX645" i="3"/>
  <c r="DX641" i="3"/>
  <c r="DX636" i="3"/>
  <c r="DX644" i="3"/>
  <c r="DX646" i="3"/>
  <c r="DX633" i="3"/>
  <c r="DX643" i="3"/>
  <c r="DX637" i="3"/>
  <c r="DX648" i="3"/>
  <c r="DX647" i="3"/>
  <c r="CM622" i="3"/>
  <c r="DX640" i="3"/>
  <c r="BN649" i="3"/>
  <c r="AB955" i="3" s="1"/>
  <c r="DX627" i="3"/>
  <c r="DX642" i="3"/>
  <c r="DX639" i="3"/>
  <c r="DX632" i="3"/>
  <c r="EH642" i="3"/>
  <c r="BH689" i="3"/>
  <c r="BH701" i="3"/>
  <c r="BH705" i="3"/>
  <c r="BI705" i="3" s="1"/>
  <c r="BH706" i="3"/>
  <c r="BI706" i="3" s="1"/>
  <c r="BH709" i="3"/>
  <c r="BI709" i="3" s="1"/>
  <c r="BH690" i="3"/>
  <c r="BH698" i="3"/>
  <c r="BH697" i="3"/>
  <c r="BH694" i="3"/>
  <c r="BH696" i="3"/>
  <c r="BH710" i="3"/>
  <c r="BI710" i="3" s="1"/>
  <c r="BH693" i="3"/>
  <c r="BH712" i="3"/>
  <c r="BI712" i="3" s="1"/>
  <c r="BH711" i="3"/>
  <c r="BI711" i="3" s="1"/>
  <c r="BH704" i="3"/>
  <c r="BI704" i="3" s="1"/>
  <c r="EW640" i="3"/>
  <c r="ER639" i="3"/>
  <c r="AW113" i="20"/>
  <c r="DX634" i="3"/>
  <c r="BS649" i="3"/>
  <c r="AB956" i="3" s="1"/>
  <c r="AJ956" i="3" s="1"/>
  <c r="BH708" i="3"/>
  <c r="BI708" i="3" s="1"/>
  <c r="ER647" i="3"/>
  <c r="BR645" i="3"/>
  <c r="CS647" i="3" s="1"/>
  <c r="CS646" i="3"/>
  <c r="CC649" i="3"/>
  <c r="AB958" i="3" s="1"/>
  <c r="AJ958" i="3" s="1"/>
  <c r="EM639" i="3"/>
  <c r="EM642" i="3"/>
  <c r="EM630" i="3"/>
  <c r="EM643" i="3"/>
  <c r="CG623" i="3"/>
  <c r="EM648" i="3"/>
  <c r="EM626" i="3"/>
  <c r="EM646" i="3"/>
  <c r="EM644" i="3"/>
  <c r="EM647" i="3"/>
  <c r="EM629"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4" i="3"/>
  <c r="BH657" i="3"/>
  <c r="BH665" i="3"/>
  <c r="BI665" i="3" s="1"/>
  <c r="EM632" i="3"/>
  <c r="E6" i="7"/>
  <c r="E27" i="21"/>
  <c r="G22" i="21"/>
  <c r="O29" i="21" l="1"/>
  <c r="P29" i="21" s="1" a="1"/>
  <c r="P29" i="21" s="1"/>
  <c r="R29" i="21" s="1"/>
  <c r="O32" i="21"/>
  <c r="P32" i="21" s="1" a="1"/>
  <c r="P32" i="21" s="1"/>
  <c r="R32" i="21" s="1"/>
  <c r="O31" i="21"/>
  <c r="P31" i="21" s="1" a="1"/>
  <c r="P31" i="21" s="1"/>
  <c r="R31" i="21" s="1"/>
  <c r="O30" i="21"/>
  <c r="P30" i="21" s="1" a="1"/>
  <c r="P30" i="21" s="1"/>
  <c r="R30" i="21" s="1"/>
  <c r="O24" i="21"/>
  <c r="P24" i="21" s="1" a="1"/>
  <c r="P24" i="21" s="1"/>
  <c r="R24" i="21" s="1"/>
  <c r="O28" i="21"/>
  <c r="P28" i="21" s="1" a="1"/>
  <c r="P28" i="21" s="1"/>
  <c r="R28" i="21" s="1"/>
  <c r="O27" i="21"/>
  <c r="P27" i="21" s="1" a="1"/>
  <c r="P27" i="21" s="1"/>
  <c r="R27" i="21" s="1"/>
  <c r="O26" i="21"/>
  <c r="P26" i="21" s="1" a="1"/>
  <c r="P26" i="21" s="1"/>
  <c r="R26" i="21" s="1"/>
  <c r="O25" i="21"/>
  <c r="P25" i="21" s="1" a="1"/>
  <c r="P25" i="21" s="1"/>
  <c r="R25" i="21" s="1"/>
  <c r="O22" i="21"/>
  <c r="P22" i="21" s="1" a="1"/>
  <c r="P22" i="21" s="1"/>
  <c r="R22" i="21" s="1"/>
  <c r="O23" i="21"/>
  <c r="P23" i="21" s="1" a="1"/>
  <c r="P23" i="21" s="1"/>
  <c r="R23" i="21" s="1"/>
  <c r="O20" i="21"/>
  <c r="P20" i="21" s="1" a="1"/>
  <c r="P20" i="21" s="1"/>
  <c r="R20" i="21" s="1"/>
  <c r="O21" i="21"/>
  <c r="P21" i="21" s="1" a="1"/>
  <c r="P21" i="21" s="1"/>
  <c r="R21" i="21" s="1"/>
  <c r="AW116" i="20"/>
  <c r="AI28" i="15"/>
  <c r="AK180" i="20"/>
  <c r="T796" i="20" s="1"/>
  <c r="AF796" i="20" s="1"/>
  <c r="T790" i="20"/>
  <c r="AF790" i="20" s="1"/>
  <c r="EW649" i="3"/>
  <c r="AD124" i="20" s="1"/>
  <c r="AD127" i="20" s="1"/>
  <c r="AD130" i="20" s="1"/>
  <c r="ER649" i="3"/>
  <c r="Y124" i="20" s="1"/>
  <c r="Y127" i="20" s="1"/>
  <c r="Y130" i="20" s="1"/>
  <c r="BI657" i="3"/>
  <c r="BI682" i="3" s="1"/>
  <c r="AC739" i="3" s="1"/>
  <c r="BH682" i="3"/>
  <c r="BH714" i="3"/>
  <c r="CS623" i="3"/>
  <c r="AJ955" i="3"/>
  <c r="AB959" i="3"/>
  <c r="AJ959" i="3" s="1"/>
  <c r="G6" i="7"/>
  <c r="E7" i="7"/>
  <c r="F25" i="21"/>
  <c r="G54" i="21"/>
  <c r="G56" i="21" s="1"/>
  <c r="G58" i="21" s="1"/>
  <c r="E12" i="21" s="1"/>
  <c r="F26" i="21"/>
  <c r="G26" i="21" s="1"/>
  <c r="G45" i="21"/>
  <c r="G47" i="21" s="1"/>
  <c r="G49" i="21" s="1"/>
  <c r="E11" i="21" s="1"/>
  <c r="G38" i="21" l="1"/>
  <c r="G40" i="21" s="1"/>
  <c r="E10" i="21" s="1"/>
  <c r="AJ961" i="3"/>
  <c r="AJ1001" i="3" s="1"/>
  <c r="I14" i="21" s="1"/>
  <c r="E87" i="20"/>
  <c r="E88" i="20" s="1"/>
  <c r="E89" i="20" s="1"/>
  <c r="E97" i="20"/>
  <c r="E100" i="20" s="1"/>
  <c r="AP100" i="20" s="1"/>
  <c r="AK103" i="20" s="1"/>
  <c r="T791" i="20" s="1"/>
  <c r="AF791" i="20" s="1"/>
  <c r="AB960" i="3"/>
  <c r="CS649" i="3"/>
  <c r="U362" i="20" s="1"/>
  <c r="O742" i="3"/>
  <c r="P420" i="3"/>
  <c r="I6" i="7"/>
  <c r="G7" i="7"/>
  <c r="G25" i="21"/>
  <c r="F24" i="21"/>
  <c r="B1025" i="3" l="1"/>
  <c r="AJ994" i="3"/>
  <c r="AJ972" i="3"/>
  <c r="AJ1014" i="3"/>
  <c r="AP542" i="20" s="1"/>
  <c r="AJ1010" i="3"/>
  <c r="AP541" i="20" s="1"/>
  <c r="AP539" i="20"/>
  <c r="K6" i="7"/>
  <c r="I7" i="7"/>
  <c r="G24" i="21"/>
  <c r="F27" i="21"/>
  <c r="G27" i="21"/>
  <c r="AJ1018" i="3" l="1"/>
  <c r="T24" i="15" s="1"/>
  <c r="AP543" i="20"/>
  <c r="AZ832" i="3"/>
  <c r="AZ835" i="3"/>
  <c r="M6" i="7"/>
  <c r="K7" i="7"/>
  <c r="G95" i="21"/>
  <c r="G96" i="21" s="1"/>
  <c r="G29" i="21"/>
  <c r="G31" i="21" s="1"/>
  <c r="E9" i="21" s="1"/>
  <c r="G104" i="21"/>
  <c r="G106" i="21" s="1"/>
  <c r="G79" i="21"/>
  <c r="G64" i="21"/>
  <c r="AP546" i="20" l="1"/>
  <c r="AP545" i="20" s="1"/>
  <c r="AP548" i="20" s="1"/>
  <c r="AF541" i="20" s="1"/>
  <c r="AZ840" i="3"/>
  <c r="M7" i="7"/>
  <c r="O6" i="7"/>
  <c r="G69" i="21"/>
  <c r="G81" i="21"/>
  <c r="G65" i="21"/>
  <c r="E14" i="21"/>
  <c r="E15" i="21" s="1"/>
  <c r="O7" i="7" l="1"/>
  <c r="Q6" i="7"/>
  <c r="G83" i="21"/>
  <c r="E13" i="21" s="1"/>
  <c r="E16" i="21" s="1"/>
  <c r="H3" i="21" s="1"/>
  <c r="Q7" i="7" l="1"/>
  <c r="S6" i="7"/>
  <c r="S7" i="7" l="1"/>
  <c r="U6" i="7"/>
  <c r="U7" i="7" l="1"/>
  <c r="W6" i="7"/>
  <c r="Y6" i="7" l="1"/>
  <c r="W7" i="7"/>
  <c r="Y7" i="7" l="1"/>
  <c r="AA6" i="7"/>
  <c r="AC6" i="7" l="1"/>
  <c r="AA7" i="7"/>
  <c r="AE6" i="7" l="1"/>
  <c r="AC7" i="7"/>
  <c r="AE7" i="7" l="1"/>
  <c r="AG6" i="7"/>
  <c r="AG7" i="7" l="1"/>
  <c r="W831" i="3" l="1"/>
  <c r="E15" i="7" s="1"/>
  <c r="G15" i="7" s="1"/>
  <c r="I15" i="7" s="1"/>
  <c r="K15" i="7" s="1"/>
  <c r="M15" i="7" s="1"/>
  <c r="O15" i="7" s="1"/>
  <c r="Q15" i="7" s="1"/>
  <c r="S15" i="7" s="1"/>
  <c r="U15" i="7" s="1"/>
  <c r="W15" i="7" s="1"/>
  <c r="Y15" i="7" s="1"/>
  <c r="AA15" i="7" s="1"/>
  <c r="AC15" i="7" s="1"/>
  <c r="AE15" i="7" s="1"/>
  <c r="AG15" i="7" s="1"/>
  <c r="E32" i="7"/>
  <c r="G32" i="7" s="1"/>
  <c r="I32" i="7" s="1"/>
  <c r="K32" i="7" s="1"/>
  <c r="M32" i="7" s="1"/>
  <c r="O32" i="7" s="1"/>
  <c r="Q32" i="7" s="1"/>
  <c r="S32" i="7" s="1"/>
  <c r="U32" i="7" s="1"/>
  <c r="W32" i="7" s="1"/>
  <c r="Y32" i="7" s="1"/>
  <c r="AA32" i="7" s="1"/>
  <c r="AC32" i="7" s="1"/>
  <c r="AE32" i="7" s="1"/>
  <c r="AG32" i="7" s="1"/>
  <c r="AC758" i="3"/>
  <c r="AC762" i="3" s="1"/>
  <c r="W846" i="3"/>
  <c r="E19" i="7" l="1"/>
  <c r="G19" i="7" s="1"/>
  <c r="I19" i="7" s="1"/>
  <c r="K19" i="7" s="1"/>
  <c r="M19" i="7" s="1"/>
  <c r="O19" i="7" s="1"/>
  <c r="Q19" i="7" s="1"/>
  <c r="S19" i="7" s="1"/>
  <c r="U19" i="7" s="1"/>
  <c r="W19" i="7" s="1"/>
  <c r="Y19" i="7" s="1"/>
  <c r="AA19" i="7" s="1"/>
  <c r="AC19" i="7" s="1"/>
  <c r="AE19" i="7" s="1"/>
  <c r="AG19" i="7" s="1"/>
  <c r="W839" i="3"/>
  <c r="E17" i="7" s="1"/>
  <c r="W856" i="3"/>
  <c r="E20" i="7" s="1"/>
  <c r="G20" i="7" s="1"/>
  <c r="I20" i="7" s="1"/>
  <c r="K20" i="7" s="1"/>
  <c r="M20" i="7" s="1"/>
  <c r="O20" i="7" s="1"/>
  <c r="Q20" i="7" s="1"/>
  <c r="S20" i="7" s="1"/>
  <c r="U20" i="7" s="1"/>
  <c r="W20" i="7" s="1"/>
  <c r="Y20" i="7" s="1"/>
  <c r="AA20" i="7" s="1"/>
  <c r="AC20" i="7" s="1"/>
  <c r="AE20" i="7" s="1"/>
  <c r="AG20" i="7" s="1"/>
  <c r="D13" i="8"/>
  <c r="AQ115" i="20"/>
  <c r="X723" i="3"/>
  <c r="AH723" i="3" s="1"/>
  <c r="BI698" i="3" s="1"/>
  <c r="EH605" i="3"/>
  <c r="EH633" i="3" s="1"/>
  <c r="E18" i="7"/>
  <c r="G18" i="7" s="1"/>
  <c r="I18" i="7" s="1"/>
  <c r="K18" i="7" s="1"/>
  <c r="M18" i="7" s="1"/>
  <c r="O18" i="7" s="1"/>
  <c r="Q18" i="7" s="1"/>
  <c r="S18" i="7" s="1"/>
  <c r="U18" i="7" s="1"/>
  <c r="W18" i="7" s="1"/>
  <c r="Y18" i="7" s="1"/>
  <c r="AA18" i="7" s="1"/>
  <c r="AC18" i="7" s="1"/>
  <c r="AE18" i="7" s="1"/>
  <c r="AG18" i="7" s="1"/>
  <c r="D15" i="8"/>
  <c r="AQ117" i="20"/>
  <c r="X725" i="3"/>
  <c r="AH725" i="3" s="1"/>
  <c r="BI700" i="3" s="1"/>
  <c r="EM607" i="3"/>
  <c r="EM635" i="3" s="1"/>
  <c r="EH604" i="3"/>
  <c r="EH632" i="3" s="1"/>
  <c r="AQ114" i="20"/>
  <c r="X722" i="3"/>
  <c r="AH722" i="3" s="1"/>
  <c r="BI697" i="3" s="1"/>
  <c r="D12" i="8"/>
  <c r="AQ107" i="20"/>
  <c r="D5" i="8"/>
  <c r="X715" i="3"/>
  <c r="AH715" i="3" s="1"/>
  <c r="BI690" i="3" s="1"/>
  <c r="DX597" i="3"/>
  <c r="DX625" i="3" s="1"/>
  <c r="X718" i="3"/>
  <c r="AH718" i="3" s="1"/>
  <c r="BI693" i="3" s="1"/>
  <c r="AQ110" i="20"/>
  <c r="D8" i="8"/>
  <c r="EC600" i="3"/>
  <c r="EC628" i="3" s="1"/>
  <c r="X724" i="3" l="1"/>
  <c r="AH724" i="3" s="1"/>
  <c r="BI699" i="3" s="1"/>
  <c r="AQ116" i="20"/>
  <c r="D14" i="8"/>
  <c r="EM606" i="3"/>
  <c r="X717" i="3"/>
  <c r="AH717" i="3" s="1"/>
  <c r="BI692" i="3" s="1"/>
  <c r="D7" i="8"/>
  <c r="AQ109" i="20"/>
  <c r="EC599" i="3"/>
  <c r="AQ112" i="20"/>
  <c r="EC602" i="3"/>
  <c r="EC630" i="3" s="1"/>
  <c r="X720" i="3"/>
  <c r="AH720" i="3" s="1"/>
  <c r="BI695" i="3" s="1"/>
  <c r="D10" i="8"/>
  <c r="AQ106" i="20"/>
  <c r="X714" i="3"/>
  <c r="AH714" i="3" s="1"/>
  <c r="BI689" i="3" s="1"/>
  <c r="D4" i="8"/>
  <c r="DX596" i="3"/>
  <c r="D9" i="8"/>
  <c r="EC601" i="3"/>
  <c r="EC629" i="3" s="1"/>
  <c r="X719" i="3"/>
  <c r="AH719" i="3" s="1"/>
  <c r="BI694" i="3" s="1"/>
  <c r="AQ111" i="20"/>
  <c r="AQ113" i="20" l="1"/>
  <c r="X721" i="3"/>
  <c r="AH721" i="3" s="1"/>
  <c r="BI696" i="3" s="1"/>
  <c r="D11" i="8"/>
  <c r="EH603" i="3"/>
  <c r="DX624" i="3"/>
  <c r="O739" i="3"/>
  <c r="AQ108" i="20"/>
  <c r="X716" i="3"/>
  <c r="AH716" i="3" s="1"/>
  <c r="BI691" i="3" s="1"/>
  <c r="D6" i="8"/>
  <c r="DX598" i="3"/>
  <c r="DX626" i="3" s="1"/>
  <c r="EC621" i="3"/>
  <c r="EC627" i="3"/>
  <c r="EC649" i="3" s="1"/>
  <c r="J124" i="20" s="1"/>
  <c r="J127" i="20" s="1"/>
  <c r="J130" i="20" s="1"/>
  <c r="AQ118" i="20"/>
  <c r="D16" i="8"/>
  <c r="X726" i="3"/>
  <c r="AH726" i="3" s="1"/>
  <c r="BI701" i="3" s="1"/>
  <c r="EM608" i="3"/>
  <c r="EM636" i="3" s="1"/>
  <c r="EM634" i="3"/>
  <c r="EM649" i="3" l="1"/>
  <c r="T124" i="20" s="1"/>
  <c r="T127" i="20" s="1"/>
  <c r="T130" i="20" s="1"/>
  <c r="DX649" i="3"/>
  <c r="E124" i="20" s="1"/>
  <c r="E127" i="20" s="1"/>
  <c r="E130" i="20" s="1"/>
  <c r="EM621" i="3"/>
  <c r="BI714" i="3"/>
  <c r="AH739" i="3" s="1"/>
  <c r="D30" i="8"/>
  <c r="Y785" i="3"/>
  <c r="Y784" i="3"/>
  <c r="EH621" i="3"/>
  <c r="EH631" i="3"/>
  <c r="EH649" i="3" s="1"/>
  <c r="O124" i="20" s="1"/>
  <c r="O127" i="20" s="1"/>
  <c r="O130" i="20" s="1"/>
  <c r="DX621" i="3"/>
  <c r="E132" i="20" l="1"/>
  <c r="E133" i="20" s="1"/>
  <c r="AK137" i="20" s="1"/>
  <c r="T792" i="20" s="1"/>
  <c r="AF792" i="20" s="1"/>
  <c r="E4" i="7"/>
  <c r="E5" i="7" l="1"/>
  <c r="G4" i="7"/>
  <c r="G5" i="7" l="1"/>
  <c r="I4" i="7"/>
  <c r="I5" i="7" l="1"/>
  <c r="K4" i="7"/>
  <c r="M4" i="7" l="1"/>
  <c r="K5" i="7"/>
  <c r="O4" i="7" l="1"/>
  <c r="M5" i="7"/>
  <c r="O5" i="7" l="1"/>
  <c r="Q4" i="7"/>
  <c r="Q5" i="7" l="1"/>
  <c r="S4" i="7"/>
  <c r="U4" i="7" l="1"/>
  <c r="S5" i="7"/>
  <c r="W4" i="7" l="1"/>
  <c r="U5" i="7"/>
  <c r="W5" i="7" l="1"/>
  <c r="Y4" i="7"/>
  <c r="E71" i="7"/>
  <c r="AA4" i="7" l="1"/>
  <c r="Y5" i="7"/>
  <c r="AC4" i="7" l="1"/>
  <c r="AA5" i="7"/>
  <c r="AE4" i="7" l="1"/>
  <c r="AC5" i="7"/>
  <c r="AE5" i="7" l="1"/>
  <c r="AG4" i="7"/>
  <c r="AG5" i="7" l="1"/>
  <c r="W863" i="3" l="1"/>
  <c r="E21" i="7" s="1"/>
  <c r="G21" i="7" s="1"/>
  <c r="I21" i="7" s="1"/>
  <c r="K21" i="7" s="1"/>
  <c r="M21" i="7" s="1"/>
  <c r="O21" i="7" s="1"/>
  <c r="Q21" i="7" s="1"/>
  <c r="S21" i="7" s="1"/>
  <c r="U21" i="7" s="1"/>
  <c r="W21" i="7" s="1"/>
  <c r="Y21" i="7" s="1"/>
  <c r="AA21" i="7" s="1"/>
  <c r="AC21" i="7" s="1"/>
  <c r="AE21" i="7" s="1"/>
  <c r="AG21" i="7" s="1"/>
  <c r="Z801" i="3" l="1"/>
  <c r="E8" i="7" l="1"/>
  <c r="Z802" i="3"/>
  <c r="E9" i="7" l="1"/>
  <c r="E11" i="7" s="1"/>
  <c r="G8" i="7"/>
  <c r="G9" i="7" l="1"/>
  <c r="G11" i="7" s="1"/>
  <c r="I8" i="7"/>
  <c r="I9" i="7" l="1"/>
  <c r="I11" i="7" s="1"/>
  <c r="K8" i="7"/>
  <c r="AC867" i="3"/>
  <c r="AC869" i="3" s="1"/>
  <c r="E16" i="7"/>
  <c r="E22" i="7" s="1"/>
  <c r="E35" i="7" s="1"/>
  <c r="E37" i="7" s="1"/>
  <c r="G22" i="7" l="1"/>
  <c r="G35" i="7" s="1"/>
  <c r="G37" i="7" s="1"/>
  <c r="M8" i="7"/>
  <c r="K9" i="7"/>
  <c r="K11" i="7" s="1"/>
  <c r="I22" i="7" l="1"/>
  <c r="I35" i="7" s="1"/>
  <c r="I37" i="7" s="1"/>
  <c r="O8" i="7"/>
  <c r="M9" i="7"/>
  <c r="M11" i="7" s="1"/>
  <c r="K22" i="7" l="1"/>
  <c r="K35" i="7" s="1"/>
  <c r="K37" i="7" s="1"/>
  <c r="Q8" i="7"/>
  <c r="O9" i="7"/>
  <c r="O11" i="7" s="1"/>
  <c r="E40" i="7"/>
  <c r="AG40" i="7" l="1"/>
  <c r="AG43" i="7" s="1"/>
  <c r="W40" i="7"/>
  <c r="W43" i="7" s="1"/>
  <c r="I40" i="7"/>
  <c r="I43" i="7" s="1"/>
  <c r="G40" i="7"/>
  <c r="G43" i="7" s="1"/>
  <c r="K40" i="7"/>
  <c r="K43" i="7" s="1"/>
  <c r="AA40" i="7"/>
  <c r="AA43" i="7" s="1"/>
  <c r="U40" i="7"/>
  <c r="U43" i="7" s="1"/>
  <c r="AE40" i="7"/>
  <c r="AE43" i="7" s="1"/>
  <c r="M40" i="7"/>
  <c r="M43" i="7" s="1"/>
  <c r="Y40" i="7"/>
  <c r="Y43" i="7" s="1"/>
  <c r="O40" i="7"/>
  <c r="O43" i="7" s="1"/>
  <c r="AC40" i="7"/>
  <c r="AC43" i="7" s="1"/>
  <c r="S40" i="7"/>
  <c r="S43" i="7" s="1"/>
  <c r="Q40" i="7"/>
  <c r="Q43" i="7" s="1"/>
  <c r="E43" i="7"/>
  <c r="Q9" i="7"/>
  <c r="Q11" i="7" s="1"/>
  <c r="S8" i="7"/>
  <c r="M22" i="7"/>
  <c r="M35" i="7" s="1"/>
  <c r="M37" i="7" s="1"/>
  <c r="O22" i="7" l="1"/>
  <c r="O35" i="7" s="1"/>
  <c r="O37" i="7" s="1"/>
  <c r="O45" i="7" s="1"/>
  <c r="G49" i="7"/>
  <c r="G45" i="7"/>
  <c r="E45" i="7"/>
  <c r="E49" i="7"/>
  <c r="I49" i="7"/>
  <c r="I45" i="7"/>
  <c r="M45" i="7"/>
  <c r="M49" i="7"/>
  <c r="U8" i="7"/>
  <c r="S9" i="7"/>
  <c r="S11" i="7" s="1"/>
  <c r="K49" i="7"/>
  <c r="K45" i="7"/>
  <c r="O49" i="7" l="1"/>
  <c r="U9" i="7"/>
  <c r="U11" i="7" s="1"/>
  <c r="W8" i="7"/>
  <c r="E52" i="7"/>
  <c r="E48" i="7"/>
  <c r="E47" i="7"/>
  <c r="K52" i="7"/>
  <c r="K47" i="7"/>
  <c r="K48" i="7"/>
  <c r="O52" i="7"/>
  <c r="O47" i="7"/>
  <c r="O48" i="7"/>
  <c r="G52" i="7"/>
  <c r="G47" i="7"/>
  <c r="G48" i="7"/>
  <c r="M52" i="7"/>
  <c r="M47" i="7"/>
  <c r="M48" i="7"/>
  <c r="I48" i="7"/>
  <c r="I52" i="7"/>
  <c r="I47" i="7"/>
  <c r="Q22" i="7"/>
  <c r="Q35" i="7" s="1"/>
  <c r="Q37" i="7" s="1"/>
  <c r="Q49" i="7" l="1"/>
  <c r="Q45" i="7"/>
  <c r="K54" i="7"/>
  <c r="K57" i="7" s="1"/>
  <c r="K67" i="7"/>
  <c r="K68" i="7"/>
  <c r="M68" i="7"/>
  <c r="M67" i="7"/>
  <c r="M54" i="7"/>
  <c r="M57" i="7" s="1"/>
  <c r="Y8" i="7"/>
  <c r="W9" i="7"/>
  <c r="W11" i="7" s="1"/>
  <c r="N10" i="26"/>
  <c r="F108" i="4"/>
  <c r="F30" i="4" s="1"/>
  <c r="I68" i="7"/>
  <c r="I54" i="7"/>
  <c r="I57" i="7" s="1"/>
  <c r="I67" i="7"/>
  <c r="O67" i="7"/>
  <c r="O68" i="7"/>
  <c r="O54" i="7"/>
  <c r="O57" i="7" s="1"/>
  <c r="E54" i="7"/>
  <c r="G54" i="7"/>
  <c r="G57" i="7" s="1"/>
  <c r="G67" i="7"/>
  <c r="G68" i="7"/>
  <c r="S22" i="7"/>
  <c r="S35" i="7" s="1"/>
  <c r="S37" i="7" s="1"/>
  <c r="E57" i="7" l="1"/>
  <c r="U22" i="7"/>
  <c r="U35" i="7" s="1"/>
  <c r="U37" i="7" s="1"/>
  <c r="U49" i="7" s="1"/>
  <c r="I71" i="7"/>
  <c r="I73" i="7" s="1"/>
  <c r="M71" i="7"/>
  <c r="M73" i="7" s="1"/>
  <c r="E73" i="7"/>
  <c r="Y9" i="7"/>
  <c r="Y11" i="7" s="1"/>
  <c r="AA8" i="7"/>
  <c r="K71" i="7"/>
  <c r="K73" i="7" s="1"/>
  <c r="S45" i="7"/>
  <c r="S49" i="7"/>
  <c r="Q52" i="7"/>
  <c r="Q48" i="7"/>
  <c r="Q47" i="7"/>
  <c r="G71" i="7"/>
  <c r="G73" i="7" s="1"/>
  <c r="O71" i="7"/>
  <c r="O73" i="7" s="1"/>
  <c r="F38" i="4"/>
  <c r="F63" i="4" s="1"/>
  <c r="F97" i="4" s="1"/>
  <c r="F105" i="4" s="1"/>
  <c r="U45" i="7" l="1"/>
  <c r="U48" i="7" s="1"/>
  <c r="AC8" i="7"/>
  <c r="AA9" i="7"/>
  <c r="AA11" i="7" s="1"/>
  <c r="Q67" i="7"/>
  <c r="Q68" i="7"/>
  <c r="Q54" i="7"/>
  <c r="S52" i="7"/>
  <c r="S47" i="7"/>
  <c r="S48" i="7"/>
  <c r="W22" i="7"/>
  <c r="W35" i="7" s="1"/>
  <c r="W37" i="7" s="1"/>
  <c r="Q57" i="7" l="1"/>
  <c r="U52" i="7"/>
  <c r="U67" i="7" s="1"/>
  <c r="U47" i="7"/>
  <c r="Q71" i="7"/>
  <c r="Q73" i="7" s="1"/>
  <c r="AC9" i="7"/>
  <c r="AC11" i="7" s="1"/>
  <c r="AE8" i="7"/>
  <c r="S68" i="7"/>
  <c r="S54" i="7"/>
  <c r="S57" i="7" s="1"/>
  <c r="S67" i="7"/>
  <c r="W49" i="7"/>
  <c r="W45" i="7"/>
  <c r="Y22" i="7"/>
  <c r="Y35" i="7" s="1"/>
  <c r="Y37" i="7" s="1"/>
  <c r="U68" i="7" l="1"/>
  <c r="U71" i="7" s="1"/>
  <c r="U54" i="7"/>
  <c r="U57" i="7" s="1"/>
  <c r="S71" i="7"/>
  <c r="S73" i="7" s="1"/>
  <c r="AA22" i="7"/>
  <c r="AA35" i="7" s="1"/>
  <c r="AA37" i="7" s="1"/>
  <c r="Y45" i="7"/>
  <c r="Y49" i="7"/>
  <c r="W52" i="7"/>
  <c r="W47" i="7"/>
  <c r="W48" i="7"/>
  <c r="AE9" i="7"/>
  <c r="AE11" i="7" s="1"/>
  <c r="AG8" i="7"/>
  <c r="U73" i="7" l="1"/>
  <c r="AC22" i="7"/>
  <c r="AC35" i="7" s="1"/>
  <c r="AC37" i="7" s="1"/>
  <c r="AC45" i="7" s="1"/>
  <c r="W67" i="7"/>
  <c r="W68" i="7"/>
  <c r="W54" i="7"/>
  <c r="W57" i="7" s="1"/>
  <c r="AG9" i="7"/>
  <c r="AG11" i="7" s="1"/>
  <c r="Y52" i="7"/>
  <c r="Y48" i="7"/>
  <c r="Y47" i="7"/>
  <c r="AA45" i="7"/>
  <c r="AA49" i="7"/>
  <c r="AC49" i="7" l="1"/>
  <c r="Y68" i="7"/>
  <c r="Y54" i="7"/>
  <c r="Y57" i="7" s="1"/>
  <c r="Y67" i="7"/>
  <c r="AE22" i="7"/>
  <c r="AE35" i="7" s="1"/>
  <c r="AE37" i="7" s="1"/>
  <c r="AA52" i="7"/>
  <c r="AA47" i="7"/>
  <c r="AA48" i="7"/>
  <c r="AC52" i="7"/>
  <c r="AC48" i="7"/>
  <c r="AC47" i="7"/>
  <c r="W71" i="7"/>
  <c r="W73" i="7" s="1"/>
  <c r="Y71" i="7" l="1"/>
  <c r="Y73" i="7" s="1"/>
  <c r="AG22" i="7"/>
  <c r="AG35" i="7" s="1"/>
  <c r="AG37" i="7" s="1"/>
  <c r="AC68" i="7"/>
  <c r="AC54" i="7"/>
  <c r="AC67" i="7"/>
  <c r="AC57" i="7"/>
  <c r="AE45" i="7"/>
  <c r="AE49" i="7"/>
  <c r="AA54" i="7"/>
  <c r="AA57" i="7" s="1"/>
  <c r="AA67" i="7"/>
  <c r="AA68" i="7"/>
  <c r="AC71" i="7" l="1"/>
  <c r="AC73" i="7" s="1"/>
  <c r="AE52" i="7"/>
  <c r="AE48" i="7"/>
  <c r="AE47" i="7"/>
  <c r="AA71" i="7"/>
  <c r="AA73" i="7" s="1"/>
  <c r="AG49" i="7"/>
  <c r="AG45" i="7"/>
  <c r="AG47" i="7" l="1"/>
  <c r="AG52" i="7"/>
  <c r="AG48" i="7"/>
  <c r="AE67" i="7"/>
  <c r="AE68" i="7"/>
  <c r="AE71" i="7" l="1"/>
  <c r="AG68" i="7"/>
  <c r="AG67" i="7"/>
  <c r="AG71" i="7" l="1"/>
  <c r="B15" i="11" l="1"/>
  <c r="B14" i="4"/>
  <c r="E14" i="4" s="1"/>
  <c r="R14" i="4" s="1"/>
  <c r="C15" i="11"/>
  <c r="B14" i="13"/>
  <c r="D15" i="11" l="1"/>
  <c r="E14" i="13"/>
  <c r="F14" i="13" s="1"/>
  <c r="E69" i="13" l="1"/>
  <c r="F69" i="13" s="1"/>
  <c r="B69" i="4" l="1"/>
  <c r="E69" i="4" s="1"/>
  <c r="R69" i="4" s="1"/>
  <c r="B69" i="13"/>
  <c r="C69" i="13" s="1"/>
  <c r="B70" i="11"/>
  <c r="C70" i="11"/>
  <c r="C52" i="11"/>
  <c r="B51" i="13"/>
  <c r="C51" i="13" s="1"/>
  <c r="B51" i="4"/>
  <c r="E51" i="4" s="1"/>
  <c r="R51" i="4" s="1"/>
  <c r="B52" i="11"/>
  <c r="B88" i="13"/>
  <c r="C88" i="13" s="1"/>
  <c r="C89" i="11"/>
  <c r="B88" i="4"/>
  <c r="E88" i="4" s="1"/>
  <c r="R88" i="4" s="1"/>
  <c r="B89" i="11"/>
  <c r="E29" i="13"/>
  <c r="F29" i="13" s="1"/>
  <c r="B58" i="4"/>
  <c r="E58" i="4" s="1"/>
  <c r="R58" i="4" s="1"/>
  <c r="B58" i="13"/>
  <c r="C58" i="13" s="1"/>
  <c r="B59" i="11"/>
  <c r="C59" i="11"/>
  <c r="C66" i="11"/>
  <c r="B66" i="11"/>
  <c r="B65" i="4"/>
  <c r="E65" i="4" s="1"/>
  <c r="C70" i="4"/>
  <c r="B65" i="13"/>
  <c r="C65" i="13" s="1"/>
  <c r="B71" i="11" l="1"/>
  <c r="D70" i="11"/>
  <c r="D52" i="11"/>
  <c r="C53" i="11"/>
  <c r="B53" i="11"/>
  <c r="B52" i="13"/>
  <c r="C52" i="13" s="1"/>
  <c r="B52" i="4"/>
  <c r="E52" i="4" s="1"/>
  <c r="R52" i="4" s="1"/>
  <c r="B91" i="13"/>
  <c r="C91" i="13" s="1"/>
  <c r="C92" i="11"/>
  <c r="B92" i="11"/>
  <c r="B91" i="4"/>
  <c r="E91" i="4" s="1"/>
  <c r="R91" i="4" s="1"/>
  <c r="B90" i="13"/>
  <c r="C90" i="13" s="1"/>
  <c r="B90" i="4"/>
  <c r="E90" i="4" s="1"/>
  <c r="R90" i="4" s="1"/>
  <c r="B91" i="11"/>
  <c r="C91" i="11"/>
  <c r="C30" i="11"/>
  <c r="B30" i="11"/>
  <c r="B29" i="4"/>
  <c r="E29" i="4" s="1"/>
  <c r="B29" i="13"/>
  <c r="C29" i="13" s="1"/>
  <c r="D66" i="11"/>
  <c r="C71" i="11"/>
  <c r="D71" i="11" s="1"/>
  <c r="E65" i="13"/>
  <c r="F65" i="13" s="1"/>
  <c r="F70" i="13" s="1"/>
  <c r="S70" i="4"/>
  <c r="E70" i="13" s="1"/>
  <c r="B40" i="13"/>
  <c r="C40" i="13" s="1"/>
  <c r="B41" i="11"/>
  <c r="B40" i="4"/>
  <c r="E40" i="4" s="1"/>
  <c r="C41" i="11"/>
  <c r="C70" i="13"/>
  <c r="D59" i="11"/>
  <c r="B49" i="11"/>
  <c r="B48" i="13"/>
  <c r="C48" i="13" s="1"/>
  <c r="B48" i="4"/>
  <c r="E48" i="4" s="1"/>
  <c r="R48" i="4" s="1"/>
  <c r="C49" i="11"/>
  <c r="C84" i="11"/>
  <c r="B84" i="11"/>
  <c r="B83" i="4"/>
  <c r="E83" i="4" s="1"/>
  <c r="B83" i="13"/>
  <c r="C83" i="13" s="1"/>
  <c r="C48" i="11"/>
  <c r="B47" i="13"/>
  <c r="C47" i="13" s="1"/>
  <c r="B47" i="4"/>
  <c r="E47" i="4" s="1"/>
  <c r="R47" i="4" s="1"/>
  <c r="B48" i="11"/>
  <c r="B94" i="11"/>
  <c r="B93" i="13"/>
  <c r="C93" i="13" s="1"/>
  <c r="B93" i="4"/>
  <c r="E93" i="4" s="1"/>
  <c r="R93" i="4" s="1"/>
  <c r="C94" i="11"/>
  <c r="B70" i="4"/>
  <c r="B70" i="13"/>
  <c r="B5" i="13"/>
  <c r="C5" i="13" s="1"/>
  <c r="B6" i="11"/>
  <c r="E5" i="4"/>
  <c r="R5" i="4" s="1"/>
  <c r="C6" i="11"/>
  <c r="B5" i="4"/>
  <c r="B51" i="11"/>
  <c r="C51" i="11"/>
  <c r="B50" i="4"/>
  <c r="E50" i="4" s="1"/>
  <c r="R50" i="4" s="1"/>
  <c r="B50" i="13"/>
  <c r="C50" i="13" s="1"/>
  <c r="E70" i="4"/>
  <c r="R65" i="4"/>
  <c r="R70" i="4" s="1"/>
  <c r="D89" i="11"/>
  <c r="E51" i="13"/>
  <c r="F51" i="13" s="1"/>
  <c r="E94" i="13"/>
  <c r="F94" i="13" s="1"/>
  <c r="E47" i="13"/>
  <c r="F47" i="13" s="1"/>
  <c r="C42" i="4"/>
  <c r="D51" i="11" l="1"/>
  <c r="D49" i="11"/>
  <c r="B42" i="13"/>
  <c r="B42" i="4"/>
  <c r="E40" i="13"/>
  <c r="F40" i="13" s="1"/>
  <c r="D48" i="11"/>
  <c r="B4" i="13"/>
  <c r="C4" i="13" s="1"/>
  <c r="C8" i="13" s="1"/>
  <c r="C12" i="13" s="1"/>
  <c r="C8" i="4"/>
  <c r="B5" i="11"/>
  <c r="B9" i="11" s="1"/>
  <c r="B13" i="11" s="1"/>
  <c r="E4" i="4"/>
  <c r="C5" i="11"/>
  <c r="B4" i="4"/>
  <c r="B85" i="13"/>
  <c r="C85" i="13" s="1"/>
  <c r="C86" i="11"/>
  <c r="B86" i="11"/>
  <c r="B85" i="4"/>
  <c r="D84" i="11"/>
  <c r="B95" i="13"/>
  <c r="C95" i="13" s="1"/>
  <c r="B96" i="11"/>
  <c r="B95" i="4"/>
  <c r="E95" i="4" s="1"/>
  <c r="R95" i="4" s="1"/>
  <c r="C96" i="11"/>
  <c r="R29" i="4"/>
  <c r="B84" i="13"/>
  <c r="C84" i="13" s="1"/>
  <c r="B85" i="11"/>
  <c r="C85" i="11"/>
  <c r="B84" i="4"/>
  <c r="E84" i="4" s="1"/>
  <c r="R84" i="4" s="1"/>
  <c r="B86" i="13"/>
  <c r="C86" i="13" s="1"/>
  <c r="B87" i="11"/>
  <c r="C87" i="11"/>
  <c r="B86" i="4"/>
  <c r="E86" i="4" s="1"/>
  <c r="R86" i="4" s="1"/>
  <c r="B89" i="4"/>
  <c r="E89" i="4" s="1"/>
  <c r="R89" i="4" s="1"/>
  <c r="C90" i="11"/>
  <c r="B90" i="11"/>
  <c r="B89" i="13"/>
  <c r="C89" i="13" s="1"/>
  <c r="D41" i="11"/>
  <c r="D30" i="11"/>
  <c r="D53" i="11"/>
  <c r="B42" i="11"/>
  <c r="B43" i="11" s="1"/>
  <c r="C42" i="11"/>
  <c r="B41" i="4"/>
  <c r="E41" i="4" s="1"/>
  <c r="R41" i="4" s="1"/>
  <c r="B41" i="13"/>
  <c r="C41" i="13" s="1"/>
  <c r="C42" i="13" s="1"/>
  <c r="D6" i="11"/>
  <c r="D94" i="11"/>
  <c r="R83" i="4"/>
  <c r="R40" i="4"/>
  <c r="D91" i="11"/>
  <c r="D92" i="11"/>
  <c r="E52" i="13"/>
  <c r="F52" i="13" s="1"/>
  <c r="E50" i="13"/>
  <c r="F50" i="13" s="1"/>
  <c r="E89" i="13"/>
  <c r="F89" i="13" s="1"/>
  <c r="E90" i="13"/>
  <c r="F90" i="13" s="1"/>
  <c r="E95" i="13"/>
  <c r="F95" i="13" s="1"/>
  <c r="E85" i="13"/>
  <c r="F85" i="13" s="1"/>
  <c r="E41" i="13"/>
  <c r="F41" i="13" s="1"/>
  <c r="E86" i="13"/>
  <c r="F86" i="13" s="1"/>
  <c r="D42" i="11" l="1"/>
  <c r="E42" i="4"/>
  <c r="R42" i="4"/>
  <c r="D86" i="11"/>
  <c r="D96" i="11"/>
  <c r="C43" i="11"/>
  <c r="D43" i="11" s="1"/>
  <c r="D85" i="11"/>
  <c r="B94" i="4"/>
  <c r="E94" i="4" s="1"/>
  <c r="R94" i="4" s="1"/>
  <c r="B95" i="11"/>
  <c r="B97" i="11" s="1"/>
  <c r="C95" i="11"/>
  <c r="D95" i="11" s="1"/>
  <c r="B94" i="13"/>
  <c r="C94" i="13" s="1"/>
  <c r="C96" i="13" s="1"/>
  <c r="B8" i="13"/>
  <c r="B8" i="4"/>
  <c r="C12" i="4"/>
  <c r="B12" i="13" s="1"/>
  <c r="F42" i="13"/>
  <c r="B47" i="11"/>
  <c r="C47" i="11"/>
  <c r="B46" i="4"/>
  <c r="E46" i="4" s="1"/>
  <c r="R46" i="4" s="1"/>
  <c r="B46" i="13"/>
  <c r="C46" i="13" s="1"/>
  <c r="B43" i="4"/>
  <c r="E43" i="4" s="1"/>
  <c r="R43" i="4" s="1"/>
  <c r="B44" i="11"/>
  <c r="B43" i="13"/>
  <c r="C43" i="13" s="1"/>
  <c r="C44" i="11"/>
  <c r="D90" i="11"/>
  <c r="S96" i="4"/>
  <c r="E96" i="13" s="1"/>
  <c r="E84" i="13"/>
  <c r="F84" i="13" s="1"/>
  <c r="F96" i="13" s="1"/>
  <c r="D5" i="11"/>
  <c r="C9" i="11"/>
  <c r="C97" i="11"/>
  <c r="D97" i="11" s="1"/>
  <c r="N157" i="26"/>
  <c r="E85" i="4"/>
  <c r="R85" i="4" s="1"/>
  <c r="R4" i="4"/>
  <c r="R8" i="4" s="1"/>
  <c r="R12" i="4" s="1"/>
  <c r="E8" i="4"/>
  <c r="E12" i="4" s="1"/>
  <c r="D87" i="11"/>
  <c r="S42" i="4"/>
  <c r="E42" i="13" s="1"/>
  <c r="C96" i="4"/>
  <c r="E46" i="13"/>
  <c r="F46" i="13" s="1"/>
  <c r="R96" i="4" l="1"/>
  <c r="Q392" i="3"/>
  <c r="B12" i="4"/>
  <c r="N158" i="26"/>
  <c r="N164" i="26" s="1"/>
  <c r="B96" i="13"/>
  <c r="B96" i="4"/>
  <c r="E96" i="4"/>
  <c r="C13" i="11"/>
  <c r="D13" i="11" s="1"/>
  <c r="D9" i="11"/>
  <c r="D44" i="11"/>
  <c r="D47" i="11"/>
  <c r="E43" i="13"/>
  <c r="F43" i="13" s="1"/>
  <c r="B13" i="13" l="1"/>
  <c r="C13" i="13" s="1" a="1"/>
  <c r="C13" i="13" s="1"/>
  <c r="B14" i="11"/>
  <c r="C14" i="11"/>
  <c r="B13" i="4"/>
  <c r="E13" i="4" s="1"/>
  <c r="R13" i="4" s="1"/>
  <c r="B33" i="4"/>
  <c r="E33" i="4" s="1"/>
  <c r="R33" i="4" s="1"/>
  <c r="C34" i="11"/>
  <c r="B34" i="11"/>
  <c r="B33" i="13"/>
  <c r="C33" i="13" s="1"/>
  <c r="B31" i="13"/>
  <c r="C31" i="13" s="1"/>
  <c r="C32" i="11"/>
  <c r="B32" i="11"/>
  <c r="B31" i="4"/>
  <c r="E31" i="4" s="1"/>
  <c r="R31" i="4" s="1"/>
  <c r="E33" i="13"/>
  <c r="F33" i="13" s="1"/>
  <c r="E31" i="13"/>
  <c r="F31" i="13" s="1"/>
  <c r="D34" i="11" l="1"/>
  <c r="E13" i="13"/>
  <c r="F13" i="13" s="1"/>
  <c r="D32" i="11"/>
  <c r="B33" i="11"/>
  <c r="B32" i="13"/>
  <c r="C32" i="13" s="1"/>
  <c r="B32" i="4"/>
  <c r="E32" i="4" s="1"/>
  <c r="R32" i="4" s="1"/>
  <c r="C33" i="11"/>
  <c r="B31" i="11"/>
  <c r="B30" i="4"/>
  <c r="E30" i="4" s="1"/>
  <c r="B30" i="13"/>
  <c r="C30" i="13" s="1"/>
  <c r="C31" i="11"/>
  <c r="D14" i="11"/>
  <c r="E30" i="13" l="1"/>
  <c r="F30" i="13" s="1"/>
  <c r="R30" i="4"/>
  <c r="B37" i="13"/>
  <c r="C37" i="13" s="1"/>
  <c r="B37" i="4"/>
  <c r="E37" i="4" s="1"/>
  <c r="R37" i="4" s="1"/>
  <c r="B38" i="11"/>
  <c r="C38" i="11"/>
  <c r="D33" i="11"/>
  <c r="D31" i="11"/>
  <c r="E37" i="13"/>
  <c r="F37" i="13" s="1"/>
  <c r="E32" i="13"/>
  <c r="F32" i="13" s="1"/>
  <c r="D38" i="11" l="1"/>
  <c r="B35" i="13"/>
  <c r="C35" i="13" s="1"/>
  <c r="C38" i="13" s="1"/>
  <c r="C36" i="11"/>
  <c r="B35" i="4"/>
  <c r="E35" i="4" s="1"/>
  <c r="B36" i="11"/>
  <c r="B39" i="11" s="1"/>
  <c r="C38" i="4"/>
  <c r="E35" i="13"/>
  <c r="F35" i="13" s="1"/>
  <c r="F38" i="13" s="1"/>
  <c r="B38" i="13" l="1"/>
  <c r="B38" i="4"/>
  <c r="R35" i="4"/>
  <c r="R38" i="4" s="1"/>
  <c r="E38" i="4"/>
  <c r="D36" i="11"/>
  <c r="C39" i="11"/>
  <c r="S38" i="4"/>
  <c r="E38" i="13" l="1"/>
  <c r="D39" i="11"/>
  <c r="B79" i="13"/>
  <c r="C79" i="13" s="1"/>
  <c r="C80" i="11"/>
  <c r="B79" i="4"/>
  <c r="E79" i="4" s="1"/>
  <c r="B80" i="11"/>
  <c r="D80" i="11" l="1"/>
  <c r="E79" i="13"/>
  <c r="F79" i="13" s="1"/>
  <c r="R79" i="4"/>
  <c r="C77" i="4" l="1"/>
  <c r="B75" i="13"/>
  <c r="C75" i="13" s="1"/>
  <c r="C77" i="13" s="1"/>
  <c r="B76" i="11"/>
  <c r="B78" i="11" s="1"/>
  <c r="B75" i="4"/>
  <c r="E75" i="4" s="1"/>
  <c r="C76" i="11"/>
  <c r="B80" i="13" l="1"/>
  <c r="C80" i="13" s="1"/>
  <c r="C81" i="13" s="1"/>
  <c r="B80" i="4"/>
  <c r="E80" i="4" s="1"/>
  <c r="C81" i="11"/>
  <c r="B81" i="11"/>
  <c r="B82" i="11" s="1"/>
  <c r="C81" i="4"/>
  <c r="C78" i="11"/>
  <c r="D78" i="11" s="1"/>
  <c r="D76" i="11"/>
  <c r="E77" i="4"/>
  <c r="R75" i="4"/>
  <c r="R77" i="4" s="1"/>
  <c r="B58" i="11"/>
  <c r="B57" i="13"/>
  <c r="C57" i="13" s="1"/>
  <c r="C58" i="11"/>
  <c r="B57" i="4"/>
  <c r="E57" i="4" s="1"/>
  <c r="B77" i="4"/>
  <c r="B77" i="13"/>
  <c r="D58" i="11" l="1"/>
  <c r="B81" i="4"/>
  <c r="B81" i="13"/>
  <c r="D81" i="11"/>
  <c r="C82" i="11"/>
  <c r="D82" i="11" s="1"/>
  <c r="R80" i="4"/>
  <c r="R81" i="4" s="1"/>
  <c r="E81" i="4"/>
  <c r="R57" i="4"/>
  <c r="E80" i="13" l="1"/>
  <c r="F80" i="13" s="1"/>
  <c r="F81" i="13" s="1"/>
  <c r="S81" i="4"/>
  <c r="E81" i="13" s="1"/>
  <c r="E45" i="13" l="1"/>
  <c r="F45" i="13" s="1"/>
  <c r="F54" i="13" s="1"/>
  <c r="F63" i="13" s="1"/>
  <c r="F97" i="13" s="1"/>
  <c r="S54" i="4"/>
  <c r="E54" i="13" l="1"/>
  <c r="S63" i="4"/>
  <c r="C46" i="11" l="1"/>
  <c r="B45" i="4"/>
  <c r="E45" i="4" s="1"/>
  <c r="B45" i="13"/>
  <c r="C45" i="13" s="1"/>
  <c r="C54" i="13" s="1"/>
  <c r="B46" i="11"/>
  <c r="B55" i="11" s="1"/>
  <c r="C54" i="4"/>
  <c r="S97" i="4"/>
  <c r="E63" i="13"/>
  <c r="E97" i="13" l="1"/>
  <c r="B54" i="13"/>
  <c r="B54" i="4"/>
  <c r="R45" i="4"/>
  <c r="R54" i="4" s="1"/>
  <c r="E54" i="4"/>
  <c r="D46" i="11"/>
  <c r="C55" i="11"/>
  <c r="D55" i="11" l="1"/>
  <c r="B100" i="11" l="1"/>
  <c r="B105" i="11" s="1"/>
  <c r="C100" i="11"/>
  <c r="B99" i="13"/>
  <c r="C99" i="13" s="1"/>
  <c r="C104" i="13" s="1"/>
  <c r="B99" i="4"/>
  <c r="C104" i="4"/>
  <c r="S104" i="4"/>
  <c r="E99" i="13"/>
  <c r="F99" i="13" s="1"/>
  <c r="F104" i="13" s="1"/>
  <c r="F105" i="13" s="1"/>
  <c r="F107" i="13" s="1"/>
  <c r="T11" i="15" s="1"/>
  <c r="T23" i="15" s="1"/>
  <c r="B104" i="4" l="1"/>
  <c r="B104" i="13"/>
  <c r="T26" i="15"/>
  <c r="T28" i="15" s="1"/>
  <c r="D100" i="11"/>
  <c r="C105" i="11"/>
  <c r="D105" i="11" s="1"/>
  <c r="E104" i="13"/>
  <c r="S105" i="4"/>
  <c r="S107" i="4" l="1"/>
  <c r="E105" i="13"/>
  <c r="E107" i="13" l="1"/>
  <c r="Y11" i="15" s="1"/>
  <c r="Y23" i="15" s="1"/>
  <c r="AC455" i="3"/>
  <c r="AF540" i="20"/>
  <c r="AF542" i="20" s="1"/>
  <c r="AK548" i="20" s="1"/>
  <c r="T803" i="20" s="1"/>
  <c r="AF803" i="20" s="1"/>
  <c r="Y26" i="15" l="1"/>
  <c r="Y28" i="15" s="1"/>
  <c r="Y38" i="15" s="1"/>
  <c r="Y40" i="15" s="1"/>
  <c r="AD38" i="15"/>
  <c r="AD40" i="15" s="1"/>
  <c r="Y41" i="15" l="1"/>
  <c r="Y64" i="15"/>
  <c r="Y68" i="15" s="1"/>
  <c r="T29" i="15"/>
  <c r="E108" i="4" l="1"/>
  <c r="B61" i="4" l="1"/>
  <c r="E61" i="4" s="1"/>
  <c r="C62" i="11"/>
  <c r="B62" i="11"/>
  <c r="B63" i="11" s="1"/>
  <c r="B64" i="11" s="1"/>
  <c r="B98" i="11" s="1"/>
  <c r="B106" i="11" s="1"/>
  <c r="B61" i="13"/>
  <c r="C61" i="13" s="1"/>
  <c r="C62" i="13" s="1"/>
  <c r="C63" i="13" s="1"/>
  <c r="C97" i="13" s="1"/>
  <c r="C105" i="13" s="1"/>
  <c r="C62" i="4"/>
  <c r="AE73" i="7"/>
  <c r="AM562" i="3"/>
  <c r="AE57" i="7" l="1"/>
  <c r="B62" i="13"/>
  <c r="B62" i="4"/>
  <c r="B63" i="4" s="1"/>
  <c r="C63" i="4"/>
  <c r="G108" i="4"/>
  <c r="G99" i="4" s="1"/>
  <c r="AO635" i="3"/>
  <c r="D62" i="11"/>
  <c r="C63" i="11"/>
  <c r="R61" i="4"/>
  <c r="R62" i="4" s="1"/>
  <c r="R63" i="4" s="1"/>
  <c r="R97" i="4" s="1"/>
  <c r="E62" i="4"/>
  <c r="E63" i="4" s="1"/>
  <c r="E97" i="4" s="1"/>
  <c r="AG57" i="7" l="1"/>
  <c r="AG73" i="7"/>
  <c r="AB48" i="15"/>
  <c r="AO637" i="3"/>
  <c r="G104" i="4"/>
  <c r="G105" i="4" s="1"/>
  <c r="E99" i="4"/>
  <c r="C97" i="4"/>
  <c r="B63" i="13"/>
  <c r="D63" i="11"/>
  <c r="C64" i="11"/>
  <c r="E104" i="4" l="1"/>
  <c r="E105" i="4" s="1"/>
  <c r="R99" i="4"/>
  <c r="R104" i="4" s="1"/>
  <c r="R105" i="4" s="1"/>
  <c r="C98" i="11"/>
  <c r="D64" i="11"/>
  <c r="C105" i="4"/>
  <c r="B97" i="4"/>
  <c r="B97" i="13"/>
  <c r="AG258" i="20" l="1"/>
  <c r="AC454" i="3"/>
  <c r="B105" i="13"/>
  <c r="B105" i="4"/>
  <c r="D98" i="11"/>
  <c r="C106" i="11"/>
  <c r="D106" i="11" s="1"/>
  <c r="AC453" i="3" l="1"/>
  <c r="F456" i="3" s="1"/>
  <c r="N154" i="26"/>
  <c r="AB255" i="20"/>
  <c r="AG257" i="20" s="1"/>
  <c r="AG259" i="20" s="1"/>
  <c r="AK262" i="20" s="1"/>
  <c r="T797" i="20" s="1"/>
  <c r="AF797" i="20" s="1"/>
  <c r="AF806" i="20" s="1"/>
  <c r="AB47" i="15"/>
  <c r="AB49" i="15" s="1"/>
  <c r="AB54" i="15" s="1"/>
  <c r="AB55" i="15" s="1"/>
  <c r="AB56" i="15" s="1"/>
  <c r="M26" i="3" l="1"/>
  <c r="P203" i="3" s="1"/>
  <c r="AB57" i="15"/>
  <c r="AB59" i="15" s="1"/>
  <c r="AB76" i="15" s="1"/>
  <c r="AB77" i="15" s="1"/>
  <c r="N155" i="26"/>
  <c r="N165" i="26"/>
  <c r="AB78" i="15" l="1"/>
  <c r="AB80" i="15" s="1"/>
  <c r="J81" i="15" s="1"/>
  <c r="I10" i="21"/>
  <c r="I11" i="21" s="1"/>
  <c r="I16" i="21" s="1"/>
  <c r="H4" i="21" s="1"/>
  <c r="H5" i="21" s="1"/>
  <c r="M27" i="3"/>
  <c r="P20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54" authorId="0" shapeId="0" xr:uid="{00000000-0006-0000-0C00-000001000000}">
      <text>
        <r>
          <rPr>
            <sz val="9"/>
            <color indexed="81"/>
            <rFont val="Tahoma"/>
            <family val="2"/>
          </rPr>
          <t>INSERT PERCENTAGE SHARE OF RESIDUAL RECEIPTS CASH FLOW</t>
        </r>
      </text>
    </comment>
    <comment ref="C66"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<sst xmlns="http://schemas.openxmlformats.org/spreadsheetml/2006/main" count="5166" uniqueCount="2761">
  <si>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</si>
  <si>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</si>
  <si>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</si>
  <si>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</si>
  <si>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</si>
  <si>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</si>
  <si>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</si>
  <si>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</si>
  <si>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</si>
  <si>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</si>
  <si>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</si>
  <si>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</si>
  <si>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</si>
  <si>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</si>
  <si>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</si>
  <si>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</si>
  <si>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</si>
  <si>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</si>
  <si>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</si>
  <si>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</si>
  <si>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</si>
  <si>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</si>
  <si>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</si>
  <si>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</si>
  <si>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</si>
  <si>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</si>
  <si>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</si>
  <si>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</si>
  <si>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</si>
  <si>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</si>
  <si>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</si>
  <si>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</si>
  <si>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</si>
  <si>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</si>
  <si>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</si>
  <si>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</si>
  <si>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</si>
  <si>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</si>
  <si>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</si>
  <si>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</si>
  <si>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</si>
  <si>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</si>
  <si>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</si>
  <si>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</si>
  <si>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</si>
  <si>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</si>
  <si>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</si>
  <si>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</si>
  <si>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</si>
  <si>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</si>
  <si>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</si>
  <si>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</si>
  <si>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</si>
  <si>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</si>
  <si>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</si>
  <si>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</si>
  <si>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</si>
  <si>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</si>
  <si>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</si>
  <si>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</si>
  <si>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</si>
  <si>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</si>
  <si>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</si>
  <si>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</si>
  <si>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</si>
  <si>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</si>
  <si>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</si>
  <si>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</si>
  <si>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</si>
  <si>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</si>
  <si>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</si>
  <si>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</si>
  <si>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</si>
  <si>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</si>
  <si>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</si>
  <si>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</si>
  <si>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</si>
  <si>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</si>
  <si>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</si>
  <si>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</si>
  <si>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</si>
  <si>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</si>
  <si>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</si>
  <si>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</si>
  <si>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</si>
  <si>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</si>
  <si>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</si>
  <si>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</si>
  <si>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</si>
  <si>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</si>
  <si>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</si>
  <si>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</si>
  <si>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</si>
  <si>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</si>
  <si>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</si>
  <si>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</si>
  <si>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</si>
  <si>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</si>
  <si>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</si>
  <si>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</si>
  <si>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</si>
  <si>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</si>
  <si>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</si>
  <si>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</si>
  <si>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</si>
  <si>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</si>
  <si>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</si>
  <si>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</si>
  <si>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</si>
  <si>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</si>
  <si>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</si>
  <si>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</si>
  <si>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</si>
  <si>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</si>
  <si>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</si>
  <si>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</si>
  <si>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</si>
  <si>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</si>
  <si>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</si>
  <si>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</si>
  <si>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</si>
  <si>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</si>
  <si>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</si>
  <si>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</si>
  <si>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</si>
  <si>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</si>
  <si>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</si>
  <si>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</si>
  <si>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</si>
  <si>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</si>
  <si>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</si>
  <si>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</si>
  <si>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</si>
  <si>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</si>
  <si>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</si>
  <si>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</si>
  <si>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</si>
  <si>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</si>
  <si>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</si>
  <si>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</si>
  <si>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</si>
  <si>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</si>
  <si>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</si>
  <si>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</si>
  <si>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</si>
  <si>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</si>
  <si>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</si>
  <si>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</si>
  <si>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</si>
  <si>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</si>
  <si>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</si>
  <si>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</si>
  <si>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</si>
  <si>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</si>
  <si>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</si>
  <si>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</si>
  <si>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</si>
  <si>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</si>
  <si>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</si>
  <si>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</si>
  <si>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</si>
  <si>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</si>
  <si>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</si>
  <si>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</si>
  <si>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</si>
  <si>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</si>
  <si>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</si>
  <si>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</si>
  <si>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</si>
  <si>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</si>
  <si>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</si>
  <si>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</si>
  <si>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</si>
  <si>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</si>
  <si>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</si>
  <si>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</si>
  <si>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</si>
  <si>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</si>
  <si>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</si>
  <si>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</si>
  <si>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</si>
  <si>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</si>
  <si>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</si>
  <si>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</si>
  <si>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</si>
  <si>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</si>
  <si>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</si>
  <si>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</si>
  <si>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</si>
  <si>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</si>
  <si>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</si>
  <si>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</si>
  <si>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</si>
  <si>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</si>
  <si>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</si>
  <si>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</si>
  <si>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</si>
  <si>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</si>
  <si>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</si>
  <si>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</si>
  <si>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</si>
  <si>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</si>
  <si>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</si>
  <si>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</si>
  <si>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</si>
  <si>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</si>
  <si>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</si>
  <si>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</si>
  <si>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</si>
  <si>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</si>
  <si>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</si>
  <si>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</si>
  <si>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</si>
  <si>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</si>
  <si>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</si>
  <si>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</si>
  <si>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</si>
  <si>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</si>
  <si>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</si>
  <si>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</si>
  <si>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</si>
  <si>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</si>
  <si>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</si>
  <si>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</si>
  <si>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</si>
  <si>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</si>
  <si>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</si>
  <si>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</si>
  <si>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</si>
  <si>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</si>
  <si>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</si>
  <si>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</si>
  <si>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</si>
  <si>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</si>
  <si>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</si>
  <si>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</si>
  <si>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</si>
  <si>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</si>
  <si>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</si>
  <si>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</si>
  <si>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</si>
  <si>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</si>
  <si>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</si>
  <si>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</si>
  <si>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</si>
  <si>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</si>
  <si>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</si>
  <si>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</si>
  <si>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</si>
  <si>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</si>
  <si>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</si>
  <si>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</si>
  <si>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</si>
  <si>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</si>
  <si>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</si>
  <si>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</si>
  <si>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</si>
  <si>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</si>
  <si>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</si>
  <si>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</si>
  <si>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</si>
  <si>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</si>
  <si>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</si>
  <si>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</si>
  <si>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</si>
  <si>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</si>
  <si>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</si>
  <si>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</si>
  <si>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</si>
  <si>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</si>
  <si>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</si>
  <si>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</si>
  <si>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</si>
  <si>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</si>
  <si>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</si>
  <si>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</si>
  <si>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</si>
  <si>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</si>
  <si>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</si>
  <si>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</si>
  <si>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</si>
  <si>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</si>
  <si>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</si>
  <si>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</si>
  <si>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</si>
  <si>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</si>
  <si>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</si>
  <si>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</si>
  <si>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</si>
  <si>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</si>
  <si>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</si>
  <si>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</si>
  <si>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</si>
  <si>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</si>
  <si>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</si>
  <si>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</si>
  <si>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</si>
  <si>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</si>
  <si>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</si>
  <si>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</si>
  <si>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</si>
  <si>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</si>
  <si>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</si>
  <si>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</si>
  <si>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</si>
  <si>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</si>
  <si>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</si>
  <si>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</si>
  <si>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</si>
  <si>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</si>
  <si>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</si>
  <si>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</si>
  <si>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</si>
  <si>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</si>
  <si>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</si>
  <si>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</si>
  <si>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</si>
  <si>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</si>
  <si>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</si>
  <si>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</si>
  <si>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</si>
  <si>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</si>
  <si>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</si>
  <si>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</si>
  <si>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</si>
  <si>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</si>
  <si>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</si>
  <si>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</si>
  <si>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</si>
  <si>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</si>
  <si>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</si>
  <si>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</si>
  <si>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</si>
  <si>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</si>
  <si>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</si>
  <si>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</si>
  <si>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</si>
  <si>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</si>
  <si>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</si>
  <si>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</si>
  <si>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</si>
  <si>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</si>
  <si>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</si>
  <si>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</si>
  <si>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</si>
  <si>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</si>
  <si>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</si>
  <si>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</si>
  <si>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</si>
  <si>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</si>
  <si>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</si>
  <si>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</si>
  <si>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</si>
  <si>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</si>
  <si>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</si>
  <si>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</si>
  <si>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</si>
  <si>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</si>
  <si>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</si>
  <si>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</si>
  <si>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</si>
  <si>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</si>
  <si>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</si>
  <si>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</si>
  <si>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</si>
  <si>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</si>
  <si>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</si>
  <si>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</si>
  <si>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</si>
  <si>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</si>
  <si>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</si>
  <si>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</si>
  <si>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</si>
  <si>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</si>
  <si>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</si>
  <si>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</si>
  <si>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</si>
  <si>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</si>
  <si>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</si>
  <si>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</si>
  <si>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</si>
  <si>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</si>
  <si>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</si>
  <si>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</si>
  <si>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</si>
  <si>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</si>
  <si>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</si>
  <si>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</si>
  <si>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</si>
  <si>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</si>
  <si>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</si>
  <si>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</si>
  <si>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</si>
  <si>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</si>
  <si>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</si>
  <si>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</si>
  <si>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</si>
  <si>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</si>
  <si>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</si>
  <si>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</si>
  <si>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</si>
  <si>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</si>
  <si>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</si>
  <si>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</si>
  <si>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</si>
  <si>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</si>
  <si>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</si>
  <si>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</si>
  <si>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</si>
  <si>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</si>
  <si>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</si>
  <si>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</si>
  <si>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</si>
  <si>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</si>
  <si>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</si>
  <si>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</si>
  <si>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</si>
  <si>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</si>
  <si>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</si>
  <si>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</si>
  <si>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</si>
  <si>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</si>
  <si>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</si>
  <si>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</si>
  <si>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</si>
  <si>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</si>
  <si>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</si>
  <si>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</si>
  <si>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</si>
  <si>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</si>
  <si>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</si>
  <si>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</si>
  <si>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</si>
  <si>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</si>
  <si>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</si>
  <si>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</si>
  <si>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</si>
  <si>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</si>
  <si>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</si>
  <si>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</si>
  <si>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</si>
  <si>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</si>
  <si>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</si>
  <si>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</si>
  <si>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</si>
  <si>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</si>
  <si>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</si>
  <si>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</si>
  <si>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</si>
  <si>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</si>
  <si>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</si>
  <si>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</si>
  <si>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</si>
  <si>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</si>
  <si>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</si>
  <si>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</si>
  <si>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</si>
  <si>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</si>
  <si>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</si>
  <si>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</si>
  <si>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</si>
  <si>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</si>
  <si>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</si>
  <si>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</si>
  <si>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</si>
  <si>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</si>
  <si>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</si>
  <si>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</si>
  <si>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</si>
  <si>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</si>
  <si>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</si>
  <si>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</si>
  <si>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</si>
  <si>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</si>
  <si>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</si>
  <si>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</si>
  <si>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</si>
  <si>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</si>
  <si>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</si>
  <si>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</si>
  <si>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</si>
  <si>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</si>
  <si>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</si>
  <si>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</si>
  <si>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</si>
  <si>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</si>
  <si>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</si>
  <si>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</si>
  <si>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</si>
  <si>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</si>
  <si>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</si>
  <si>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</si>
  <si>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</si>
  <si>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</si>
  <si>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</si>
  <si>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</si>
  <si>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</si>
  <si>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</si>
  <si>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</si>
  <si>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</si>
  <si>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</si>
  <si>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</si>
  <si>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</si>
  <si>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</si>
  <si>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</si>
  <si>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</si>
  <si>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</si>
  <si>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</si>
  <si>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</si>
  <si>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</si>
  <si>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</si>
  <si>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</si>
  <si>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</si>
  <si>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</si>
  <si>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</si>
  <si>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</si>
  <si>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</si>
  <si>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</si>
  <si>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</si>
  <si>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</si>
  <si>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</si>
  <si>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</si>
  <si>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</si>
  <si>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</si>
  <si>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</si>
  <si>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</si>
  <si>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</si>
  <si>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</si>
  <si>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</si>
  <si>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</si>
  <si>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</si>
  <si>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</si>
  <si>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</si>
  <si>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</si>
  <si>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</si>
  <si>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</si>
  <si>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</si>
  <si>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</si>
  <si>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</si>
  <si>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</si>
  <si>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</si>
  <si>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</si>
  <si>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</si>
  <si>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</si>
  <si>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</si>
  <si>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</si>
  <si>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</si>
  <si>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</si>
  <si>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</si>
  <si>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</si>
  <si>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</si>
  <si>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</si>
  <si>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</si>
  <si>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</si>
  <si>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</si>
  <si>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</si>
  <si>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</si>
  <si>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</si>
  <si>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</si>
  <si>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</si>
  <si>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</si>
  <si>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</si>
  <si>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</si>
  <si>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</si>
  <si>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</si>
  <si>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</si>
  <si>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</si>
  <si>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</si>
  <si>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</si>
  <si>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</si>
  <si>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</si>
  <si>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</si>
  <si>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</si>
  <si>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</si>
  <si>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</si>
  <si>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</si>
  <si>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</si>
  <si>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</si>
  <si>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</si>
  <si>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</si>
  <si>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</si>
  <si>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</si>
  <si>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</si>
  <si>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</si>
  <si>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</si>
  <si>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</si>
  <si>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</si>
  <si>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</si>
  <si>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</si>
  <si>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</si>
  <si>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</si>
  <si>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</si>
  <si>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</si>
  <si>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</si>
  <si>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</si>
  <si>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</si>
  <si>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</si>
  <si>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</si>
  <si>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</si>
  <si>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</si>
  <si>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</si>
  <si>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</si>
  <si>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</si>
  <si>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</si>
  <si>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</si>
  <si>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</si>
  <si>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</si>
  <si>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</si>
  <si>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</si>
  <si>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</si>
  <si>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</si>
  <si>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</si>
  <si>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</si>
  <si>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</si>
  <si>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</si>
  <si>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</si>
  <si>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</si>
  <si>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</si>
  <si>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</si>
  <si>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</si>
  <si>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</si>
  <si>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</si>
  <si>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</si>
  <si>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</si>
  <si>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</si>
  <si>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</si>
  <si>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</si>
  <si>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</si>
  <si>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</si>
  <si>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</si>
  <si>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</si>
  <si>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</si>
  <si>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</si>
  <si>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</si>
  <si>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</si>
  <si>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</si>
  <si>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</si>
  <si>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</si>
  <si>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</si>
  <si>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</si>
  <si>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</si>
  <si>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</si>
  <si>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</si>
  <si>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</si>
  <si>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</si>
  <si>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</si>
  <si>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</si>
  <si>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</si>
  <si>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</si>
  <si>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</si>
  <si>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</si>
  <si>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</si>
  <si>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</si>
  <si>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</si>
  <si>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</si>
  <si>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</si>
  <si>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</si>
  <si>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</si>
  <si>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</si>
  <si>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</si>
  <si>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</si>
  <si>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</si>
  <si>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</si>
  <si>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</si>
  <si>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</si>
  <si>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</si>
  <si>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</si>
  <si>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</si>
  <si>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</si>
  <si>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</si>
  <si>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</si>
  <si>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</si>
  <si>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</si>
  <si>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</si>
  <si>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</si>
  <si>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</si>
  <si>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</si>
  <si>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</si>
  <si>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</si>
  <si>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</si>
  <si>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</si>
  <si>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</si>
  <si>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</si>
  <si>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</si>
  <si>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</si>
  <si>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</si>
  <si>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</si>
  <si>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</si>
  <si>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</si>
  <si>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</si>
  <si>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</si>
  <si>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</si>
  <si>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</si>
  <si>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</si>
  <si>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</si>
  <si>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</si>
  <si>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</si>
  <si>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</si>
  <si>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</si>
  <si>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</si>
  <si>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</si>
  <si>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</si>
  <si>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</si>
  <si>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</si>
  <si>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</si>
  <si>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</si>
  <si>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</si>
  <si>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</si>
  <si>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</si>
  <si>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</si>
  <si>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</si>
  <si>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</si>
  <si>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</si>
  <si>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</si>
  <si>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</si>
  <si>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</si>
  <si>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</si>
  <si>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</si>
  <si>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</si>
  <si>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</si>
  <si>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</si>
  <si>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</si>
  <si>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</si>
  <si>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</si>
  <si>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</si>
  <si>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</si>
  <si>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</si>
  <si>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</si>
  <si>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</si>
  <si>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</si>
  <si>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</si>
  <si>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</si>
  <si>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</si>
  <si>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</si>
  <si>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</si>
  <si>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</si>
  <si>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</si>
  <si>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</si>
  <si>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</si>
  <si>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</si>
  <si>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</si>
  <si>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</si>
  <si>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</si>
  <si>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</si>
  <si>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</si>
  <si>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</si>
  <si>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</si>
  <si>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</si>
  <si>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</si>
  <si>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</si>
  <si>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</si>
  <si>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</si>
  <si>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</si>
  <si>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</si>
  <si>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</si>
  <si>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</si>
  <si>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</si>
  <si>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</si>
  <si>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</si>
  <si>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</si>
  <si>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</si>
  <si>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</si>
  <si>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</si>
  <si>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</si>
  <si>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</si>
  <si>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</si>
  <si>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</si>
  <si>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</si>
  <si>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</si>
  <si>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</si>
  <si>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</si>
  <si>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</si>
  <si>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</si>
  <si>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</si>
  <si>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</si>
  <si>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</si>
  <si>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</si>
  <si>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</si>
  <si>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</si>
  <si>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</si>
  <si>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</si>
  <si>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</si>
  <si>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</si>
  <si>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</si>
  <si>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</si>
  <si>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</si>
  <si>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</si>
  <si>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</si>
  <si>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</si>
  <si>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</si>
  <si>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</si>
  <si>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</si>
  <si>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</si>
  <si>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</si>
  <si>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</si>
  <si>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</si>
  <si>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</si>
  <si>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</si>
  <si>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</si>
  <si>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</si>
  <si>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</si>
  <si>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</si>
  <si>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</si>
  <si>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</si>
  <si>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</si>
  <si>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</si>
  <si>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</si>
  <si>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</si>
  <si>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</si>
  <si>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</si>
  <si>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</si>
  <si>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</si>
  <si>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</si>
  <si>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</si>
  <si>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</si>
  <si>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</si>
  <si>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</si>
  <si>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</si>
  <si>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</si>
  <si>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</si>
  <si>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</si>
  <si>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</si>
  <si>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</si>
  <si>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</si>
  <si>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</si>
  <si>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</si>
  <si>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</si>
  <si>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</si>
  <si>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</si>
  <si>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</si>
  <si>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</si>
  <si>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</si>
  <si>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</si>
  <si>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</si>
  <si>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</si>
  <si>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</si>
  <si>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</si>
  <si>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</si>
  <si>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</si>
  <si>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</si>
  <si>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</si>
  <si>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</si>
  <si>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</si>
  <si>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</si>
  <si>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</si>
  <si>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</si>
  <si>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</si>
  <si>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</si>
  <si>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</si>
  <si>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</si>
  <si>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</si>
  <si>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</si>
  <si>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</si>
  <si>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</si>
  <si>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</si>
  <si>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</si>
  <si>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</si>
  <si>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</si>
  <si>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</si>
  <si>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</si>
  <si>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</si>
  <si>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</si>
  <si>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</si>
  <si>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</si>
  <si>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</si>
  <si>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</si>
  <si>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</si>
  <si>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</si>
  <si>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</si>
  <si>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</si>
  <si>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</si>
  <si>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</si>
  <si>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</si>
  <si>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</si>
  <si>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</si>
  <si>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</si>
  <si>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</si>
  <si>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</si>
  <si>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</si>
  <si>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</si>
  <si>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</si>
  <si>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</si>
  <si>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</si>
  <si>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</si>
  <si>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</si>
  <si>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</si>
  <si>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</si>
  <si>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</si>
  <si>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</si>
  <si>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</si>
  <si>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</si>
  <si>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</si>
  <si>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</si>
  <si>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</si>
  <si>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</si>
  <si>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</si>
  <si>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</si>
  <si>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</si>
  <si>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</si>
  <si>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</si>
  <si>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</si>
  <si>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</si>
  <si>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</si>
  <si>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</si>
  <si>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</si>
  <si>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</si>
  <si>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</si>
  <si>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</si>
  <si>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</si>
  <si>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</si>
  <si>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</si>
  <si>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</si>
  <si>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</si>
  <si>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</si>
  <si>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</si>
  <si>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</si>
  <si>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</si>
  <si>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</si>
  <si>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</si>
  <si>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</si>
  <si>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</si>
  <si>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</si>
  <si>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</si>
  <si>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</si>
  <si>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</si>
  <si>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</si>
  <si>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</si>
  <si>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</si>
  <si>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</si>
  <si>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</si>
  <si>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</si>
  <si>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</si>
  <si>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</si>
  <si>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</si>
  <si>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</si>
  <si>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</si>
  <si>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</si>
  <si>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</si>
  <si>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</si>
  <si>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</si>
  <si>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</si>
  <si>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</si>
  <si>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</si>
  <si>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</si>
  <si>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</si>
  <si>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</si>
  <si>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</si>
  <si>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</si>
  <si>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</si>
  <si>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</si>
  <si>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</si>
  <si>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</si>
  <si>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</si>
  <si>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</si>
  <si>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</si>
  <si>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</si>
  <si>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</si>
  <si>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</si>
  <si>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</si>
  <si>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</si>
  <si>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</si>
  <si>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</si>
  <si>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</si>
  <si>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</si>
  <si>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</si>
  <si>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</si>
  <si>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</si>
  <si>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</si>
  <si>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</si>
  <si>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</si>
  <si>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</si>
  <si>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</si>
  <si>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</si>
  <si>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</si>
  <si>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</si>
  <si>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</si>
  <si>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</si>
  <si>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</si>
  <si>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</si>
  <si>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</si>
  <si>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</si>
  <si>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</si>
  <si>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</si>
  <si>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</si>
  <si>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</si>
  <si>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</si>
  <si>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</si>
  <si>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</si>
  <si>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</si>
  <si>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</si>
  <si>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</si>
  <si>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</si>
  <si>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</si>
  <si>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</si>
  <si>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</si>
  <si>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</si>
  <si>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</si>
  <si>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</si>
  <si>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</si>
  <si>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</si>
  <si>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</si>
  <si>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</si>
  <si>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</si>
  <si>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</si>
  <si>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</si>
  <si>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</si>
  <si>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</si>
  <si>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</si>
  <si>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</si>
  <si>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</si>
  <si>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</si>
  <si>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</si>
  <si>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</si>
  <si>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</si>
  <si>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</si>
  <si>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</si>
  <si>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</si>
  <si>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</si>
  <si>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</si>
  <si>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</si>
  <si>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</si>
  <si>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</si>
  <si>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</si>
  <si>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</si>
  <si>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</si>
  <si>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</si>
  <si>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</si>
  <si>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</si>
  <si>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</si>
  <si>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</si>
  <si>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</si>
  <si>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</si>
  <si>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</si>
  <si>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</si>
  <si>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</si>
  <si>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</si>
  <si>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</si>
  <si>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</si>
  <si>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</si>
  <si>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</si>
  <si>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</si>
  <si>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</si>
  <si>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</si>
  <si>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</si>
  <si>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</si>
  <si>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</si>
  <si>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</si>
  <si>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</si>
  <si>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</si>
  <si>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</si>
  <si>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</si>
  <si>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</si>
  <si>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</si>
  <si>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</si>
  <si>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</si>
  <si>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</si>
  <si>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</si>
  <si>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</si>
  <si>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</si>
  <si>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</si>
  <si>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</si>
  <si>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</si>
  <si>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</si>
  <si>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</si>
  <si>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</si>
  <si>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</si>
  <si>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</si>
  <si>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</si>
  <si>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</si>
  <si>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</si>
  <si>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</si>
  <si>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</si>
  <si>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</si>
  <si>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</si>
  <si>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</si>
  <si>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</si>
  <si>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</si>
  <si>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</si>
  <si>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</si>
  <si>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</si>
  <si>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</si>
  <si>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</si>
  <si>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</si>
  <si>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</si>
  <si>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</si>
  <si>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</si>
  <si>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</si>
  <si>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</si>
  <si>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</si>
  <si>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</si>
  <si>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</si>
  <si>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</si>
  <si>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</si>
  <si>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</si>
  <si>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</si>
  <si>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</si>
  <si>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</si>
  <si>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</si>
  <si>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</si>
  <si>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</si>
  <si>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</si>
  <si>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</si>
  <si>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</si>
  <si>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</si>
  <si>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</si>
  <si>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</si>
  <si>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</si>
  <si>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</si>
  <si>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</si>
  <si>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</si>
  <si>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</si>
  <si>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</si>
  <si>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</si>
  <si>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</si>
  <si>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</si>
  <si>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</si>
  <si>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</si>
  <si>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</si>
  <si>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</si>
  <si>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</si>
  <si>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</si>
  <si>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</si>
  <si>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</si>
  <si>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</si>
  <si>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</si>
  <si>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</si>
  <si>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</si>
  <si>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</si>
  <si>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</si>
  <si>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</si>
  <si>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</si>
  <si>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</si>
  <si>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</si>
  <si>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</si>
  <si>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</si>
  <si>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</si>
  <si>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</si>
  <si>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</si>
  <si>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</si>
  <si>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</si>
  <si>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</si>
  <si>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</si>
  <si>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</si>
  <si>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</si>
  <si>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</si>
  <si>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</si>
  <si>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</si>
  <si>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</si>
  <si>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</si>
  <si>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</si>
  <si>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</si>
  <si>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</si>
  <si>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</si>
  <si>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</si>
  <si>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</si>
  <si>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</si>
  <si>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</si>
  <si>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</si>
  <si>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</si>
  <si>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</si>
  <si>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</si>
  <si>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</si>
  <si>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</si>
  <si>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</si>
  <si>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</si>
  <si>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</si>
  <si>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</si>
  <si>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</si>
  <si>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</si>
  <si>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</si>
  <si>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</si>
  <si>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</si>
  <si>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</si>
  <si>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</si>
  <si>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</si>
  <si>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</si>
  <si>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</si>
  <si>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</si>
  <si>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</si>
  <si>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</si>
  <si>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</si>
  <si>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</si>
  <si>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</si>
  <si>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</si>
  <si>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</si>
  <si>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</si>
  <si>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</si>
  <si>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</si>
  <si>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</si>
  <si>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</si>
  <si>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</si>
  <si>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</si>
  <si>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</si>
  <si>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</si>
  <si>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</si>
  <si>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</si>
  <si>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</si>
  <si>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</si>
  <si>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</si>
  <si>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</si>
  <si>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</si>
  <si>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</si>
  <si>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</si>
  <si>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</si>
  <si>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</si>
  <si>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</si>
  <si>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</si>
  <si>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</si>
  <si>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</si>
  <si>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</si>
  <si>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</si>
  <si>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</si>
  <si>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</si>
  <si>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</si>
  <si>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</si>
  <si>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</si>
  <si>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</si>
  <si>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</si>
  <si>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</si>
  <si>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</si>
  <si>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</si>
  <si>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</si>
  <si>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</si>
  <si>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</si>
  <si>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</si>
  <si>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</si>
  <si>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</si>
  <si>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</si>
  <si>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</si>
  <si>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</si>
  <si>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</si>
  <si>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</si>
  <si>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</si>
  <si>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</si>
  <si>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</si>
  <si>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</si>
  <si>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</si>
  <si>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</si>
  <si>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</si>
  <si>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</si>
  <si>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</si>
  <si>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</si>
  <si>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</si>
  <si>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</si>
  <si>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</si>
  <si>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</si>
  <si>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</si>
  <si>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</si>
  <si>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</si>
  <si>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</si>
  <si>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</si>
  <si>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</si>
  <si>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</si>
  <si>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</si>
  <si>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</si>
  <si>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</si>
  <si>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</si>
  <si>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</si>
  <si>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</si>
  <si>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</si>
  <si>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</si>
  <si>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</si>
  <si>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</si>
  <si>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</si>
  <si>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</si>
  <si>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</si>
  <si>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</si>
  <si>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</si>
  <si>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</si>
  <si>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</si>
  <si>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</si>
  <si>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</si>
  <si>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</si>
  <si>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</si>
  <si>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</si>
  <si>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</si>
  <si>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</si>
  <si>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</si>
  <si>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</si>
  <si>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</si>
  <si>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</si>
  <si>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</si>
  <si>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</si>
  <si>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</si>
  <si>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</si>
  <si>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</si>
  <si>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</si>
  <si>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</si>
  <si>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</si>
  <si>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</si>
  <si>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</si>
  <si>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</si>
  <si>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</si>
  <si>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</si>
  <si>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</si>
  <si>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</si>
  <si>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</si>
  <si>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</si>
  <si>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</si>
  <si>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</si>
  <si>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</si>
  <si>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</si>
  <si>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</si>
  <si>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</si>
  <si>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</si>
  <si>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</si>
  <si>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</si>
  <si>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</si>
  <si>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</si>
  <si>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</si>
  <si>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</si>
  <si>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</si>
  <si>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</si>
  <si>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</si>
  <si>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</si>
  <si>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</si>
  <si>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</si>
  <si>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</si>
  <si>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</si>
  <si>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</si>
  <si>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</si>
  <si>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</si>
  <si>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</si>
  <si>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</si>
  <si>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</si>
  <si>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</si>
  <si>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</si>
  <si>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</si>
  <si>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</si>
  <si>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</si>
  <si>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</si>
  <si>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</si>
  <si>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</si>
  <si>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</si>
  <si>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</si>
  <si>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</si>
  <si>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</si>
  <si>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</si>
  <si>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</si>
  <si>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</si>
  <si>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</si>
  <si>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</si>
  <si>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</si>
  <si>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</si>
  <si>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</si>
  <si>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</si>
  <si>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</si>
  <si>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</si>
  <si>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</si>
  <si>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</si>
  <si>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</si>
  <si>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</si>
  <si>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</si>
  <si>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</si>
  <si>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</si>
  <si>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</si>
  <si>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</si>
  <si>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</si>
  <si>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</si>
  <si>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</si>
  <si>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</si>
  <si>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</si>
  <si>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</si>
  <si>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</si>
  <si>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</si>
  <si>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</si>
  <si>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</si>
  <si>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</si>
  <si>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</si>
  <si>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</si>
  <si>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</si>
  <si>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</si>
  <si>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</si>
  <si>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</si>
  <si>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</si>
  <si>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</si>
  <si>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</si>
  <si>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</si>
  <si>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</si>
  <si>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</si>
  <si>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</si>
  <si>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</si>
  <si>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</si>
  <si>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</si>
  <si>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</si>
  <si>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</si>
  <si>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</si>
  <si>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</si>
  <si>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</si>
  <si>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</si>
  <si>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</si>
  <si>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</si>
  <si>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</si>
  <si>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</si>
  <si>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</si>
  <si>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</si>
  <si>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</si>
  <si>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</si>
  <si>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</si>
  <si>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</si>
  <si>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</si>
  <si>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</si>
  <si>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</si>
  <si>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</si>
  <si>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</si>
  <si>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</si>
  <si>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</si>
  <si>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</si>
  <si>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</si>
  <si>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</si>
  <si>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</si>
  <si>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</si>
  <si>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</si>
  <si>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</si>
  <si>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</si>
  <si>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</si>
  <si>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</si>
  <si>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</si>
  <si>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</si>
  <si>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</si>
  <si>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</si>
  <si>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</si>
  <si>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</si>
  <si>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</si>
  <si>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</si>
  <si>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</si>
  <si>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</si>
  <si>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</si>
  <si>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</si>
  <si>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</si>
  <si>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</si>
  <si>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</si>
  <si>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</si>
  <si>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</si>
  <si>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</si>
  <si>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</si>
  <si>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</si>
  <si>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</si>
  <si>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</si>
  <si>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</si>
  <si>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</si>
  <si>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</si>
  <si>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</si>
  <si>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</si>
  <si>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</si>
  <si>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</si>
  <si>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</si>
  <si>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</si>
  <si>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</si>
  <si>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</si>
  <si>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</si>
  <si>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</si>
  <si>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</si>
  <si>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</si>
  <si>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</si>
  <si>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</si>
  <si>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</si>
  <si>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</si>
  <si>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</si>
  <si>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</si>
  <si>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</si>
  <si>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</si>
  <si>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</si>
  <si>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</si>
  <si>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</si>
  <si>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</si>
  <si>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</si>
  <si>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</si>
  <si>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</si>
  <si>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</si>
  <si>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</si>
  <si>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</si>
  <si>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</si>
  <si>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</si>
  <si>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</si>
  <si>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</si>
  <si>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</si>
  <si>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</si>
  <si>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</si>
  <si>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</si>
  <si>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</si>
  <si>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</si>
  <si>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</si>
  <si>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</si>
  <si>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</si>
  <si>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</si>
  <si>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</si>
  <si>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</si>
  <si>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</si>
  <si>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</si>
  <si>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</si>
  <si>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</si>
  <si>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</si>
  <si>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</si>
  <si>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</si>
  <si>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</si>
  <si>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</si>
  <si>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</si>
  <si>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</si>
  <si>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</si>
  <si>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</si>
  <si>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</si>
  <si>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</si>
  <si>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</si>
  <si>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</si>
  <si>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</si>
  <si>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</si>
  <si>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</si>
  <si>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</si>
  <si>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</si>
  <si>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</si>
  <si>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</si>
  <si>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</si>
  <si>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</si>
  <si>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</si>
  <si>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</si>
  <si>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</si>
  <si>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</si>
  <si>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</si>
  <si>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</si>
  <si>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</si>
  <si>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</si>
  <si>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</si>
  <si>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</si>
  <si>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</si>
  <si>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</si>
  <si>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</si>
  <si>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</si>
  <si>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</si>
  <si>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</si>
  <si>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</si>
  <si>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</si>
  <si>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</si>
  <si>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</si>
  <si>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</si>
  <si>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</si>
  <si>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</si>
  <si>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</si>
  <si>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</si>
  <si>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</si>
  <si>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</si>
  <si>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</si>
  <si>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</si>
  <si>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</si>
  <si>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</si>
  <si>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</si>
  <si>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</si>
  <si>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</si>
  <si>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</si>
  <si>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</si>
  <si>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</si>
  <si>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</si>
  <si>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</si>
  <si>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</si>
  <si>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</si>
  <si>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</si>
  <si>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</si>
  <si>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</si>
  <si>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</si>
  <si>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</si>
  <si>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</si>
  <si>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</si>
  <si>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</si>
  <si>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</si>
  <si>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</si>
  <si>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</si>
  <si>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</si>
  <si>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</si>
  <si>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</si>
  <si>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</si>
  <si>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</si>
  <si>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</si>
  <si>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</si>
  <si>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</si>
  <si>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</si>
  <si>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</si>
  <si>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</si>
  <si>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</si>
  <si>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</si>
  <si>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</si>
  <si>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</si>
  <si>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</si>
  <si>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</si>
  <si>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</si>
  <si>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</si>
  <si>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</si>
  <si>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</si>
  <si>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</si>
  <si>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</si>
  <si>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</si>
  <si>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</si>
  <si>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</si>
  <si>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</si>
  <si>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</si>
  <si>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</si>
  <si>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</si>
  <si>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</si>
  <si>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</si>
  <si>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</si>
  <si>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</si>
  <si>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</si>
  <si>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</si>
  <si>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</si>
  <si>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</si>
  <si>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</si>
  <si>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</si>
  <si>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</si>
  <si>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</si>
  <si>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</si>
  <si>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</si>
  <si>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</si>
  <si>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</si>
  <si>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</si>
  <si>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</si>
  <si>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</si>
  <si>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</si>
  <si>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</si>
  <si>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</si>
  <si>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</si>
  <si>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</si>
  <si>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</si>
  <si>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</si>
  <si>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</si>
  <si>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</si>
  <si>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</si>
  <si>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</si>
  <si>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</si>
  <si>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</si>
  <si>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</si>
  <si>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</si>
  <si>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</si>
  <si>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</si>
  <si>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</si>
  <si>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</si>
  <si>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</si>
  <si>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</si>
  <si>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</si>
  <si>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</si>
  <si>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</si>
  <si>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</si>
  <si>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</si>
  <si>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</si>
  <si>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</si>
  <si>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</si>
  <si>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</si>
  <si>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</si>
  <si>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</si>
  <si>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</si>
  <si>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</si>
  <si>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</si>
  <si>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</si>
  <si>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</si>
  <si>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</si>
  <si>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</si>
  <si>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</si>
  <si>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</si>
  <si>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</si>
  <si>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</si>
  <si>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</si>
  <si>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</si>
  <si>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</si>
  <si>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</si>
  <si>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</si>
  <si>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</si>
  <si>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</si>
  <si>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</si>
  <si>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</si>
  <si>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</si>
  <si>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</si>
  <si>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</si>
  <si>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</si>
  <si>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</si>
  <si>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</si>
  <si>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</si>
  <si>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</si>
  <si>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</si>
  <si>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</si>
  <si>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</si>
  <si>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</si>
  <si>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</si>
  <si>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</si>
  <si>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</si>
  <si>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</si>
  <si>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</si>
  <si>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</si>
  <si>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</si>
  <si>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</si>
  <si>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</si>
  <si>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</si>
  <si>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</si>
  <si>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</si>
  <si>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</si>
  <si>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</si>
  <si>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</si>
  <si>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</si>
  <si>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</si>
  <si>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</si>
  <si>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</si>
  <si>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</si>
  <si>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</si>
  <si>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</si>
  <si>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</si>
  <si>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</si>
  <si>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</si>
  <si>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</si>
  <si>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</si>
  <si>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</si>
  <si>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</si>
  <si>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</si>
  <si>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</si>
  <si>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</si>
  <si>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</si>
  <si>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</si>
  <si>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</si>
  <si>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</si>
  <si>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</si>
  <si>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</si>
  <si>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</si>
  <si>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</si>
  <si>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</si>
  <si>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</si>
  <si>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</si>
  <si>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</si>
  <si>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</si>
  <si>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</si>
  <si>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</si>
  <si>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</si>
  <si>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</si>
  <si>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</si>
  <si>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</si>
  <si>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</si>
  <si>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</si>
  <si>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</si>
  <si>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</si>
  <si>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</si>
  <si>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</si>
  <si>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</si>
  <si>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</si>
  <si>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</si>
  <si>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</si>
  <si>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</si>
  <si>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</si>
  <si>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</si>
  <si>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</si>
  <si>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</si>
  <si>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</si>
  <si>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</si>
  <si>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</si>
  <si>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</si>
  <si>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</si>
  <si>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</si>
  <si>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</si>
  <si>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</si>
  <si>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</si>
  <si>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</si>
  <si>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</si>
  <si>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</si>
  <si>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</si>
  <si>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</si>
  <si>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</si>
  <si>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</si>
  <si>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</si>
  <si>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</si>
  <si>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</si>
  <si>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</si>
  <si>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</si>
  <si>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</si>
  <si>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</si>
  <si>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</si>
  <si>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</si>
  <si>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</si>
  <si>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</si>
  <si>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</si>
  <si>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</si>
  <si>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</si>
  <si>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</si>
  <si>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</si>
  <si>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</si>
  <si>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</si>
  <si>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</si>
  <si>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</si>
  <si>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</si>
  <si>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</si>
  <si>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</si>
  <si>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</si>
  <si>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</si>
  <si>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</si>
  <si>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</si>
  <si>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</si>
  <si>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</si>
  <si>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</si>
  <si>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</si>
  <si>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</si>
  <si>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</si>
  <si>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</si>
  <si>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</si>
  <si>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</si>
  <si>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</si>
  <si>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</si>
  <si>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</si>
  <si>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</si>
  <si>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</si>
  <si>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</si>
  <si>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</si>
  <si>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</si>
  <si>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</si>
  <si>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</si>
  <si>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</si>
  <si>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</si>
  <si>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</si>
  <si>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</si>
  <si>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</si>
  <si>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</si>
  <si>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</si>
  <si>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</si>
  <si>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</si>
  <si>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</si>
  <si>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</si>
  <si>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</si>
  <si>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</si>
  <si>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</si>
  <si>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</si>
  <si>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</si>
  <si>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</si>
  <si>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</si>
  <si>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</si>
  <si>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</si>
  <si>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</si>
  <si>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</si>
  <si>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</si>
  <si>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</si>
  <si>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</si>
  <si>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</si>
  <si>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</si>
  <si>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</si>
  <si>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</si>
  <si>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</si>
  <si>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</si>
  <si>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</si>
  <si>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</si>
  <si>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</si>
  <si>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</si>
  <si>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</si>
  <si>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</si>
  <si>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</si>
  <si>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</si>
  <si>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</si>
  <si>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</si>
  <si>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</si>
  <si>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</si>
  <si>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</si>
  <si>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</si>
  <si>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</si>
  <si>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</si>
  <si>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</si>
  <si>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</si>
  <si>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</si>
  <si>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</si>
  <si>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</si>
  <si>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</si>
  <si>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</si>
  <si>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</si>
  <si>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</si>
  <si>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</si>
  <si>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</si>
  <si>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</si>
  <si>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</si>
  <si>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</si>
  <si>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</si>
  <si>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</si>
  <si>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</si>
  <si>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</si>
  <si>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</si>
  <si>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</si>
  <si>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</si>
  <si>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</si>
  <si>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</si>
  <si>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</si>
  <si>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</si>
  <si>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</si>
  <si>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</si>
  <si>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</si>
  <si>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</si>
  <si>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</si>
  <si>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</si>
  <si>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</si>
  <si>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</si>
  <si>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</si>
  <si>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</si>
  <si>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</si>
  <si>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</si>
  <si>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</si>
  <si>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</si>
  <si>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</si>
  <si>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</si>
  <si>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</si>
  <si>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</si>
  <si>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</si>
  <si>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</si>
  <si>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</si>
  <si>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</si>
  <si>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</si>
  <si>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</si>
  <si>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</si>
  <si>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</si>
  <si>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</si>
  <si>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</si>
  <si>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</si>
  <si>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</si>
  <si>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</si>
  <si>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</si>
  <si>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</si>
  <si>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</si>
  <si>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</si>
  <si>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</si>
  <si>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</si>
  <si>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</si>
  <si>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</si>
  <si>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</si>
  <si>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</si>
  <si>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</si>
  <si>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</si>
  <si>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</si>
  <si>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</si>
  <si>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</si>
  <si>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</si>
  <si>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</si>
  <si>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</si>
  <si>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</si>
  <si>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</si>
  <si>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</si>
  <si>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</si>
  <si>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</si>
  <si>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</si>
  <si>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</si>
  <si>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</si>
  <si>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</si>
  <si>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</si>
  <si>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</si>
  <si>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</si>
  <si>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</si>
  <si>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</si>
  <si>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</si>
  <si>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</si>
  <si>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</si>
  <si>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</si>
  <si>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</si>
  <si>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</si>
  <si>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</si>
  <si>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</si>
  <si>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</si>
  <si>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</si>
  <si>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</si>
  <si>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</si>
  <si>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</si>
  <si>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</si>
  <si>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</si>
  <si>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</si>
  <si>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</si>
  <si>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</si>
  <si>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</si>
  <si>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</si>
  <si>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</si>
  <si>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</si>
  <si>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</si>
  <si>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</si>
  <si>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</si>
  <si>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</si>
  <si>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</si>
  <si>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</si>
  <si>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</si>
  <si>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</si>
  <si>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</si>
  <si>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</si>
  <si>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</si>
  <si>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</si>
  <si>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</si>
  <si>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</si>
  <si>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</si>
  <si>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</si>
  <si>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</si>
  <si>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</si>
  <si>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</si>
  <si>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</si>
  <si>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</si>
  <si>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</si>
  <si>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</si>
  <si>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</si>
  <si>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</si>
  <si>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</si>
  <si>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</si>
  <si>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</si>
  <si>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</si>
  <si>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</si>
  <si>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</si>
  <si>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</si>
  <si>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</si>
  <si>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</si>
  <si>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</si>
  <si>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</si>
  <si>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</si>
  <si>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</si>
  <si>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</si>
  <si>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</si>
  <si>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</si>
  <si>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</si>
  <si>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</si>
  <si>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</si>
  <si>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</si>
  <si>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</si>
  <si>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</si>
  <si>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</si>
  <si>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</si>
  <si>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</si>
  <si>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</si>
  <si>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</si>
  <si>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</si>
  <si>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</si>
  <si>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</si>
  <si>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</si>
  <si>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</si>
  <si>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</si>
  <si>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</si>
  <si>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</si>
  <si>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</si>
  <si>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</si>
  <si>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</si>
  <si>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</si>
  <si>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</si>
  <si>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</si>
  <si>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</si>
  <si>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</si>
  <si>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</si>
  <si>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</si>
  <si>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</si>
  <si>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</si>
  <si>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</si>
  <si>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</si>
  <si>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</si>
  <si>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</si>
  <si>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</si>
  <si>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</si>
  <si>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</si>
  <si>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</si>
  <si>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</si>
  <si>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</si>
  <si>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</si>
  <si>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</si>
  <si>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</si>
  <si>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</si>
  <si>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</si>
  <si>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</si>
  <si>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</si>
  <si>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</si>
  <si>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</si>
  <si>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</si>
  <si>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</si>
  <si>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</si>
  <si>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</si>
  <si>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</si>
  <si>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</si>
  <si>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</si>
  <si>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</si>
  <si>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</si>
  <si>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</si>
  <si>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</si>
  <si>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</si>
  <si>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</si>
  <si>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</si>
  <si>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</si>
  <si>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</si>
  <si>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</si>
  <si>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</si>
  <si>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</si>
  <si>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</si>
  <si>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</si>
  <si>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</si>
  <si>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</si>
  <si>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</si>
  <si>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</si>
  <si>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</si>
  <si>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</si>
  <si>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</si>
  <si>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</si>
  <si>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</si>
  <si>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</si>
  <si>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</si>
  <si>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</si>
  <si>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</si>
  <si>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</si>
  <si>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</si>
  <si>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</si>
  <si>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</si>
  <si>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</si>
  <si>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</si>
  <si>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</si>
  <si>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</si>
  <si>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</si>
  <si>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</si>
  <si>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</si>
  <si>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</si>
  <si>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</si>
  <si>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</si>
  <si>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</si>
  <si>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</si>
  <si>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</si>
  <si>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</si>
  <si>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</si>
  <si>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</si>
  <si>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</si>
  <si>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</si>
  <si>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</si>
  <si>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</si>
  <si>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</si>
  <si>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</si>
  <si>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</si>
  <si>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</si>
  <si>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</si>
  <si>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</si>
  <si>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</si>
  <si>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</si>
  <si>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</si>
  <si>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</si>
  <si>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</si>
  <si>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</si>
  <si>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</si>
  <si>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</si>
  <si>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</si>
  <si>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</si>
  <si>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</si>
  <si>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</si>
  <si>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</si>
  <si>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</si>
  <si>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</si>
  <si>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</si>
  <si>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</si>
  <si>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</si>
  <si>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</si>
  <si>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</si>
  <si>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</si>
  <si>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</si>
  <si>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</si>
  <si>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</si>
  <si>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</si>
  <si>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</si>
  <si>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</si>
  <si>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</si>
  <si>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</si>
  <si>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</si>
  <si>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</si>
  <si>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</si>
  <si>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</si>
  <si>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</si>
  <si>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</si>
  <si>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</si>
  <si>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</si>
  <si>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</si>
  <si>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</si>
  <si>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</si>
  <si>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</si>
  <si>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</si>
  <si>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</si>
  <si>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</si>
  <si>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</si>
  <si>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</si>
  <si>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</si>
  <si>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</si>
  <si>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</si>
  <si>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</si>
  <si>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</si>
  <si>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</si>
  <si>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</si>
  <si>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</si>
  <si>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</si>
  <si>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</si>
  <si>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</si>
  <si>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</si>
  <si>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</si>
  <si>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</si>
  <si>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</si>
  <si>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</si>
  <si>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</si>
  <si>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</si>
  <si>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</si>
  <si>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</si>
  <si>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</si>
  <si>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</si>
  <si>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</si>
  <si>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</si>
  <si>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</si>
  <si>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</si>
  <si>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</si>
  <si>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</si>
  <si>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</si>
  <si>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</si>
  <si>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</si>
  <si>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</si>
  <si>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</si>
  <si>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</si>
  <si>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</si>
  <si>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</si>
  <si>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</si>
  <si>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</si>
  <si>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</si>
  <si>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</si>
  <si>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</si>
  <si>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</si>
  <si>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</si>
  <si>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</si>
  <si>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</si>
  <si>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</si>
  <si>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</si>
  <si>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</si>
  <si>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</si>
  <si>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</si>
  <si>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</si>
  <si>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</si>
  <si>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</si>
  <si>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</si>
  <si>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</si>
  <si>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</si>
  <si>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</si>
  <si>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</si>
  <si>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</si>
  <si>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</si>
  <si>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</si>
  <si>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</si>
  <si>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</si>
  <si>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</si>
  <si>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</si>
  <si>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</si>
  <si>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</si>
  <si>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</si>
  <si>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</si>
  <si>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</si>
  <si>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</si>
  <si>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</si>
  <si>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</si>
  <si>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</si>
  <si>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</si>
  <si>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</si>
  <si>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</si>
  <si>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</si>
  <si>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</si>
  <si>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</si>
  <si>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</si>
  <si>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</si>
  <si>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</si>
  <si>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</si>
  <si>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</si>
  <si>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</si>
  <si>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</si>
  <si>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</si>
  <si>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</si>
  <si>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</si>
  <si>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</si>
  <si>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</si>
  <si>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</si>
  <si>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</si>
  <si>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</si>
  <si>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</si>
  <si>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</si>
  <si>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</si>
  <si>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</si>
  <si>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</si>
  <si>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</si>
  <si>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</si>
  <si>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</si>
  <si>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</si>
  <si>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</si>
  <si>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</si>
  <si>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</si>
  <si>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</si>
  <si>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</si>
  <si>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</si>
  <si>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</si>
  <si>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</si>
  <si>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</si>
  <si>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</si>
  <si>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</si>
  <si>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</si>
  <si>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</si>
  <si>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</si>
  <si>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</si>
  <si>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</si>
  <si>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</si>
  <si>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</si>
  <si>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</si>
  <si>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</si>
  <si>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</si>
  <si>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</si>
  <si>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</si>
  <si>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</si>
  <si>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</si>
  <si>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</si>
  <si>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</si>
  <si>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</si>
  <si>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</si>
  <si>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</si>
  <si>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</si>
  <si>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</si>
  <si>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</si>
  <si>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</si>
  <si>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</si>
  <si>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</si>
  <si>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</si>
  <si>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</si>
  <si>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</si>
  <si>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</si>
  <si>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</si>
  <si>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</si>
  <si>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</si>
  <si>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</si>
  <si>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</si>
  <si>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</si>
  <si>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</si>
  <si>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</si>
  <si>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</si>
  <si>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</si>
  <si>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</si>
  <si>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</si>
  <si>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</si>
  <si>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</si>
  <si>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</si>
  <si>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</si>
  <si>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</si>
  <si>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</si>
  <si>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</si>
  <si>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</si>
  <si>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</si>
  <si>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</si>
  <si>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</si>
  <si>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</si>
  <si>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</si>
  <si>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</si>
  <si>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</si>
  <si>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</si>
  <si>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</si>
  <si>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</si>
  <si>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</si>
  <si>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</si>
  <si>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</si>
  <si>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</si>
  <si>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</si>
  <si>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</si>
  <si>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</si>
  <si>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</si>
  <si>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</si>
  <si>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</si>
  <si>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</si>
  <si>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</si>
  <si>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</si>
  <si>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</si>
  <si>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</si>
  <si>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</si>
  <si>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</si>
  <si>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</si>
  <si>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</si>
  <si>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</si>
  <si>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</si>
  <si>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</si>
  <si>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</si>
  <si>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</si>
  <si>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</si>
  <si>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</si>
  <si>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</si>
  <si>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</si>
  <si>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</si>
  <si>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</si>
  <si>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</si>
  <si>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</si>
  <si>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</si>
  <si>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</si>
  <si>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</si>
  <si>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</si>
  <si>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</si>
  <si>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</si>
  <si>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</si>
  <si>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</si>
  <si>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</si>
  <si>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</si>
  <si>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</si>
  <si>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</si>
  <si>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</si>
  <si>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</si>
  <si>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</si>
  <si>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</si>
  <si>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</si>
  <si>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</si>
  <si>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</si>
  <si>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</si>
  <si>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</si>
  <si>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</si>
  <si>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</si>
  <si>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</si>
  <si>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</si>
  <si>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</si>
  <si>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</si>
  <si>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</si>
  <si>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</si>
  <si>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</si>
  <si>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</si>
  <si>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</si>
  <si>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</si>
  <si>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</si>
  <si>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</si>
  <si>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</si>
  <si>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</si>
  <si>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</si>
  <si>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</si>
  <si>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</si>
  <si>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</si>
  <si>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</si>
  <si>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</si>
  <si>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</si>
  <si>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</si>
  <si>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</si>
  <si>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</si>
  <si>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</si>
  <si>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</si>
  <si>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</si>
  <si>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</si>
  <si>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</si>
  <si>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</si>
  <si>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</si>
  <si>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</si>
  <si>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</si>
  <si>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</si>
  <si>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</si>
  <si>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</si>
  <si>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</si>
  <si>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</si>
  <si>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</si>
  <si>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</si>
  <si>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</si>
  <si>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</si>
  <si>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</si>
  <si>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</si>
  <si>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</si>
  <si>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</si>
  <si>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</si>
  <si>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</si>
  <si>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</si>
  <si>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</si>
  <si>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</si>
  <si>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</si>
  <si>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</si>
  <si>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</si>
  <si>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</si>
  <si>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</si>
  <si>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</si>
  <si>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</si>
  <si>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</si>
  <si>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</si>
  <si>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</si>
  <si>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</si>
  <si>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</si>
  <si>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</si>
  <si>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</si>
  <si>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</si>
  <si>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</si>
  <si>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</si>
  <si>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</si>
  <si>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</si>
  <si>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</si>
  <si>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</si>
  <si>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</si>
  <si>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</si>
  <si>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</si>
  <si>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</si>
  <si>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</si>
  <si>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</si>
  <si>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</si>
  <si>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</si>
  <si>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</si>
  <si>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</si>
  <si>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</si>
  <si>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</si>
  <si>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</si>
  <si>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</si>
  <si>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</si>
  <si>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</si>
  <si>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</si>
  <si>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</si>
  <si>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</si>
  <si>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</si>
  <si>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</si>
  <si>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</si>
  <si>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</si>
  <si>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</si>
  <si>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</si>
  <si>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</si>
  <si>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</si>
  <si>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</si>
  <si>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</si>
  <si>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</si>
  <si>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</si>
  <si>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</si>
  <si>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</si>
  <si>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</si>
  <si>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</si>
  <si>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</si>
  <si>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</si>
  <si>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</si>
  <si>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</si>
  <si>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</si>
  <si>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</si>
  <si>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</si>
  <si>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</si>
  <si>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</si>
  <si>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</si>
  <si>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</si>
  <si>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</si>
  <si>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</si>
  <si>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</si>
  <si>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</si>
  <si>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</si>
  <si>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</si>
  <si>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</si>
  <si>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</si>
  <si>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</si>
  <si>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</si>
  <si>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</si>
  <si>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</si>
  <si>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</si>
  <si>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</si>
  <si>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</si>
  <si>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</si>
  <si>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</si>
  <si>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</si>
  <si>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</si>
  <si>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</si>
  <si>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</si>
  <si>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</si>
  <si>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</si>
  <si>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</si>
  <si>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</si>
  <si>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</si>
  <si>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</si>
  <si>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</si>
  <si>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</si>
  <si>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</si>
  <si>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</si>
  <si>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</si>
  <si>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</si>
  <si>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</si>
  <si>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</si>
  <si>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</si>
  <si>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</si>
  <si>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</si>
  <si>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</si>
  <si>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</si>
  <si>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</si>
  <si>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</si>
  <si>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</si>
  <si>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</si>
  <si>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</si>
  <si>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</si>
  <si>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</si>
  <si>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</si>
  <si>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</si>
  <si>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</si>
  <si>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</si>
  <si>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</si>
  <si>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</si>
  <si>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</si>
  <si>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</si>
  <si>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</si>
  <si>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</si>
  <si>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</si>
  <si>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</si>
  <si>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</si>
  <si>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</si>
  <si>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</si>
  <si>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</si>
  <si>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</si>
  <si>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</si>
  <si>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</si>
  <si>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</si>
  <si>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</si>
  <si>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</si>
  <si>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</si>
  <si>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</si>
  <si>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</si>
  <si>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</si>
  <si>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</si>
  <si>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</si>
  <si>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</si>
  <si>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</si>
  <si>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</si>
  <si>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</si>
  <si>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</si>
  <si>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</si>
  <si>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</si>
  <si>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</si>
  <si>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</si>
  <si>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</si>
  <si>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</si>
  <si>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</si>
  <si>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</si>
  <si>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</si>
  <si>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</si>
  <si>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</si>
  <si>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</si>
  <si>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</si>
  <si>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</si>
  <si>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</si>
  <si>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</si>
  <si>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</si>
  <si>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</si>
  <si>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</si>
  <si>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</si>
  <si>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</si>
  <si>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</si>
  <si>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</si>
  <si>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</si>
  <si>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</si>
  <si>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</si>
  <si>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</si>
  <si>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</si>
  <si>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</si>
  <si>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</si>
  <si>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Warner Center I</t>
  </si>
  <si>
    <t>21300 Oxnard Street</t>
  </si>
  <si>
    <t xml:space="preserve">Los Angeles </t>
  </si>
  <si>
    <t>$500M</t>
  </si>
  <si>
    <t xml:space="preserve">Meta Development, LLC </t>
  </si>
  <si>
    <t>CA</t>
  </si>
  <si>
    <t xml:space="preserve">Loren Messeri </t>
  </si>
  <si>
    <t xml:space="preserve">Warner Lily, LLC </t>
  </si>
  <si>
    <t xml:space="preserve">1762 Westwood Boulevard, Suite 350 </t>
  </si>
  <si>
    <t>Los Angeles, CA 90024</t>
  </si>
  <si>
    <t>1200 W. 7th Street, 8th Floor</t>
  </si>
  <si>
    <t xml:space="preserve">Warner Center I, LLC </t>
  </si>
  <si>
    <t xml:space="preserve">18575 Jamboree Rd, Suite #120 </t>
  </si>
  <si>
    <t xml:space="preserve">Irvine </t>
  </si>
  <si>
    <t>312-219-8360</t>
  </si>
  <si>
    <t xml:space="preserve">tarun@ffah.org </t>
  </si>
  <si>
    <t>11150 W Olympic Blvd Ste 620</t>
  </si>
  <si>
    <t>Los Angeles, CA, 90064</t>
  </si>
  <si>
    <t>lmesseri@metahousing.com</t>
  </si>
  <si>
    <t>Bocarsly Emden Cowan Esmail &amp; Arndt LLP</t>
  </si>
  <si>
    <t>633 W 5th St Ste 7000</t>
  </si>
  <si>
    <t>Los Angeles, CA 90071</t>
  </si>
  <si>
    <t>Juan Bustamante</t>
  </si>
  <si>
    <t>(213)239-8082</t>
  </si>
  <si>
    <t xml:space="preserve">213.239.0410	</t>
  </si>
  <si>
    <t>jbustamante@bocarsly.com</t>
  </si>
  <si>
    <t>211 E Ocean Blvd 6th Floor</t>
  </si>
  <si>
    <t>Long Beach, CA 90802</t>
  </si>
  <si>
    <t>Sara Nachbar</t>
  </si>
  <si>
    <t>sara.nachbar@novoco.com</t>
  </si>
  <si>
    <t>California Municipal Finance Authority</t>
  </si>
  <si>
    <t>Anthony Stubbs</t>
  </si>
  <si>
    <t>(760) 930-1333</t>
  </si>
  <si>
    <t>(760) 683-3390</t>
  </si>
  <si>
    <t>astubbs@cmfa-ca.com</t>
  </si>
  <si>
    <t>2111 Palomar Airport Rd Ste 320</t>
  </si>
  <si>
    <t>Carlsbad, CA, 92011</t>
  </si>
  <si>
    <t xml:space="preserve">AC Martin </t>
  </si>
  <si>
    <t>444 S Flower St Ste 1200</t>
  </si>
  <si>
    <t>Los Angeles, CA, 90071</t>
  </si>
  <si>
    <t>Matt Cobo</t>
  </si>
  <si>
    <t>matthew.cobo@acmartin.com</t>
  </si>
  <si>
    <t>(213)614-6101</t>
  </si>
  <si>
    <t xml:space="preserve">Kim Pollack </t>
  </si>
  <si>
    <t>kimp@wshmgmt.com</t>
  </si>
  <si>
    <t>Irvine, CA 92612</t>
  </si>
  <si>
    <t>18881 Von Karman Ave., Ste 720</t>
  </si>
  <si>
    <t>WSH Management</t>
  </si>
  <si>
    <t>Raymond Saviss</t>
  </si>
  <si>
    <t xml:space="preserve">George Russo </t>
  </si>
  <si>
    <t>Warner Center I, L.P.</t>
  </si>
  <si>
    <t>Administrative GP</t>
  </si>
  <si>
    <t>Managing GP</t>
  </si>
  <si>
    <t>Novogradac &amp; Company, LLP</t>
  </si>
  <si>
    <t xml:space="preserve">Boston Financial </t>
  </si>
  <si>
    <t xml:space="preserve">Principal </t>
  </si>
  <si>
    <t>40%/60% Average Income</t>
  </si>
  <si>
    <t>Aaron Mandel</t>
  </si>
  <si>
    <t>Inner City Infill Site</t>
  </si>
  <si>
    <t xml:space="preserve">Community Housing Program Manager </t>
  </si>
  <si>
    <t xml:space="preserve">Timothy Elliot </t>
  </si>
  <si>
    <t xml:space="preserve">(213) 808-8596 </t>
  </si>
  <si>
    <t>timothy.elliott@lacity.org</t>
  </si>
  <si>
    <t>(213) 808-8910</t>
  </si>
  <si>
    <t>Chief Financial Officer</t>
  </si>
  <si>
    <t xml:space="preserve">FFAH V Warner Center I, LLC </t>
  </si>
  <si>
    <t xml:space="preserve">Developer </t>
  </si>
  <si>
    <t>amandel@metahousing.com</t>
  </si>
  <si>
    <t>(310)575-3543</t>
  </si>
  <si>
    <t xml:space="preserve">Aaron Mandel </t>
  </si>
  <si>
    <t xml:space="preserve">Bill Letsinger										</t>
  </si>
  <si>
    <t xml:space="preserve">(562) 256-2340					</t>
  </si>
  <si>
    <t>(562) 432-9483</t>
  </si>
  <si>
    <t xml:space="preserve">Bill.Letsinger@novoco.com										</t>
  </si>
  <si>
    <t>Roy.Faerber@bfim.com</t>
  </si>
  <si>
    <t xml:space="preserve">Roy Faerber </t>
  </si>
  <si>
    <t xml:space="preserve">(310) 860-4550 </t>
  </si>
  <si>
    <t>8335 Sunset Blvd, Ste 203</t>
  </si>
  <si>
    <t>West Hollywood, 90069</t>
  </si>
  <si>
    <t>Warner Center Specific Plan 2035 - Commerce</t>
  </si>
  <si>
    <t>Warner Center Specific Plan 2035 - 184 units</t>
  </si>
  <si>
    <t>Warner Center Specific Plan 2035 - 173 units</t>
  </si>
  <si>
    <t xml:space="preserve">No. </t>
  </si>
  <si>
    <t>84 feet</t>
  </si>
  <si>
    <t>Variable</t>
  </si>
  <si>
    <t>Fire Sprinkler &amp; Fire Alarm</t>
  </si>
  <si>
    <t>Other: (P&amp;P Bonds)</t>
  </si>
  <si>
    <t>Other: (Post CofO Construction Interest)</t>
  </si>
  <si>
    <t>Other: (Partnership Legal)</t>
  </si>
  <si>
    <t>Other: (Misc. City/County Fees)</t>
  </si>
  <si>
    <t>Other: (Utility Connections)</t>
  </si>
  <si>
    <t>Other (SCEP Fee):</t>
  </si>
  <si>
    <t xml:space="preserve">Tarun Chandran </t>
  </si>
  <si>
    <t>Meta Development, LLC</t>
  </si>
  <si>
    <t>January</t>
  </si>
  <si>
    <t>, 2023 at</t>
  </si>
  <si>
    <t>Provided</t>
  </si>
  <si>
    <t>Not Applicable</t>
  </si>
  <si>
    <t>TBD</t>
  </si>
  <si>
    <t>0.85:1</t>
  </si>
  <si>
    <t>Deferred Developer Fee &amp; Costs</t>
  </si>
  <si>
    <t>11150 W. Olympic Blvd., Suite 620</t>
  </si>
  <si>
    <t>George Russo</t>
  </si>
  <si>
    <t>(949) 748-8201</t>
  </si>
  <si>
    <t>(949) 748-8220</t>
  </si>
  <si>
    <t>(913) 312-4616</t>
  </si>
  <si>
    <t>(310) 575-3543</t>
  </si>
  <si>
    <t>Deferred Operating Reserve</t>
  </si>
  <si>
    <t>Construction Loan - Tax-Exempt</t>
  </si>
  <si>
    <t>Construction Loan - Taxable</t>
  </si>
  <si>
    <t>8335 Sunset Blvd., Suite 203</t>
  </si>
  <si>
    <t>West Hollywood</t>
  </si>
  <si>
    <t>Roy Faerber</t>
  </si>
  <si>
    <t>310-860-4550</t>
  </si>
  <si>
    <t>Tax Credit Equity</t>
  </si>
  <si>
    <t>Permanent Loan - Tax-Exempt</t>
  </si>
  <si>
    <t>11150 W. Olympic Blvd, Suite 620</t>
  </si>
  <si>
    <t>Electric Air Conditioning</t>
  </si>
  <si>
    <t>City of Los Angeles Utility Allowance (effective 12/15/22)</t>
  </si>
  <si>
    <t>Above residual receipts line for cash flow</t>
  </si>
  <si>
    <t>Employee Burden</t>
  </si>
  <si>
    <t>California Municipal Finance Authority (CMFA)</t>
  </si>
  <si>
    <t>Other (Employee Apartment):</t>
  </si>
  <si>
    <t xml:space="preserve">Foundation For Affordable Housing  V, Inc </t>
  </si>
  <si>
    <t>Tax Credit Equity - Federal</t>
  </si>
  <si>
    <t>Tax Credit Equity - State</t>
  </si>
  <si>
    <t>Other: (Organizational Costs &amp; Misc. Fees)</t>
  </si>
  <si>
    <t>(310) 575-3563</t>
  </si>
  <si>
    <t>(818) 212-794</t>
  </si>
  <si>
    <t>Citibank - Tax-Exempt Loan</t>
  </si>
  <si>
    <t>Citibank - Taxable Loan</t>
  </si>
  <si>
    <t>Citibank - Reissued Tax-Exempt Loan</t>
  </si>
  <si>
    <t>300 S. Grand Ave., Suite 3110</t>
  </si>
  <si>
    <t>Sonia Rahm</t>
  </si>
  <si>
    <t>(213) 239-1726</t>
  </si>
  <si>
    <t>Citibank Tax-Exempt Loan</t>
  </si>
  <si>
    <t>Owner-Hosted Broadband</t>
  </si>
  <si>
    <t>30-Day SOFR</t>
  </si>
  <si>
    <t>CMFA Administration Fee, SCEP Fee, &amp; Owner-Hosted Broadband):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</si>
</sst>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17161">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6"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4"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3"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5">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1" fontId="22" fillId="0" borderId="0" xfId="0" applyNumberFormat="1" applyFont="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62" xfId="4495" applyFont="1"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5"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4"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4"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5"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4"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43" fontId="20" fillId="0" borderId="0" xfId="4504" applyFont="1" applyProtection="1"/>
    <xf numFmtId="0" fontId="20" fillId="0" borderId="0" xfId="569" applyFont="1" applyAlignment="1">
      <alignment vertical="center"/>
    </xf>
    <xf numFmtId="49" fontId="20" fillId="0" borderId="0" xfId="569" applyNumberFormat="1" applyFont="1"/>
    <xf numFmtId="4" fontId="20" fillId="0" borderId="0" xfId="569" applyNumberFormat="1" applyFont="1"/>
    <xf numFmtId="0" fontId="20" fillId="0" borderId="0" xfId="1192" applyFont="1" applyAlignment="1">
      <alignment horizontal="left" vertical="top" wrapText="1"/>
    </xf>
    <xf numFmtId="0" fontId="20" fillId="0" borderId="0" xfId="569" quotePrefix="1" applyFont="1"/>
    <xf numFmtId="0" fontId="13" fillId="0" borderId="16" xfId="569" applyBorder="1"/>
    <xf numFmtId="0" fontId="20" fillId="0" borderId="16" xfId="569" applyFont="1" applyBorder="1"/>
    <xf numFmtId="0" fontId="13" fillId="0" borderId="4" xfId="569" applyBorder="1"/>
    <xf numFmtId="0" fontId="20" fillId="0" borderId="4" xfId="569" applyFont="1" applyBorder="1"/>
    <xf numFmtId="49" fontId="13" fillId="0" borderId="4" xfId="569" applyNumberFormat="1" applyBorder="1"/>
    <xf numFmtId="49" fontId="20" fillId="0" borderId="4" xfId="569" applyNumberFormat="1" applyFont="1" applyBorder="1"/>
    <xf numFmtId="0" fontId="160"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2" xfId="4496" applyFont="1" applyBorder="1" applyAlignment="1">
      <alignment horizontal="center" vertical="top" wrapText="1"/>
    </xf>
    <xf numFmtId="0" fontId="134" fillId="0" borderId="72" xfId="4496" applyFont="1" applyBorder="1" applyAlignment="1">
      <alignment horizontal="center"/>
    </xf>
    <xf numFmtId="0" fontId="165"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7" xfId="4496" applyFont="1" applyBorder="1" applyAlignment="1">
      <alignment vertical="center"/>
    </xf>
    <xf numFmtId="0" fontId="95" fillId="0" borderId="41" xfId="4496" applyFont="1" applyBorder="1" applyAlignment="1">
      <alignment vertical="center"/>
    </xf>
    <xf numFmtId="182" fontId="95" fillId="0" borderId="87"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6"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2" xfId="8722" applyNumberFormat="1" applyFont="1" applyBorder="1" applyProtection="1"/>
    <xf numFmtId="9" fontId="95" fillId="0" borderId="15" xfId="4494" applyFont="1" applyFill="1" applyBorder="1" applyAlignment="1" applyProtection="1">
      <alignment horizontal="right"/>
    </xf>
    <xf numFmtId="182" fontId="134" fillId="0" borderId="72" xfId="4496" applyNumberFormat="1" applyFont="1" applyBorder="1"/>
    <xf numFmtId="0" fontId="165"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1" xfId="4496" applyFont="1" applyBorder="1" applyAlignment="1">
      <alignment horizontal="right" indent="1"/>
    </xf>
    <xf numFmtId="0" fontId="95" fillId="0" borderId="81" xfId="4496" applyFont="1" applyBorder="1" applyAlignment="1">
      <alignment horizontal="right" indent="1"/>
    </xf>
    <xf numFmtId="0" fontId="95" fillId="0" borderId="81" xfId="4496" quotePrefix="1" applyFont="1" applyBorder="1" applyAlignment="1">
      <alignment horizontal="right" indent="1"/>
    </xf>
    <xf numFmtId="0" fontId="95" fillId="0" borderId="73" xfId="4496" applyFont="1" applyBorder="1" applyAlignment="1">
      <alignment horizontal="right" indent="1"/>
    </xf>
    <xf numFmtId="182" fontId="95" fillId="0" borderId="75" xfId="4496" applyNumberFormat="1" applyFont="1" applyBorder="1"/>
    <xf numFmtId="182" fontId="95" fillId="0" borderId="92" xfId="4496" applyNumberFormat="1" applyFont="1" applyBorder="1"/>
    <xf numFmtId="182" fontId="95" fillId="0" borderId="94"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2"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4"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7" fillId="0" borderId="0" xfId="0" applyFont="1"/>
    <xf numFmtId="0" fontId="18"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2" fillId="0" borderId="0" xfId="8723"/>
    <xf numFmtId="0" fontId="100" fillId="0" borderId="0" xfId="8723" applyFont="1"/>
    <xf numFmtId="0" fontId="2" fillId="48" borderId="67" xfId="8723" applyFill="1" applyBorder="1"/>
    <xf numFmtId="0" fontId="2" fillId="48" borderId="0" xfId="8723" applyFill="1"/>
    <xf numFmtId="0" fontId="99" fillId="48" borderId="41" xfId="8723" applyFont="1" applyFill="1" applyBorder="1" applyAlignment="1">
      <alignment horizontal="center"/>
    </xf>
    <xf numFmtId="0" fontId="99" fillId="48" borderId="0" xfId="8723" applyFont="1" applyFill="1"/>
    <xf numFmtId="182" fontId="163" fillId="48" borderId="0" xfId="8724" applyNumberFormat="1" applyFont="1" applyFill="1" applyBorder="1" applyAlignment="1"/>
    <xf numFmtId="182" fontId="100" fillId="48" borderId="0" xfId="8724" applyNumberFormat="1" applyFont="1" applyFill="1" applyBorder="1" applyAlignment="1"/>
    <xf numFmtId="182" fontId="145" fillId="48" borderId="0" xfId="8724" applyNumberFormat="1" applyFont="1" applyFill="1" applyBorder="1" applyAlignment="1"/>
    <xf numFmtId="0" fontId="2" fillId="48" borderId="41" xfId="8723" applyFill="1" applyBorder="1"/>
    <xf numFmtId="0" fontId="100" fillId="48" borderId="0" xfId="8723" applyFont="1" applyFill="1"/>
    <xf numFmtId="0" fontId="149" fillId="48" borderId="0" xfId="8723" applyFont="1" applyFill="1"/>
    <xf numFmtId="0" fontId="99" fillId="48" borderId="41" xfId="8723" applyFont="1" applyFill="1" applyBorder="1"/>
    <xf numFmtId="0" fontId="99" fillId="0" borderId="0" xfId="8723" applyFont="1"/>
    <xf numFmtId="0" fontId="99" fillId="50" borderId="102" xfId="8723" applyFont="1" applyFill="1" applyBorder="1"/>
    <xf numFmtId="0" fontId="2" fillId="51" borderId="103" xfId="8723" applyFill="1" applyBorder="1"/>
    <xf numFmtId="0" fontId="2" fillId="52" borderId="103" xfId="8723" applyFill="1" applyBorder="1"/>
    <xf numFmtId="0" fontId="99" fillId="44" borderId="0" xfId="8723" applyFont="1" applyFill="1"/>
    <xf numFmtId="0" fontId="2" fillId="44" borderId="0" xfId="8723" applyFill="1"/>
    <xf numFmtId="0" fontId="151" fillId="48" borderId="0" xfId="8723" applyFont="1" applyFill="1"/>
    <xf numFmtId="0" fontId="2" fillId="48" borderId="0" xfId="8723" applyFill="1" applyAlignment="1">
      <alignment horizontal="left"/>
    </xf>
    <xf numFmtId="0" fontId="161" fillId="47" borderId="11" xfId="8723" applyFont="1" applyFill="1" applyBorder="1"/>
    <xf numFmtId="0" fontId="161" fillId="47" borderId="92" xfId="8723" applyFont="1" applyFill="1" applyBorder="1"/>
    <xf numFmtId="0" fontId="147" fillId="45" borderId="76" xfId="8723" applyFont="1" applyFill="1" applyBorder="1" applyAlignment="1">
      <alignment horizontal="left"/>
    </xf>
    <xf numFmtId="0" fontId="147" fillId="45" borderId="77" xfId="8723" applyFont="1" applyFill="1" applyBorder="1" applyAlignment="1">
      <alignment horizontal="center"/>
    </xf>
    <xf numFmtId="0" fontId="147" fillId="45" borderId="90" xfId="8723" applyFont="1" applyFill="1" applyBorder="1" applyAlignment="1">
      <alignment horizontal="center"/>
    </xf>
    <xf numFmtId="168" fontId="157" fillId="49" borderId="91" xfId="8724" applyNumberFormat="1" applyFont="1" applyFill="1" applyBorder="1" applyAlignment="1" applyProtection="1">
      <alignment horizontal="left"/>
      <protection locked="0"/>
    </xf>
    <xf numFmtId="168" fontId="157" fillId="49" borderId="77" xfId="8724" applyNumberFormat="1" applyFont="1" applyFill="1" applyBorder="1" applyAlignment="1" applyProtection="1">
      <alignment horizontal="left"/>
      <protection locked="0"/>
    </xf>
    <xf numFmtId="168" fontId="157" fillId="49" borderId="78" xfId="8724" applyNumberFormat="1" applyFont="1" applyFill="1" applyBorder="1" applyAlignment="1" applyProtection="1">
      <alignment horizontal="left"/>
      <protection locked="0"/>
    </xf>
    <xf numFmtId="0" fontId="147" fillId="45" borderId="93" xfId="8723" applyFont="1" applyFill="1" applyBorder="1" applyAlignment="1">
      <alignment horizontal="left"/>
    </xf>
    <xf numFmtId="0" fontId="147" fillId="45" borderId="4" xfId="8723" applyFont="1" applyFill="1" applyBorder="1" applyAlignment="1">
      <alignment horizontal="center"/>
    </xf>
    <xf numFmtId="0" fontId="147" fillId="45" borderId="5" xfId="8723" applyFont="1" applyFill="1" applyBorder="1" applyAlignment="1">
      <alignment horizontal="center"/>
    </xf>
    <xf numFmtId="168" fontId="157" fillId="49" borderId="3" xfId="8724" applyNumberFormat="1" applyFont="1" applyFill="1" applyBorder="1" applyAlignment="1" applyProtection="1">
      <alignment horizontal="left"/>
      <protection locked="0"/>
    </xf>
    <xf numFmtId="168" fontId="157" fillId="49" borderId="4" xfId="8724" applyNumberFormat="1" applyFont="1" applyFill="1" applyBorder="1" applyAlignment="1" applyProtection="1">
      <alignment horizontal="left"/>
      <protection locked="0"/>
    </xf>
    <xf numFmtId="168" fontId="157" fillId="49" borderId="80" xfId="8724" applyNumberFormat="1" applyFont="1" applyFill="1" applyBorder="1" applyAlignment="1" applyProtection="1">
      <alignment horizontal="left"/>
      <protection locked="0"/>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47" fillId="47" borderId="93" xfId="8723" applyFont="1" applyFill="1" applyBorder="1" applyAlignment="1">
      <alignment horizontal="center"/>
    </xf>
    <xf numFmtId="0" fontId="147" fillId="47" borderId="4" xfId="8723" applyFont="1" applyFill="1" applyBorder="1" applyAlignment="1">
      <alignment horizontal="center"/>
    </xf>
    <xf numFmtId="0" fontId="147" fillId="47" borderId="5" xfId="8723" applyFont="1" applyFill="1" applyBorder="1" applyAlignment="1">
      <alignment horizontal="center"/>
    </xf>
    <xf numFmtId="168" fontId="146" fillId="47" borderId="3" xfId="8724" applyNumberFormat="1" applyFont="1" applyFill="1" applyBorder="1" applyAlignment="1">
      <alignment horizontal="left"/>
    </xf>
    <xf numFmtId="168" fontId="146" fillId="47" borderId="4" xfId="8724" applyNumberFormat="1" applyFont="1" applyFill="1" applyBorder="1" applyAlignment="1">
      <alignment horizontal="left"/>
    </xf>
    <xf numFmtId="168" fontId="146" fillId="47" borderId="80" xfId="8724" applyNumberFormat="1" applyFont="1" applyFill="1" applyBorder="1" applyAlignment="1">
      <alignment horizontal="left"/>
    </xf>
    <xf numFmtId="0" fontId="162" fillId="48" borderId="0" xfId="8723" applyFont="1" applyFill="1"/>
    <xf numFmtId="0" fontId="99" fillId="48" borderId="67" xfId="8723" applyFont="1" applyFill="1" applyBorder="1"/>
    <xf numFmtId="49" fontId="99" fillId="48" borderId="67" xfId="8723" applyNumberFormat="1" applyFont="1" applyFill="1" applyBorder="1" applyAlignment="1">
      <alignment horizontal="right" vertical="top"/>
    </xf>
    <xf numFmtId="0" fontId="2" fillId="48" borderId="87" xfId="8723" applyFill="1" applyBorder="1"/>
    <xf numFmtId="0" fontId="2" fillId="48" borderId="42" xfId="8723" applyFill="1" applyBorder="1"/>
    <xf numFmtId="0" fontId="2" fillId="48" borderId="44" xfId="8723" applyFill="1" applyBorder="1"/>
    <xf numFmtId="0" fontId="2" fillId="44" borderId="67" xfId="8723" applyFill="1" applyBorder="1"/>
    <xf numFmtId="0" fontId="2" fillId="44" borderId="41" xfId="8723" applyFill="1" applyBorder="1"/>
    <xf numFmtId="0" fontId="2" fillId="44" borderId="0" xfId="8723" applyFill="1" applyAlignment="1">
      <alignment horizontal="left"/>
    </xf>
    <xf numFmtId="0" fontId="2" fillId="44" borderId="87" xfId="8723" applyFill="1" applyBorder="1"/>
    <xf numFmtId="0" fontId="2" fillId="44" borderId="42" xfId="8723" applyFill="1" applyBorder="1"/>
    <xf numFmtId="0" fontId="2" fillId="44" borderId="44" xfId="8723" applyFill="1" applyBorder="1"/>
    <xf numFmtId="0" fontId="153" fillId="0" borderId="0" xfId="8723" applyFont="1"/>
    <xf numFmtId="0" fontId="22" fillId="0" borderId="0" xfId="0" applyFont="1" applyProtection="1">
      <protection locked="0"/>
    </xf>
    <xf numFmtId="3" fontId="13" fillId="0" borderId="2" xfId="0" applyNumberFormat="1" applyFont="1" applyBorder="1"/>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0" fontId="20" fillId="0" borderId="16" xfId="569" applyFont="1" applyBorder="1" applyAlignment="1">
      <alignment horizontal="left"/>
    </xf>
    <xf numFmtId="0" fontId="20" fillId="0" borderId="0" xfId="569" applyFont="1" applyAlignment="1">
      <alignment horizontal="center"/>
    </xf>
    <xf numFmtId="0" fontId="14" fillId="0" borderId="0" xfId="244" applyNumberFormat="1" applyFill="1" applyAlignment="1" applyProtection="1">
      <alignment horizontal="left"/>
    </xf>
    <xf numFmtId="0" fontId="13" fillId="0" borderId="0" xfId="569" applyAlignment="1">
      <alignment horizontal="left" vertical="center" wrapText="1"/>
    </xf>
    <xf numFmtId="0" fontId="20" fillId="0" borderId="0" xfId="0" applyFont="1" applyAlignment="1">
      <alignment horizontal="left" vertical="top"/>
    </xf>
    <xf numFmtId="0" fontId="31" fillId="0" borderId="0" xfId="569" applyFont="1" applyAlignment="1">
      <alignment horizontal="center"/>
    </xf>
    <xf numFmtId="0" fontId="13" fillId="0" borderId="0" xfId="569" applyAlignment="1">
      <alignment horizontal="center"/>
    </xf>
    <xf numFmtId="0" fontId="31" fillId="0" borderId="0" xfId="569" applyFont="1" applyAlignment="1">
      <alignment horizontal="left" wrapText="1"/>
    </xf>
    <xf numFmtId="0" fontId="20" fillId="0" borderId="0" xfId="569" applyFont="1" applyAlignment="1">
      <alignment horizontal="left"/>
    </xf>
    <xf numFmtId="0" fontId="20" fillId="0" borderId="4" xfId="0" applyFont="1" applyBorder="1" applyAlignment="1">
      <alignment horizontal="left" vertical="top"/>
    </xf>
    <xf numFmtId="4" fontId="31" fillId="0" borderId="0" xfId="0" applyNumberFormat="1" applyFont="1" applyAlignment="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22" fillId="5" borderId="4" xfId="0" applyFont="1" applyFill="1" applyBorder="1" applyAlignment="1" applyProtection="1">
      <alignment wrapText="1"/>
      <protection locked="0"/>
    </xf>
    <xf numFmtId="0" fontId="22" fillId="5" borderId="4" xfId="0" applyFont="1" applyFill="1" applyBorder="1" applyAlignment="1" applyProtection="1">
      <alignment horizontal="left"/>
      <protection locked="0"/>
    </xf>
    <xf numFmtId="0" fontId="0" fillId="0" borderId="6" xfId="0" applyBorder="1" applyAlignment="1">
      <alignment horizontal="left"/>
    </xf>
    <xf numFmtId="0" fontId="13"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6" fontId="22" fillId="5" borderId="4" xfId="0" applyNumberFormat="1" applyFont="1" applyFill="1" applyBorder="1" applyAlignment="1" applyProtection="1">
      <alignment horizontal="left"/>
      <protection locked="0"/>
    </xf>
    <xf numFmtId="0" fontId="20" fillId="0" borderId="11" xfId="0" applyFont="1" applyBorder="1" applyAlignment="1">
      <alignment horizontal="center" vertical="center" wrapText="1"/>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5" borderId="11" xfId="0" applyFont="1" applyFill="1" applyBorder="1" applyAlignment="1" applyProtection="1">
      <alignment horizontal="left" wrapText="1"/>
      <protection locked="0"/>
    </xf>
    <xf numFmtId="0" fontId="13" fillId="5" borderId="4" xfId="0" applyFont="1" applyFill="1" applyBorder="1" applyAlignment="1" applyProtection="1">
      <alignment wrapText="1"/>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0" fillId="0" borderId="11" xfId="0" applyBorder="1" applyAlignment="1">
      <alignment horizontal="center"/>
    </xf>
    <xf numFmtId="0" fontId="22" fillId="0" borderId="11"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0" borderId="3" xfId="0" applyFont="1" applyBorder="1" applyAlignment="1">
      <alignment horizontal="center"/>
    </xf>
    <xf numFmtId="0" fontId="22"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1" fillId="43" borderId="11" xfId="8722" applyNumberFormat="1" applyFont="1" applyFill="1" applyBorder="1" applyAlignment="1" applyProtection="1">
      <alignment horizontal="center" vertical="center" wrapText="1"/>
      <protection locked="0"/>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2"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2" fillId="0" borderId="3" xfId="0" applyFont="1" applyBorder="1" applyAlignment="1">
      <alignment horizontal="left"/>
    </xf>
    <xf numFmtId="0" fontId="0" fillId="0" borderId="4" xfId="0" applyBorder="1" applyAlignment="1">
      <alignment horizontal="left"/>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2" fillId="0" borderId="4" xfId="0" applyFont="1" applyBorder="1" applyAlignment="1">
      <alignment horizontal="center"/>
    </xf>
    <xf numFmtId="0" fontId="46"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4" fontId="22" fillId="5" borderId="4" xfId="0" applyNumberFormat="1" applyFont="1" applyFill="1" applyBorder="1" applyAlignment="1" applyProtection="1">
      <alignment horizontal="right"/>
      <protection locked="0"/>
    </xf>
    <xf numFmtId="0" fontId="13" fillId="5" borderId="4" xfId="0"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1" fontId="22" fillId="5" borderId="11" xfId="0" applyNumberFormat="1" applyFont="1" applyFill="1" applyBorder="1" applyAlignment="1" applyProtection="1">
      <alignment horizontal="center"/>
      <protection locked="0"/>
    </xf>
    <xf numFmtId="9" fontId="160" fillId="44" borderId="8" xfId="0" applyNumberFormat="1" applyFont="1" applyFill="1" applyBorder="1" applyAlignment="1">
      <alignment horizontal="center"/>
    </xf>
    <xf numFmtId="9" fontId="160" fillId="44" borderId="0" xfId="0" applyNumberFormat="1" applyFont="1" applyFill="1" applyAlignment="1">
      <alignment horizontal="center"/>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3"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3" fontId="41" fillId="10" borderId="6" xfId="543" applyNumberFormat="1" applyFont="1" applyFill="1" applyBorder="1" applyAlignment="1">
      <alignment horizontal="left" vertical="center" wrapText="1"/>
    </xf>
    <xf numFmtId="0" fontId="19" fillId="3" borderId="2" xfId="0" applyFont="1" applyFill="1" applyBorder="1" applyAlignment="1">
      <alignment horizontal="center" vertical="center"/>
    </xf>
    <xf numFmtId="0" fontId="19"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0" fontId="22" fillId="5" borderId="6" xfId="0"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22" fillId="5" borderId="3" xfId="0" applyFont="1" applyFill="1" applyBorder="1" applyAlignment="1" applyProtection="1">
      <alignment horizontal="right" vertical="top"/>
      <protection locked="0"/>
    </xf>
    <xf numFmtId="0" fontId="22" fillId="5" borderId="4" xfId="0" applyFont="1" applyFill="1" applyBorder="1" applyAlignment="1" applyProtection="1">
      <alignment horizontal="right" vertical="top"/>
      <protection locked="0"/>
    </xf>
    <xf numFmtId="0" fontId="22"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13"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66" fontId="13" fillId="5" borderId="6"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2" fillId="5" borderId="4" xfId="0" applyNumberFormat="1" applyFont="1" applyFill="1" applyBorder="1" applyAlignment="1" applyProtection="1">
      <alignment horizontal="right"/>
      <protection locked="0"/>
    </xf>
    <xf numFmtId="168" fontId="22"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22" fillId="0" borderId="11" xfId="0" applyFont="1" applyBorder="1" applyAlignment="1">
      <alignment horizontal="center" vertical="top" wrapText="1"/>
    </xf>
    <xf numFmtId="168" fontId="0" fillId="0" borderId="11" xfId="0" applyNumberFormat="1" applyBorder="1" applyAlignment="1">
      <alignment horizontal="right"/>
    </xf>
    <xf numFmtId="0" fontId="20"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13"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20" fillId="0" borderId="2" xfId="0" applyFont="1" applyBorder="1" applyAlignment="1">
      <alignment horizontal="right"/>
    </xf>
    <xf numFmtId="0" fontId="20"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3" fillId="0" borderId="0" xfId="543" applyNumberFormat="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0" fontId="19" fillId="3" borderId="0" xfId="0" applyFont="1" applyFill="1" applyAlignment="1">
      <alignment horizontal="center" vertical="center"/>
    </xf>
    <xf numFmtId="168" fontId="0" fillId="0" borderId="11" xfId="0" applyNumberFormat="1" applyBorder="1" applyAlignment="1">
      <alignment horizontal="center"/>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9" fontId="13"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71" fontId="13" fillId="0" borderId="0" xfId="543" applyNumberFormat="1" applyAlignment="1">
      <alignment horizontal="right"/>
    </xf>
    <xf numFmtId="0" fontId="20" fillId="5" borderId="11" xfId="0" applyFont="1" applyFill="1" applyBorder="1" applyAlignment="1" applyProtection="1">
      <alignment horizontal="center"/>
      <protection locked="0"/>
    </xf>
    <xf numFmtId="168" fontId="13" fillId="5" borderId="3" xfId="0" applyNumberFormat="1" applyFont="1" applyFill="1" applyBorder="1" applyProtection="1">
      <protection locked="0"/>
    </xf>
    <xf numFmtId="0" fontId="0" fillId="5" borderId="3" xfId="0" quotePrefix="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20" fillId="0" borderId="7" xfId="0" applyFont="1" applyBorder="1" applyAlignment="1">
      <alignment horizontal="center" wrapText="1"/>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160" fillId="44" borderId="8" xfId="0" applyFont="1" applyFill="1" applyBorder="1" applyAlignment="1">
      <alignment horizontal="center" vertical="top" wrapText="1"/>
    </xf>
    <xf numFmtId="0" fontId="160"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22" fillId="0" borderId="0" xfId="0" applyFont="1" applyAlignment="1">
      <alignment horizontal="left" vertical="top" wrapText="1"/>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0" fontId="20" fillId="0" borderId="11" xfId="0" applyFont="1" applyBorder="1" applyAlignment="1">
      <alignment horizontal="center" vertical="center"/>
    </xf>
    <xf numFmtId="0" fontId="13" fillId="5" borderId="6" xfId="0" applyFont="1" applyFill="1" applyBorder="1" applyAlignment="1" applyProtection="1">
      <alignment horizontal="center"/>
      <protection locked="0"/>
    </xf>
    <xf numFmtId="172" fontId="20" fillId="0" borderId="11" xfId="0" applyNumberFormat="1" applyFont="1" applyBorder="1" applyAlignment="1">
      <alignment horizontal="center" vertical="center" wrapText="1"/>
    </xf>
    <xf numFmtId="0" fontId="13" fillId="5" borderId="4" xfId="0" applyFont="1" applyFill="1" applyBorder="1" applyAlignment="1" applyProtection="1">
      <alignment horizontal="left" wrapText="1"/>
      <protection locked="0"/>
    </xf>
    <xf numFmtId="0" fontId="0" fillId="43" borderId="6" xfId="0" applyFill="1" applyBorder="1" applyAlignment="1" applyProtection="1">
      <alignment horizontal="center"/>
      <protection locked="0"/>
    </xf>
    <xf numFmtId="166" fontId="13" fillId="5" borderId="4"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22"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3" fillId="0" borderId="0" xfId="0" applyFont="1" applyAlignment="1">
      <alignment horizontal="center"/>
    </xf>
    <xf numFmtId="0" fontId="22" fillId="0" borderId="0" xfId="0" applyFont="1" applyAlignment="1">
      <alignment horizontal="center"/>
    </xf>
    <xf numFmtId="0" fontId="13" fillId="0" borderId="6" xfId="0" applyFont="1" applyBorder="1" applyAlignment="1" applyProtection="1">
      <alignment horizontal="center"/>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43" borderId="6" xfId="0" applyFont="1" applyFill="1" applyBorder="1" applyAlignment="1" applyProtection="1">
      <alignment horizontal="center"/>
      <protection locked="0"/>
    </xf>
    <xf numFmtId="0" fontId="13" fillId="0" borderId="0" xfId="0" applyFont="1" applyAlignment="1" applyProtection="1">
      <alignment horizontal="left"/>
      <protection locked="0"/>
    </xf>
    <xf numFmtId="168" fontId="13" fillId="0" borderId="6" xfId="0" applyNumberFormat="1" applyFont="1" applyBorder="1" applyAlignment="1">
      <alignment horizontal="center"/>
    </xf>
    <xf numFmtId="0" fontId="28" fillId="0" borderId="0" xfId="0" applyFont="1" applyAlignment="1">
      <alignment horizontal="center"/>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166" fontId="13" fillId="5" borderId="4" xfId="569" applyNumberFormat="1" applyFill="1" applyBorder="1" applyAlignment="1" applyProtection="1">
      <alignment horizontal="left"/>
      <protection locked="0"/>
    </xf>
    <xf numFmtId="0" fontId="22" fillId="0" borderId="6" xfId="0" applyFont="1" applyBorder="1" applyAlignment="1">
      <alignment horizontal="left"/>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0" fillId="0" borderId="6" xfId="0" applyBorder="1" applyAlignment="1" applyProtection="1">
      <alignment horizontal="center"/>
      <protection locked="0"/>
    </xf>
    <xf numFmtId="0" fontId="13" fillId="43" borderId="4" xfId="0" applyFont="1" applyFill="1" applyBorder="1" applyAlignment="1" applyProtection="1">
      <alignment horizontal="left" wrapText="1"/>
      <protection locked="0"/>
    </xf>
    <xf numFmtId="0" fontId="22" fillId="5" borderId="9" xfId="0" applyFont="1" applyFill="1" applyBorder="1" applyAlignment="1" applyProtection="1">
      <alignment horizontal="center"/>
      <protection locked="0"/>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32" fillId="5" borderId="6" xfId="0" applyFont="1" applyFill="1" applyBorder="1" applyAlignment="1" applyProtection="1">
      <alignment horizontal="left"/>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68" fontId="170" fillId="0" borderId="0" xfId="0" applyNumberFormat="1" applyFont="1" applyAlignment="1">
      <alignment horizontal="center" vertical="center" wrapText="1"/>
    </xf>
    <xf numFmtId="168" fontId="0" fillId="43" borderId="6" xfId="0" applyNumberForma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43" borderId="10" xfId="0" applyFill="1" applyBorder="1" applyAlignment="1" applyProtection="1">
      <alignment horizontal="left"/>
      <protection locked="0"/>
    </xf>
    <xf numFmtId="168" fontId="22" fillId="0" borderId="11" xfId="0" applyNumberFormat="1" applyFont="1" applyBorder="1" applyAlignment="1">
      <alignment horizontal="center"/>
    </xf>
    <xf numFmtId="2" fontId="0" fillId="0" borderId="6" xfId="0" applyNumberFormat="1" applyBorder="1" applyAlignment="1">
      <alignment horizontal="center"/>
    </xf>
    <xf numFmtId="168" fontId="13" fillId="0" borderId="3" xfId="0" applyNumberFormat="1" applyFont="1" applyBorder="1" applyAlignment="1">
      <alignment horizontal="left" vertical="top"/>
    </xf>
    <xf numFmtId="3" fontId="22" fillId="5" borderId="11" xfId="0" applyNumberFormat="1" applyFont="1" applyFill="1" applyBorder="1" applyAlignment="1" applyProtection="1">
      <alignment horizontal="center"/>
      <protection locked="0"/>
    </xf>
    <xf numFmtId="0" fontId="22"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0" fillId="0" borderId="0" xfId="0" applyFont="1" applyAlignment="1">
      <alignment horizontal="center" vertical="center"/>
    </xf>
    <xf numFmtId="0" fontId="22" fillId="5" borderId="6" xfId="271" applyFill="1" applyBorder="1" applyProtection="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0" fontId="20" fillId="0" borderId="9" xfId="0" applyFont="1" applyBorder="1" applyAlignment="1">
      <alignment horizontal="center"/>
    </xf>
    <xf numFmtId="0" fontId="20" fillId="0" borderId="10" xfId="0" applyFont="1" applyBorder="1" applyAlignment="1">
      <alignment horizontal="center"/>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1" fillId="43" borderId="6" xfId="0" applyFont="1" applyFill="1" applyBorder="1" applyAlignment="1" applyProtection="1">
      <alignment horizontal="left"/>
      <protection locked="0"/>
    </xf>
    <xf numFmtId="0" fontId="167" fillId="0" borderId="0" xfId="0" applyFont="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3" fontId="22" fillId="0" borderId="11" xfId="0" applyNumberFormat="1" applyFont="1" applyBorder="1" applyAlignment="1">
      <alignment horizontal="center"/>
    </xf>
    <xf numFmtId="10" fontId="22" fillId="0" borderId="11" xfId="0" applyNumberFormat="1" applyFont="1" applyBorder="1" applyAlignment="1">
      <alignment horizontal="center"/>
    </xf>
    <xf numFmtId="0" fontId="13" fillId="5" borderId="0" xfId="0" applyFont="1" applyFill="1" applyAlignment="1" applyProtection="1">
      <alignment horizontal="left" vertical="top" wrapText="1"/>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13" fillId="5" borderId="4"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20" fontId="13" fillId="5" borderId="3" xfId="0" applyNumberFormat="1" applyFont="1" applyFill="1" applyBorder="1" applyAlignment="1" applyProtection="1">
      <alignment horizontal="left"/>
      <protection locked="0"/>
    </xf>
    <xf numFmtId="178" fontId="22" fillId="5" borderId="4" xfId="0" applyNumberFormat="1" applyFont="1" applyFill="1" applyBorder="1" applyAlignment="1" applyProtection="1">
      <alignment horizontal="right"/>
      <protection locked="0"/>
    </xf>
    <xf numFmtId="3" fontId="0" fillId="0" borderId="6" xfId="0" applyNumberFormat="1" applyBorder="1" applyAlignment="1">
      <alignment horizontal="right"/>
    </xf>
    <xf numFmtId="1" fontId="22" fillId="5" borderId="11" xfId="0" quotePrefix="1" applyNumberFormat="1" applyFont="1" applyFill="1" applyBorder="1" applyAlignment="1" applyProtection="1">
      <alignment horizont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0" fillId="0" borderId="0" xfId="0"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3" xfId="4495" applyFill="1" applyBorder="1" applyAlignment="1" applyProtection="1">
      <alignment horizontal="center"/>
      <protection locked="0"/>
    </xf>
    <xf numFmtId="0" fontId="117" fillId="5" borderId="64"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21" fillId="0" borderId="0" xfId="4495" applyFont="1" applyAlignment="1">
      <alignment horizontal="center"/>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3" xfId="4495" applyFill="1" applyBorder="1" applyAlignment="1">
      <alignment horizontal="center"/>
    </xf>
    <xf numFmtId="0" fontId="117" fillId="5" borderId="64"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1" xfId="4496" applyFont="1" applyBorder="1" applyAlignment="1">
      <alignment horizontal="right"/>
    </xf>
    <xf numFmtId="0" fontId="95" fillId="0" borderId="11" xfId="4496" applyFont="1" applyBorder="1" applyAlignment="1">
      <alignment horizontal="right"/>
    </xf>
    <xf numFmtId="0" fontId="95" fillId="0" borderId="73" xfId="4496" applyFont="1" applyBorder="1" applyAlignment="1">
      <alignment horizontal="right"/>
    </xf>
    <xf numFmtId="0" fontId="95" fillId="0" borderId="74" xfId="4496" applyFont="1" applyBorder="1" applyAlignment="1">
      <alignment horizontal="right"/>
    </xf>
    <xf numFmtId="0" fontId="95" fillId="0" borderId="11" xfId="4496" applyFont="1" applyBorder="1"/>
    <xf numFmtId="0" fontId="95" fillId="0" borderId="92" xfId="4496" applyFont="1" applyBorder="1"/>
    <xf numFmtId="0" fontId="95" fillId="0" borderId="74" xfId="4496" applyFont="1" applyBorder="1"/>
    <xf numFmtId="0" fontId="95" fillId="0" borderId="94" xfId="4496" applyFont="1" applyBorder="1"/>
    <xf numFmtId="0" fontId="95" fillId="0" borderId="71" xfId="4496" applyFont="1" applyBorder="1" applyAlignment="1">
      <alignment horizontal="right"/>
    </xf>
    <xf numFmtId="0" fontId="95" fillId="0" borderId="72" xfId="4496" applyFont="1" applyBorder="1" applyAlignment="1">
      <alignment horizontal="right"/>
    </xf>
    <xf numFmtId="0" fontId="134" fillId="0" borderId="91" xfId="4496" applyFont="1" applyBorder="1" applyAlignment="1">
      <alignment horizontal="center" vertical="top" wrapText="1"/>
    </xf>
    <xf numFmtId="0" fontId="134" fillId="0" borderId="90" xfId="4496" applyFont="1" applyBorder="1" applyAlignment="1">
      <alignment horizontal="center" vertical="top" wrapText="1"/>
    </xf>
    <xf numFmtId="0" fontId="95" fillId="0" borderId="72" xfId="4496" applyFont="1" applyBorder="1"/>
    <xf numFmtId="0" fontId="95" fillId="0" borderId="75"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2"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5" xfId="4499" applyNumberFormat="1" applyFont="1" applyFill="1" applyBorder="1" applyAlignment="1" applyProtection="1">
      <alignment horizontal="left" vertical="center" indent="1"/>
    </xf>
    <xf numFmtId="168" fontId="95" fillId="0" borderId="84" xfId="4499" applyNumberFormat="1" applyFont="1" applyFill="1" applyBorder="1" applyAlignment="1" applyProtection="1">
      <alignment horizontal="left" vertical="center" indent="1"/>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99" fillId="44" borderId="0" xfId="8723" applyFont="1" applyFill="1" applyAlignment="1">
      <alignment horizontal="left"/>
    </xf>
    <xf numFmtId="0" fontId="2" fillId="49" borderId="68" xfId="8723" applyFill="1" applyBorder="1" applyAlignment="1" applyProtection="1">
      <alignment horizontal="left"/>
      <protection locked="0"/>
    </xf>
    <xf numFmtId="0" fontId="2" fillId="49" borderId="69" xfId="8723" applyFill="1" applyBorder="1" applyAlignment="1" applyProtection="1">
      <alignment horizontal="left"/>
      <protection locked="0"/>
    </xf>
    <xf numFmtId="0" fontId="2" fillId="49" borderId="70" xfId="8723" applyFill="1" applyBorder="1" applyAlignment="1" applyProtection="1">
      <alignment horizontal="left"/>
      <protection locked="0"/>
    </xf>
    <xf numFmtId="0" fontId="148" fillId="44" borderId="0" xfId="8723" applyFont="1" applyFill="1" applyAlignment="1">
      <alignment horizontal="left" vertical="top"/>
    </xf>
    <xf numFmtId="0" fontId="99" fillId="44" borderId="0" xfId="4503" applyFont="1" applyFill="1" applyBorder="1" applyAlignment="1">
      <alignment horizontal="left" vertical="top"/>
    </xf>
    <xf numFmtId="14" fontId="2" fillId="49" borderId="68" xfId="8723" applyNumberFormat="1" applyFill="1" applyBorder="1" applyAlignment="1" applyProtection="1">
      <alignment horizontal="center"/>
      <protection locked="0"/>
    </xf>
    <xf numFmtId="0" fontId="2" fillId="49" borderId="69" xfId="8723" applyFill="1" applyBorder="1" applyAlignment="1" applyProtection="1">
      <alignment horizontal="center"/>
      <protection locked="0"/>
    </xf>
    <xf numFmtId="0" fontId="2" fillId="49" borderId="70" xfId="8723" applyFill="1" applyBorder="1" applyAlignment="1" applyProtection="1">
      <alignment horizontal="center"/>
      <protection locked="0"/>
    </xf>
    <xf numFmtId="0" fontId="143" fillId="48" borderId="0" xfId="8723" applyFont="1" applyFill="1" applyAlignment="1">
      <alignment horizontal="left" vertical="top" wrapText="1"/>
    </xf>
    <xf numFmtId="0" fontId="99" fillId="48" borderId="42" xfId="8723" applyFont="1" applyFill="1" applyBorder="1" applyAlignment="1">
      <alignment horizontal="center"/>
    </xf>
    <xf numFmtId="0" fontId="2" fillId="49" borderId="68" xfId="8723" applyFill="1" applyBorder="1" applyAlignment="1" applyProtection="1">
      <alignment horizontal="center"/>
      <protection locked="0"/>
    </xf>
    <xf numFmtId="0" fontId="172" fillId="48" borderId="66" xfId="8723" applyFont="1" applyFill="1" applyBorder="1" applyAlignment="1">
      <alignment horizontal="center"/>
    </xf>
    <xf numFmtId="0" fontId="172" fillId="48" borderId="29" xfId="8723" applyFont="1" applyFill="1" applyBorder="1" applyAlignment="1">
      <alignment horizontal="center"/>
    </xf>
    <xf numFmtId="0" fontId="172" fillId="48" borderId="31" xfId="8723" applyFont="1" applyFill="1" applyBorder="1" applyAlignment="1">
      <alignment horizontal="center"/>
    </xf>
    <xf numFmtId="0" fontId="2" fillId="48" borderId="67" xfId="8723" applyFill="1" applyBorder="1" applyAlignment="1">
      <alignment horizontal="center"/>
    </xf>
    <xf numFmtId="0" fontId="2" fillId="48" borderId="0" xfId="8723" applyFill="1" applyAlignment="1">
      <alignment horizontal="center"/>
    </xf>
    <xf numFmtId="0" fontId="2" fillId="48" borderId="41" xfId="8723" applyFill="1" applyBorder="1" applyAlignment="1">
      <alignment horizontal="center"/>
    </xf>
    <xf numFmtId="0" fontId="143" fillId="48" borderId="67" xfId="8723" applyFont="1" applyFill="1" applyBorder="1" applyAlignment="1">
      <alignment horizontal="center"/>
    </xf>
    <xf numFmtId="0" fontId="143" fillId="48" borderId="0" xfId="8723" applyFont="1" applyFill="1" applyAlignment="1">
      <alignment horizontal="center"/>
    </xf>
    <xf numFmtId="0" fontId="143" fillId="48" borderId="41" xfId="8723" applyFont="1" applyFill="1" applyBorder="1" applyAlignment="1">
      <alignment horizontal="center"/>
    </xf>
    <xf numFmtId="0" fontId="99" fillId="48" borderId="67" xfId="8723" applyFont="1" applyFill="1" applyBorder="1" applyAlignment="1">
      <alignment horizontal="center"/>
    </xf>
    <xf numFmtId="0" fontId="99" fillId="48" borderId="0" xfId="8723" applyFont="1" applyFill="1" applyAlignment="1">
      <alignment horizontal="center"/>
    </xf>
    <xf numFmtId="0" fontId="99" fillId="48" borderId="41" xfId="8723" applyFont="1" applyFill="1" applyBorder="1" applyAlignment="1">
      <alignment horizontal="center"/>
    </xf>
    <xf numFmtId="0" fontId="99" fillId="48" borderId="0" xfId="8723" applyFont="1" applyFill="1" applyAlignment="1">
      <alignment horizontal="left"/>
    </xf>
    <xf numFmtId="0" fontId="147" fillId="45" borderId="73" xfId="8723" applyFont="1" applyFill="1" applyBorder="1" applyAlignment="1">
      <alignment horizontal="right"/>
    </xf>
    <xf numFmtId="0" fontId="147" fillId="45" borderId="74" xfId="8723" applyFont="1" applyFill="1" applyBorder="1" applyAlignment="1">
      <alignment horizontal="right"/>
    </xf>
    <xf numFmtId="0" fontId="148" fillId="44" borderId="74" xfId="700" applyNumberFormat="1" applyFont="1" applyFill="1" applyBorder="1" applyAlignment="1">
      <alignment horizontal="left"/>
    </xf>
    <xf numFmtId="168" fontId="148" fillId="44" borderId="74" xfId="700" applyNumberFormat="1" applyFont="1" applyFill="1" applyBorder="1" applyAlignment="1">
      <alignment horizontal="left"/>
    </xf>
    <xf numFmtId="168" fontId="148" fillId="44" borderId="94" xfId="700" applyNumberFormat="1" applyFont="1" applyFill="1" applyBorder="1" applyAlignment="1">
      <alignment horizontal="left"/>
    </xf>
    <xf numFmtId="0" fontId="171" fillId="49" borderId="81" xfId="8723" applyFont="1" applyFill="1" applyBorder="1" applyAlignment="1">
      <alignment horizontal="left"/>
    </xf>
    <xf numFmtId="0" fontId="171" fillId="49" borderId="11" xfId="8723" applyFont="1" applyFill="1" applyBorder="1" applyAlignment="1">
      <alignment horizontal="left"/>
    </xf>
    <xf numFmtId="168" fontId="157" fillId="49" borderId="11" xfId="700" applyNumberFormat="1" applyFont="1" applyFill="1" applyBorder="1" applyAlignment="1" applyProtection="1">
      <alignment horizontal="left"/>
      <protection locked="0"/>
    </xf>
    <xf numFmtId="168" fontId="157" fillId="49" borderId="92" xfId="700" applyNumberFormat="1" applyFont="1" applyFill="1" applyBorder="1" applyAlignment="1" applyProtection="1">
      <alignment horizontal="left"/>
      <protection locked="0"/>
    </xf>
    <xf numFmtId="0" fontId="143" fillId="45" borderId="73" xfId="8723" applyFont="1" applyFill="1" applyBorder="1" applyAlignment="1">
      <alignment horizontal="right"/>
    </xf>
    <xf numFmtId="0" fontId="143" fillId="45" borderId="74" xfId="8723" applyFont="1" applyFill="1" applyBorder="1" applyAlignment="1">
      <alignment horizontal="right"/>
    </xf>
    <xf numFmtId="168" fontId="144" fillId="44" borderId="74" xfId="700" applyNumberFormat="1" applyFont="1" applyFill="1" applyBorder="1" applyAlignment="1" applyProtection="1">
      <alignment horizontal="left"/>
      <protection locked="0"/>
    </xf>
    <xf numFmtId="168" fontId="144" fillId="44" borderId="94" xfId="700" applyNumberFormat="1" applyFont="1" applyFill="1" applyBorder="1" applyAlignment="1" applyProtection="1">
      <alignment horizontal="left"/>
      <protection locked="0"/>
    </xf>
    <xf numFmtId="0" fontId="163" fillId="45" borderId="71" xfId="8723" applyFont="1" applyFill="1" applyBorder="1" applyAlignment="1">
      <alignment horizontal="right"/>
    </xf>
    <xf numFmtId="0" fontId="163" fillId="45" borderId="72" xfId="8723" applyFont="1" applyFill="1" applyBorder="1" applyAlignment="1">
      <alignment horizontal="right"/>
    </xf>
    <xf numFmtId="168" fontId="146" fillId="44" borderId="72" xfId="700" applyNumberFormat="1" applyFont="1" applyFill="1" applyBorder="1" applyAlignment="1">
      <alignment horizontal="left"/>
    </xf>
    <xf numFmtId="168" fontId="146" fillId="44" borderId="75" xfId="700" applyNumberFormat="1" applyFont="1" applyFill="1" applyBorder="1" applyAlignment="1">
      <alignment horizontal="left"/>
    </xf>
    <xf numFmtId="0" fontId="161" fillId="49" borderId="82" xfId="8723" applyFont="1" applyFill="1" applyBorder="1" applyAlignment="1" applyProtection="1">
      <alignment horizontal="center"/>
      <protection locked="0"/>
    </xf>
    <xf numFmtId="0" fontId="161" fillId="49" borderId="83" xfId="8723" applyFont="1" applyFill="1" applyBorder="1" applyAlignment="1" applyProtection="1">
      <alignment horizontal="center"/>
      <protection locked="0"/>
    </xf>
    <xf numFmtId="0" fontId="163" fillId="49" borderId="74" xfId="8723" applyFont="1" applyFill="1" applyBorder="1" applyAlignment="1" applyProtection="1">
      <alignment horizontal="left"/>
      <protection locked="0"/>
    </xf>
    <xf numFmtId="0" fontId="163" fillId="49" borderId="94" xfId="8723" applyFont="1" applyFill="1" applyBorder="1" applyAlignment="1" applyProtection="1">
      <alignment horizontal="left"/>
      <protection locked="0"/>
    </xf>
    <xf numFmtId="168" fontId="161" fillId="49" borderId="83" xfId="700" applyNumberFormat="1" applyFont="1" applyFill="1" applyBorder="1" applyAlignment="1" applyProtection="1">
      <alignment horizontal="left"/>
      <protection locked="0"/>
    </xf>
    <xf numFmtId="168" fontId="161" fillId="49" borderId="86" xfId="700" applyNumberFormat="1" applyFont="1" applyFill="1" applyBorder="1" applyAlignment="1" applyProtection="1">
      <alignment horizontal="left"/>
      <protection locked="0"/>
    </xf>
    <xf numFmtId="0" fontId="161" fillId="49" borderId="82" xfId="8723" applyFont="1" applyFill="1" applyBorder="1" applyAlignment="1" applyProtection="1">
      <alignment horizontal="left"/>
      <protection locked="0"/>
    </xf>
    <xf numFmtId="0" fontId="161" fillId="49" borderId="83" xfId="8723" applyFont="1" applyFill="1" applyBorder="1" applyAlignment="1" applyProtection="1">
      <alignment horizontal="left"/>
      <protection locked="0"/>
    </xf>
    <xf numFmtId="0" fontId="161" fillId="49" borderId="86" xfId="8723" applyFont="1" applyFill="1" applyBorder="1" applyAlignment="1" applyProtection="1">
      <alignment horizontal="left"/>
      <protection locked="0"/>
    </xf>
    <xf numFmtId="0" fontId="161" fillId="49" borderId="81"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0" fontId="163" fillId="49" borderId="11" xfId="8723" applyFont="1" applyFill="1" applyBorder="1" applyAlignment="1" applyProtection="1">
      <alignment horizontal="left"/>
      <protection locked="0"/>
    </xf>
    <xf numFmtId="168" fontId="161" fillId="49" borderId="11" xfId="700" applyNumberFormat="1" applyFont="1" applyFill="1" applyBorder="1" applyAlignment="1" applyProtection="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center"/>
      <protection locked="0"/>
    </xf>
    <xf numFmtId="0" fontId="163" fillId="49" borderId="11" xfId="8723" applyFont="1" applyFill="1" applyBorder="1" applyAlignment="1" applyProtection="1">
      <alignment horizontal="center"/>
      <protection locked="0"/>
    </xf>
    <xf numFmtId="164" fontId="148" fillId="45" borderId="29" xfId="8724" applyNumberFormat="1" applyFont="1" applyFill="1" applyBorder="1" applyAlignment="1" applyProtection="1">
      <alignment horizontal="center" wrapText="1"/>
      <protection locked="0"/>
    </xf>
    <xf numFmtId="164" fontId="148" fillId="45" borderId="31" xfId="8724" applyNumberFormat="1" applyFont="1" applyFill="1" applyBorder="1" applyAlignment="1" applyProtection="1">
      <alignment horizontal="center" wrapText="1"/>
      <protection locked="0"/>
    </xf>
    <xf numFmtId="164" fontId="148" fillId="45" borderId="6" xfId="8724" applyNumberFormat="1" applyFont="1" applyFill="1" applyBorder="1" applyAlignment="1" applyProtection="1">
      <alignment horizontal="center" wrapText="1"/>
      <protection locked="0"/>
    </xf>
    <xf numFmtId="164" fontId="148" fillId="45" borderId="105" xfId="8724" applyNumberFormat="1" applyFont="1" applyFill="1" applyBorder="1" applyAlignment="1" applyProtection="1">
      <alignment horizontal="center" wrapText="1"/>
      <protection locked="0"/>
    </xf>
    <xf numFmtId="0" fontId="161" fillId="45" borderId="81" xfId="8723" applyFont="1" applyFill="1" applyBorder="1" applyAlignment="1">
      <alignment horizontal="right"/>
    </xf>
    <xf numFmtId="0" fontId="161" fillId="45" borderId="11" xfId="8723" applyFont="1" applyFill="1" applyBorder="1" applyAlignment="1">
      <alignment horizontal="right"/>
    </xf>
    <xf numFmtId="0" fontId="148" fillId="45" borderId="82" xfId="8723" applyFont="1" applyFill="1" applyBorder="1" applyAlignment="1">
      <alignment horizontal="center"/>
    </xf>
    <xf numFmtId="0" fontId="148" fillId="45" borderId="83" xfId="8723" applyFont="1" applyFill="1" applyBorder="1" applyAlignment="1">
      <alignment horizontal="center"/>
    </xf>
    <xf numFmtId="168" fontId="157" fillId="44" borderId="74" xfId="8724" applyNumberFormat="1" applyFont="1" applyFill="1" applyBorder="1" applyAlignment="1">
      <alignment horizontal="left"/>
    </xf>
    <xf numFmtId="168" fontId="157" fillId="44" borderId="94" xfId="8724" applyNumberFormat="1" applyFont="1" applyFill="1" applyBorder="1" applyAlignment="1">
      <alignment horizontal="left"/>
    </xf>
    <xf numFmtId="168" fontId="161" fillId="44" borderId="11" xfId="700" applyNumberFormat="1" applyFont="1" applyFill="1" applyBorder="1" applyAlignment="1">
      <alignment horizontal="left"/>
    </xf>
    <xf numFmtId="0" fontId="147" fillId="45" borderId="66" xfId="8723" applyFont="1" applyFill="1" applyBorder="1" applyAlignment="1">
      <alignment horizontal="center"/>
    </xf>
    <xf numFmtId="0" fontId="147" fillId="45" borderId="29" xfId="8723" applyFont="1" applyFill="1" applyBorder="1" applyAlignment="1">
      <alignment horizontal="center"/>
    </xf>
    <xf numFmtId="0" fontId="147" fillId="45" borderId="28" xfId="8723" applyFont="1" applyFill="1" applyBorder="1" applyAlignment="1">
      <alignment horizontal="center"/>
    </xf>
    <xf numFmtId="0" fontId="147" fillId="45" borderId="104" xfId="8723" applyFont="1" applyFill="1" applyBorder="1" applyAlignment="1">
      <alignment horizontal="center"/>
    </xf>
    <xf numFmtId="0" fontId="147" fillId="45" borderId="6" xfId="8723" applyFont="1" applyFill="1" applyBorder="1" applyAlignment="1">
      <alignment horizontal="center"/>
    </xf>
    <xf numFmtId="0" fontId="147" fillId="45" borderId="10" xfId="8723" applyFont="1" applyFill="1" applyBorder="1" applyAlignment="1">
      <alignment horizontal="center"/>
    </xf>
    <xf numFmtId="164" fontId="148" fillId="45" borderId="100" xfId="8724" applyNumberFormat="1" applyFont="1" applyFill="1" applyBorder="1" applyAlignment="1" applyProtection="1">
      <alignment horizontal="center" wrapText="1"/>
      <protection locked="0"/>
    </xf>
    <xf numFmtId="164" fontId="148" fillId="45" borderId="28" xfId="8724" applyNumberFormat="1" applyFont="1" applyFill="1" applyBorder="1" applyAlignment="1" applyProtection="1">
      <alignment horizontal="center" wrapText="1"/>
      <protection locked="0"/>
    </xf>
    <xf numFmtId="164" fontId="148" fillId="45" borderId="9" xfId="8724" applyNumberFormat="1" applyFont="1" applyFill="1" applyBorder="1" applyAlignment="1" applyProtection="1">
      <alignment horizontal="center" wrapText="1"/>
      <protection locked="0"/>
    </xf>
    <xf numFmtId="164" fontId="148" fillId="45" borderId="10" xfId="8724" applyNumberFormat="1" applyFont="1" applyFill="1" applyBorder="1" applyAlignment="1" applyProtection="1">
      <alignment horizontal="center" wrapText="1"/>
      <protection locked="0"/>
    </xf>
    <xf numFmtId="168" fontId="163" fillId="44" borderId="11" xfId="700" applyNumberFormat="1" applyFont="1" applyFill="1" applyBorder="1" applyAlignment="1">
      <alignment horizontal="left"/>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63" fillId="45" borderId="81" xfId="8723" applyFont="1" applyFill="1" applyBorder="1" applyAlignment="1">
      <alignment horizontal="right"/>
    </xf>
    <xf numFmtId="0" fontId="163" fillId="45" borderId="11" xfId="8723" applyFont="1" applyFill="1" applyBorder="1" applyAlignment="1">
      <alignment horizontal="right"/>
    </xf>
    <xf numFmtId="168" fontId="163" fillId="49" borderId="11" xfId="700" applyNumberFormat="1" applyFont="1" applyFill="1" applyBorder="1" applyAlignment="1" applyProtection="1">
      <alignment horizontal="left"/>
      <protection locked="0"/>
    </xf>
    <xf numFmtId="0" fontId="161" fillId="49" borderId="73" xfId="8723" applyFont="1" applyFill="1" applyBorder="1" applyAlignment="1" applyProtection="1">
      <alignment horizontal="center"/>
      <protection locked="0"/>
    </xf>
    <xf numFmtId="0" fontId="161" fillId="49" borderId="74" xfId="8723" applyFont="1" applyFill="1" applyBorder="1" applyAlignment="1" applyProtection="1">
      <alignment horizontal="center"/>
      <protection locked="0"/>
    </xf>
    <xf numFmtId="14" fontId="161" fillId="49" borderId="74" xfId="8723" applyNumberFormat="1" applyFont="1" applyFill="1" applyBorder="1" applyAlignment="1" applyProtection="1">
      <alignment horizontal="center"/>
      <protection locked="0"/>
    </xf>
    <xf numFmtId="14" fontId="161" fillId="49" borderId="94" xfId="8723" applyNumberFormat="1" applyFont="1" applyFill="1" applyBorder="1" applyAlignment="1" applyProtection="1">
      <alignment horizontal="center"/>
      <protection locked="0"/>
    </xf>
    <xf numFmtId="0" fontId="99" fillId="0" borderId="0" xfId="8723" applyFont="1" applyAlignment="1">
      <alignment horizontal="left" wrapText="1"/>
    </xf>
    <xf numFmtId="0" fontId="99" fillId="45" borderId="71" xfId="8723" applyFont="1" applyFill="1" applyBorder="1" applyAlignment="1">
      <alignment horizontal="center"/>
    </xf>
    <xf numFmtId="0" fontId="99" fillId="45" borderId="72" xfId="8723" applyFont="1" applyFill="1" applyBorder="1" applyAlignment="1">
      <alignment horizontal="center"/>
    </xf>
    <xf numFmtId="0" fontId="143" fillId="45" borderId="72" xfId="8723" applyFont="1" applyFill="1" applyBorder="1" applyAlignment="1">
      <alignment horizontal="center"/>
    </xf>
    <xf numFmtId="0" fontId="143" fillId="45" borderId="75" xfId="8723" applyFont="1" applyFill="1" applyBorder="1" applyAlignment="1">
      <alignment horizontal="center"/>
    </xf>
    <xf numFmtId="14" fontId="161" fillId="49" borderId="11" xfId="8723" applyNumberFormat="1" applyFont="1" applyFill="1" applyBorder="1" applyAlignment="1" applyProtection="1">
      <alignment horizontal="center"/>
      <protection locked="0"/>
    </xf>
    <xf numFmtId="14" fontId="161" fillId="49" borderId="92" xfId="8723" applyNumberFormat="1" applyFont="1" applyFill="1" applyBorder="1" applyAlignment="1" applyProtection="1">
      <alignment horizontal="center"/>
      <protection locked="0"/>
    </xf>
    <xf numFmtId="0" fontId="99" fillId="45" borderId="75" xfId="8723" applyFont="1" applyFill="1" applyBorder="1" applyAlignment="1">
      <alignment horizontal="center"/>
    </xf>
    <xf numFmtId="0" fontId="143" fillId="45" borderId="71" xfId="8723" applyFont="1" applyFill="1" applyBorder="1" applyAlignment="1">
      <alignment horizontal="left"/>
    </xf>
    <xf numFmtId="0" fontId="143" fillId="45" borderId="72" xfId="8723" applyFont="1" applyFill="1" applyBorder="1" applyAlignment="1">
      <alignment horizontal="left"/>
    </xf>
    <xf numFmtId="0" fontId="143" fillId="45" borderId="75" xfId="8723" applyFont="1" applyFill="1" applyBorder="1" applyAlignment="1">
      <alignment horizontal="left"/>
    </xf>
    <xf numFmtId="0" fontId="99" fillId="45" borderId="81" xfId="8723" applyFont="1" applyFill="1" applyBorder="1" applyAlignment="1">
      <alignment horizontal="center"/>
    </xf>
    <xf numFmtId="0" fontId="99" fillId="45" borderId="11" xfId="8723" applyFont="1" applyFill="1" applyBorder="1" applyAlignment="1">
      <alignment horizontal="center"/>
    </xf>
    <xf numFmtId="0" fontId="99" fillId="45" borderId="92" xfId="8723" applyFont="1" applyFill="1" applyBorder="1" applyAlignment="1">
      <alignment horizontal="center"/>
    </xf>
    <xf numFmtId="0" fontId="161" fillId="49" borderId="81" xfId="8723" applyFont="1" applyFill="1" applyBorder="1" applyAlignment="1" applyProtection="1">
      <alignment horizontal="left" vertical="top"/>
      <protection locked="0"/>
    </xf>
    <xf numFmtId="0" fontId="161" fillId="49" borderId="11" xfId="8723" applyFont="1" applyFill="1" applyBorder="1" applyAlignment="1" applyProtection="1">
      <alignment horizontal="left" vertical="top"/>
      <protection locked="0"/>
    </xf>
    <xf numFmtId="0" fontId="161" fillId="49" borderId="92" xfId="8723" applyFont="1" applyFill="1" applyBorder="1" applyAlignment="1" applyProtection="1">
      <alignment horizontal="left" vertical="top"/>
      <protection locked="0"/>
    </xf>
    <xf numFmtId="0" fontId="161" fillId="49" borderId="73" xfId="8723" applyFont="1" applyFill="1" applyBorder="1" applyAlignment="1" applyProtection="1">
      <alignment horizontal="left" vertical="top"/>
      <protection locked="0"/>
    </xf>
    <xf numFmtId="0" fontId="161" fillId="49" borderId="74" xfId="8723" applyFont="1" applyFill="1" applyBorder="1" applyAlignment="1" applyProtection="1">
      <alignment horizontal="left" vertical="top"/>
      <protection locked="0"/>
    </xf>
    <xf numFmtId="0" fontId="161" fillId="49" borderId="94" xfId="8723" applyFont="1" applyFill="1" applyBorder="1" applyAlignment="1" applyProtection="1">
      <alignment horizontal="left" vertical="top"/>
      <protection locked="0"/>
    </xf>
    <xf numFmtId="0" fontId="171" fillId="45" borderId="81" xfId="8723" applyFont="1" applyFill="1" applyBorder="1" applyAlignment="1">
      <alignment horizontal="center"/>
    </xf>
    <xf numFmtId="0" fontId="171" fillId="45" borderId="11" xfId="8723" applyFont="1" applyFill="1" applyBorder="1" applyAlignment="1">
      <alignment horizontal="center"/>
    </xf>
    <xf numFmtId="0" fontId="157" fillId="49" borderId="11" xfId="8723" applyFont="1" applyFill="1" applyBorder="1" applyAlignment="1" applyProtection="1">
      <alignment horizontal="left"/>
      <protection locked="0"/>
    </xf>
    <xf numFmtId="14" fontId="163" fillId="49" borderId="11" xfId="8723" applyNumberFormat="1" applyFont="1" applyFill="1" applyBorder="1" applyAlignment="1" applyProtection="1">
      <alignment horizontal="center"/>
      <protection locked="0"/>
    </xf>
    <xf numFmtId="168" fontId="163" fillId="49" borderId="11" xfId="8724" applyNumberFormat="1" applyFont="1" applyFill="1" applyBorder="1" applyAlignment="1" applyProtection="1">
      <alignment horizontal="center"/>
      <protection locked="0"/>
    </xf>
    <xf numFmtId="168" fontId="163" fillId="49" borderId="92" xfId="8724" applyNumberFormat="1" applyFont="1" applyFill="1" applyBorder="1" applyAlignment="1" applyProtection="1">
      <alignment horizontal="center"/>
      <protection locked="0"/>
    </xf>
    <xf numFmtId="0" fontId="171" fillId="45" borderId="73" xfId="8723" applyFont="1" applyFill="1" applyBorder="1" applyAlignment="1">
      <alignment horizontal="center"/>
    </xf>
    <xf numFmtId="0" fontId="171" fillId="45" borderId="74" xfId="8723" applyFont="1" applyFill="1" applyBorder="1" applyAlignment="1">
      <alignment horizontal="center"/>
    </xf>
    <xf numFmtId="0" fontId="157" fillId="49" borderId="74" xfId="8723" applyFont="1" applyFill="1" applyBorder="1" applyAlignment="1" applyProtection="1">
      <alignment horizontal="left"/>
      <protection locked="0"/>
    </xf>
    <xf numFmtId="0" fontId="163" fillId="49" borderId="74" xfId="8723" applyFont="1" applyFill="1" applyBorder="1" applyAlignment="1" applyProtection="1">
      <alignment horizontal="center"/>
      <protection locked="0"/>
    </xf>
    <xf numFmtId="14" fontId="163" fillId="49" borderId="74" xfId="8723" applyNumberFormat="1" applyFont="1" applyFill="1" applyBorder="1" applyAlignment="1" applyProtection="1">
      <alignment horizontal="center"/>
      <protection locked="0"/>
    </xf>
    <xf numFmtId="168" fontId="163" fillId="49" borderId="74" xfId="8724" applyNumberFormat="1" applyFont="1" applyFill="1" applyBorder="1" applyAlignment="1" applyProtection="1">
      <alignment horizontal="center"/>
      <protection locked="0"/>
    </xf>
    <xf numFmtId="168" fontId="163" fillId="49" borderId="94" xfId="8724" applyNumberFormat="1" applyFont="1" applyFill="1" applyBorder="1" applyAlignment="1" applyProtection="1">
      <alignment horizontal="center"/>
      <protection locked="0"/>
    </xf>
    <xf numFmtId="0" fontId="159" fillId="45" borderId="73" xfId="8723" applyFont="1" applyFill="1" applyBorder="1" applyAlignment="1">
      <alignment horizontal="left"/>
    </xf>
    <xf numFmtId="0" fontId="159" fillId="45" borderId="74" xfId="8723" applyFont="1" applyFill="1" applyBorder="1" applyAlignment="1">
      <alignment horizontal="left"/>
    </xf>
    <xf numFmtId="0" fontId="2" fillId="49" borderId="74" xfId="8723" applyFill="1" applyBorder="1" applyAlignment="1" applyProtection="1">
      <alignment horizontal="center"/>
      <protection locked="0"/>
    </xf>
    <xf numFmtId="0" fontId="2" fillId="49" borderId="94" xfId="8723" applyFill="1" applyBorder="1" applyAlignment="1" applyProtection="1">
      <alignment horizontal="center"/>
      <protection locked="0"/>
    </xf>
    <xf numFmtId="0" fontId="143" fillId="45" borderId="71" xfId="8723" applyFont="1" applyFill="1" applyBorder="1" applyAlignment="1">
      <alignment horizontal="center"/>
    </xf>
    <xf numFmtId="0" fontId="148" fillId="45" borderId="11" xfId="8723" applyFont="1" applyFill="1" applyBorder="1" applyAlignment="1">
      <alignment horizontal="center"/>
    </xf>
    <xf numFmtId="0" fontId="159" fillId="45" borderId="81" xfId="8723" applyFont="1" applyFill="1" applyBorder="1" applyAlignment="1">
      <alignment horizontal="left"/>
    </xf>
    <xf numFmtId="0" fontId="159" fillId="45" borderId="11" xfId="8723" applyFont="1" applyFill="1" applyBorder="1" applyAlignment="1">
      <alignment horizontal="left"/>
    </xf>
    <xf numFmtId="0" fontId="2" fillId="49" borderId="11" xfId="8723" applyFill="1" applyBorder="1" applyAlignment="1" applyProtection="1">
      <alignment horizontal="center"/>
      <protection locked="0"/>
    </xf>
    <xf numFmtId="0" fontId="2" fillId="49" borderId="92" xfId="8723" applyFill="1" applyBorder="1" applyAlignment="1" applyProtection="1">
      <alignment horizontal="center"/>
      <protection locked="0"/>
    </xf>
    <xf numFmtId="0" fontId="148" fillId="45" borderId="11" xfId="8723" applyFont="1" applyFill="1" applyBorder="1" applyAlignment="1">
      <alignment horizontal="center" wrapText="1"/>
    </xf>
    <xf numFmtId="0" fontId="148" fillId="45" borderId="92" xfId="8723" applyFont="1" applyFill="1" applyBorder="1" applyAlignment="1">
      <alignment horizontal="center" wrapText="1"/>
    </xf>
    <xf numFmtId="0" fontId="146" fillId="49" borderId="72" xfId="8723" applyFont="1" applyFill="1" applyBorder="1" applyAlignment="1" applyProtection="1">
      <alignment horizontal="left"/>
      <protection locked="0"/>
    </xf>
    <xf numFmtId="0" fontId="146" fillId="49" borderId="75" xfId="8723" applyFont="1" applyFill="1" applyBorder="1" applyAlignment="1" applyProtection="1">
      <alignment horizontal="left"/>
      <protection locked="0"/>
    </xf>
    <xf numFmtId="0" fontId="152" fillId="45" borderId="81" xfId="8723" applyFont="1" applyFill="1" applyBorder="1" applyAlignment="1">
      <alignment horizontal="left"/>
    </xf>
    <xf numFmtId="0" fontId="152" fillId="45" borderId="11" xfId="8723" applyFont="1" applyFill="1" applyBorder="1" applyAlignment="1">
      <alignment horizontal="left"/>
    </xf>
    <xf numFmtId="0" fontId="162" fillId="49" borderId="11" xfId="8723" applyFont="1" applyFill="1" applyBorder="1" applyAlignment="1" applyProtection="1">
      <alignment horizontal="left"/>
      <protection locked="0"/>
    </xf>
    <xf numFmtId="0" fontId="162"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left" vertical="top"/>
      <protection locked="0"/>
    </xf>
    <xf numFmtId="0" fontId="163" fillId="49" borderId="11" xfId="8723" applyFont="1" applyFill="1" applyBorder="1" applyAlignment="1" applyProtection="1">
      <alignment horizontal="left" vertical="top"/>
      <protection locked="0"/>
    </xf>
    <xf numFmtId="0" fontId="163" fillId="49" borderId="92" xfId="8723" applyFont="1" applyFill="1" applyBorder="1" applyAlignment="1" applyProtection="1">
      <alignment horizontal="left" vertical="top"/>
      <protection locked="0"/>
    </xf>
    <xf numFmtId="0" fontId="163" fillId="49" borderId="73" xfId="8723" applyFont="1" applyFill="1" applyBorder="1" applyAlignment="1" applyProtection="1">
      <alignment horizontal="left" vertical="top"/>
      <protection locked="0"/>
    </xf>
    <xf numFmtId="0" fontId="163" fillId="49" borderId="74" xfId="8723" applyFont="1" applyFill="1" applyBorder="1" applyAlignment="1" applyProtection="1">
      <alignment horizontal="left" vertical="top"/>
      <protection locked="0"/>
    </xf>
    <xf numFmtId="0" fontId="163" fillId="49" borderId="94" xfId="8723" applyFont="1" applyFill="1" applyBorder="1" applyAlignment="1" applyProtection="1">
      <alignment horizontal="left" vertical="top"/>
      <protection locked="0"/>
    </xf>
    <xf numFmtId="0" fontId="2" fillId="47" borderId="74" xfId="8723" applyFill="1" applyBorder="1" applyAlignment="1" applyProtection="1">
      <alignment horizontal="center"/>
      <protection locked="0"/>
    </xf>
    <xf numFmtId="0" fontId="2" fillId="47" borderId="94" xfId="8723" applyFill="1" applyBorder="1" applyAlignment="1" applyProtection="1">
      <alignment horizontal="center"/>
      <protection locked="0"/>
    </xf>
    <xf numFmtId="0" fontId="143" fillId="45" borderId="76" xfId="8723" applyFont="1" applyFill="1" applyBorder="1" applyAlignment="1">
      <alignment horizontal="center"/>
    </xf>
    <xf numFmtId="0" fontId="143" fillId="45" borderId="77" xfId="8723" applyFont="1" applyFill="1" applyBorder="1" applyAlignment="1">
      <alignment horizontal="center"/>
    </xf>
    <xf numFmtId="0" fontId="143" fillId="45" borderId="78" xfId="8723" applyFont="1" applyFill="1" applyBorder="1" applyAlignment="1">
      <alignment horizontal="center"/>
    </xf>
    <xf numFmtId="0" fontId="99" fillId="45" borderId="71" xfId="8723" applyFont="1" applyFill="1" applyBorder="1" applyAlignment="1">
      <alignment horizontal="left" wrapText="1"/>
    </xf>
    <xf numFmtId="0" fontId="99" fillId="45" borderId="72" xfId="8723" applyFont="1" applyFill="1" applyBorder="1" applyAlignment="1">
      <alignment horizontal="left" wrapText="1"/>
    </xf>
    <xf numFmtId="0" fontId="99" fillId="45" borderId="75" xfId="8723" applyFont="1" applyFill="1" applyBorder="1" applyAlignment="1">
      <alignment horizontal="left" wrapText="1"/>
    </xf>
    <xf numFmtId="0" fontId="99" fillId="45" borderId="81" xfId="8723" applyFont="1" applyFill="1" applyBorder="1" applyAlignment="1">
      <alignment horizontal="left" wrapText="1"/>
    </xf>
    <xf numFmtId="0" fontId="99" fillId="45" borderId="11" xfId="8723" applyFont="1" applyFill="1" applyBorder="1" applyAlignment="1">
      <alignment horizontal="left" wrapText="1"/>
    </xf>
    <xf numFmtId="0" fontId="99" fillId="45" borderId="92" xfId="8723" applyFont="1" applyFill="1" applyBorder="1" applyAlignment="1">
      <alignment horizontal="left" wrapText="1"/>
    </xf>
    <xf numFmtId="0" fontId="99" fillId="45" borderId="66" xfId="8723" applyFont="1" applyFill="1" applyBorder="1" applyAlignment="1">
      <alignment horizontal="center"/>
    </xf>
    <xf numFmtId="0" fontId="99" fillId="45" borderId="29" xfId="8723" applyFont="1" applyFill="1" applyBorder="1" applyAlignment="1">
      <alignment horizontal="center"/>
    </xf>
    <xf numFmtId="0" fontId="99" fillId="45" borderId="31" xfId="8723" applyFont="1" applyFill="1" applyBorder="1" applyAlignment="1">
      <alignment horizontal="center"/>
    </xf>
    <xf numFmtId="0" fontId="147" fillId="45" borderId="11" xfId="8723" applyFont="1" applyFill="1" applyBorder="1" applyAlignment="1">
      <alignment horizontal="center"/>
    </xf>
    <xf numFmtId="0" fontId="158" fillId="45" borderId="11" xfId="8723" applyFont="1" applyFill="1" applyBorder="1" applyAlignment="1">
      <alignment horizontal="left"/>
    </xf>
    <xf numFmtId="0" fontId="158" fillId="45" borderId="92" xfId="8723" applyFont="1" applyFill="1" applyBorder="1" applyAlignment="1">
      <alignment horizontal="left"/>
    </xf>
    <xf numFmtId="0" fontId="161" fillId="49" borderId="81" xfId="8723" applyFont="1" applyFill="1" applyBorder="1" applyAlignment="1">
      <alignment horizontal="left" vertical="top"/>
    </xf>
    <xf numFmtId="0" fontId="161" fillId="49" borderId="11" xfId="8723" applyFont="1" applyFill="1" applyBorder="1" applyAlignment="1">
      <alignment horizontal="left" vertical="top"/>
    </xf>
    <xf numFmtId="0" fontId="161" fillId="49" borderId="92" xfId="8723" applyFont="1" applyFill="1" applyBorder="1" applyAlignment="1">
      <alignment horizontal="left" vertical="top"/>
    </xf>
    <xf numFmtId="0" fontId="161" fillId="49" borderId="73" xfId="8723" applyFont="1" applyFill="1" applyBorder="1" applyAlignment="1">
      <alignment horizontal="left" vertical="top"/>
    </xf>
    <xf numFmtId="0" fontId="161" fillId="49" borderId="74" xfId="8723" applyFont="1" applyFill="1" applyBorder="1" applyAlignment="1">
      <alignment horizontal="left" vertical="top"/>
    </xf>
    <xf numFmtId="0" fontId="161" fillId="49" borderId="94" xfId="8723" applyFont="1" applyFill="1" applyBorder="1" applyAlignment="1">
      <alignment horizontal="left" vertical="top"/>
    </xf>
    <xf numFmtId="0" fontId="147" fillId="45" borderId="73" xfId="8723" applyFont="1" applyFill="1" applyBorder="1" applyAlignment="1">
      <alignment horizontal="center"/>
    </xf>
    <xf numFmtId="0" fontId="147" fillId="45" borderId="74" xfId="8723" applyFont="1" applyFill="1" applyBorder="1" applyAlignment="1">
      <alignment horizontal="center"/>
    </xf>
    <xf numFmtId="0" fontId="147" fillId="45" borderId="81" xfId="8723" applyFont="1" applyFill="1" applyBorder="1" applyAlignment="1">
      <alignment horizontal="center"/>
    </xf>
    <xf numFmtId="0" fontId="146" fillId="49" borderId="72" xfId="8723" applyFont="1" applyFill="1" applyBorder="1" applyAlignment="1" applyProtection="1">
      <alignment horizontal="left" wrapText="1"/>
      <protection locked="0"/>
    </xf>
    <xf numFmtId="0" fontId="146" fillId="49" borderId="75" xfId="8723" applyFont="1" applyFill="1" applyBorder="1" applyAlignment="1" applyProtection="1">
      <alignment horizontal="left" wrapText="1"/>
      <protection locked="0"/>
    </xf>
    <xf numFmtId="0" fontId="146" fillId="49" borderId="11" xfId="8723" applyFont="1" applyFill="1" applyBorder="1" applyAlignment="1" applyProtection="1">
      <alignment horizontal="left" wrapText="1"/>
      <protection locked="0"/>
    </xf>
    <xf numFmtId="0" fontId="146" fillId="49" borderId="92" xfId="8723" applyFont="1" applyFill="1" applyBorder="1" applyAlignment="1" applyProtection="1">
      <alignment horizontal="left" wrapText="1"/>
      <protection locked="0"/>
    </xf>
    <xf numFmtId="0" fontId="147" fillId="45" borderId="11" xfId="8723" applyFont="1" applyFill="1" applyBorder="1" applyAlignment="1">
      <alignment horizontal="center" wrapText="1"/>
    </xf>
    <xf numFmtId="0" fontId="148" fillId="45" borderId="92" xfId="8723" applyFont="1" applyFill="1" applyBorder="1" applyAlignment="1">
      <alignment horizontal="center"/>
    </xf>
    <xf numFmtId="0" fontId="99" fillId="45" borderId="71" xfId="8723" applyFont="1" applyFill="1" applyBorder="1" applyAlignment="1">
      <alignment horizontal="center" wrapText="1"/>
    </xf>
    <xf numFmtId="0" fontId="99" fillId="45" borderId="72" xfId="8723" applyFont="1" applyFill="1" applyBorder="1" applyAlignment="1">
      <alignment horizontal="center" wrapText="1"/>
    </xf>
    <xf numFmtId="0" fontId="99" fillId="45" borderId="75" xfId="8723" applyFont="1" applyFill="1" applyBorder="1" applyAlignment="1">
      <alignment horizontal="center" wrapText="1"/>
    </xf>
    <xf numFmtId="0" fontId="163" fillId="49" borderId="81" xfId="8723" applyFont="1" applyFill="1" applyBorder="1" applyAlignment="1" applyProtection="1">
      <alignment horizontal="right"/>
      <protection locked="0"/>
    </xf>
    <xf numFmtId="0" fontId="163" fillId="49" borderId="11" xfId="8723" applyFont="1" applyFill="1" applyBorder="1" applyAlignment="1" applyProtection="1">
      <alignment horizontal="right"/>
      <protection locked="0"/>
    </xf>
    <xf numFmtId="168" fontId="163" fillId="49" borderId="92" xfId="700" applyNumberFormat="1" applyFont="1" applyFill="1" applyBorder="1" applyAlignment="1" applyProtection="1">
      <alignment horizontal="left"/>
      <protection locked="0"/>
    </xf>
    <xf numFmtId="0" fontId="143" fillId="45" borderId="96" xfId="8723" applyFont="1" applyFill="1" applyBorder="1" applyAlignment="1">
      <alignment horizontal="center"/>
    </xf>
    <xf numFmtId="0" fontId="143" fillId="45" borderId="13" xfId="8723" applyFont="1" applyFill="1" applyBorder="1" applyAlignment="1">
      <alignment horizontal="center"/>
    </xf>
    <xf numFmtId="0" fontId="161" fillId="49" borderId="81" xfId="8723" applyFont="1" applyFill="1" applyBorder="1" applyAlignment="1" applyProtection="1">
      <alignment horizontal="right"/>
      <protection locked="0"/>
    </xf>
    <xf numFmtId="0" fontId="161" fillId="49" borderId="11" xfId="8723" applyFont="1" applyFill="1" applyBorder="1" applyAlignment="1" applyProtection="1">
      <alignment horizontal="right"/>
      <protection locked="0"/>
    </xf>
    <xf numFmtId="0" fontId="143" fillId="45" borderId="95" xfId="8723" applyFont="1" applyFill="1" applyBorder="1" applyAlignment="1">
      <alignment horizontal="right"/>
    </xf>
    <xf numFmtId="0" fontId="143" fillId="45" borderId="43" xfId="8723" applyFont="1" applyFill="1" applyBorder="1" applyAlignment="1">
      <alignment horizontal="right"/>
    </xf>
    <xf numFmtId="168" fontId="143" fillId="45" borderId="43" xfId="8723" applyNumberFormat="1" applyFont="1" applyFill="1" applyBorder="1" applyAlignment="1">
      <alignment horizontal="left"/>
    </xf>
    <xf numFmtId="168" fontId="143" fillId="45" borderId="97" xfId="8723" applyNumberFormat="1" applyFont="1" applyFill="1" applyBorder="1" applyAlignment="1">
      <alignment horizontal="left"/>
    </xf>
    <xf numFmtId="0" fontId="161" fillId="49" borderId="72" xfId="8723" applyFont="1" applyFill="1" applyBorder="1" applyAlignment="1" applyProtection="1">
      <alignment horizontal="left"/>
      <protection locked="0"/>
    </xf>
    <xf numFmtId="0" fontId="161" fillId="49" borderId="75" xfId="8723" applyFont="1" applyFill="1" applyBorder="1" applyAlignment="1" applyProtection="1">
      <alignment horizontal="left"/>
      <protection locked="0"/>
    </xf>
    <xf numFmtId="0" fontId="143" fillId="45" borderId="73" xfId="8723" applyFont="1" applyFill="1" applyBorder="1" applyAlignment="1">
      <alignment horizontal="center"/>
    </xf>
    <xf numFmtId="0" fontId="143" fillId="45" borderId="74" xfId="8723" applyFont="1" applyFill="1" applyBorder="1" applyAlignment="1">
      <alignment horizontal="center"/>
    </xf>
    <xf numFmtId="0" fontId="161" fillId="49" borderId="74" xfId="8723" applyFont="1" applyFill="1" applyBorder="1" applyAlignment="1" applyProtection="1">
      <alignment horizontal="left"/>
      <protection locked="0"/>
    </xf>
    <xf numFmtId="0" fontId="161" fillId="49" borderId="94" xfId="8723" applyFont="1" applyFill="1" applyBorder="1" applyAlignment="1" applyProtection="1">
      <alignment horizontal="left"/>
      <protection locked="0"/>
    </xf>
    <xf numFmtId="0" fontId="146" fillId="49" borderId="90" xfId="8723" applyFont="1" applyFill="1" applyBorder="1" applyAlignment="1" applyProtection="1">
      <alignment horizontal="left"/>
      <protection locked="0"/>
    </xf>
    <xf numFmtId="0" fontId="143" fillId="45" borderId="81" xfId="8723" applyFont="1" applyFill="1" applyBorder="1" applyAlignment="1">
      <alignment horizontal="center"/>
    </xf>
    <xf numFmtId="0" fontId="143" fillId="45" borderId="11" xfId="8723" applyFont="1" applyFill="1" applyBorder="1" applyAlignment="1">
      <alignment horizontal="center"/>
    </xf>
    <xf numFmtId="0" fontId="143" fillId="45" borderId="3" xfId="8723" applyFont="1" applyFill="1" applyBorder="1" applyAlignment="1">
      <alignment horizontal="center"/>
    </xf>
    <xf numFmtId="0" fontId="143" fillId="45" borderId="4" xfId="8723" applyFont="1" applyFill="1" applyBorder="1" applyAlignment="1">
      <alignment horizontal="center"/>
    </xf>
    <xf numFmtId="0" fontId="143" fillId="45" borderId="80" xfId="8723" applyFont="1" applyFill="1" applyBorder="1" applyAlignment="1">
      <alignment horizontal="center"/>
    </xf>
    <xf numFmtId="0" fontId="99" fillId="45" borderId="73" xfId="8723" applyFont="1" applyFill="1" applyBorder="1" applyAlignment="1">
      <alignment horizontal="center"/>
    </xf>
    <xf numFmtId="0" fontId="99" fillId="45" borderId="74" xfId="8723" applyFont="1" applyFill="1" applyBorder="1" applyAlignment="1">
      <alignment horizontal="center"/>
    </xf>
    <xf numFmtId="14" fontId="146" fillId="49" borderId="84" xfId="8723" applyNumberFormat="1" applyFont="1" applyFill="1" applyBorder="1" applyAlignment="1" applyProtection="1">
      <alignment horizontal="center"/>
      <protection locked="0"/>
    </xf>
    <xf numFmtId="0" fontId="146" fillId="49" borderId="74" xfId="8723" applyFont="1" applyFill="1" applyBorder="1" applyAlignment="1" applyProtection="1">
      <alignment horizontal="center"/>
      <protection locked="0"/>
    </xf>
    <xf numFmtId="0" fontId="146" fillId="49" borderId="94" xfId="8723" applyFont="1" applyFill="1" applyBorder="1" applyAlignment="1" applyProtection="1">
      <alignment horizontal="center"/>
      <protection locked="0"/>
    </xf>
    <xf numFmtId="0" fontId="161" fillId="44" borderId="81" xfId="8723" applyFont="1" applyFill="1" applyBorder="1" applyAlignment="1" applyProtection="1">
      <alignment horizontal="right"/>
      <protection locked="0"/>
    </xf>
    <xf numFmtId="0" fontId="161" fillId="44" borderId="11" xfId="8723" applyFont="1" applyFill="1" applyBorder="1" applyAlignment="1" applyProtection="1">
      <alignment horizontal="right"/>
      <protection locked="0"/>
    </xf>
    <xf numFmtId="0" fontId="161" fillId="44" borderId="92" xfId="8723" applyFont="1" applyFill="1" applyBorder="1" applyAlignment="1" applyProtection="1">
      <alignment horizontal="right"/>
      <protection locked="0"/>
    </xf>
    <xf numFmtId="0" fontId="161" fillId="49" borderId="5" xfId="8723" applyFont="1" applyFill="1" applyBorder="1" applyAlignment="1" applyProtection="1">
      <alignment horizontal="left"/>
      <protection locked="0"/>
    </xf>
    <xf numFmtId="0" fontId="161" fillId="44" borderId="73" xfId="8723" applyFont="1" applyFill="1" applyBorder="1" applyAlignment="1" applyProtection="1">
      <alignment horizontal="right"/>
      <protection locked="0"/>
    </xf>
    <xf numFmtId="0" fontId="161" fillId="44" borderId="74" xfId="8723" applyFont="1" applyFill="1" applyBorder="1" applyAlignment="1" applyProtection="1">
      <alignment horizontal="right"/>
      <protection locked="0"/>
    </xf>
    <xf numFmtId="0" fontId="161" fillId="44" borderId="94" xfId="8723" applyFont="1" applyFill="1" applyBorder="1" applyAlignment="1" applyProtection="1">
      <alignment horizontal="right"/>
      <protection locked="0"/>
    </xf>
    <xf numFmtId="0" fontId="161" fillId="49" borderId="84" xfId="8723" applyFont="1" applyFill="1" applyBorder="1" applyAlignment="1" applyProtection="1">
      <alignment horizontal="left"/>
      <protection locked="0"/>
    </xf>
    <xf numFmtId="0" fontId="143" fillId="45" borderId="66" xfId="8723" applyFont="1" applyFill="1" applyBorder="1" applyAlignment="1">
      <alignment horizontal="center"/>
    </xf>
    <xf numFmtId="0" fontId="143" fillId="45" borderId="29" xfId="8723" applyFont="1" applyFill="1" applyBorder="1" applyAlignment="1">
      <alignment horizontal="center"/>
    </xf>
    <xf numFmtId="0" fontId="143" fillId="45" borderId="31" xfId="8723" applyFont="1" applyFill="1" applyBorder="1" applyAlignment="1">
      <alignment horizontal="center"/>
    </xf>
    <xf numFmtId="168" fontId="161" fillId="49" borderId="11" xfId="8724" applyNumberFormat="1"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2" xfId="700" applyNumberFormat="1" applyFont="1" applyFill="1" applyBorder="1" applyAlignment="1" applyProtection="1">
      <alignment horizontal="left"/>
      <protection locked="0"/>
    </xf>
    <xf numFmtId="168" fontId="147" fillId="45" borderId="74" xfId="8724" applyNumberFormat="1" applyFont="1" applyFill="1" applyBorder="1" applyAlignment="1">
      <alignment horizontal="center"/>
    </xf>
    <xf numFmtId="1" fontId="147" fillId="45" borderId="74" xfId="8724" applyNumberFormat="1" applyFont="1" applyFill="1" applyBorder="1" applyAlignment="1">
      <alignment horizontal="center"/>
    </xf>
    <xf numFmtId="0" fontId="147" fillId="45" borderId="74" xfId="8724" applyNumberFormat="1" applyFont="1" applyFill="1" applyBorder="1" applyAlignment="1">
      <alignment horizontal="center"/>
    </xf>
    <xf numFmtId="0" fontId="147" fillId="45" borderId="94" xfId="8724" applyNumberFormat="1" applyFont="1" applyFill="1" applyBorder="1" applyAlignment="1">
      <alignment horizontal="center"/>
    </xf>
    <xf numFmtId="0" fontId="148" fillId="45" borderId="11" xfId="8723" applyFont="1" applyFill="1" applyBorder="1" applyAlignment="1">
      <alignment horizontal="center" vertical="center" wrapText="1"/>
    </xf>
    <xf numFmtId="0" fontId="148" fillId="45" borderId="92" xfId="8723" applyFont="1" applyFill="1" applyBorder="1" applyAlignment="1">
      <alignment horizontal="center" vertical="center" wrapText="1"/>
    </xf>
    <xf numFmtId="1" fontId="162" fillId="49" borderId="74" xfId="8723" applyNumberFormat="1" applyFont="1" applyFill="1" applyBorder="1" applyAlignment="1" applyProtection="1">
      <alignment horizontal="center"/>
      <protection locked="0"/>
    </xf>
    <xf numFmtId="1" fontId="148" fillId="44" borderId="74" xfId="8723" applyNumberFormat="1" applyFont="1" applyFill="1" applyBorder="1" applyAlignment="1">
      <alignment horizontal="center"/>
    </xf>
    <xf numFmtId="9" fontId="148" fillId="44" borderId="74" xfId="8725" applyFont="1" applyFill="1" applyBorder="1" applyAlignment="1">
      <alignment horizontal="center"/>
    </xf>
    <xf numFmtId="9" fontId="148" fillId="44" borderId="94" xfId="8725" applyFont="1" applyFill="1" applyBorder="1" applyAlignment="1">
      <alignment horizontal="center"/>
    </xf>
    <xf numFmtId="1" fontId="162" fillId="49" borderId="11" xfId="8723" applyNumberFormat="1" applyFont="1" applyFill="1" applyBorder="1" applyAlignment="1" applyProtection="1">
      <alignment horizontal="center"/>
      <protection locked="0"/>
    </xf>
    <xf numFmtId="1" fontId="148" fillId="44" borderId="11" xfId="8723" applyNumberFormat="1" applyFont="1" applyFill="1" applyBorder="1" applyAlignment="1">
      <alignment horizontal="center"/>
    </xf>
    <xf numFmtId="9" fontId="148" fillId="44" borderId="11" xfId="8725" applyFont="1" applyFill="1" applyBorder="1" applyAlignment="1">
      <alignment horizontal="center"/>
    </xf>
    <xf numFmtId="9" fontId="148" fillId="44" borderId="92" xfId="8725" applyFont="1" applyFill="1" applyBorder="1" applyAlignment="1">
      <alignment horizontal="center"/>
    </xf>
    <xf numFmtId="0" fontId="161" fillId="49" borderId="73" xfId="8723" applyFont="1" applyFill="1" applyBorder="1" applyAlignment="1" applyProtection="1">
      <alignment horizontal="right"/>
      <protection locked="0"/>
    </xf>
    <xf numFmtId="0" fontId="161" fillId="49" borderId="74" xfId="8723" applyFont="1" applyFill="1" applyBorder="1" applyAlignment="1" applyProtection="1">
      <alignment horizontal="right"/>
      <protection locked="0"/>
    </xf>
    <xf numFmtId="0" fontId="162" fillId="49" borderId="74"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9" fontId="148" fillId="49" borderId="11" xfId="8723" applyNumberFormat="1" applyFont="1" applyFill="1" applyBorder="1" applyAlignment="1" applyProtection="1">
      <alignment horizontal="center"/>
      <protection locked="0"/>
    </xf>
    <xf numFmtId="0" fontId="148" fillId="44" borderId="11" xfId="8723" applyFont="1" applyFill="1" applyBorder="1" applyAlignment="1">
      <alignment horizontal="center"/>
    </xf>
    <xf numFmtId="0" fontId="148" fillId="44" borderId="92" xfId="8723" applyFont="1" applyFill="1" applyBorder="1" applyAlignment="1">
      <alignment horizontal="center"/>
    </xf>
    <xf numFmtId="0" fontId="147" fillId="44" borderId="89" xfId="8723" applyFont="1" applyFill="1" applyBorder="1" applyAlignment="1">
      <alignment horizontal="center"/>
    </xf>
    <xf numFmtId="0" fontId="147" fillId="44" borderId="42" xfId="8723" applyFont="1" applyFill="1" applyBorder="1" applyAlignment="1">
      <alignment horizontal="center"/>
    </xf>
    <xf numFmtId="0" fontId="147" fillId="44" borderId="88" xfId="8723" applyFont="1" applyFill="1" applyBorder="1" applyAlignment="1">
      <alignment horizontal="center"/>
    </xf>
    <xf numFmtId="9" fontId="147" fillId="44" borderId="89"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81" xfId="8723" applyFont="1" applyFill="1" applyBorder="1" applyAlignment="1">
      <alignment horizontal="center" vertical="center" wrapText="1"/>
    </xf>
    <xf numFmtId="0" fontId="148" fillId="45" borderId="11" xfId="8723" applyFont="1" applyFill="1" applyBorder="1" applyAlignment="1">
      <alignment horizontal="center" vertical="center"/>
    </xf>
    <xf numFmtId="0" fontId="148" fillId="45" borderId="81" xfId="8723" applyFont="1" applyFill="1" applyBorder="1" applyAlignment="1">
      <alignment horizontal="center" vertical="center"/>
    </xf>
    <xf numFmtId="0" fontId="147" fillId="45" borderId="1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92" xfId="8723" applyFont="1" applyFill="1" applyBorder="1" applyAlignment="1">
      <alignment horizontal="center" vertical="center" wrapText="1"/>
    </xf>
    <xf numFmtId="0" fontId="147" fillId="44" borderId="87" xfId="8723" applyFont="1" applyFill="1" applyBorder="1" applyAlignment="1">
      <alignment horizontal="center"/>
    </xf>
    <xf numFmtId="0" fontId="161" fillId="44" borderId="3" xfId="8723" applyFont="1" applyFill="1" applyBorder="1" applyAlignment="1">
      <alignment horizontal="center"/>
    </xf>
    <xf numFmtId="0" fontId="161" fillId="44" borderId="4" xfId="8723" applyFont="1" applyFill="1" applyBorder="1" applyAlignment="1">
      <alignment horizontal="center"/>
    </xf>
    <xf numFmtId="0" fontId="161" fillId="44" borderId="5" xfId="8723" applyFont="1" applyFill="1" applyBorder="1" applyAlignment="1">
      <alignment horizontal="center"/>
    </xf>
    <xf numFmtId="9" fontId="147" fillId="44" borderId="3" xfId="8723" applyNumberFormat="1" applyFont="1" applyFill="1" applyBorder="1" applyAlignment="1">
      <alignment horizontal="center"/>
    </xf>
    <xf numFmtId="9" fontId="147" fillId="44" borderId="4" xfId="8723" applyNumberFormat="1" applyFont="1" applyFill="1" applyBorder="1" applyAlignment="1">
      <alignment horizontal="center"/>
    </xf>
    <xf numFmtId="9" fontId="147" fillId="44" borderId="80" xfId="8723" applyNumberFormat="1" applyFont="1" applyFill="1" applyBorder="1" applyAlignment="1">
      <alignment horizontal="center"/>
    </xf>
    <xf numFmtId="0" fontId="147" fillId="44" borderId="82" xfId="8723" applyFont="1" applyFill="1" applyBorder="1" applyAlignment="1">
      <alignment horizontal="center"/>
    </xf>
    <xf numFmtId="0" fontId="147" fillId="44" borderId="83" xfId="8723" applyFont="1" applyFill="1" applyBorder="1" applyAlignment="1">
      <alignment horizontal="center"/>
    </xf>
    <xf numFmtId="0" fontId="147" fillId="44" borderId="84" xfId="8723" applyFont="1" applyFill="1" applyBorder="1" applyAlignment="1">
      <alignment horizontal="center"/>
    </xf>
    <xf numFmtId="0" fontId="161" fillId="44" borderId="85" xfId="8723" applyFont="1" applyFill="1" applyBorder="1" applyAlignment="1">
      <alignment horizontal="center"/>
    </xf>
    <xf numFmtId="0" fontId="161" fillId="44" borderId="83" xfId="8723" applyFont="1" applyFill="1" applyBorder="1" applyAlignment="1">
      <alignment horizontal="center"/>
    </xf>
    <xf numFmtId="0" fontId="161" fillId="44" borderId="84" xfId="8723" applyFont="1" applyFill="1" applyBorder="1" applyAlignment="1">
      <alignment horizontal="center"/>
    </xf>
    <xf numFmtId="9" fontId="147" fillId="44" borderId="85" xfId="8723" applyNumberFormat="1" applyFont="1" applyFill="1" applyBorder="1" applyAlignment="1">
      <alignment horizontal="center"/>
    </xf>
    <xf numFmtId="9" fontId="147" fillId="44" borderId="83" xfId="8723" applyNumberFormat="1" applyFont="1" applyFill="1" applyBorder="1" applyAlignment="1">
      <alignment horizontal="center"/>
    </xf>
    <xf numFmtId="9" fontId="147" fillId="44" borderId="86" xfId="8723" applyNumberFormat="1" applyFont="1" applyFill="1" applyBorder="1" applyAlignment="1">
      <alignment horizontal="center"/>
    </xf>
    <xf numFmtId="9" fontId="161" fillId="49" borderId="93" xfId="8723" applyNumberFormat="1" applyFont="1" applyFill="1" applyBorder="1" applyAlignment="1">
      <alignment horizontal="center"/>
    </xf>
    <xf numFmtId="9" fontId="161" fillId="49" borderId="4" xfId="8723" applyNumberFormat="1" applyFont="1" applyFill="1" applyBorder="1" applyAlignment="1">
      <alignment horizontal="center"/>
    </xf>
    <xf numFmtId="9" fontId="161" fillId="49" borderId="5" xfId="8723" applyNumberFormat="1" applyFont="1" applyFill="1" applyBorder="1" applyAlignment="1">
      <alignment horizontal="center"/>
    </xf>
    <xf numFmtId="0" fontId="147" fillId="45" borderId="79" xfId="8723" applyFont="1" applyFill="1" applyBorder="1" applyAlignment="1">
      <alignment horizontal="center"/>
    </xf>
    <xf numFmtId="0" fontId="147" fillId="45" borderId="2" xfId="8723" applyFont="1" applyFill="1" applyBorder="1" applyAlignment="1">
      <alignment horizontal="center"/>
    </xf>
    <xf numFmtId="0" fontId="147" fillId="45" borderId="7" xfId="8723" applyFont="1" applyFill="1" applyBorder="1" applyAlignment="1">
      <alignment horizontal="center"/>
    </xf>
    <xf numFmtId="0" fontId="147" fillId="45" borderId="3" xfId="8723" applyFont="1" applyFill="1" applyBorder="1" applyAlignment="1">
      <alignment horizontal="center"/>
    </xf>
    <xf numFmtId="0" fontId="147" fillId="45" borderId="4" xfId="8723" applyFont="1" applyFill="1" applyBorder="1" applyAlignment="1">
      <alignment horizontal="center"/>
    </xf>
    <xf numFmtId="0" fontId="147" fillId="45" borderId="5" xfId="8723" applyFont="1" applyFill="1" applyBorder="1" applyAlignment="1">
      <alignment horizontal="center"/>
    </xf>
    <xf numFmtId="0" fontId="147" fillId="45" borderId="80" xfId="8723" applyFont="1" applyFill="1" applyBorder="1" applyAlignment="1">
      <alignment horizontal="center"/>
    </xf>
    <xf numFmtId="0" fontId="147" fillId="45" borderId="11" xfId="8723" applyFont="1" applyFill="1" applyBorder="1" applyAlignment="1">
      <alignment horizontal="right"/>
    </xf>
    <xf numFmtId="14" fontId="146" fillId="49" borderId="11" xfId="8723" applyNumberFormat="1" applyFont="1" applyFill="1" applyBorder="1" applyAlignment="1" applyProtection="1">
      <alignment horizontal="center" vertical="center"/>
      <protection locked="0"/>
    </xf>
    <xf numFmtId="0" fontId="146" fillId="49" borderId="11" xfId="8723" applyFont="1" applyFill="1" applyBorder="1" applyAlignment="1" applyProtection="1">
      <alignment horizontal="center" vertical="center"/>
      <protection locked="0"/>
    </xf>
    <xf numFmtId="0" fontId="99" fillId="45" borderId="68" xfId="8723" applyFont="1" applyFill="1" applyBorder="1" applyAlignment="1">
      <alignment horizontal="center"/>
    </xf>
    <xf numFmtId="0" fontId="99" fillId="45" borderId="69" xfId="8723" applyFont="1" applyFill="1" applyBorder="1" applyAlignment="1">
      <alignment horizontal="center"/>
    </xf>
    <xf numFmtId="0" fontId="99" fillId="45" borderId="70" xfId="8723" applyFont="1" applyFill="1" applyBorder="1" applyAlignment="1">
      <alignment horizontal="center"/>
    </xf>
    <xf numFmtId="0" fontId="146" fillId="49" borderId="68" xfId="8723" applyFont="1" applyFill="1" applyBorder="1" applyAlignment="1" applyProtection="1">
      <alignment horizontal="center"/>
      <protection locked="0"/>
    </xf>
    <xf numFmtId="0" fontId="146" fillId="49" borderId="69" xfId="8723" applyFont="1" applyFill="1" applyBorder="1" applyAlignment="1" applyProtection="1">
      <alignment horizontal="center"/>
      <protection locked="0"/>
    </xf>
    <xf numFmtId="0" fontId="146" fillId="49" borderId="70" xfId="8723" applyFont="1" applyFill="1" applyBorder="1" applyAlignment="1" applyProtection="1">
      <alignment horizontal="center"/>
      <protection locked="0"/>
    </xf>
    <xf numFmtId="0" fontId="99" fillId="45" borderId="68" xfId="8723" applyFont="1" applyFill="1" applyBorder="1" applyAlignment="1">
      <alignment horizontal="right"/>
    </xf>
    <xf numFmtId="0" fontId="99" fillId="45" borderId="69" xfId="8723" applyFont="1" applyFill="1" applyBorder="1" applyAlignment="1">
      <alignment horizontal="right"/>
    </xf>
    <xf numFmtId="0" fontId="99" fillId="45" borderId="101" xfId="8723" applyFont="1" applyFill="1" applyBorder="1" applyAlignment="1">
      <alignment horizontal="right"/>
    </xf>
    <xf numFmtId="0" fontId="2" fillId="44" borderId="98" xfId="8723" applyFill="1" applyBorder="1" applyAlignment="1">
      <alignment horizontal="center"/>
    </xf>
    <xf numFmtId="0" fontId="2" fillId="44" borderId="99" xfId="8723" applyFill="1" applyBorder="1" applyAlignment="1">
      <alignment horizontal="center"/>
    </xf>
    <xf numFmtId="168" fontId="163" fillId="44" borderId="11" xfId="8724" applyNumberFormat="1" applyFont="1" applyFill="1" applyBorder="1" applyAlignment="1" applyProtection="1">
      <alignment horizontal="left"/>
    </xf>
    <xf numFmtId="1" fontId="2" fillId="44" borderId="11" xfId="8723" applyNumberFormat="1" applyFill="1" applyBorder="1" applyAlignment="1">
      <alignment horizontal="center"/>
    </xf>
    <xf numFmtId="0" fontId="2" fillId="44" borderId="11" xfId="8723" applyFill="1" applyBorder="1" applyAlignment="1">
      <alignment horizontal="center"/>
    </xf>
    <xf numFmtId="0" fontId="144" fillId="45" borderId="11" xfId="8723" applyFont="1" applyFill="1" applyBorder="1" applyAlignment="1">
      <alignment horizontal="right" wrapText="1"/>
    </xf>
    <xf numFmtId="0" fontId="146" fillId="44" borderId="68" xfId="8723" applyFont="1" applyFill="1" applyBorder="1" applyAlignment="1">
      <alignment horizontal="left"/>
    </xf>
    <xf numFmtId="0" fontId="146" fillId="44" borderId="69" xfId="8723" applyFont="1" applyFill="1" applyBorder="1" applyAlignment="1">
      <alignment horizontal="left"/>
    </xf>
    <xf numFmtId="0" fontId="146" fillId="44" borderId="70" xfId="8723" applyFont="1" applyFill="1" applyBorder="1" applyAlignment="1">
      <alignment horizontal="left"/>
    </xf>
    <xf numFmtId="0" fontId="144" fillId="45" borderId="11" xfId="8723" applyFont="1" applyFill="1" applyBorder="1" applyAlignment="1">
      <alignment horizontal="right"/>
    </xf>
    <xf numFmtId="1" fontId="146" fillId="49" borderId="11" xfId="8723" applyNumberFormat="1" applyFont="1" applyFill="1" applyBorder="1" applyAlignment="1" applyProtection="1">
      <alignment horizontal="center"/>
      <protection locked="0"/>
    </xf>
    <xf numFmtId="0" fontId="2" fillId="44" borderId="68" xfId="8723" applyFill="1" applyBorder="1" applyAlignment="1">
      <alignment horizontal="center"/>
    </xf>
    <xf numFmtId="0" fontId="2" fillId="44" borderId="69" xfId="8723" applyFill="1" applyBorder="1" applyAlignment="1">
      <alignment horizontal="center"/>
    </xf>
    <xf numFmtId="0" fontId="2" fillId="44" borderId="70" xfId="8723" applyFill="1" applyBorder="1" applyAlignment="1">
      <alignment horizontal="center"/>
    </xf>
    <xf numFmtId="0" fontId="142" fillId="47" borderId="66" xfId="8723" applyFont="1" applyFill="1" applyBorder="1" applyAlignment="1">
      <alignment horizontal="center"/>
    </xf>
    <xf numFmtId="0" fontId="142" fillId="47" borderId="29" xfId="8723" applyFont="1" applyFill="1" applyBorder="1" applyAlignment="1">
      <alignment horizontal="center"/>
    </xf>
    <xf numFmtId="0" fontId="142" fillId="47" borderId="31" xfId="8723" applyFont="1" applyFill="1" applyBorder="1" applyAlignment="1">
      <alignment horizontal="center"/>
    </xf>
    <xf numFmtId="0" fontId="143" fillId="49" borderId="67" xfId="8723" applyFont="1" applyFill="1" applyBorder="1" applyAlignment="1">
      <alignment horizontal="center"/>
    </xf>
    <xf numFmtId="0" fontId="143" fillId="49" borderId="0" xfId="8723" applyFont="1" applyFill="1" applyAlignment="1">
      <alignment horizontal="center"/>
    </xf>
    <xf numFmtId="0" fontId="143" fillId="49" borderId="41" xfId="8723" applyFont="1" applyFill="1" applyBorder="1" applyAlignment="1">
      <alignment horizontal="center"/>
    </xf>
    <xf numFmtId="0" fontId="159" fillId="45" borderId="11" xfId="8723" applyFont="1" applyFill="1" applyBorder="1" applyAlignment="1">
      <alignment horizontal="right"/>
    </xf>
    <xf numFmtId="14" fontId="146" fillId="49" borderId="11" xfId="8723" applyNumberFormat="1" applyFont="1" applyFill="1" applyBorder="1" applyAlignment="1" applyProtection="1">
      <alignment horizontal="center"/>
      <protection locked="0"/>
    </xf>
    <xf numFmtId="0" fontId="146" fillId="49" borderId="11" xfId="8723" applyFont="1" applyFill="1" applyBorder="1" applyAlignment="1" applyProtection="1">
      <alignment horizontal="center"/>
      <protection locked="0"/>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17161">
    <cellStyle name="20% - Accent1" xfId="1" builtinId="30" customBuiltin="1"/>
    <cellStyle name="20% - Accent1 10" xfId="4505" xr:uid="{00000000-0005-0000-0000-000001000000}"/>
    <cellStyle name="20% - Accent1 10 2" xfId="12944" xr:uid="{9D575A25-91CD-49C9-BA36-BF0591201081}"/>
    <cellStyle name="20% - Accent1 11" xfId="8726" xr:uid="{61536F1B-7876-42B3-94A0-D7524F4E9EC0}"/>
    <cellStyle name="20% - Accent1 2" xfId="2" xr:uid="{00000000-0005-0000-0000-000002000000}"/>
    <cellStyle name="20% - Accent1 2 10" xfId="8727" xr:uid="{F5886DD3-E24F-467F-9954-AF85B6E3A00D}"/>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6" xr:uid="{B7761792-6FEA-4617-952B-95AD5F6699F8}"/>
    <cellStyle name="20% - Accent1 2 2 2 2 2 3" xfId="11288" xr:uid="{53DFBC1A-B888-4710-8845-2322F5170D2B}"/>
    <cellStyle name="20% - Accent1 2 2 2 2 3" xfId="4922" xr:uid="{00000000-0005-0000-0000-000008000000}"/>
    <cellStyle name="20% - Accent1 2 2 2 2 3 2" xfId="13361" xr:uid="{7CC7C96E-7EE6-4376-ABAB-D1ED4A907A17}"/>
    <cellStyle name="20% - Accent1 2 2 2 2 4" xfId="9143" xr:uid="{A7713A1A-5B15-4086-A92D-DFB8AF3DC185}"/>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19" xr:uid="{2986943D-DF0A-4755-BD07-0EC98E7228D4}"/>
    <cellStyle name="20% - Accent1 2 2 2 3 2 3" xfId="11701" xr:uid="{87943149-2AFD-481B-963A-96AD75AE592B}"/>
    <cellStyle name="20% - Accent1 2 2 2 3 3" xfId="5335" xr:uid="{00000000-0005-0000-0000-00000C000000}"/>
    <cellStyle name="20% - Accent1 2 2 2 3 3 2" xfId="13774" xr:uid="{46C9F979-8187-4DD2-BED3-A9905D682E28}"/>
    <cellStyle name="20% - Accent1 2 2 2 3 4" xfId="9556" xr:uid="{FE0B2DB6-3EBF-4408-9261-6EBF6D3C26ED}"/>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32" xr:uid="{541D8E19-B6B1-4A23-BE22-C73951FCB446}"/>
    <cellStyle name="20% - Accent1 2 2 2 4 2 3" xfId="12114" xr:uid="{C7F3EF57-351E-4D82-8724-4C05009CD2BC}"/>
    <cellStyle name="20% - Accent1 2 2 2 4 3" xfId="5748" xr:uid="{00000000-0005-0000-0000-000010000000}"/>
    <cellStyle name="20% - Accent1 2 2 2 4 3 2" xfId="14187" xr:uid="{CF86E9E7-4F71-4D00-A475-264F34A341BD}"/>
    <cellStyle name="20% - Accent1 2 2 2 4 4" xfId="9969" xr:uid="{058AE4E5-3E13-4789-9D56-91669B604249}"/>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5" xr:uid="{02C01B47-4F85-4D41-AB55-3BBC96A4ED2C}"/>
    <cellStyle name="20% - Accent1 2 2 2 5 2 3" xfId="12527" xr:uid="{B4CC24FC-3FD0-4391-A2EF-3F6712D10B49}"/>
    <cellStyle name="20% - Accent1 2 2 2 5 3" xfId="6161" xr:uid="{00000000-0005-0000-0000-000014000000}"/>
    <cellStyle name="20% - Accent1 2 2 2 5 3 2" xfId="14600" xr:uid="{8E7AA524-0E5A-4ED3-89F7-B54F46568181}"/>
    <cellStyle name="20% - Accent1 2 2 2 5 4" xfId="10382" xr:uid="{89BD7D54-3E04-4FCF-9BBE-17498A224874}"/>
    <cellStyle name="20% - Accent1 2 2 2 6" xfId="2267" xr:uid="{00000000-0005-0000-0000-000015000000}"/>
    <cellStyle name="20% - Accent1 2 2 2 6 2" xfId="6574" xr:uid="{00000000-0005-0000-0000-000016000000}"/>
    <cellStyle name="20% - Accent1 2 2 2 6 2 2" xfId="15013" xr:uid="{2FEE061F-DED4-45FD-8472-5A7B2AE87AD2}"/>
    <cellStyle name="20% - Accent1 2 2 2 6 3" xfId="10795" xr:uid="{6B174FD6-3C9F-4A0C-AE68-D831BD627C82}"/>
    <cellStyle name="20% - Accent1 2 2 2 7" xfId="4508" xr:uid="{00000000-0005-0000-0000-000017000000}"/>
    <cellStyle name="20% - Accent1 2 2 2 7 2" xfId="12947" xr:uid="{F010FF90-1B03-4066-907A-26D2C8C0F900}"/>
    <cellStyle name="20% - Accent1 2 2 2 8" xfId="8729" xr:uid="{8468D494-7140-4A00-A092-D5837DEF69A3}"/>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5" xr:uid="{3C6FE92C-1CFB-4E0C-9281-662B912F4635}"/>
    <cellStyle name="20% - Accent1 2 2 3 2 3" xfId="11287" xr:uid="{594BA47C-2721-4F55-A58C-BB3021EC5B2E}"/>
    <cellStyle name="20% - Accent1 2 2 3 3" xfId="4921" xr:uid="{00000000-0005-0000-0000-00001B000000}"/>
    <cellStyle name="20% - Accent1 2 2 3 3 2" xfId="13360" xr:uid="{ABD3C79F-1D3B-4B6F-95ED-D203A07827E6}"/>
    <cellStyle name="20% - Accent1 2 2 3 4" xfId="9142" xr:uid="{EBFCA898-EAB4-42B7-8170-73A1C4D2DAC7}"/>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18" xr:uid="{CE4705C8-6FB5-4868-95D9-20DA2FBA76AF}"/>
    <cellStyle name="20% - Accent1 2 2 4 2 3" xfId="11700" xr:uid="{55FF0D16-CE2E-427F-8D1D-52FD1838EBFF}"/>
    <cellStyle name="20% - Accent1 2 2 4 3" xfId="5334" xr:uid="{00000000-0005-0000-0000-00001F000000}"/>
    <cellStyle name="20% - Accent1 2 2 4 3 2" xfId="13773" xr:uid="{95E9716C-A7B3-4A62-9AE2-6B3F7A8E1547}"/>
    <cellStyle name="20% - Accent1 2 2 4 4" xfId="9555" xr:uid="{F4F31726-093F-4A35-9BB0-C63E48E1CDE4}"/>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31" xr:uid="{C4EC9933-2DAE-4D9D-BE40-18EF126FB7D3}"/>
    <cellStyle name="20% - Accent1 2 2 5 2 3" xfId="12113" xr:uid="{9763C03D-E840-4CC9-86A5-A529AE5A9086}"/>
    <cellStyle name="20% - Accent1 2 2 5 3" xfId="5747" xr:uid="{00000000-0005-0000-0000-000023000000}"/>
    <cellStyle name="20% - Accent1 2 2 5 3 2" xfId="14186" xr:uid="{BFC304C3-539C-4712-B576-5F93BB264356}"/>
    <cellStyle name="20% - Accent1 2 2 5 4" xfId="9968" xr:uid="{20D09871-FA72-4AA3-A4E6-BD8F7679D6A7}"/>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4" xr:uid="{54EACF46-E66F-473A-979A-576EB586E53E}"/>
    <cellStyle name="20% - Accent1 2 2 6 2 3" xfId="12526" xr:uid="{F1C24D29-7196-4111-AC4C-1ECB7A57CA07}"/>
    <cellStyle name="20% - Accent1 2 2 6 3" xfId="6160" xr:uid="{00000000-0005-0000-0000-000027000000}"/>
    <cellStyle name="20% - Accent1 2 2 6 3 2" xfId="14599" xr:uid="{485FAC05-48D4-4C23-9AA8-D6F73B38FFC2}"/>
    <cellStyle name="20% - Accent1 2 2 6 4" xfId="10381" xr:uid="{87312A87-8045-4689-818F-9EC76F4B3E56}"/>
    <cellStyle name="20% - Accent1 2 2 7" xfId="2266" xr:uid="{00000000-0005-0000-0000-000028000000}"/>
    <cellStyle name="20% - Accent1 2 2 7 2" xfId="6573" xr:uid="{00000000-0005-0000-0000-000029000000}"/>
    <cellStyle name="20% - Accent1 2 2 7 2 2" xfId="15012" xr:uid="{05C3F356-DEC1-4B86-8E07-ABD72304186B}"/>
    <cellStyle name="20% - Accent1 2 2 7 3" xfId="10794" xr:uid="{CDC32CBC-96E4-446C-B199-75A711E9A6A5}"/>
    <cellStyle name="20% - Accent1 2 2 8" xfId="4507" xr:uid="{00000000-0005-0000-0000-00002A000000}"/>
    <cellStyle name="20% - Accent1 2 2 8 2" xfId="12946" xr:uid="{3882A97E-962C-4B40-82A5-D900F4966D7F}"/>
    <cellStyle name="20% - Accent1 2 2 9" xfId="8728" xr:uid="{BE890E83-C4F2-4510-97AD-4249CA181C53}"/>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07" xr:uid="{A5F50E98-6EEB-4CD0-8E27-F3E83E367ECC}"/>
    <cellStyle name="20% - Accent1 2 3 2 2 3" xfId="11289" xr:uid="{E43D9D9C-E7AF-4E6C-BA56-3FCE9544A60F}"/>
    <cellStyle name="20% - Accent1 2 3 2 3" xfId="4923" xr:uid="{00000000-0005-0000-0000-00002F000000}"/>
    <cellStyle name="20% - Accent1 2 3 2 3 2" xfId="13362" xr:uid="{3750F2D1-F02C-4835-8811-86B804D0169E}"/>
    <cellStyle name="20% - Accent1 2 3 2 4" xfId="9144" xr:uid="{E0E898EB-62F7-47A4-8792-BFEE2C5637D2}"/>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20" xr:uid="{52A4557A-4ED5-4F24-A652-899DED763219}"/>
    <cellStyle name="20% - Accent1 2 3 3 2 3" xfId="11702" xr:uid="{83E06A84-456D-4A7F-ABE1-48F04B699877}"/>
    <cellStyle name="20% - Accent1 2 3 3 3" xfId="5336" xr:uid="{00000000-0005-0000-0000-000033000000}"/>
    <cellStyle name="20% - Accent1 2 3 3 3 2" xfId="13775" xr:uid="{CFC98590-E93C-4F07-A007-683D6689E442}"/>
    <cellStyle name="20% - Accent1 2 3 3 4" xfId="9557" xr:uid="{3D5B1EF5-6B4A-48F8-B026-72D733BAD4C7}"/>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3" xr:uid="{B90B6B78-E495-4AC9-8340-DF6387E403D3}"/>
    <cellStyle name="20% - Accent1 2 3 4 2 3" xfId="12115" xr:uid="{D47209B2-68A9-4B05-AD7E-EAFB8BB5EBC6}"/>
    <cellStyle name="20% - Accent1 2 3 4 3" xfId="5749" xr:uid="{00000000-0005-0000-0000-000037000000}"/>
    <cellStyle name="20% - Accent1 2 3 4 3 2" xfId="14188" xr:uid="{2D5864AA-85BE-42D7-A0CD-241399F411A7}"/>
    <cellStyle name="20% - Accent1 2 3 4 4" xfId="9970" xr:uid="{975761C6-36CE-4B7C-BCBA-EA7B29FAA59B}"/>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6" xr:uid="{57604ABC-C811-4A28-AD7F-F443162C6A9A}"/>
    <cellStyle name="20% - Accent1 2 3 5 2 3" xfId="12528" xr:uid="{9C259A67-E9EF-4E46-9819-E052CADF0276}"/>
    <cellStyle name="20% - Accent1 2 3 5 3" xfId="6162" xr:uid="{00000000-0005-0000-0000-00003B000000}"/>
    <cellStyle name="20% - Accent1 2 3 5 3 2" xfId="14601" xr:uid="{ED55F200-12A7-47C8-B361-643B640AA15E}"/>
    <cellStyle name="20% - Accent1 2 3 5 4" xfId="10383" xr:uid="{D4EBD2F6-B1C9-4D7E-A203-E57CE792ECB6}"/>
    <cellStyle name="20% - Accent1 2 3 6" xfId="2268" xr:uid="{00000000-0005-0000-0000-00003C000000}"/>
    <cellStyle name="20% - Accent1 2 3 6 2" xfId="6575" xr:uid="{00000000-0005-0000-0000-00003D000000}"/>
    <cellStyle name="20% - Accent1 2 3 6 2 2" xfId="15014" xr:uid="{C0DC6407-D169-45F6-BC21-B5AAABD023FC}"/>
    <cellStyle name="20% - Accent1 2 3 6 3" xfId="10796" xr:uid="{47AF0954-DDDB-460F-B10C-758000FD5E75}"/>
    <cellStyle name="20% - Accent1 2 3 7" xfId="4509" xr:uid="{00000000-0005-0000-0000-00003E000000}"/>
    <cellStyle name="20% - Accent1 2 3 7 2" xfId="12948" xr:uid="{E187CAE1-27C4-4BB3-84D1-FD9FA0406B51}"/>
    <cellStyle name="20% - Accent1 2 3 8" xfId="8730" xr:uid="{FA5A5451-EBDB-4A5D-8653-BBA72092C2DC}"/>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4" xr:uid="{F74C2E93-CBBA-4E51-97C8-3ABCF0F6C76C}"/>
    <cellStyle name="20% - Accent1 2 4 2 3" xfId="11286" xr:uid="{85D3BC92-F4B5-461E-A37C-03666CEAC28F}"/>
    <cellStyle name="20% - Accent1 2 4 3" xfId="4920" xr:uid="{00000000-0005-0000-0000-000042000000}"/>
    <cellStyle name="20% - Accent1 2 4 3 2" xfId="13359" xr:uid="{1444499A-5BBC-46AA-BF0E-8001352D638D}"/>
    <cellStyle name="20% - Accent1 2 4 4" xfId="9141" xr:uid="{34D4CA95-F296-4905-A3C8-4B86F5B9591D}"/>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17" xr:uid="{21DB4A2B-B984-44A6-9F98-A65580EE1C69}"/>
    <cellStyle name="20% - Accent1 2 5 2 3" xfId="11699" xr:uid="{0FF7B5DA-216C-4CA8-A4DA-165367C748FE}"/>
    <cellStyle name="20% - Accent1 2 5 3" xfId="5333" xr:uid="{00000000-0005-0000-0000-000046000000}"/>
    <cellStyle name="20% - Accent1 2 5 3 2" xfId="13772" xr:uid="{D5AFB370-B5FC-4171-8ED5-4656F147CC98}"/>
    <cellStyle name="20% - Accent1 2 5 4" xfId="9554" xr:uid="{4BFF9E84-700F-477A-A9D1-97A23258BAB9}"/>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30" xr:uid="{567BDF3F-38A7-4CA4-9E2B-095E00BD26CC}"/>
    <cellStyle name="20% - Accent1 2 6 2 3" xfId="12112" xr:uid="{75B3964D-1A0E-4BE4-96FA-B0FA27EA0928}"/>
    <cellStyle name="20% - Accent1 2 6 3" xfId="5746" xr:uid="{00000000-0005-0000-0000-00004A000000}"/>
    <cellStyle name="20% - Accent1 2 6 3 2" xfId="14185" xr:uid="{1A5D339E-683C-4B20-A614-57A8A669D83D}"/>
    <cellStyle name="20% - Accent1 2 6 4" xfId="9967" xr:uid="{2768E137-28E3-4072-8E11-2138ED515905}"/>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3" xr:uid="{A37D292C-DC40-45DE-87D1-D5E7ABC35FF4}"/>
    <cellStyle name="20% - Accent1 2 7 2 3" xfId="12525" xr:uid="{F3191DBB-1B43-4665-A5E2-CEF924958C8F}"/>
    <cellStyle name="20% - Accent1 2 7 3" xfId="6159" xr:uid="{00000000-0005-0000-0000-00004E000000}"/>
    <cellStyle name="20% - Accent1 2 7 3 2" xfId="14598" xr:uid="{F3BDB46C-0394-43EC-A6A6-7CF3B6D1AB99}"/>
    <cellStyle name="20% - Accent1 2 7 4" xfId="10380" xr:uid="{C72ED5B5-DE4A-4266-BFAD-18CFEAF8FCC8}"/>
    <cellStyle name="20% - Accent1 2 8" xfId="2265" xr:uid="{00000000-0005-0000-0000-00004F000000}"/>
    <cellStyle name="20% - Accent1 2 8 2" xfId="6572" xr:uid="{00000000-0005-0000-0000-000050000000}"/>
    <cellStyle name="20% - Accent1 2 8 2 2" xfId="15011" xr:uid="{15E83B56-C660-497D-BE7C-DDFA2EE61DCD}"/>
    <cellStyle name="20% - Accent1 2 8 3" xfId="10793" xr:uid="{21B11008-614C-4F7A-ABF7-0B014CA415E9}"/>
    <cellStyle name="20% - Accent1 2 9" xfId="4506" xr:uid="{00000000-0005-0000-0000-000051000000}"/>
    <cellStyle name="20% - Accent1 2 9 2" xfId="12945" xr:uid="{0EC1EEAA-2E66-41C0-AE8A-E7F787C3515D}"/>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09" xr:uid="{73E4A02D-4960-442B-8A82-74903B3E9896}"/>
    <cellStyle name="20% - Accent1 3 2 2 2 3" xfId="11291" xr:uid="{91A57E24-8411-4C22-BC4F-541D4812C287}"/>
    <cellStyle name="20% - Accent1 3 2 2 3" xfId="4925" xr:uid="{00000000-0005-0000-0000-000057000000}"/>
    <cellStyle name="20% - Accent1 3 2 2 3 2" xfId="13364" xr:uid="{82E702D7-043D-44D7-8ABC-D66DE1505C3F}"/>
    <cellStyle name="20% - Accent1 3 2 2 4" xfId="9146" xr:uid="{6C1BFB4B-C7AF-4F6A-9ADB-46816D867817}"/>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22" xr:uid="{B4AF38EA-5295-4869-A1D9-ABE2094FF279}"/>
    <cellStyle name="20% - Accent1 3 2 3 2 3" xfId="11704" xr:uid="{6E331B3C-1383-4FD9-89F2-511221B9A321}"/>
    <cellStyle name="20% - Accent1 3 2 3 3" xfId="5338" xr:uid="{00000000-0005-0000-0000-00005B000000}"/>
    <cellStyle name="20% - Accent1 3 2 3 3 2" xfId="13777" xr:uid="{8577E1CA-DC0B-43F6-9256-1FDD2BE801DA}"/>
    <cellStyle name="20% - Accent1 3 2 3 4" xfId="9559" xr:uid="{53DB8BD6-2BD2-464E-8B17-0E99639B27E1}"/>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5" xr:uid="{891A8B47-14FE-4BF2-925B-1E5184DEC7E3}"/>
    <cellStyle name="20% - Accent1 3 2 4 2 3" xfId="12117" xr:uid="{F4A58784-BA64-4A0B-8A5F-2032A075E744}"/>
    <cellStyle name="20% - Accent1 3 2 4 3" xfId="5751" xr:uid="{00000000-0005-0000-0000-00005F000000}"/>
    <cellStyle name="20% - Accent1 3 2 4 3 2" xfId="14190" xr:uid="{EA7BB8F1-5449-4722-B60A-AEDB094DB466}"/>
    <cellStyle name="20% - Accent1 3 2 4 4" xfId="9972" xr:uid="{208D94B7-8965-45D8-9322-1C96419ECABD}"/>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48" xr:uid="{7CC6A142-FD59-4AB8-9D5F-61A92AE3CBE3}"/>
    <cellStyle name="20% - Accent1 3 2 5 2 3" xfId="12530" xr:uid="{6F5CDBC2-3DE5-4F73-977E-5EA23F714C6F}"/>
    <cellStyle name="20% - Accent1 3 2 5 3" xfId="6164" xr:uid="{00000000-0005-0000-0000-000063000000}"/>
    <cellStyle name="20% - Accent1 3 2 5 3 2" xfId="14603" xr:uid="{2E0F016E-5B1F-4E5E-A57D-FE1CAB75F55E}"/>
    <cellStyle name="20% - Accent1 3 2 5 4" xfId="10385" xr:uid="{A60F0AAD-B039-461C-AA91-0E80ED8093C7}"/>
    <cellStyle name="20% - Accent1 3 2 6" xfId="2270" xr:uid="{00000000-0005-0000-0000-000064000000}"/>
    <cellStyle name="20% - Accent1 3 2 6 2" xfId="6577" xr:uid="{00000000-0005-0000-0000-000065000000}"/>
    <cellStyle name="20% - Accent1 3 2 6 2 2" xfId="15016" xr:uid="{790F3737-4B1E-452A-A6E9-B633C2313945}"/>
    <cellStyle name="20% - Accent1 3 2 6 3" xfId="10798" xr:uid="{CB723F7E-E629-4229-95F9-5EA9BEA6F82C}"/>
    <cellStyle name="20% - Accent1 3 2 7" xfId="4511" xr:uid="{00000000-0005-0000-0000-000066000000}"/>
    <cellStyle name="20% - Accent1 3 2 7 2" xfId="12950" xr:uid="{4D3B1DDB-F1FC-4959-89DE-5EF90C593678}"/>
    <cellStyle name="20% - Accent1 3 2 8" xfId="8732" xr:uid="{5F25AC94-0142-454B-BFB9-E7C9EED9ABB2}"/>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08" xr:uid="{0420FDD3-0442-4AFE-B2AF-86E9EE6B4C08}"/>
    <cellStyle name="20% - Accent1 3 3 2 3" xfId="11290" xr:uid="{AFB469EA-BC7A-4050-A03B-D00E27F75631}"/>
    <cellStyle name="20% - Accent1 3 3 3" xfId="4924" xr:uid="{00000000-0005-0000-0000-00006A000000}"/>
    <cellStyle name="20% - Accent1 3 3 3 2" xfId="13363" xr:uid="{4CF692DD-BC78-4294-9FC7-012DF146490B}"/>
    <cellStyle name="20% - Accent1 3 3 4" xfId="9145" xr:uid="{E4CA549F-3B1B-4135-BC69-80BD8EB1C3B4}"/>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21" xr:uid="{4A8A3CB5-EFFA-489E-8E4E-6B17BFC3BD8A}"/>
    <cellStyle name="20% - Accent1 3 4 2 3" xfId="11703" xr:uid="{5F31FF4D-38FE-4FBD-8F17-B5071E4E483F}"/>
    <cellStyle name="20% - Accent1 3 4 3" xfId="5337" xr:uid="{00000000-0005-0000-0000-00006E000000}"/>
    <cellStyle name="20% - Accent1 3 4 3 2" xfId="13776" xr:uid="{064F6A62-04FA-42B9-816E-D774E93FC101}"/>
    <cellStyle name="20% - Accent1 3 4 4" xfId="9558" xr:uid="{488FDE81-71A9-4692-8FD7-6B9F9029AE29}"/>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4" xr:uid="{27BA5BD7-4BC2-4143-A739-22497958C949}"/>
    <cellStyle name="20% - Accent1 3 5 2 3" xfId="12116" xr:uid="{0B9D1329-2825-476C-81BA-F248963F3EB4}"/>
    <cellStyle name="20% - Accent1 3 5 3" xfId="5750" xr:uid="{00000000-0005-0000-0000-000072000000}"/>
    <cellStyle name="20% - Accent1 3 5 3 2" xfId="14189" xr:uid="{9BD3FE29-63C9-46F4-BD81-40DB6C4285C4}"/>
    <cellStyle name="20% - Accent1 3 5 4" xfId="9971" xr:uid="{3A3CEF86-CF84-4EF0-9073-BB23F65091F8}"/>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47" xr:uid="{500EF829-850B-4E61-AE0C-615406DEFB00}"/>
    <cellStyle name="20% - Accent1 3 6 2 3" xfId="12529" xr:uid="{41205803-5675-4BFE-A7C9-B2D2E7B23945}"/>
    <cellStyle name="20% - Accent1 3 6 3" xfId="6163" xr:uid="{00000000-0005-0000-0000-000076000000}"/>
    <cellStyle name="20% - Accent1 3 6 3 2" xfId="14602" xr:uid="{F652C0C4-82A6-4861-BF7E-4760BEF9A9CF}"/>
    <cellStyle name="20% - Accent1 3 6 4" xfId="10384" xr:uid="{4329DC16-8865-4F00-93FB-8C69BFDB6594}"/>
    <cellStyle name="20% - Accent1 3 7" xfId="2269" xr:uid="{00000000-0005-0000-0000-000077000000}"/>
    <cellStyle name="20% - Accent1 3 7 2" xfId="6576" xr:uid="{00000000-0005-0000-0000-000078000000}"/>
    <cellStyle name="20% - Accent1 3 7 2 2" xfId="15015" xr:uid="{C0CB8FDC-FE0A-49F6-81DB-8339C76412C8}"/>
    <cellStyle name="20% - Accent1 3 7 3" xfId="10797" xr:uid="{351E42E8-92F8-497D-8F8B-E72AB361FBAD}"/>
    <cellStyle name="20% - Accent1 3 8" xfId="4510" xr:uid="{00000000-0005-0000-0000-000079000000}"/>
    <cellStyle name="20% - Accent1 3 8 2" xfId="12949" xr:uid="{E35597B4-EFDA-486D-9EDB-B4035625E34B}"/>
    <cellStyle name="20% - Accent1 3 9" xfId="8731" xr:uid="{8D2736B5-0943-4D1F-A6A5-2824C0758698}"/>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10" xr:uid="{40BF30F0-48DD-46F6-A7B3-1354F5D15931}"/>
    <cellStyle name="20% - Accent1 4 2 2 3" xfId="11292" xr:uid="{4B30D91C-A342-4814-989C-1CCB04EBF0F9}"/>
    <cellStyle name="20% - Accent1 4 2 3" xfId="4926" xr:uid="{00000000-0005-0000-0000-00007E000000}"/>
    <cellStyle name="20% - Accent1 4 2 3 2" xfId="13365" xr:uid="{8369660A-D28B-436C-B88B-C964FBDB498B}"/>
    <cellStyle name="20% - Accent1 4 2 4" xfId="9147" xr:uid="{74D538A2-1DB0-461B-87D0-68B6838E028F}"/>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3" xr:uid="{C965C3D7-B928-4108-952E-BFB56006F259}"/>
    <cellStyle name="20% - Accent1 4 3 2 3" xfId="11705" xr:uid="{1BAC35C8-7E00-4887-ADA8-4B772F1BF43C}"/>
    <cellStyle name="20% - Accent1 4 3 3" xfId="5339" xr:uid="{00000000-0005-0000-0000-000082000000}"/>
    <cellStyle name="20% - Accent1 4 3 3 2" xfId="13778" xr:uid="{29473EF6-0A54-4A13-9C7D-337C93ED4B71}"/>
    <cellStyle name="20% - Accent1 4 3 4" xfId="9560" xr:uid="{AA6F1ADA-A613-4112-86E1-7FBCE0ED4D03}"/>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6" xr:uid="{9AE7BFE3-A434-49D6-B221-91140484F832}"/>
    <cellStyle name="20% - Accent1 4 4 2 3" xfId="12118" xr:uid="{FB96C648-D61C-4D2C-A3AF-4BF56049AED7}"/>
    <cellStyle name="20% - Accent1 4 4 3" xfId="5752" xr:uid="{00000000-0005-0000-0000-000086000000}"/>
    <cellStyle name="20% - Accent1 4 4 3 2" xfId="14191" xr:uid="{A56AE731-B94C-4B85-A3BF-489CB0775AB8}"/>
    <cellStyle name="20% - Accent1 4 4 4" xfId="9973" xr:uid="{93689E0B-87E7-4935-96E2-631E63CF98BF}"/>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49" xr:uid="{1D63DAA2-8958-40C9-876E-E4AC2A7294B1}"/>
    <cellStyle name="20% - Accent1 4 5 2 3" xfId="12531" xr:uid="{D8699456-8BFA-4EB0-8754-66BB7F6ED7CD}"/>
    <cellStyle name="20% - Accent1 4 5 3" xfId="6165" xr:uid="{00000000-0005-0000-0000-00008A000000}"/>
    <cellStyle name="20% - Accent1 4 5 3 2" xfId="14604" xr:uid="{2D11E53E-DA33-414F-ABAF-071FE81D3AFF}"/>
    <cellStyle name="20% - Accent1 4 5 4" xfId="10386" xr:uid="{5B4751B8-AB6D-4072-A0C2-0DF05B6CFE75}"/>
    <cellStyle name="20% - Accent1 4 6" xfId="2271" xr:uid="{00000000-0005-0000-0000-00008B000000}"/>
    <cellStyle name="20% - Accent1 4 6 2" xfId="6578" xr:uid="{00000000-0005-0000-0000-00008C000000}"/>
    <cellStyle name="20% - Accent1 4 6 2 2" xfId="15017" xr:uid="{D40DF2C7-38CD-4CE7-9491-4BA7FD98A209}"/>
    <cellStyle name="20% - Accent1 4 6 3" xfId="10799" xr:uid="{A91A1E6C-3B4F-42F4-BFC2-A25A65EC400C}"/>
    <cellStyle name="20% - Accent1 4 7" xfId="4512" xr:uid="{00000000-0005-0000-0000-00008D000000}"/>
    <cellStyle name="20% - Accent1 4 7 2" xfId="12951" xr:uid="{EA0CF089-D094-4662-A909-EF94AAB5C65A}"/>
    <cellStyle name="20% - Accent1 4 8" xfId="8733" xr:uid="{8AB76ED4-F7C3-477D-B460-E1AFA986F78E}"/>
    <cellStyle name="20% - Accent1 5" xfId="570" xr:uid="{00000000-0005-0000-0000-00008E000000}"/>
    <cellStyle name="20% - Accent1 5 2" xfId="2841" xr:uid="{00000000-0005-0000-0000-00008F000000}"/>
    <cellStyle name="20% - Accent1 5 2 2" xfId="7064" xr:uid="{00000000-0005-0000-0000-000090000000}"/>
    <cellStyle name="20% - Accent1 5 2 2 2" xfId="15503" xr:uid="{89B1DDD6-C429-4A6C-A709-62D0BB877A5A}"/>
    <cellStyle name="20% - Accent1 5 2 3" xfId="11285" xr:uid="{A745CC72-5316-4E33-BA8C-43A9207EEC4F}"/>
    <cellStyle name="20% - Accent1 5 3" xfId="4919" xr:uid="{00000000-0005-0000-0000-000091000000}"/>
    <cellStyle name="20% - Accent1 5 3 2" xfId="13358" xr:uid="{DC0915FD-F894-4012-8777-CC3B6BAF6F76}"/>
    <cellStyle name="20% - Accent1 5 4" xfId="9140" xr:uid="{09227E1E-D92D-4D52-B0D1-F52968BBC71F}"/>
    <cellStyle name="20% - Accent1 6" xfId="1023" xr:uid="{00000000-0005-0000-0000-000092000000}"/>
    <cellStyle name="20% - Accent1 6 2" xfId="3254" xr:uid="{00000000-0005-0000-0000-000093000000}"/>
    <cellStyle name="20% - Accent1 6 2 2" xfId="7477" xr:uid="{00000000-0005-0000-0000-000094000000}"/>
    <cellStyle name="20% - Accent1 6 2 2 2" xfId="15916" xr:uid="{41F4F0BD-B82B-471E-887D-197643FCC9FB}"/>
    <cellStyle name="20% - Accent1 6 2 3" xfId="11698" xr:uid="{9277EBBE-4C5F-4E94-829E-A36C5037CD4F}"/>
    <cellStyle name="20% - Accent1 6 3" xfId="5332" xr:uid="{00000000-0005-0000-0000-000095000000}"/>
    <cellStyle name="20% - Accent1 6 3 2" xfId="13771" xr:uid="{6B4F6151-BAAF-4E2F-ABAE-CA3782001143}"/>
    <cellStyle name="20% - Accent1 6 4" xfId="9553" xr:uid="{E3D46A34-624F-45AB-A088-0F51B28D6788}"/>
    <cellStyle name="20% - Accent1 7" xfId="1437" xr:uid="{00000000-0005-0000-0000-000096000000}"/>
    <cellStyle name="20% - Accent1 7 2" xfId="3667" xr:uid="{00000000-0005-0000-0000-000097000000}"/>
    <cellStyle name="20% - Accent1 7 2 2" xfId="7890" xr:uid="{00000000-0005-0000-0000-000098000000}"/>
    <cellStyle name="20% - Accent1 7 2 2 2" xfId="16329" xr:uid="{42DF0850-226E-4C51-B632-45C29EBE1294}"/>
    <cellStyle name="20% - Accent1 7 2 3" xfId="12111" xr:uid="{82EA9F06-F6A5-4B84-930B-6A831ECC271D}"/>
    <cellStyle name="20% - Accent1 7 3" xfId="5745" xr:uid="{00000000-0005-0000-0000-000099000000}"/>
    <cellStyle name="20% - Accent1 7 3 2" xfId="14184" xr:uid="{4E62CD08-D3EE-4D7B-971E-D1B96A456FAE}"/>
    <cellStyle name="20% - Accent1 7 4" xfId="9966" xr:uid="{48B42C90-005F-4567-913C-847903CA4E17}"/>
    <cellStyle name="20% - Accent1 8" xfId="1851" xr:uid="{00000000-0005-0000-0000-00009A000000}"/>
    <cellStyle name="20% - Accent1 8 2" xfId="4080" xr:uid="{00000000-0005-0000-0000-00009B000000}"/>
    <cellStyle name="20% - Accent1 8 2 2" xfId="8303" xr:uid="{00000000-0005-0000-0000-00009C000000}"/>
    <cellStyle name="20% - Accent1 8 2 2 2" xfId="16742" xr:uid="{5B094866-2785-4D3B-B929-2D5B9038DF15}"/>
    <cellStyle name="20% - Accent1 8 2 3" xfId="12524" xr:uid="{8711CC02-3F94-4ED6-9EB1-D14B4C9CC42D}"/>
    <cellStyle name="20% - Accent1 8 3" xfId="6158" xr:uid="{00000000-0005-0000-0000-00009D000000}"/>
    <cellStyle name="20% - Accent1 8 3 2" xfId="14597" xr:uid="{53BDA686-6157-46F1-9A1C-A3B62FE2CAFD}"/>
    <cellStyle name="20% - Accent1 8 4" xfId="10379" xr:uid="{D26E878C-7C49-4ADF-9721-0E145D23BEBD}"/>
    <cellStyle name="20% - Accent1 9" xfId="2264" xr:uid="{00000000-0005-0000-0000-00009E000000}"/>
    <cellStyle name="20% - Accent1 9 2" xfId="6571" xr:uid="{00000000-0005-0000-0000-00009F000000}"/>
    <cellStyle name="20% - Accent1 9 2 2" xfId="15010" xr:uid="{FF876625-6A20-4224-B341-D9ABE35B613E}"/>
    <cellStyle name="20% - Accent1 9 3" xfId="10792" xr:uid="{8ABC95BF-36FC-4FCC-8EAA-DE933F7887BA}"/>
    <cellStyle name="20% - Accent2" xfId="9" builtinId="34" customBuiltin="1"/>
    <cellStyle name="20% - Accent2 10" xfId="4513" xr:uid="{00000000-0005-0000-0000-0000A1000000}"/>
    <cellStyle name="20% - Accent2 10 2" xfId="12952" xr:uid="{4603BA3C-1D45-480D-A452-3AEE603D70B1}"/>
    <cellStyle name="20% - Accent2 11" xfId="8734" xr:uid="{6702E9F2-5DEE-45CB-AAE0-C48CF1807B58}"/>
    <cellStyle name="20% - Accent2 2" xfId="10" xr:uid="{00000000-0005-0000-0000-0000A2000000}"/>
    <cellStyle name="20% - Accent2 2 10" xfId="8735" xr:uid="{2C1A8391-AE11-40FF-8021-77ABE1992132}"/>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4" xr:uid="{6533CA23-390F-4095-8466-4ED684FCF802}"/>
    <cellStyle name="20% - Accent2 2 2 2 2 2 3" xfId="11296" xr:uid="{34D81D2D-21A8-4B18-88F9-55BDAEDE6700}"/>
    <cellStyle name="20% - Accent2 2 2 2 2 3" xfId="4930" xr:uid="{00000000-0005-0000-0000-0000A8000000}"/>
    <cellStyle name="20% - Accent2 2 2 2 2 3 2" xfId="13369" xr:uid="{D7485161-AE26-480E-AADE-715A2D31E91F}"/>
    <cellStyle name="20% - Accent2 2 2 2 2 4" xfId="9151" xr:uid="{E5AF0994-8389-4EE4-8156-179074689652}"/>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27" xr:uid="{264866CB-03DE-49A8-88C4-F58FB28E0B61}"/>
    <cellStyle name="20% - Accent2 2 2 2 3 2 3" xfId="11709" xr:uid="{D834EDC5-F0A0-4FB6-BEAF-DC5ABC754C46}"/>
    <cellStyle name="20% - Accent2 2 2 2 3 3" xfId="5343" xr:uid="{00000000-0005-0000-0000-0000AC000000}"/>
    <cellStyle name="20% - Accent2 2 2 2 3 3 2" xfId="13782" xr:uid="{050561C0-6C23-48C9-A8B3-30FF408C5869}"/>
    <cellStyle name="20% - Accent2 2 2 2 3 4" xfId="9564" xr:uid="{4733EE10-4131-48D4-9125-0767368DBF8F}"/>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40" xr:uid="{F1B5BF7F-DD6F-4423-B96F-90A6D5C3002B}"/>
    <cellStyle name="20% - Accent2 2 2 2 4 2 3" xfId="12122" xr:uid="{A6A6A9C8-D00B-4B8D-A53D-E27B48E7232E}"/>
    <cellStyle name="20% - Accent2 2 2 2 4 3" xfId="5756" xr:uid="{00000000-0005-0000-0000-0000B0000000}"/>
    <cellStyle name="20% - Accent2 2 2 2 4 3 2" xfId="14195" xr:uid="{9E13A3B8-CACE-4FAA-8394-BB07827D2A03}"/>
    <cellStyle name="20% - Accent2 2 2 2 4 4" xfId="9977" xr:uid="{5DB210B9-2264-4C15-8D4F-04342F6958F3}"/>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3" xr:uid="{419C5820-38E4-482D-BEE3-2A409B147A46}"/>
    <cellStyle name="20% - Accent2 2 2 2 5 2 3" xfId="12535" xr:uid="{69792243-AFD9-41E4-97FB-2FC3CB621221}"/>
    <cellStyle name="20% - Accent2 2 2 2 5 3" xfId="6169" xr:uid="{00000000-0005-0000-0000-0000B4000000}"/>
    <cellStyle name="20% - Accent2 2 2 2 5 3 2" xfId="14608" xr:uid="{3CCE75A9-67A5-42D6-A46F-1FDBF3277BF3}"/>
    <cellStyle name="20% - Accent2 2 2 2 5 4" xfId="10390" xr:uid="{B193231D-EF4E-4B0B-88A2-9E96130BAC33}"/>
    <cellStyle name="20% - Accent2 2 2 2 6" xfId="2275" xr:uid="{00000000-0005-0000-0000-0000B5000000}"/>
    <cellStyle name="20% - Accent2 2 2 2 6 2" xfId="6582" xr:uid="{00000000-0005-0000-0000-0000B6000000}"/>
    <cellStyle name="20% - Accent2 2 2 2 6 2 2" xfId="15021" xr:uid="{C7118A10-E351-4DA5-B9AB-EA2C4D5FD435}"/>
    <cellStyle name="20% - Accent2 2 2 2 6 3" xfId="10803" xr:uid="{B6A56D45-02A7-4EBA-8852-27FD4D02021E}"/>
    <cellStyle name="20% - Accent2 2 2 2 7" xfId="4516" xr:uid="{00000000-0005-0000-0000-0000B7000000}"/>
    <cellStyle name="20% - Accent2 2 2 2 7 2" xfId="12955" xr:uid="{ADBD8896-9239-4F5B-BE74-90B177D91349}"/>
    <cellStyle name="20% - Accent2 2 2 2 8" xfId="8737" xr:uid="{2A516B89-5358-40B4-AC87-4401F678BF0B}"/>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3" xr:uid="{EFC8E6E9-63CC-46A8-86C3-BDF408421188}"/>
    <cellStyle name="20% - Accent2 2 2 3 2 3" xfId="11295" xr:uid="{DB0AA66D-F54B-4EEC-BC32-906377DF3EB0}"/>
    <cellStyle name="20% - Accent2 2 2 3 3" xfId="4929" xr:uid="{00000000-0005-0000-0000-0000BB000000}"/>
    <cellStyle name="20% - Accent2 2 2 3 3 2" xfId="13368" xr:uid="{C5F86A5C-BB4E-44E8-BDAC-C01F99871CE6}"/>
    <cellStyle name="20% - Accent2 2 2 3 4" xfId="9150" xr:uid="{82F9A346-C111-4CC4-946B-79A0D2E38327}"/>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6" xr:uid="{2BE5D901-102A-47F2-AAB4-ADD4085ADFEA}"/>
    <cellStyle name="20% - Accent2 2 2 4 2 3" xfId="11708" xr:uid="{59BC95D2-3453-43E4-957B-A0355F86E994}"/>
    <cellStyle name="20% - Accent2 2 2 4 3" xfId="5342" xr:uid="{00000000-0005-0000-0000-0000BF000000}"/>
    <cellStyle name="20% - Accent2 2 2 4 3 2" xfId="13781" xr:uid="{8F75880F-9ECA-4824-8BDF-38EF2659DD24}"/>
    <cellStyle name="20% - Accent2 2 2 4 4" xfId="9563" xr:uid="{E5094873-6F95-422C-84A2-C6853DC6567A}"/>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39" xr:uid="{14883C3C-AF0B-4E9B-85DC-FFF211207113}"/>
    <cellStyle name="20% - Accent2 2 2 5 2 3" xfId="12121" xr:uid="{8A9950A8-4727-4D41-8DDE-CE9F1B2099DF}"/>
    <cellStyle name="20% - Accent2 2 2 5 3" xfId="5755" xr:uid="{00000000-0005-0000-0000-0000C3000000}"/>
    <cellStyle name="20% - Accent2 2 2 5 3 2" xfId="14194" xr:uid="{A5CBE4A1-331D-4AAF-945D-CDABCD66681F}"/>
    <cellStyle name="20% - Accent2 2 2 5 4" xfId="9976" xr:uid="{11ED80B6-A001-47D3-957C-36EF19AB853E}"/>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52" xr:uid="{44B72764-1C10-4060-96EA-6B436D7CFAD2}"/>
    <cellStyle name="20% - Accent2 2 2 6 2 3" xfId="12534" xr:uid="{1422D8CF-B7FC-4566-BB51-5218F4DD7427}"/>
    <cellStyle name="20% - Accent2 2 2 6 3" xfId="6168" xr:uid="{00000000-0005-0000-0000-0000C7000000}"/>
    <cellStyle name="20% - Accent2 2 2 6 3 2" xfId="14607" xr:uid="{CD17DE85-9E26-4209-8D37-8AF8C1BCEF9F}"/>
    <cellStyle name="20% - Accent2 2 2 6 4" xfId="10389" xr:uid="{B7A9E6E8-8607-4544-8741-70B648AE1E55}"/>
    <cellStyle name="20% - Accent2 2 2 7" xfId="2274" xr:uid="{00000000-0005-0000-0000-0000C8000000}"/>
    <cellStyle name="20% - Accent2 2 2 7 2" xfId="6581" xr:uid="{00000000-0005-0000-0000-0000C9000000}"/>
    <cellStyle name="20% - Accent2 2 2 7 2 2" xfId="15020" xr:uid="{E90DCA59-8C79-4781-8102-BC7662430D17}"/>
    <cellStyle name="20% - Accent2 2 2 7 3" xfId="10802" xr:uid="{50361657-8B7C-4595-9377-BCE7046417B9}"/>
    <cellStyle name="20% - Accent2 2 2 8" xfId="4515" xr:uid="{00000000-0005-0000-0000-0000CA000000}"/>
    <cellStyle name="20% - Accent2 2 2 8 2" xfId="12954" xr:uid="{2515BBB9-70D6-44F1-8FFF-AC7281CB2BF6}"/>
    <cellStyle name="20% - Accent2 2 2 9" xfId="8736" xr:uid="{F4927553-A99C-4B75-BF8F-DA3B24B07BBF}"/>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5" xr:uid="{FE634CF8-DF76-4BFB-9EAC-14CFDAFC164B}"/>
    <cellStyle name="20% - Accent2 2 3 2 2 3" xfId="11297" xr:uid="{AE92EBB2-97C9-4E0C-864B-3349E6F3B18C}"/>
    <cellStyle name="20% - Accent2 2 3 2 3" xfId="4931" xr:uid="{00000000-0005-0000-0000-0000CF000000}"/>
    <cellStyle name="20% - Accent2 2 3 2 3 2" xfId="13370" xr:uid="{46B78022-357E-4070-99B8-016D221EF7D5}"/>
    <cellStyle name="20% - Accent2 2 3 2 4" xfId="9152" xr:uid="{2E30E5E5-6557-4E96-84FD-44DB99ED23B8}"/>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28" xr:uid="{D944273A-CC28-433E-AF98-0E8B86EAA08A}"/>
    <cellStyle name="20% - Accent2 2 3 3 2 3" xfId="11710" xr:uid="{9790DAC9-5F77-4D4C-A926-492BE9883E80}"/>
    <cellStyle name="20% - Accent2 2 3 3 3" xfId="5344" xr:uid="{00000000-0005-0000-0000-0000D3000000}"/>
    <cellStyle name="20% - Accent2 2 3 3 3 2" xfId="13783" xr:uid="{FB46717A-34D6-4105-893A-74311908DCA9}"/>
    <cellStyle name="20% - Accent2 2 3 3 4" xfId="9565" xr:uid="{F1D1F365-ED08-4645-9A37-C37C823692B4}"/>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41" xr:uid="{F73A9CD0-F4BC-4E2A-8D72-38C009934914}"/>
    <cellStyle name="20% - Accent2 2 3 4 2 3" xfId="12123" xr:uid="{F2B19BA8-DA66-4289-9409-1FDDC54734CC}"/>
    <cellStyle name="20% - Accent2 2 3 4 3" xfId="5757" xr:uid="{00000000-0005-0000-0000-0000D7000000}"/>
    <cellStyle name="20% - Accent2 2 3 4 3 2" xfId="14196" xr:uid="{5FEA52D1-1F01-4E44-8BE6-2F0021E7E899}"/>
    <cellStyle name="20% - Accent2 2 3 4 4" xfId="9978" xr:uid="{65A29597-D612-4B77-87AC-5AA116930330}"/>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4" xr:uid="{8FC5FDA8-D6E0-4397-9698-C44793A4FED9}"/>
    <cellStyle name="20% - Accent2 2 3 5 2 3" xfId="12536" xr:uid="{C306FC82-A983-42A3-8D24-0A9AF0E87571}"/>
    <cellStyle name="20% - Accent2 2 3 5 3" xfId="6170" xr:uid="{00000000-0005-0000-0000-0000DB000000}"/>
    <cellStyle name="20% - Accent2 2 3 5 3 2" xfId="14609" xr:uid="{F997DBDE-C87A-4444-87E2-CD5BE3A86081}"/>
    <cellStyle name="20% - Accent2 2 3 5 4" xfId="10391" xr:uid="{DE3C5441-B7C8-4275-B743-291ACDC398B7}"/>
    <cellStyle name="20% - Accent2 2 3 6" xfId="2276" xr:uid="{00000000-0005-0000-0000-0000DC000000}"/>
    <cellStyle name="20% - Accent2 2 3 6 2" xfId="6583" xr:uid="{00000000-0005-0000-0000-0000DD000000}"/>
    <cellStyle name="20% - Accent2 2 3 6 2 2" xfId="15022" xr:uid="{92F3364D-2E84-4D78-9855-97DF4B112A55}"/>
    <cellStyle name="20% - Accent2 2 3 6 3" xfId="10804" xr:uid="{13BB27DD-A7EB-4FEA-AA9D-B66F80B80B2A}"/>
    <cellStyle name="20% - Accent2 2 3 7" xfId="4517" xr:uid="{00000000-0005-0000-0000-0000DE000000}"/>
    <cellStyle name="20% - Accent2 2 3 7 2" xfId="12956" xr:uid="{48936469-3BD1-4DAF-ACB1-28505B07B6CA}"/>
    <cellStyle name="20% - Accent2 2 3 8" xfId="8738" xr:uid="{D3C39A0E-DC3A-4D31-BD3B-E0FEB96B19A5}"/>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12" xr:uid="{1DFBD778-3390-418C-A1D7-D4729C336126}"/>
    <cellStyle name="20% - Accent2 2 4 2 3" xfId="11294" xr:uid="{5B42F17D-9B53-48AB-BFE2-3587BB4BE8E0}"/>
    <cellStyle name="20% - Accent2 2 4 3" xfId="4928" xr:uid="{00000000-0005-0000-0000-0000E2000000}"/>
    <cellStyle name="20% - Accent2 2 4 3 2" xfId="13367" xr:uid="{28403EE1-DED6-40A3-96F4-9B8E22689E9F}"/>
    <cellStyle name="20% - Accent2 2 4 4" xfId="9149" xr:uid="{C3AABFAC-BE8C-4DC2-9E11-60B0DB5BE1A2}"/>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5" xr:uid="{21EC696C-6DD0-4209-A725-05E8FA19EEEA}"/>
    <cellStyle name="20% - Accent2 2 5 2 3" xfId="11707" xr:uid="{0780B2A0-0445-4F4A-9821-D12CF2DBF541}"/>
    <cellStyle name="20% - Accent2 2 5 3" xfId="5341" xr:uid="{00000000-0005-0000-0000-0000E6000000}"/>
    <cellStyle name="20% - Accent2 2 5 3 2" xfId="13780" xr:uid="{22A3E26E-31D5-4DE1-9D41-11656DD3E7B2}"/>
    <cellStyle name="20% - Accent2 2 5 4" xfId="9562" xr:uid="{1D1544C8-1C92-46F3-B6C4-1D8FC7295FD1}"/>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38" xr:uid="{4B0C4B64-E48E-47D3-B158-FF41680CF0E1}"/>
    <cellStyle name="20% - Accent2 2 6 2 3" xfId="12120" xr:uid="{403E0CF7-9807-430C-847F-94FD3DB01152}"/>
    <cellStyle name="20% - Accent2 2 6 3" xfId="5754" xr:uid="{00000000-0005-0000-0000-0000EA000000}"/>
    <cellStyle name="20% - Accent2 2 6 3 2" xfId="14193" xr:uid="{2D3639DB-3538-4B12-8F15-C9675151E56B}"/>
    <cellStyle name="20% - Accent2 2 6 4" xfId="9975" xr:uid="{199CFCC8-1C1C-49DB-947C-9788F50F9BF6}"/>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51" xr:uid="{823E90C0-CD18-4B37-BE73-B96DDE89A67B}"/>
    <cellStyle name="20% - Accent2 2 7 2 3" xfId="12533" xr:uid="{F60738F2-4C22-4BB2-9A69-41B7C4346E1A}"/>
    <cellStyle name="20% - Accent2 2 7 3" xfId="6167" xr:uid="{00000000-0005-0000-0000-0000EE000000}"/>
    <cellStyle name="20% - Accent2 2 7 3 2" xfId="14606" xr:uid="{8ECE220B-E4FC-42B0-B54D-E6AFAE526ECB}"/>
    <cellStyle name="20% - Accent2 2 7 4" xfId="10388" xr:uid="{9149CD55-BC68-488A-B926-72A31980FC69}"/>
    <cellStyle name="20% - Accent2 2 8" xfId="2273" xr:uid="{00000000-0005-0000-0000-0000EF000000}"/>
    <cellStyle name="20% - Accent2 2 8 2" xfId="6580" xr:uid="{00000000-0005-0000-0000-0000F0000000}"/>
    <cellStyle name="20% - Accent2 2 8 2 2" xfId="15019" xr:uid="{74737107-D533-4440-B29F-A3DC46CB35A7}"/>
    <cellStyle name="20% - Accent2 2 8 3" xfId="10801" xr:uid="{DC5BBEAD-ECAB-4A32-9E09-55FFA3436F3D}"/>
    <cellStyle name="20% - Accent2 2 9" xfId="4514" xr:uid="{00000000-0005-0000-0000-0000F1000000}"/>
    <cellStyle name="20% - Accent2 2 9 2" xfId="12953" xr:uid="{7DA7EF1A-D8C0-4955-8AB9-BE25BBDD9BC9}"/>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17" xr:uid="{05239757-280D-447F-875D-F170EFF6A085}"/>
    <cellStyle name="20% - Accent2 3 2 2 2 3" xfId="11299" xr:uid="{F8B3F576-156D-43C3-A1D2-D7A4221F3849}"/>
    <cellStyle name="20% - Accent2 3 2 2 3" xfId="4933" xr:uid="{00000000-0005-0000-0000-0000F7000000}"/>
    <cellStyle name="20% - Accent2 3 2 2 3 2" xfId="13372" xr:uid="{25081C3B-8217-4173-A5F2-CEAB25A47380}"/>
    <cellStyle name="20% - Accent2 3 2 2 4" xfId="9154" xr:uid="{348172EA-60B8-4333-ADEF-538BC0D0E1CB}"/>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30" xr:uid="{BB7CC17E-02BE-42A1-89DA-CF1EDF636326}"/>
    <cellStyle name="20% - Accent2 3 2 3 2 3" xfId="11712" xr:uid="{E2B796EF-6649-4B90-ABA9-13743981A360}"/>
    <cellStyle name="20% - Accent2 3 2 3 3" xfId="5346" xr:uid="{00000000-0005-0000-0000-0000FB000000}"/>
    <cellStyle name="20% - Accent2 3 2 3 3 2" xfId="13785" xr:uid="{55B35AD0-D3B7-4E47-A766-244D5026AE3E}"/>
    <cellStyle name="20% - Accent2 3 2 3 4" xfId="9567" xr:uid="{80DF488D-079D-4CE7-BDD4-D56191DB9284}"/>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3" xr:uid="{47741115-2E73-4CCD-BCC7-7CEA3F67C8CC}"/>
    <cellStyle name="20% - Accent2 3 2 4 2 3" xfId="12125" xr:uid="{D5DAE968-F0F7-4203-9E6D-786D4E160B6E}"/>
    <cellStyle name="20% - Accent2 3 2 4 3" xfId="5759" xr:uid="{00000000-0005-0000-0000-0000FF000000}"/>
    <cellStyle name="20% - Accent2 3 2 4 3 2" xfId="14198" xr:uid="{2DDCFE86-AE81-494C-8650-1FEC5139C13D}"/>
    <cellStyle name="20% - Accent2 3 2 4 4" xfId="9980" xr:uid="{4C2DA22A-E322-42D6-ABB2-4ADA5615CA64}"/>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6" xr:uid="{A73C3815-DABC-4DB2-A314-6A977F018A51}"/>
    <cellStyle name="20% - Accent2 3 2 5 2 3" xfId="12538" xr:uid="{FE0EEE3C-0648-4742-B75B-047FDA94CD67}"/>
    <cellStyle name="20% - Accent2 3 2 5 3" xfId="6172" xr:uid="{00000000-0005-0000-0000-000003010000}"/>
    <cellStyle name="20% - Accent2 3 2 5 3 2" xfId="14611" xr:uid="{1DF8217B-4A85-4005-917B-8BB31B4904A1}"/>
    <cellStyle name="20% - Accent2 3 2 5 4" xfId="10393" xr:uid="{B6EAB04B-013D-4223-AABF-65F65E787402}"/>
    <cellStyle name="20% - Accent2 3 2 6" xfId="2278" xr:uid="{00000000-0005-0000-0000-000004010000}"/>
    <cellStyle name="20% - Accent2 3 2 6 2" xfId="6585" xr:uid="{00000000-0005-0000-0000-000005010000}"/>
    <cellStyle name="20% - Accent2 3 2 6 2 2" xfId="15024" xr:uid="{ADF8EB73-510A-4F83-9749-04FBD026E82C}"/>
    <cellStyle name="20% - Accent2 3 2 6 3" xfId="10806" xr:uid="{2D737933-EF87-444E-A4E5-83E1BAEBA87A}"/>
    <cellStyle name="20% - Accent2 3 2 7" xfId="4519" xr:uid="{00000000-0005-0000-0000-000006010000}"/>
    <cellStyle name="20% - Accent2 3 2 7 2" xfId="12958" xr:uid="{C558597F-9EDE-4DEC-BD88-07F55BCD8D8F}"/>
    <cellStyle name="20% - Accent2 3 2 8" xfId="8740" xr:uid="{A3442A05-C877-41F2-ACFB-7434FD6A1F53}"/>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6" xr:uid="{F74D1CDA-0E6C-49FF-BEF6-CF9E4470F61F}"/>
    <cellStyle name="20% - Accent2 3 3 2 3" xfId="11298" xr:uid="{1BFF8027-4B75-4527-BEBB-203EC17B41F4}"/>
    <cellStyle name="20% - Accent2 3 3 3" xfId="4932" xr:uid="{00000000-0005-0000-0000-00000A010000}"/>
    <cellStyle name="20% - Accent2 3 3 3 2" xfId="13371" xr:uid="{932600EA-D20A-4762-8137-D34A8D4F0F3C}"/>
    <cellStyle name="20% - Accent2 3 3 4" xfId="9153" xr:uid="{E567CA2C-CAD3-439B-AC04-3DD27D7B6839}"/>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29" xr:uid="{14E685CA-99B1-448A-B091-5B92E4450947}"/>
    <cellStyle name="20% - Accent2 3 4 2 3" xfId="11711" xr:uid="{FF2E425C-3258-4C82-869D-B6490650FDA5}"/>
    <cellStyle name="20% - Accent2 3 4 3" xfId="5345" xr:uid="{00000000-0005-0000-0000-00000E010000}"/>
    <cellStyle name="20% - Accent2 3 4 3 2" xfId="13784" xr:uid="{564EBCBD-C451-4D18-BEDC-CE252E2D07B1}"/>
    <cellStyle name="20% - Accent2 3 4 4" xfId="9566" xr:uid="{03300653-914A-47FD-92C3-9C577B4E50B9}"/>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42" xr:uid="{9F861BE7-663F-45D7-BCB8-163884ADDBCF}"/>
    <cellStyle name="20% - Accent2 3 5 2 3" xfId="12124" xr:uid="{C4E21FFE-4C60-4E61-9CB1-BAB7299B6F09}"/>
    <cellStyle name="20% - Accent2 3 5 3" xfId="5758" xr:uid="{00000000-0005-0000-0000-000012010000}"/>
    <cellStyle name="20% - Accent2 3 5 3 2" xfId="14197" xr:uid="{1A57ECEF-6B97-4F22-A03D-8E1EC225914E}"/>
    <cellStyle name="20% - Accent2 3 5 4" xfId="9979" xr:uid="{812EAE25-A552-4AD0-9C74-8A8D3E14C18B}"/>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5" xr:uid="{09FB0AB3-1B98-4ED5-97AF-3D4F6085CAAC}"/>
    <cellStyle name="20% - Accent2 3 6 2 3" xfId="12537" xr:uid="{6410979F-261C-43E5-81D3-A17A8A321E12}"/>
    <cellStyle name="20% - Accent2 3 6 3" xfId="6171" xr:uid="{00000000-0005-0000-0000-000016010000}"/>
    <cellStyle name="20% - Accent2 3 6 3 2" xfId="14610" xr:uid="{90C63BAC-F937-4856-B972-B2FC7DF45D31}"/>
    <cellStyle name="20% - Accent2 3 6 4" xfId="10392" xr:uid="{A0A906A9-AD7C-4E96-9885-961550F6E44C}"/>
    <cellStyle name="20% - Accent2 3 7" xfId="2277" xr:uid="{00000000-0005-0000-0000-000017010000}"/>
    <cellStyle name="20% - Accent2 3 7 2" xfId="6584" xr:uid="{00000000-0005-0000-0000-000018010000}"/>
    <cellStyle name="20% - Accent2 3 7 2 2" xfId="15023" xr:uid="{B8D4477E-B22B-4442-9B3E-6DA4AB75FE59}"/>
    <cellStyle name="20% - Accent2 3 7 3" xfId="10805" xr:uid="{BDEAC91B-F4BE-4054-9394-7E324014D5E3}"/>
    <cellStyle name="20% - Accent2 3 8" xfId="4518" xr:uid="{00000000-0005-0000-0000-000019010000}"/>
    <cellStyle name="20% - Accent2 3 8 2" xfId="12957" xr:uid="{585961E6-A0BB-405D-B544-0ADE1895B10E}"/>
    <cellStyle name="20% - Accent2 3 9" xfId="8739" xr:uid="{FDE34671-1460-4C55-A2EE-C8D2950CB952}"/>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18" xr:uid="{A36186BE-3829-49DA-9C1F-A2110CA67B7C}"/>
    <cellStyle name="20% - Accent2 4 2 2 3" xfId="11300" xr:uid="{F1045156-C62E-4765-AF96-5DE679436A0B}"/>
    <cellStyle name="20% - Accent2 4 2 3" xfId="4934" xr:uid="{00000000-0005-0000-0000-00001E010000}"/>
    <cellStyle name="20% - Accent2 4 2 3 2" xfId="13373" xr:uid="{BDCE9BA6-881D-48D2-8FC4-6123478A41BC}"/>
    <cellStyle name="20% - Accent2 4 2 4" xfId="9155" xr:uid="{C6010BBF-971D-4FC0-9CCB-ACFDF170D20A}"/>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31" xr:uid="{6AB47381-2953-4AAD-BDB7-69879B8379BE}"/>
    <cellStyle name="20% - Accent2 4 3 2 3" xfId="11713" xr:uid="{4C6BC917-6134-4E7E-B071-53B729368EBD}"/>
    <cellStyle name="20% - Accent2 4 3 3" xfId="5347" xr:uid="{00000000-0005-0000-0000-000022010000}"/>
    <cellStyle name="20% - Accent2 4 3 3 2" xfId="13786" xr:uid="{6B4EA846-E012-4159-89D9-278AC6840B55}"/>
    <cellStyle name="20% - Accent2 4 3 4" xfId="9568" xr:uid="{024207BB-CFB1-4964-B324-95CD44616B08}"/>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4" xr:uid="{A432D17C-266D-49F8-A166-4828F69DA0D8}"/>
    <cellStyle name="20% - Accent2 4 4 2 3" xfId="12126" xr:uid="{E45A7F46-BD6B-47C8-A566-D70D8656468B}"/>
    <cellStyle name="20% - Accent2 4 4 3" xfId="5760" xr:uid="{00000000-0005-0000-0000-000026010000}"/>
    <cellStyle name="20% - Accent2 4 4 3 2" xfId="14199" xr:uid="{15EF3C22-3F85-498D-97FD-9512D6AD3519}"/>
    <cellStyle name="20% - Accent2 4 4 4" xfId="9981" xr:uid="{45C94776-5928-4095-8373-C92B98BD1EA5}"/>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57" xr:uid="{23061595-2D7F-4B94-BFAC-02ECC50011F6}"/>
    <cellStyle name="20% - Accent2 4 5 2 3" xfId="12539" xr:uid="{B5D8A467-5A87-4705-ACCF-6740999B2B38}"/>
    <cellStyle name="20% - Accent2 4 5 3" xfId="6173" xr:uid="{00000000-0005-0000-0000-00002A010000}"/>
    <cellStyle name="20% - Accent2 4 5 3 2" xfId="14612" xr:uid="{7D3E4BC3-8594-45FA-B99A-EC5FFCB5F3AB}"/>
    <cellStyle name="20% - Accent2 4 5 4" xfId="10394" xr:uid="{69774852-A7D7-4066-9F28-0BA27EB9DA5D}"/>
    <cellStyle name="20% - Accent2 4 6" xfId="2279" xr:uid="{00000000-0005-0000-0000-00002B010000}"/>
    <cellStyle name="20% - Accent2 4 6 2" xfId="6586" xr:uid="{00000000-0005-0000-0000-00002C010000}"/>
    <cellStyle name="20% - Accent2 4 6 2 2" xfId="15025" xr:uid="{F26B8042-AAA7-4FB2-8E59-974121EC81BC}"/>
    <cellStyle name="20% - Accent2 4 6 3" xfId="10807" xr:uid="{4C6B3023-3639-4E57-A081-70DC0038B3C8}"/>
    <cellStyle name="20% - Accent2 4 7" xfId="4520" xr:uid="{00000000-0005-0000-0000-00002D010000}"/>
    <cellStyle name="20% - Accent2 4 7 2" xfId="12959" xr:uid="{5B8752AD-7C47-4B3C-943D-EFEA95DC1C47}"/>
    <cellStyle name="20% - Accent2 4 8" xfId="8741" xr:uid="{63A1B10F-8955-4DBB-8B03-2E631CACBC9A}"/>
    <cellStyle name="20% - Accent2 5" xfId="578" xr:uid="{00000000-0005-0000-0000-00002E010000}"/>
    <cellStyle name="20% - Accent2 5 2" xfId="2849" xr:uid="{00000000-0005-0000-0000-00002F010000}"/>
    <cellStyle name="20% - Accent2 5 2 2" xfId="7072" xr:uid="{00000000-0005-0000-0000-000030010000}"/>
    <cellStyle name="20% - Accent2 5 2 2 2" xfId="15511" xr:uid="{76C47192-AEE5-43E8-BC42-B898E4604109}"/>
    <cellStyle name="20% - Accent2 5 2 3" xfId="11293" xr:uid="{EC50A135-C7B9-4102-AF0C-E7D2722A8037}"/>
    <cellStyle name="20% - Accent2 5 3" xfId="4927" xr:uid="{00000000-0005-0000-0000-000031010000}"/>
    <cellStyle name="20% - Accent2 5 3 2" xfId="13366" xr:uid="{B113E334-035F-493A-BF5D-4A4B4C16FC32}"/>
    <cellStyle name="20% - Accent2 5 4" xfId="9148" xr:uid="{BDAE6B23-7E46-4042-9405-516CDF5E1229}"/>
    <cellStyle name="20% - Accent2 6" xfId="1031" xr:uid="{00000000-0005-0000-0000-000032010000}"/>
    <cellStyle name="20% - Accent2 6 2" xfId="3262" xr:uid="{00000000-0005-0000-0000-000033010000}"/>
    <cellStyle name="20% - Accent2 6 2 2" xfId="7485" xr:uid="{00000000-0005-0000-0000-000034010000}"/>
    <cellStyle name="20% - Accent2 6 2 2 2" xfId="15924" xr:uid="{ABA77AF5-41CF-40E3-A170-89AD0BFAB250}"/>
    <cellStyle name="20% - Accent2 6 2 3" xfId="11706" xr:uid="{BF76C9AF-3ECF-4C45-8B05-DFB324F879F6}"/>
    <cellStyle name="20% - Accent2 6 3" xfId="5340" xr:uid="{00000000-0005-0000-0000-000035010000}"/>
    <cellStyle name="20% - Accent2 6 3 2" xfId="13779" xr:uid="{A70FAB4D-9F8E-4878-A1FA-40251655D8B7}"/>
    <cellStyle name="20% - Accent2 6 4" xfId="9561" xr:uid="{1D4C1125-D197-4A52-8E4C-D27AFF9BCAE0}"/>
    <cellStyle name="20% - Accent2 7" xfId="1445" xr:uid="{00000000-0005-0000-0000-000036010000}"/>
    <cellStyle name="20% - Accent2 7 2" xfId="3675" xr:uid="{00000000-0005-0000-0000-000037010000}"/>
    <cellStyle name="20% - Accent2 7 2 2" xfId="7898" xr:uid="{00000000-0005-0000-0000-000038010000}"/>
    <cellStyle name="20% - Accent2 7 2 2 2" xfId="16337" xr:uid="{A12CD33B-B2C0-4FA6-9C40-C2BED6D2B683}"/>
    <cellStyle name="20% - Accent2 7 2 3" xfId="12119" xr:uid="{AF60D1AC-45D3-4262-894E-45E61CF25E23}"/>
    <cellStyle name="20% - Accent2 7 3" xfId="5753" xr:uid="{00000000-0005-0000-0000-000039010000}"/>
    <cellStyle name="20% - Accent2 7 3 2" xfId="14192" xr:uid="{24509282-A7C7-4EDA-A3D8-1C4B62D2F090}"/>
    <cellStyle name="20% - Accent2 7 4" xfId="9974" xr:uid="{A2E001BE-8045-4B1A-B89D-697C2FFE652A}"/>
    <cellStyle name="20% - Accent2 8" xfId="1859" xr:uid="{00000000-0005-0000-0000-00003A010000}"/>
    <cellStyle name="20% - Accent2 8 2" xfId="4088" xr:uid="{00000000-0005-0000-0000-00003B010000}"/>
    <cellStyle name="20% - Accent2 8 2 2" xfId="8311" xr:uid="{00000000-0005-0000-0000-00003C010000}"/>
    <cellStyle name="20% - Accent2 8 2 2 2" xfId="16750" xr:uid="{4E54972F-2249-4182-B361-C26C69DE67EB}"/>
    <cellStyle name="20% - Accent2 8 2 3" xfId="12532" xr:uid="{A4736BFC-F211-4536-AB0A-1DBC6984A24C}"/>
    <cellStyle name="20% - Accent2 8 3" xfId="6166" xr:uid="{00000000-0005-0000-0000-00003D010000}"/>
    <cellStyle name="20% - Accent2 8 3 2" xfId="14605" xr:uid="{35421164-14F3-4722-8751-59BFE9B5EB5B}"/>
    <cellStyle name="20% - Accent2 8 4" xfId="10387" xr:uid="{8BFF9BD3-AAE3-4608-9ED1-FD8A173657C1}"/>
    <cellStyle name="20% - Accent2 9" xfId="2272" xr:uid="{00000000-0005-0000-0000-00003E010000}"/>
    <cellStyle name="20% - Accent2 9 2" xfId="6579" xr:uid="{00000000-0005-0000-0000-00003F010000}"/>
    <cellStyle name="20% - Accent2 9 2 2" xfId="15018" xr:uid="{4ED4B6CC-F38D-47BD-AF0E-B97390FC9DC7}"/>
    <cellStyle name="20% - Accent2 9 3" xfId="10800" xr:uid="{A20F8981-E244-4A9D-8D42-658C9C19B046}"/>
    <cellStyle name="20% - Accent3" xfId="17" builtinId="38" customBuiltin="1"/>
    <cellStyle name="20% - Accent3 10" xfId="4521" xr:uid="{00000000-0005-0000-0000-000041010000}"/>
    <cellStyle name="20% - Accent3 10 2" xfId="12960" xr:uid="{FE848FD3-EEB9-4332-88D6-782D11C2B165}"/>
    <cellStyle name="20% - Accent3 11" xfId="8742" xr:uid="{BD6A7CD3-A586-4FF2-9177-17A628F8CBC8}"/>
    <cellStyle name="20% - Accent3 2" xfId="18" xr:uid="{00000000-0005-0000-0000-000042010000}"/>
    <cellStyle name="20% - Accent3 2 10" xfId="8743" xr:uid="{8E6C3B03-16F1-4387-8196-F2F0E4A97E28}"/>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22" xr:uid="{9C23DCDE-4B70-4A97-A807-76EB8587BD9E}"/>
    <cellStyle name="20% - Accent3 2 2 2 2 2 3" xfId="11304" xr:uid="{96E618BE-EAB4-4837-93F4-DAADD5D10E47}"/>
    <cellStyle name="20% - Accent3 2 2 2 2 3" xfId="4938" xr:uid="{00000000-0005-0000-0000-000048010000}"/>
    <cellStyle name="20% - Accent3 2 2 2 2 3 2" xfId="13377" xr:uid="{0922B4BA-C5B4-4460-A01D-09772A83F0B5}"/>
    <cellStyle name="20% - Accent3 2 2 2 2 4" xfId="9159" xr:uid="{13BE5B87-9D4C-4D68-B852-7A8C4B301F86}"/>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5" xr:uid="{8FF65170-EE1B-4AF5-9FE7-27B28EDCF04F}"/>
    <cellStyle name="20% - Accent3 2 2 2 3 2 3" xfId="11717" xr:uid="{CEE9A25D-6626-4FC2-9A1B-F5F9FF94C3D1}"/>
    <cellStyle name="20% - Accent3 2 2 2 3 3" xfId="5351" xr:uid="{00000000-0005-0000-0000-00004C010000}"/>
    <cellStyle name="20% - Accent3 2 2 2 3 3 2" xfId="13790" xr:uid="{02DB05D8-0E07-4EB4-97A8-ED584D995F56}"/>
    <cellStyle name="20% - Accent3 2 2 2 3 4" xfId="9572" xr:uid="{E9B7CC9F-A365-4EFE-A4B4-56E187E10594}"/>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48" xr:uid="{17A7CF7E-E5F0-41CF-A172-421FB335D131}"/>
    <cellStyle name="20% - Accent3 2 2 2 4 2 3" xfId="12130" xr:uid="{E0C98B86-1633-4057-B1D4-6727DACCEC20}"/>
    <cellStyle name="20% - Accent3 2 2 2 4 3" xfId="5764" xr:uid="{00000000-0005-0000-0000-000050010000}"/>
    <cellStyle name="20% - Accent3 2 2 2 4 3 2" xfId="14203" xr:uid="{13EFA6FA-58FE-46CC-A0CC-F4CBCAF9F78F}"/>
    <cellStyle name="20% - Accent3 2 2 2 4 4" xfId="9985" xr:uid="{91B529CD-EC88-4015-8CDD-A5EC8D335274}"/>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61" xr:uid="{5B79F7C7-A9EA-41BD-BDE5-46C3A6B18A74}"/>
    <cellStyle name="20% - Accent3 2 2 2 5 2 3" xfId="12543" xr:uid="{F7BFFB31-19BD-4DA5-8962-C1F75C6A8CBE}"/>
    <cellStyle name="20% - Accent3 2 2 2 5 3" xfId="6177" xr:uid="{00000000-0005-0000-0000-000054010000}"/>
    <cellStyle name="20% - Accent3 2 2 2 5 3 2" xfId="14616" xr:uid="{5E8B3C3D-2E88-484C-8F2F-6BBC9D25088C}"/>
    <cellStyle name="20% - Accent3 2 2 2 5 4" xfId="10398" xr:uid="{69459CAC-0CD5-4471-896A-09AE8EC743E2}"/>
    <cellStyle name="20% - Accent3 2 2 2 6" xfId="2283" xr:uid="{00000000-0005-0000-0000-000055010000}"/>
    <cellStyle name="20% - Accent3 2 2 2 6 2" xfId="6590" xr:uid="{00000000-0005-0000-0000-000056010000}"/>
    <cellStyle name="20% - Accent3 2 2 2 6 2 2" xfId="15029" xr:uid="{844ACED3-7CAA-4142-95E5-2A6642FBD5F3}"/>
    <cellStyle name="20% - Accent3 2 2 2 6 3" xfId="10811" xr:uid="{20E70D0C-288F-4FCA-B36F-E839F43810E1}"/>
    <cellStyle name="20% - Accent3 2 2 2 7" xfId="4524" xr:uid="{00000000-0005-0000-0000-000057010000}"/>
    <cellStyle name="20% - Accent3 2 2 2 7 2" xfId="12963" xr:uid="{FFCB5EB5-7324-4C22-8BFE-9EAA8EC856F7}"/>
    <cellStyle name="20% - Accent3 2 2 2 8" xfId="8745" xr:uid="{E2E8A1EA-4C60-4D4B-ACA4-756860EEA6B4}"/>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21" xr:uid="{707B4F46-15C4-471D-972E-15FBD13A2FB4}"/>
    <cellStyle name="20% - Accent3 2 2 3 2 3" xfId="11303" xr:uid="{8659CDED-32AB-461D-BC4F-FEEAB7E05017}"/>
    <cellStyle name="20% - Accent3 2 2 3 3" xfId="4937" xr:uid="{00000000-0005-0000-0000-00005B010000}"/>
    <cellStyle name="20% - Accent3 2 2 3 3 2" xfId="13376" xr:uid="{7EBF3DAA-4404-4AEC-8AAB-B742408CD5D5}"/>
    <cellStyle name="20% - Accent3 2 2 3 4" xfId="9158" xr:uid="{1BC5E77D-443A-4A82-9E86-C9EABB25DCEA}"/>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4" xr:uid="{48D4FD1C-D915-4B58-89EF-122EE2CF290F}"/>
    <cellStyle name="20% - Accent3 2 2 4 2 3" xfId="11716" xr:uid="{4DC61BCE-8B19-4165-B715-DA185D154E1A}"/>
    <cellStyle name="20% - Accent3 2 2 4 3" xfId="5350" xr:uid="{00000000-0005-0000-0000-00005F010000}"/>
    <cellStyle name="20% - Accent3 2 2 4 3 2" xfId="13789" xr:uid="{7D3360A8-6DF5-4F87-8F93-388692057385}"/>
    <cellStyle name="20% - Accent3 2 2 4 4" xfId="9571" xr:uid="{218BA2AB-AE9A-4191-BEBF-1F352E2696FD}"/>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47" xr:uid="{EC28552F-49DF-478F-85D5-34FC1D07AA17}"/>
    <cellStyle name="20% - Accent3 2 2 5 2 3" xfId="12129" xr:uid="{A7A253B8-208A-498C-A615-0ED79A8D49C2}"/>
    <cellStyle name="20% - Accent3 2 2 5 3" xfId="5763" xr:uid="{00000000-0005-0000-0000-000063010000}"/>
    <cellStyle name="20% - Accent3 2 2 5 3 2" xfId="14202" xr:uid="{64B27297-3DB2-420B-96F7-107298982AE0}"/>
    <cellStyle name="20% - Accent3 2 2 5 4" xfId="9984" xr:uid="{9AA68DDD-9AE1-450B-ACD0-3E2421D77B7C}"/>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60" xr:uid="{4CAD92F5-3AEF-4843-94E8-9AE1FDAF9B79}"/>
    <cellStyle name="20% - Accent3 2 2 6 2 3" xfId="12542" xr:uid="{A58F500A-41A8-4C91-A0B5-BF11488D8DC4}"/>
    <cellStyle name="20% - Accent3 2 2 6 3" xfId="6176" xr:uid="{00000000-0005-0000-0000-000067010000}"/>
    <cellStyle name="20% - Accent3 2 2 6 3 2" xfId="14615" xr:uid="{31649C0A-1FCB-4E56-9957-D21E5D6CE38A}"/>
    <cellStyle name="20% - Accent3 2 2 6 4" xfId="10397" xr:uid="{1F40967A-0F76-45EC-AC4A-417378072F50}"/>
    <cellStyle name="20% - Accent3 2 2 7" xfId="2282" xr:uid="{00000000-0005-0000-0000-000068010000}"/>
    <cellStyle name="20% - Accent3 2 2 7 2" xfId="6589" xr:uid="{00000000-0005-0000-0000-000069010000}"/>
    <cellStyle name="20% - Accent3 2 2 7 2 2" xfId="15028" xr:uid="{2B3572DA-07BB-4F43-BD14-9001E3F4C119}"/>
    <cellStyle name="20% - Accent3 2 2 7 3" xfId="10810" xr:uid="{0A405BD4-1DC5-4424-BD52-A1A03D3A83DE}"/>
    <cellStyle name="20% - Accent3 2 2 8" xfId="4523" xr:uid="{00000000-0005-0000-0000-00006A010000}"/>
    <cellStyle name="20% - Accent3 2 2 8 2" xfId="12962" xr:uid="{92169CA8-2FB4-4118-99AB-B37ED8A5CD20}"/>
    <cellStyle name="20% - Accent3 2 2 9" xfId="8744" xr:uid="{B6E0F190-6C42-4FBC-BAB0-2B5F483F0279}"/>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3" xr:uid="{001F53D8-6C53-49E0-95A3-04B171DF6D14}"/>
    <cellStyle name="20% - Accent3 2 3 2 2 3" xfId="11305" xr:uid="{32A0D95E-C83C-4016-A24F-1B54FB41863A}"/>
    <cellStyle name="20% - Accent3 2 3 2 3" xfId="4939" xr:uid="{00000000-0005-0000-0000-00006F010000}"/>
    <cellStyle name="20% - Accent3 2 3 2 3 2" xfId="13378" xr:uid="{F32F660C-9CF8-468F-BF7C-FDC395E1A826}"/>
    <cellStyle name="20% - Accent3 2 3 2 4" xfId="9160" xr:uid="{14417C75-F21F-46EC-8725-1620F2F9ABEF}"/>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6" xr:uid="{D68F5BFF-F3E6-4658-B4DD-362693BB97B2}"/>
    <cellStyle name="20% - Accent3 2 3 3 2 3" xfId="11718" xr:uid="{2280645A-B374-4917-AECC-5BE14D11D4C5}"/>
    <cellStyle name="20% - Accent3 2 3 3 3" xfId="5352" xr:uid="{00000000-0005-0000-0000-000073010000}"/>
    <cellStyle name="20% - Accent3 2 3 3 3 2" xfId="13791" xr:uid="{0DF423D8-3EE0-44C3-B402-BC8A68A0130C}"/>
    <cellStyle name="20% - Accent3 2 3 3 4" xfId="9573" xr:uid="{557A4A4A-32E3-4DD2-A93F-D3F166797215}"/>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49" xr:uid="{745E56F3-C4DE-4B68-AEBE-7BD655126D5C}"/>
    <cellStyle name="20% - Accent3 2 3 4 2 3" xfId="12131" xr:uid="{BF1B0C02-2390-4B50-B3AE-D4ED45BE929F}"/>
    <cellStyle name="20% - Accent3 2 3 4 3" xfId="5765" xr:uid="{00000000-0005-0000-0000-000077010000}"/>
    <cellStyle name="20% - Accent3 2 3 4 3 2" xfId="14204" xr:uid="{AD74F569-FD78-4F71-B31B-7563D119AC79}"/>
    <cellStyle name="20% - Accent3 2 3 4 4" xfId="9986" xr:uid="{C756503E-3FE0-4E0E-9D65-521E06F7D7AE}"/>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62" xr:uid="{D83A1A59-E052-409E-A9D2-4C665DF848BE}"/>
    <cellStyle name="20% - Accent3 2 3 5 2 3" xfId="12544" xr:uid="{473887DB-3235-4130-BEF3-FA5AA3E3512F}"/>
    <cellStyle name="20% - Accent3 2 3 5 3" xfId="6178" xr:uid="{00000000-0005-0000-0000-00007B010000}"/>
    <cellStyle name="20% - Accent3 2 3 5 3 2" xfId="14617" xr:uid="{1A91A575-DC94-4477-913C-500FDEEF0629}"/>
    <cellStyle name="20% - Accent3 2 3 5 4" xfId="10399" xr:uid="{419EC6CB-A608-4A2C-8516-03E0B367E8AA}"/>
    <cellStyle name="20% - Accent3 2 3 6" xfId="2284" xr:uid="{00000000-0005-0000-0000-00007C010000}"/>
    <cellStyle name="20% - Accent3 2 3 6 2" xfId="6591" xr:uid="{00000000-0005-0000-0000-00007D010000}"/>
    <cellStyle name="20% - Accent3 2 3 6 2 2" xfId="15030" xr:uid="{D30ADEF8-C880-4AA3-ADC8-90B648B8F4B6}"/>
    <cellStyle name="20% - Accent3 2 3 6 3" xfId="10812" xr:uid="{369A831A-CA58-46CE-81FC-286B5298BE22}"/>
    <cellStyle name="20% - Accent3 2 3 7" xfId="4525" xr:uid="{00000000-0005-0000-0000-00007E010000}"/>
    <cellStyle name="20% - Accent3 2 3 7 2" xfId="12964" xr:uid="{3BA9EABB-BA18-4CA6-A2D2-496401604DE1}"/>
    <cellStyle name="20% - Accent3 2 3 8" xfId="8746" xr:uid="{03BB8773-B599-4402-813A-1575562C32E0}"/>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20" xr:uid="{05C333FD-2A9C-47E3-B02E-DE4D7B99196B}"/>
    <cellStyle name="20% - Accent3 2 4 2 3" xfId="11302" xr:uid="{E325AC7A-E6FD-43DD-9DEF-31DA1358B09A}"/>
    <cellStyle name="20% - Accent3 2 4 3" xfId="4936" xr:uid="{00000000-0005-0000-0000-000082010000}"/>
    <cellStyle name="20% - Accent3 2 4 3 2" xfId="13375" xr:uid="{E3CF8E8F-4BE3-4AF6-A5A4-EDCFBEAD4095}"/>
    <cellStyle name="20% - Accent3 2 4 4" xfId="9157" xr:uid="{9B334561-02C5-4C9C-A002-B27D6EA72941}"/>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3" xr:uid="{412F4405-8BAD-4F4A-95AC-199436CF4545}"/>
    <cellStyle name="20% - Accent3 2 5 2 3" xfId="11715" xr:uid="{9BE7D2AB-7EDA-4A7E-97A4-AD2330B76F46}"/>
    <cellStyle name="20% - Accent3 2 5 3" xfId="5349" xr:uid="{00000000-0005-0000-0000-000086010000}"/>
    <cellStyle name="20% - Accent3 2 5 3 2" xfId="13788" xr:uid="{C1D28D81-AC27-447E-96B0-B97FCA77044C}"/>
    <cellStyle name="20% - Accent3 2 5 4" xfId="9570" xr:uid="{52F350ED-D31B-46C4-ACB4-E37C2803FA3F}"/>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6" xr:uid="{2A1344C5-6D7E-418B-B5A1-6143609A5B6F}"/>
    <cellStyle name="20% - Accent3 2 6 2 3" xfId="12128" xr:uid="{3131D74C-6B53-47C4-BD33-C618366EBDF7}"/>
    <cellStyle name="20% - Accent3 2 6 3" xfId="5762" xr:uid="{00000000-0005-0000-0000-00008A010000}"/>
    <cellStyle name="20% - Accent3 2 6 3 2" xfId="14201" xr:uid="{9A5045FA-85BD-4B4C-A238-C2CCC69B097F}"/>
    <cellStyle name="20% - Accent3 2 6 4" xfId="9983" xr:uid="{502999FD-74C8-42AF-A039-D355D4D56332}"/>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59" xr:uid="{99E9AC45-E124-4BCA-A666-1A60FE2E8F20}"/>
    <cellStyle name="20% - Accent3 2 7 2 3" xfId="12541" xr:uid="{BCF5997E-B54E-45A2-8502-B3434FB179CE}"/>
    <cellStyle name="20% - Accent3 2 7 3" xfId="6175" xr:uid="{00000000-0005-0000-0000-00008E010000}"/>
    <cellStyle name="20% - Accent3 2 7 3 2" xfId="14614" xr:uid="{614BC40E-9ED1-4DA0-B531-32758684973E}"/>
    <cellStyle name="20% - Accent3 2 7 4" xfId="10396" xr:uid="{BDCB8DBD-C732-41FC-B0AE-6D7A90940338}"/>
    <cellStyle name="20% - Accent3 2 8" xfId="2281" xr:uid="{00000000-0005-0000-0000-00008F010000}"/>
    <cellStyle name="20% - Accent3 2 8 2" xfId="6588" xr:uid="{00000000-0005-0000-0000-000090010000}"/>
    <cellStyle name="20% - Accent3 2 8 2 2" xfId="15027" xr:uid="{947E02B3-699D-4F8D-8826-C6E95B009D4E}"/>
    <cellStyle name="20% - Accent3 2 8 3" xfId="10809" xr:uid="{489D6ADD-9B2C-4025-8952-FE313CA84393}"/>
    <cellStyle name="20% - Accent3 2 9" xfId="4522" xr:uid="{00000000-0005-0000-0000-000091010000}"/>
    <cellStyle name="20% - Accent3 2 9 2" xfId="12961" xr:uid="{34A26F5E-B1EF-4FD0-985E-C09F068432B6}"/>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5" xr:uid="{FA39E7CA-0F3E-4AA3-A619-8D571742ED89}"/>
    <cellStyle name="20% - Accent3 3 2 2 2 3" xfId="11307" xr:uid="{07835CC7-1901-4D18-BDA9-5CF47CFB734B}"/>
    <cellStyle name="20% - Accent3 3 2 2 3" xfId="4941" xr:uid="{00000000-0005-0000-0000-000097010000}"/>
    <cellStyle name="20% - Accent3 3 2 2 3 2" xfId="13380" xr:uid="{AAC7DD95-8E5D-4C4D-9124-AEFD4042E66A}"/>
    <cellStyle name="20% - Accent3 3 2 2 4" xfId="9162" xr:uid="{0F067512-7084-48F2-9248-5A11C77E960D}"/>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38" xr:uid="{DA2E1394-131B-468E-A585-6253C5888AF8}"/>
    <cellStyle name="20% - Accent3 3 2 3 2 3" xfId="11720" xr:uid="{ED692847-27EC-4165-98F0-8C318BE989E6}"/>
    <cellStyle name="20% - Accent3 3 2 3 3" xfId="5354" xr:uid="{00000000-0005-0000-0000-00009B010000}"/>
    <cellStyle name="20% - Accent3 3 2 3 3 2" xfId="13793" xr:uid="{DE919792-D566-4785-8C15-44DAD44F7DDE}"/>
    <cellStyle name="20% - Accent3 3 2 3 4" xfId="9575" xr:uid="{7192E4A0-AD54-4A0B-99A4-2CDC14F88DFF}"/>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51" xr:uid="{D229C522-49A4-42FA-9F71-46CDF40F321C}"/>
    <cellStyle name="20% - Accent3 3 2 4 2 3" xfId="12133" xr:uid="{490ED49F-1BA1-4390-A26C-261CCB4E686A}"/>
    <cellStyle name="20% - Accent3 3 2 4 3" xfId="5767" xr:uid="{00000000-0005-0000-0000-00009F010000}"/>
    <cellStyle name="20% - Accent3 3 2 4 3 2" xfId="14206" xr:uid="{E4B4C5EB-5DB6-407F-9F12-A9CC2C338F1A}"/>
    <cellStyle name="20% - Accent3 3 2 4 4" xfId="9988" xr:uid="{643EC38F-E182-44B5-A1AE-37D2AE747E37}"/>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4" xr:uid="{593FB5AE-8E29-4096-BF03-824368104067}"/>
    <cellStyle name="20% - Accent3 3 2 5 2 3" xfId="12546" xr:uid="{371E4EC7-A7E4-4269-9CB6-7BE6C02BCB1D}"/>
    <cellStyle name="20% - Accent3 3 2 5 3" xfId="6180" xr:uid="{00000000-0005-0000-0000-0000A3010000}"/>
    <cellStyle name="20% - Accent3 3 2 5 3 2" xfId="14619" xr:uid="{590ADB11-7F0D-4A6D-B77B-A58B6A4FB825}"/>
    <cellStyle name="20% - Accent3 3 2 5 4" xfId="10401" xr:uid="{F80F32E8-41FE-449B-B843-A4F69A22A7AB}"/>
    <cellStyle name="20% - Accent3 3 2 6" xfId="2286" xr:uid="{00000000-0005-0000-0000-0000A4010000}"/>
    <cellStyle name="20% - Accent3 3 2 6 2" xfId="6593" xr:uid="{00000000-0005-0000-0000-0000A5010000}"/>
    <cellStyle name="20% - Accent3 3 2 6 2 2" xfId="15032" xr:uid="{F877C170-9620-4DDF-93C0-CF0660F4BF50}"/>
    <cellStyle name="20% - Accent3 3 2 6 3" xfId="10814" xr:uid="{EB34DBE9-886E-4F35-9650-B8BD4A136122}"/>
    <cellStyle name="20% - Accent3 3 2 7" xfId="4527" xr:uid="{00000000-0005-0000-0000-0000A6010000}"/>
    <cellStyle name="20% - Accent3 3 2 7 2" xfId="12966" xr:uid="{B2879F18-ACFA-4CAC-9FC6-AA3427672144}"/>
    <cellStyle name="20% - Accent3 3 2 8" xfId="8748" xr:uid="{C42BC639-423D-49C2-AF40-4A44D8565B12}"/>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4" xr:uid="{4F3AE2D3-909B-4FA3-8796-FFEB780AE93E}"/>
    <cellStyle name="20% - Accent3 3 3 2 3" xfId="11306" xr:uid="{859AAEFE-54B5-41EB-BADF-507BCCF8A1FA}"/>
    <cellStyle name="20% - Accent3 3 3 3" xfId="4940" xr:uid="{00000000-0005-0000-0000-0000AA010000}"/>
    <cellStyle name="20% - Accent3 3 3 3 2" xfId="13379" xr:uid="{B194BCC5-3B26-4496-9F10-A864EAA25325}"/>
    <cellStyle name="20% - Accent3 3 3 4" xfId="9161" xr:uid="{1F3F8FC0-8EFF-412D-8ED8-5306E2C54CCD}"/>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37" xr:uid="{DBF67003-C377-4BC2-B476-7049BE85E1F2}"/>
    <cellStyle name="20% - Accent3 3 4 2 3" xfId="11719" xr:uid="{00EBBEF8-994B-4848-A4D1-764BF6D7B33A}"/>
    <cellStyle name="20% - Accent3 3 4 3" xfId="5353" xr:uid="{00000000-0005-0000-0000-0000AE010000}"/>
    <cellStyle name="20% - Accent3 3 4 3 2" xfId="13792" xr:uid="{098089A1-517A-433F-8AA3-53531DFEDC6E}"/>
    <cellStyle name="20% - Accent3 3 4 4" xfId="9574" xr:uid="{EE0FD1F8-72AF-4F49-B9CB-4623F3B5D4D2}"/>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50" xr:uid="{04D74BA9-1AD0-4935-9555-6FB26FC14ECE}"/>
    <cellStyle name="20% - Accent3 3 5 2 3" xfId="12132" xr:uid="{8172C183-E7C0-437E-B002-D39AAD21835C}"/>
    <cellStyle name="20% - Accent3 3 5 3" xfId="5766" xr:uid="{00000000-0005-0000-0000-0000B2010000}"/>
    <cellStyle name="20% - Accent3 3 5 3 2" xfId="14205" xr:uid="{842F88FC-594B-433D-ACCB-87E432737888}"/>
    <cellStyle name="20% - Accent3 3 5 4" xfId="9987" xr:uid="{958FD7A0-E05F-46A6-BABF-1A5867B6F364}"/>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3" xr:uid="{16D54129-ACF4-4404-A617-701603ACDA9B}"/>
    <cellStyle name="20% - Accent3 3 6 2 3" xfId="12545" xr:uid="{07CD2816-E91D-414A-AE14-644CD12915F8}"/>
    <cellStyle name="20% - Accent3 3 6 3" xfId="6179" xr:uid="{00000000-0005-0000-0000-0000B6010000}"/>
    <cellStyle name="20% - Accent3 3 6 3 2" xfId="14618" xr:uid="{D4527D94-DD2C-4B88-ADD9-74607901D64C}"/>
    <cellStyle name="20% - Accent3 3 6 4" xfId="10400" xr:uid="{5B73109D-1C73-4FA8-AD8F-1F1E5911F4C8}"/>
    <cellStyle name="20% - Accent3 3 7" xfId="2285" xr:uid="{00000000-0005-0000-0000-0000B7010000}"/>
    <cellStyle name="20% - Accent3 3 7 2" xfId="6592" xr:uid="{00000000-0005-0000-0000-0000B8010000}"/>
    <cellStyle name="20% - Accent3 3 7 2 2" xfId="15031" xr:uid="{FB74EF10-D1A1-40DB-B508-F2A5A5E09477}"/>
    <cellStyle name="20% - Accent3 3 7 3" xfId="10813" xr:uid="{C138D523-4FC9-4D8B-9793-45953E70C8C2}"/>
    <cellStyle name="20% - Accent3 3 8" xfId="4526" xr:uid="{00000000-0005-0000-0000-0000B9010000}"/>
    <cellStyle name="20% - Accent3 3 8 2" xfId="12965" xr:uid="{514B9A05-34FE-4630-AAD5-08F45F1E0C9E}"/>
    <cellStyle name="20% - Accent3 3 9" xfId="8747" xr:uid="{2DF6AF03-77DA-4A35-84F5-CBE9017F4FD2}"/>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6" xr:uid="{229A187E-D067-44CD-9660-8BEB08809B92}"/>
    <cellStyle name="20% - Accent3 4 2 2 3" xfId="11308" xr:uid="{B1448CA6-182B-46A6-8C46-B0E2A64EB8E3}"/>
    <cellStyle name="20% - Accent3 4 2 3" xfId="4942" xr:uid="{00000000-0005-0000-0000-0000BE010000}"/>
    <cellStyle name="20% - Accent3 4 2 3 2" xfId="13381" xr:uid="{5CE653A2-B8B8-4BB2-9F29-027AB358DCA4}"/>
    <cellStyle name="20% - Accent3 4 2 4" xfId="9163" xr:uid="{311A3FC1-2ADD-4904-B45E-D578A13E657F}"/>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39" xr:uid="{AF35F4ED-35BD-40D5-A4DC-345BF440AF2B}"/>
    <cellStyle name="20% - Accent3 4 3 2 3" xfId="11721" xr:uid="{1E1711AE-FF70-4C0C-96AD-DB2EF9EB684F}"/>
    <cellStyle name="20% - Accent3 4 3 3" xfId="5355" xr:uid="{00000000-0005-0000-0000-0000C2010000}"/>
    <cellStyle name="20% - Accent3 4 3 3 2" xfId="13794" xr:uid="{A48B2BFF-F902-4294-8A4F-26E74C4BDACA}"/>
    <cellStyle name="20% - Accent3 4 3 4" xfId="9576" xr:uid="{14FF49FB-7461-461B-846F-0D7C35677FF3}"/>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52" xr:uid="{B8062230-6ABE-452A-8BF2-C3B66048C9C4}"/>
    <cellStyle name="20% - Accent3 4 4 2 3" xfId="12134" xr:uid="{BCA0C733-30BC-4953-A241-3B83A24338DC}"/>
    <cellStyle name="20% - Accent3 4 4 3" xfId="5768" xr:uid="{00000000-0005-0000-0000-0000C6010000}"/>
    <cellStyle name="20% - Accent3 4 4 3 2" xfId="14207" xr:uid="{9CBCB235-8B98-47EA-AAFC-44BB6477828F}"/>
    <cellStyle name="20% - Accent3 4 4 4" xfId="9989" xr:uid="{7F5F043A-9856-46FC-868F-3D4DAA6AC746}"/>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5" xr:uid="{E0627F60-B594-4C8A-99A7-E52939EC0E29}"/>
    <cellStyle name="20% - Accent3 4 5 2 3" xfId="12547" xr:uid="{381E473E-1CF3-4530-B982-9DE72F49F3B1}"/>
    <cellStyle name="20% - Accent3 4 5 3" xfId="6181" xr:uid="{00000000-0005-0000-0000-0000CA010000}"/>
    <cellStyle name="20% - Accent3 4 5 3 2" xfId="14620" xr:uid="{D2E968C1-E148-4802-AF4E-6E4A6EED43F0}"/>
    <cellStyle name="20% - Accent3 4 5 4" xfId="10402" xr:uid="{55BEDF02-35BA-47E2-8F6E-CC909CCF1F8B}"/>
    <cellStyle name="20% - Accent3 4 6" xfId="2287" xr:uid="{00000000-0005-0000-0000-0000CB010000}"/>
    <cellStyle name="20% - Accent3 4 6 2" xfId="6594" xr:uid="{00000000-0005-0000-0000-0000CC010000}"/>
    <cellStyle name="20% - Accent3 4 6 2 2" xfId="15033" xr:uid="{997C5EF2-ECD4-4115-AB11-F6BD755D06FB}"/>
    <cellStyle name="20% - Accent3 4 6 3" xfId="10815" xr:uid="{496FBD35-92B3-450A-9D9C-D1974322838F}"/>
    <cellStyle name="20% - Accent3 4 7" xfId="4528" xr:uid="{00000000-0005-0000-0000-0000CD010000}"/>
    <cellStyle name="20% - Accent3 4 7 2" xfId="12967" xr:uid="{79B5B910-1C82-42E4-800B-48ADB38845F1}"/>
    <cellStyle name="20% - Accent3 4 8" xfId="8749" xr:uid="{EDFF2A7B-6DCB-43E2-8FD8-82C6DFC5883F}"/>
    <cellStyle name="20% - Accent3 5" xfId="586" xr:uid="{00000000-0005-0000-0000-0000CE010000}"/>
    <cellStyle name="20% - Accent3 5 2" xfId="2857" xr:uid="{00000000-0005-0000-0000-0000CF010000}"/>
    <cellStyle name="20% - Accent3 5 2 2" xfId="7080" xr:uid="{00000000-0005-0000-0000-0000D0010000}"/>
    <cellStyle name="20% - Accent3 5 2 2 2" xfId="15519" xr:uid="{02267B2E-CCBF-4D56-8C34-0ECFCFBA9EB8}"/>
    <cellStyle name="20% - Accent3 5 2 3" xfId="11301" xr:uid="{EEBE910D-1423-4FD0-8F7D-2F23BAB72CAB}"/>
    <cellStyle name="20% - Accent3 5 3" xfId="4935" xr:uid="{00000000-0005-0000-0000-0000D1010000}"/>
    <cellStyle name="20% - Accent3 5 3 2" xfId="13374" xr:uid="{6CC5C417-6EB9-43A8-BCEF-F96D587B467F}"/>
    <cellStyle name="20% - Accent3 5 4" xfId="9156" xr:uid="{E07EC852-2FD6-4C74-9B5D-5C32444B14D2}"/>
    <cellStyle name="20% - Accent3 6" xfId="1039" xr:uid="{00000000-0005-0000-0000-0000D2010000}"/>
    <cellStyle name="20% - Accent3 6 2" xfId="3270" xr:uid="{00000000-0005-0000-0000-0000D3010000}"/>
    <cellStyle name="20% - Accent3 6 2 2" xfId="7493" xr:uid="{00000000-0005-0000-0000-0000D4010000}"/>
    <cellStyle name="20% - Accent3 6 2 2 2" xfId="15932" xr:uid="{EC9B3A81-3DF5-4BAE-B829-421B49C478F5}"/>
    <cellStyle name="20% - Accent3 6 2 3" xfId="11714" xr:uid="{F15E0189-5F94-42C5-A388-D22B99888958}"/>
    <cellStyle name="20% - Accent3 6 3" xfId="5348" xr:uid="{00000000-0005-0000-0000-0000D5010000}"/>
    <cellStyle name="20% - Accent3 6 3 2" xfId="13787" xr:uid="{0CB3F473-AE02-4A0C-AB54-42C76ADB57A3}"/>
    <cellStyle name="20% - Accent3 6 4" xfId="9569" xr:uid="{2028D3D3-2B84-46C7-BCCC-20327CC4799C}"/>
    <cellStyle name="20% - Accent3 7" xfId="1453" xr:uid="{00000000-0005-0000-0000-0000D6010000}"/>
    <cellStyle name="20% - Accent3 7 2" xfId="3683" xr:uid="{00000000-0005-0000-0000-0000D7010000}"/>
    <cellStyle name="20% - Accent3 7 2 2" xfId="7906" xr:uid="{00000000-0005-0000-0000-0000D8010000}"/>
    <cellStyle name="20% - Accent3 7 2 2 2" xfId="16345" xr:uid="{D7829109-D2FF-4F83-B92D-09702B7EEE64}"/>
    <cellStyle name="20% - Accent3 7 2 3" xfId="12127" xr:uid="{00A363BE-AAC5-4CFE-BCDF-A4953D9510B5}"/>
    <cellStyle name="20% - Accent3 7 3" xfId="5761" xr:uid="{00000000-0005-0000-0000-0000D9010000}"/>
    <cellStyle name="20% - Accent3 7 3 2" xfId="14200" xr:uid="{EE4EB9AF-A5B6-49B1-A39C-B719DDEA74D6}"/>
    <cellStyle name="20% - Accent3 7 4" xfId="9982" xr:uid="{42ED4674-E218-4216-A191-EF820A3804C2}"/>
    <cellStyle name="20% - Accent3 8" xfId="1867" xr:uid="{00000000-0005-0000-0000-0000DA010000}"/>
    <cellStyle name="20% - Accent3 8 2" xfId="4096" xr:uid="{00000000-0005-0000-0000-0000DB010000}"/>
    <cellStyle name="20% - Accent3 8 2 2" xfId="8319" xr:uid="{00000000-0005-0000-0000-0000DC010000}"/>
    <cellStyle name="20% - Accent3 8 2 2 2" xfId="16758" xr:uid="{8C48C41B-CA9B-48D7-A4C8-351370B6402A}"/>
    <cellStyle name="20% - Accent3 8 2 3" xfId="12540" xr:uid="{78E68F8A-A0D7-408C-936E-E1E38EDF7828}"/>
    <cellStyle name="20% - Accent3 8 3" xfId="6174" xr:uid="{00000000-0005-0000-0000-0000DD010000}"/>
    <cellStyle name="20% - Accent3 8 3 2" xfId="14613" xr:uid="{AF9D855A-016C-4691-84AA-3918AF078F88}"/>
    <cellStyle name="20% - Accent3 8 4" xfId="10395" xr:uid="{2E2BADAB-9ECD-4226-99A2-77C62D08528C}"/>
    <cellStyle name="20% - Accent3 9" xfId="2280" xr:uid="{00000000-0005-0000-0000-0000DE010000}"/>
    <cellStyle name="20% - Accent3 9 2" xfId="6587" xr:uid="{00000000-0005-0000-0000-0000DF010000}"/>
    <cellStyle name="20% - Accent3 9 2 2" xfId="15026" xr:uid="{E6504CB3-30E7-4DDD-9677-739A221626AC}"/>
    <cellStyle name="20% - Accent3 9 3" xfId="10808" xr:uid="{230E6650-0B75-4215-9993-EA8F01D57E9A}"/>
    <cellStyle name="20% - Accent4" xfId="25" builtinId="42" customBuiltin="1"/>
    <cellStyle name="20% - Accent4 10" xfId="4529" xr:uid="{00000000-0005-0000-0000-0000E1010000}"/>
    <cellStyle name="20% - Accent4 10 2" xfId="12968" xr:uid="{3F7E94F4-5462-4514-A504-498247F68415}"/>
    <cellStyle name="20% - Accent4 11" xfId="8750" xr:uid="{A4B2D23D-E86D-467C-9102-8A28A27F55AD}"/>
    <cellStyle name="20% - Accent4 2" xfId="26" xr:uid="{00000000-0005-0000-0000-0000E2010000}"/>
    <cellStyle name="20% - Accent4 2 10" xfId="8751" xr:uid="{7F2C1042-5AE5-4BB2-872E-CD7EAA9140B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30" xr:uid="{7A72F77A-E65A-426C-B35C-6E6A141A15B9}"/>
    <cellStyle name="20% - Accent4 2 2 2 2 2 3" xfId="11312" xr:uid="{B8155909-3511-42EB-840E-31F68D85566E}"/>
    <cellStyle name="20% - Accent4 2 2 2 2 3" xfId="4946" xr:uid="{00000000-0005-0000-0000-0000E8010000}"/>
    <cellStyle name="20% - Accent4 2 2 2 2 3 2" xfId="13385" xr:uid="{BD09AE47-38C7-4F09-BDE0-259B9530EC15}"/>
    <cellStyle name="20% - Accent4 2 2 2 2 4" xfId="9167" xr:uid="{78292249-EA0A-41DB-908D-8B1F3A0064A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3" xr:uid="{2E55234B-42A8-446C-8C68-9040F7F70931}"/>
    <cellStyle name="20% - Accent4 2 2 2 3 2 3" xfId="11725" xr:uid="{B2407C4F-2A51-49D6-B7D3-3610DD3E4768}"/>
    <cellStyle name="20% - Accent4 2 2 2 3 3" xfId="5359" xr:uid="{00000000-0005-0000-0000-0000EC010000}"/>
    <cellStyle name="20% - Accent4 2 2 2 3 3 2" xfId="13798" xr:uid="{6B726D81-0232-45BE-A231-F2299A5238D3}"/>
    <cellStyle name="20% - Accent4 2 2 2 3 4" xfId="9580" xr:uid="{6B874C80-0D57-4685-83A2-C9DF87B4FDF9}"/>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6" xr:uid="{3314D976-23A5-4EF7-93D8-2C76AD634E02}"/>
    <cellStyle name="20% - Accent4 2 2 2 4 2 3" xfId="12138" xr:uid="{CBD1675B-47A6-4E49-A1A9-C2C36D772CBB}"/>
    <cellStyle name="20% - Accent4 2 2 2 4 3" xfId="5772" xr:uid="{00000000-0005-0000-0000-0000F0010000}"/>
    <cellStyle name="20% - Accent4 2 2 2 4 3 2" xfId="14211" xr:uid="{C4785AC4-3125-422A-8CB0-3DE8DB496475}"/>
    <cellStyle name="20% - Accent4 2 2 2 4 4" xfId="9993" xr:uid="{20D266C0-232B-4052-A30A-DEDCCAA5D15C}"/>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69" xr:uid="{8E68E05D-1248-47A7-B82F-5B64F7825CDB}"/>
    <cellStyle name="20% - Accent4 2 2 2 5 2 3" xfId="12551" xr:uid="{6342AD71-B737-4DA2-8FE2-650975379633}"/>
    <cellStyle name="20% - Accent4 2 2 2 5 3" xfId="6185" xr:uid="{00000000-0005-0000-0000-0000F4010000}"/>
    <cellStyle name="20% - Accent4 2 2 2 5 3 2" xfId="14624" xr:uid="{C2244928-53C3-4EDE-B296-C54AE76CCBCF}"/>
    <cellStyle name="20% - Accent4 2 2 2 5 4" xfId="10406" xr:uid="{63DFF26B-AE00-42F5-A4EB-0F8358957A2B}"/>
    <cellStyle name="20% - Accent4 2 2 2 6" xfId="2291" xr:uid="{00000000-0005-0000-0000-0000F5010000}"/>
    <cellStyle name="20% - Accent4 2 2 2 6 2" xfId="6598" xr:uid="{00000000-0005-0000-0000-0000F6010000}"/>
    <cellStyle name="20% - Accent4 2 2 2 6 2 2" xfId="15037" xr:uid="{DEE846EA-8222-43AF-A90D-F12ACAA343B9}"/>
    <cellStyle name="20% - Accent4 2 2 2 6 3" xfId="10819" xr:uid="{8F1E5FAD-EAC2-42B9-9CEE-F438BF39E77B}"/>
    <cellStyle name="20% - Accent4 2 2 2 7" xfId="4532" xr:uid="{00000000-0005-0000-0000-0000F7010000}"/>
    <cellStyle name="20% - Accent4 2 2 2 7 2" xfId="12971" xr:uid="{3837DCF8-5696-4695-9CF2-F1D1E5931DE0}"/>
    <cellStyle name="20% - Accent4 2 2 2 8" xfId="8753" xr:uid="{A8AC93C2-AB42-4725-9DB7-10D3F38DB348}"/>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29" xr:uid="{6D936D5B-1F36-47E3-AA9B-80BB2CAA48BE}"/>
    <cellStyle name="20% - Accent4 2 2 3 2 3" xfId="11311" xr:uid="{D666DE9B-1D50-4F15-9F7F-3FC90388E54C}"/>
    <cellStyle name="20% - Accent4 2 2 3 3" xfId="4945" xr:uid="{00000000-0005-0000-0000-0000FB010000}"/>
    <cellStyle name="20% - Accent4 2 2 3 3 2" xfId="13384" xr:uid="{18AD226C-8D07-4545-AC0A-8235F44162A2}"/>
    <cellStyle name="20% - Accent4 2 2 3 4" xfId="9166" xr:uid="{E1E0CE27-44DC-4AEE-99D3-1983947843E9}"/>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42" xr:uid="{793BB426-38B4-4690-A3F5-AF739B2E1CBE}"/>
    <cellStyle name="20% - Accent4 2 2 4 2 3" xfId="11724" xr:uid="{11348DBB-5E69-42E2-8992-933D8673E992}"/>
    <cellStyle name="20% - Accent4 2 2 4 3" xfId="5358" xr:uid="{00000000-0005-0000-0000-0000FF010000}"/>
    <cellStyle name="20% - Accent4 2 2 4 3 2" xfId="13797" xr:uid="{E1781394-86E4-4527-85DC-091194DC8484}"/>
    <cellStyle name="20% - Accent4 2 2 4 4" xfId="9579" xr:uid="{718459FE-8A2F-4611-98C9-334DB439810C}"/>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5" xr:uid="{F97CD4F2-2D2C-4B9C-B132-E0B0594F9347}"/>
    <cellStyle name="20% - Accent4 2 2 5 2 3" xfId="12137" xr:uid="{A8EC0734-2318-4EFE-B38D-F3614BEC17DD}"/>
    <cellStyle name="20% - Accent4 2 2 5 3" xfId="5771" xr:uid="{00000000-0005-0000-0000-000003020000}"/>
    <cellStyle name="20% - Accent4 2 2 5 3 2" xfId="14210" xr:uid="{EEC43407-1365-4B1D-A31E-CDB452A9CD41}"/>
    <cellStyle name="20% - Accent4 2 2 5 4" xfId="9992" xr:uid="{9704384B-DC19-446B-B62D-EF3493E0F6FB}"/>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68" xr:uid="{52636C73-E827-4428-94CE-D0EC7F644EBA}"/>
    <cellStyle name="20% - Accent4 2 2 6 2 3" xfId="12550" xr:uid="{E65738AE-944B-46B7-BAFC-198E15B01264}"/>
    <cellStyle name="20% - Accent4 2 2 6 3" xfId="6184" xr:uid="{00000000-0005-0000-0000-000007020000}"/>
    <cellStyle name="20% - Accent4 2 2 6 3 2" xfId="14623" xr:uid="{D9AC19D8-25C0-488D-BC68-6F7E9685CDEB}"/>
    <cellStyle name="20% - Accent4 2 2 6 4" xfId="10405" xr:uid="{9ED6AFB6-3EF1-4988-8E8A-B331D1C02298}"/>
    <cellStyle name="20% - Accent4 2 2 7" xfId="2290" xr:uid="{00000000-0005-0000-0000-000008020000}"/>
    <cellStyle name="20% - Accent4 2 2 7 2" xfId="6597" xr:uid="{00000000-0005-0000-0000-000009020000}"/>
    <cellStyle name="20% - Accent4 2 2 7 2 2" xfId="15036" xr:uid="{7084A88A-FD3A-4A80-B4E4-826F269320B2}"/>
    <cellStyle name="20% - Accent4 2 2 7 3" xfId="10818" xr:uid="{82DDC839-8DD8-45F1-B81A-4F66FDF67C2D}"/>
    <cellStyle name="20% - Accent4 2 2 8" xfId="4531" xr:uid="{00000000-0005-0000-0000-00000A020000}"/>
    <cellStyle name="20% - Accent4 2 2 8 2" xfId="12970" xr:uid="{D8357952-E12C-47EA-9B95-85D5D1136EBA}"/>
    <cellStyle name="20% - Accent4 2 2 9" xfId="8752" xr:uid="{21E75D98-9278-4F6E-B542-7501A47342B9}"/>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31" xr:uid="{1017EEAE-7C83-459B-9E5B-83F50FF4A37B}"/>
    <cellStyle name="20% - Accent4 2 3 2 2 3" xfId="11313" xr:uid="{B73E5DD5-CDD7-4DDA-92B6-02AEC053C400}"/>
    <cellStyle name="20% - Accent4 2 3 2 3" xfId="4947" xr:uid="{00000000-0005-0000-0000-00000F020000}"/>
    <cellStyle name="20% - Accent4 2 3 2 3 2" xfId="13386" xr:uid="{50B3F2E2-281F-4E94-A04D-44ADE0129FAB}"/>
    <cellStyle name="20% - Accent4 2 3 2 4" xfId="9168" xr:uid="{BCAC196B-629A-425B-8646-FCC23E127C41}"/>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4" xr:uid="{506616D8-F3E7-4A70-B0EA-88D137CBA946}"/>
    <cellStyle name="20% - Accent4 2 3 3 2 3" xfId="11726" xr:uid="{24192C3F-27D3-4861-9F65-5E55975EF1DE}"/>
    <cellStyle name="20% - Accent4 2 3 3 3" xfId="5360" xr:uid="{00000000-0005-0000-0000-000013020000}"/>
    <cellStyle name="20% - Accent4 2 3 3 3 2" xfId="13799" xr:uid="{36A7D31B-A85F-4265-9AB9-4B5F1405E74D}"/>
    <cellStyle name="20% - Accent4 2 3 3 4" xfId="9581" xr:uid="{4DA021AD-F401-4967-9412-159F4A969D77}"/>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57" xr:uid="{2812591F-43D5-49F4-97CD-89C20FD20654}"/>
    <cellStyle name="20% - Accent4 2 3 4 2 3" xfId="12139" xr:uid="{ABCE0F67-9E72-4ABE-8B35-91E29D90BA2C}"/>
    <cellStyle name="20% - Accent4 2 3 4 3" xfId="5773" xr:uid="{00000000-0005-0000-0000-000017020000}"/>
    <cellStyle name="20% - Accent4 2 3 4 3 2" xfId="14212" xr:uid="{B2D6A7A1-756D-4C5D-8887-7F3602098F70}"/>
    <cellStyle name="20% - Accent4 2 3 4 4" xfId="9994" xr:uid="{21F0F2AC-2A90-4715-A98A-661DCECC524D}"/>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70" xr:uid="{2F8A1FE0-8F3E-4B41-ADAA-4C4B69724096}"/>
    <cellStyle name="20% - Accent4 2 3 5 2 3" xfId="12552" xr:uid="{FF33B142-98EF-4673-B19C-C03CDE300213}"/>
    <cellStyle name="20% - Accent4 2 3 5 3" xfId="6186" xr:uid="{00000000-0005-0000-0000-00001B020000}"/>
    <cellStyle name="20% - Accent4 2 3 5 3 2" xfId="14625" xr:uid="{1E1EFD9B-52D0-45E3-AB6B-74A3A2D526FF}"/>
    <cellStyle name="20% - Accent4 2 3 5 4" xfId="10407" xr:uid="{5C5344DE-9365-4A8D-A697-6BE13C02DA88}"/>
    <cellStyle name="20% - Accent4 2 3 6" xfId="2292" xr:uid="{00000000-0005-0000-0000-00001C020000}"/>
    <cellStyle name="20% - Accent4 2 3 6 2" xfId="6599" xr:uid="{00000000-0005-0000-0000-00001D020000}"/>
    <cellStyle name="20% - Accent4 2 3 6 2 2" xfId="15038" xr:uid="{3D1AD565-DEDC-4A88-89A8-C415B53E9CF6}"/>
    <cellStyle name="20% - Accent4 2 3 6 3" xfId="10820" xr:uid="{0D030A45-54E7-4125-A8F6-293D0A81D83F}"/>
    <cellStyle name="20% - Accent4 2 3 7" xfId="4533" xr:uid="{00000000-0005-0000-0000-00001E020000}"/>
    <cellStyle name="20% - Accent4 2 3 7 2" xfId="12972" xr:uid="{A11E4585-4A0B-4E8B-9FA7-61BFF271F875}"/>
    <cellStyle name="20% - Accent4 2 3 8" xfId="8754" xr:uid="{3EBA6AEA-C551-418F-AD50-5C8FF543529B}"/>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28" xr:uid="{9C3FA9C6-12CD-43C2-B379-43D39E9CE881}"/>
    <cellStyle name="20% - Accent4 2 4 2 3" xfId="11310" xr:uid="{B9F36D56-DB2B-4FEC-A8C3-B6D26A3880B0}"/>
    <cellStyle name="20% - Accent4 2 4 3" xfId="4944" xr:uid="{00000000-0005-0000-0000-000022020000}"/>
    <cellStyle name="20% - Accent4 2 4 3 2" xfId="13383" xr:uid="{9D808867-5F1D-4C61-850A-47AADC4B2103}"/>
    <cellStyle name="20% - Accent4 2 4 4" xfId="9165" xr:uid="{5D2F0C90-0DE7-4E64-8C23-BCA6F171A755}"/>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41" xr:uid="{F68CD8A0-1F5E-43E4-A28B-352CBB06A070}"/>
    <cellStyle name="20% - Accent4 2 5 2 3" xfId="11723" xr:uid="{BF5F8CEE-C529-433C-8F98-D9D07BBF08F5}"/>
    <cellStyle name="20% - Accent4 2 5 3" xfId="5357" xr:uid="{00000000-0005-0000-0000-000026020000}"/>
    <cellStyle name="20% - Accent4 2 5 3 2" xfId="13796" xr:uid="{F2266AA7-5E2D-49A4-B573-24B1F80D1762}"/>
    <cellStyle name="20% - Accent4 2 5 4" xfId="9578" xr:uid="{E10BC8E5-C957-4CD1-B0D9-F8428E0360D6}"/>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4" xr:uid="{3F8D7695-79E5-4A8F-BD0A-121EF2A91D1B}"/>
    <cellStyle name="20% - Accent4 2 6 2 3" xfId="12136" xr:uid="{248B7BC8-135F-45BE-938C-0169031C0CDC}"/>
    <cellStyle name="20% - Accent4 2 6 3" xfId="5770" xr:uid="{00000000-0005-0000-0000-00002A020000}"/>
    <cellStyle name="20% - Accent4 2 6 3 2" xfId="14209" xr:uid="{37D009A0-FAE7-4DBA-8330-092A39E3F4CB}"/>
    <cellStyle name="20% - Accent4 2 6 4" xfId="9991" xr:uid="{1D9B56D5-7D48-44D2-9FD5-B776F3631D29}"/>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67" xr:uid="{33406CD7-AD79-4149-A039-0295DA906047}"/>
    <cellStyle name="20% - Accent4 2 7 2 3" xfId="12549" xr:uid="{A9DB5E16-448B-4A9C-9D96-67CD0A20DC1D}"/>
    <cellStyle name="20% - Accent4 2 7 3" xfId="6183" xr:uid="{00000000-0005-0000-0000-00002E020000}"/>
    <cellStyle name="20% - Accent4 2 7 3 2" xfId="14622" xr:uid="{B9659EDA-BF84-4F4F-918D-8629A32CD185}"/>
    <cellStyle name="20% - Accent4 2 7 4" xfId="10404" xr:uid="{5D45CDB7-EDE5-42AD-AE4B-6BBAAADCD8F7}"/>
    <cellStyle name="20% - Accent4 2 8" xfId="2289" xr:uid="{00000000-0005-0000-0000-00002F020000}"/>
    <cellStyle name="20% - Accent4 2 8 2" xfId="6596" xr:uid="{00000000-0005-0000-0000-000030020000}"/>
    <cellStyle name="20% - Accent4 2 8 2 2" xfId="15035" xr:uid="{C1ED5322-A903-4FC4-BBEE-EFD0B8985924}"/>
    <cellStyle name="20% - Accent4 2 8 3" xfId="10817" xr:uid="{CD62533E-A37D-444C-8EDD-B4488E2F6161}"/>
    <cellStyle name="20% - Accent4 2 9" xfId="4530" xr:uid="{00000000-0005-0000-0000-000031020000}"/>
    <cellStyle name="20% - Accent4 2 9 2" xfId="12969" xr:uid="{0202889A-6FB7-4704-A4B9-81BF9D1C49F5}"/>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3" xr:uid="{C0D2F891-3016-4D69-B16F-7E94D3AA3999}"/>
    <cellStyle name="20% - Accent4 3 2 2 2 3" xfId="11315" xr:uid="{EFD5CBAB-F6CD-43F2-AEBF-9797FA655A8D}"/>
    <cellStyle name="20% - Accent4 3 2 2 3" xfId="4949" xr:uid="{00000000-0005-0000-0000-000037020000}"/>
    <cellStyle name="20% - Accent4 3 2 2 3 2" xfId="13388" xr:uid="{099F0574-1E28-42CD-BE9D-B8BCE6BE01CD}"/>
    <cellStyle name="20% - Accent4 3 2 2 4" xfId="9170" xr:uid="{378DD735-D77A-46E0-9B28-099C66103DA1}"/>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6" xr:uid="{0EA46A1B-B738-4E52-8285-90F00EAC437B}"/>
    <cellStyle name="20% - Accent4 3 2 3 2 3" xfId="11728" xr:uid="{952C808F-D819-4E09-86CD-A2CB0EF9E683}"/>
    <cellStyle name="20% - Accent4 3 2 3 3" xfId="5362" xr:uid="{00000000-0005-0000-0000-00003B020000}"/>
    <cellStyle name="20% - Accent4 3 2 3 3 2" xfId="13801" xr:uid="{A26B3A01-9887-407C-B6CE-28ADB7538E07}"/>
    <cellStyle name="20% - Accent4 3 2 3 4" xfId="9583" xr:uid="{E8653328-877A-4259-91C9-558B159A8AEB}"/>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59" xr:uid="{4386DF50-D709-4D54-A47C-409D841E3AF1}"/>
    <cellStyle name="20% - Accent4 3 2 4 2 3" xfId="12141" xr:uid="{500C30CA-088A-4F31-8317-63A127562DD2}"/>
    <cellStyle name="20% - Accent4 3 2 4 3" xfId="5775" xr:uid="{00000000-0005-0000-0000-00003F020000}"/>
    <cellStyle name="20% - Accent4 3 2 4 3 2" xfId="14214" xr:uid="{1DA79FC5-A764-448D-8000-3CA13B6A1059}"/>
    <cellStyle name="20% - Accent4 3 2 4 4" xfId="9996" xr:uid="{7A037704-92D7-4858-88CB-72AB47D0C60C}"/>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72" xr:uid="{45E382BE-E910-4F4D-B3BA-BB12AB01AAFE}"/>
    <cellStyle name="20% - Accent4 3 2 5 2 3" xfId="12554" xr:uid="{B4E6F485-95BD-458D-93A8-47E444156706}"/>
    <cellStyle name="20% - Accent4 3 2 5 3" xfId="6188" xr:uid="{00000000-0005-0000-0000-000043020000}"/>
    <cellStyle name="20% - Accent4 3 2 5 3 2" xfId="14627" xr:uid="{FAD883D6-11D9-4C6F-98F1-FEF0BB977953}"/>
    <cellStyle name="20% - Accent4 3 2 5 4" xfId="10409" xr:uid="{D098FA93-2EB3-4C9F-B8D4-517A659DEA9F}"/>
    <cellStyle name="20% - Accent4 3 2 6" xfId="2294" xr:uid="{00000000-0005-0000-0000-000044020000}"/>
    <cellStyle name="20% - Accent4 3 2 6 2" xfId="6601" xr:uid="{00000000-0005-0000-0000-000045020000}"/>
    <cellStyle name="20% - Accent4 3 2 6 2 2" xfId="15040" xr:uid="{4BBE479E-9785-41B8-AF94-94EC88BE90C4}"/>
    <cellStyle name="20% - Accent4 3 2 6 3" xfId="10822" xr:uid="{883AC368-B82E-41A0-BA85-5FBB10423B6F}"/>
    <cellStyle name="20% - Accent4 3 2 7" xfId="4535" xr:uid="{00000000-0005-0000-0000-000046020000}"/>
    <cellStyle name="20% - Accent4 3 2 7 2" xfId="12974" xr:uid="{A193EEDD-8822-4315-BF7C-2B4B0C805230}"/>
    <cellStyle name="20% - Accent4 3 2 8" xfId="8756" xr:uid="{2BEA20B4-89B2-423A-A35E-DD2BD65FB52F}"/>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32" xr:uid="{E2323B0E-E797-4075-827C-6C1A7A36F7A6}"/>
    <cellStyle name="20% - Accent4 3 3 2 3" xfId="11314" xr:uid="{ACFB0D95-9D98-4FE6-9C20-D5B48196D8CE}"/>
    <cellStyle name="20% - Accent4 3 3 3" xfId="4948" xr:uid="{00000000-0005-0000-0000-00004A020000}"/>
    <cellStyle name="20% - Accent4 3 3 3 2" xfId="13387" xr:uid="{7ACCBF17-3063-4FBF-A5E9-73204927B7CF}"/>
    <cellStyle name="20% - Accent4 3 3 4" xfId="9169" xr:uid="{FF8A0D79-E0C9-4F4D-97E6-B881B8542780}"/>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5" xr:uid="{45B7781B-BCF4-4789-A889-03A0D984AF32}"/>
    <cellStyle name="20% - Accent4 3 4 2 3" xfId="11727" xr:uid="{48FDEDF0-A34D-4DF2-A967-C7F9F70ABA11}"/>
    <cellStyle name="20% - Accent4 3 4 3" xfId="5361" xr:uid="{00000000-0005-0000-0000-00004E020000}"/>
    <cellStyle name="20% - Accent4 3 4 3 2" xfId="13800" xr:uid="{C19FDD0B-8827-4815-8492-A7EB3D092C93}"/>
    <cellStyle name="20% - Accent4 3 4 4" xfId="9582" xr:uid="{704A1C9C-332F-4C2D-B67C-5CE99AAEA388}"/>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58" xr:uid="{7DCFB996-983A-499B-8A96-0370A33A0D3F}"/>
    <cellStyle name="20% - Accent4 3 5 2 3" xfId="12140" xr:uid="{5711E2A1-4C29-4EBE-B8D2-15A910A50276}"/>
    <cellStyle name="20% - Accent4 3 5 3" xfId="5774" xr:uid="{00000000-0005-0000-0000-000052020000}"/>
    <cellStyle name="20% - Accent4 3 5 3 2" xfId="14213" xr:uid="{2E8F5A37-6E21-4C5E-B4BF-F47AFA97FA0C}"/>
    <cellStyle name="20% - Accent4 3 5 4" xfId="9995" xr:uid="{65EB6672-8FDF-426C-8C98-A0DF09C2D6E4}"/>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71" xr:uid="{41D5F9DD-8615-43D0-8964-DC3E5689A23B}"/>
    <cellStyle name="20% - Accent4 3 6 2 3" xfId="12553" xr:uid="{45A3AA8C-4418-442A-A064-E5D199CDE644}"/>
    <cellStyle name="20% - Accent4 3 6 3" xfId="6187" xr:uid="{00000000-0005-0000-0000-000056020000}"/>
    <cellStyle name="20% - Accent4 3 6 3 2" xfId="14626" xr:uid="{22367DB7-CE6E-4995-9563-4A926938ED6D}"/>
    <cellStyle name="20% - Accent4 3 6 4" xfId="10408" xr:uid="{668C9AC0-6AC3-4215-BD0D-4081C119B8B0}"/>
    <cellStyle name="20% - Accent4 3 7" xfId="2293" xr:uid="{00000000-0005-0000-0000-000057020000}"/>
    <cellStyle name="20% - Accent4 3 7 2" xfId="6600" xr:uid="{00000000-0005-0000-0000-000058020000}"/>
    <cellStyle name="20% - Accent4 3 7 2 2" xfId="15039" xr:uid="{5E4F20F0-BF2F-4B8A-8D70-981B4D7BDB1A}"/>
    <cellStyle name="20% - Accent4 3 7 3" xfId="10821" xr:uid="{CFEB2BD1-8E36-44E1-A005-139E41072A71}"/>
    <cellStyle name="20% - Accent4 3 8" xfId="4534" xr:uid="{00000000-0005-0000-0000-000059020000}"/>
    <cellStyle name="20% - Accent4 3 8 2" xfId="12973" xr:uid="{7303EB22-2D6E-46BE-994B-2E677C89315C}"/>
    <cellStyle name="20% - Accent4 3 9" xfId="8755" xr:uid="{1DC92BEA-E8F0-483A-A4EA-1D18C40377FE}"/>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4" xr:uid="{E796FE84-F861-4C20-875E-5473ECAFE7B4}"/>
    <cellStyle name="20% - Accent4 4 2 2 3" xfId="11316" xr:uid="{5DA3B5EF-49DE-40B2-BB9F-422828067D8D}"/>
    <cellStyle name="20% - Accent4 4 2 3" xfId="4950" xr:uid="{00000000-0005-0000-0000-00005E020000}"/>
    <cellStyle name="20% - Accent4 4 2 3 2" xfId="13389" xr:uid="{96A4B3C3-951B-4D00-BE63-41EA7E9FB2DC}"/>
    <cellStyle name="20% - Accent4 4 2 4" xfId="9171" xr:uid="{4E8D125F-CFF5-46A0-9313-40E46BDA95E0}"/>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47" xr:uid="{15E97797-8AFA-43F6-8D6A-2FC0FC55573B}"/>
    <cellStyle name="20% - Accent4 4 3 2 3" xfId="11729" xr:uid="{998EF362-8A5A-454B-B7AE-1C4C155065F5}"/>
    <cellStyle name="20% - Accent4 4 3 3" xfId="5363" xr:uid="{00000000-0005-0000-0000-000062020000}"/>
    <cellStyle name="20% - Accent4 4 3 3 2" xfId="13802" xr:uid="{AE062A1C-2757-47EF-8F33-C0858A536830}"/>
    <cellStyle name="20% - Accent4 4 3 4" xfId="9584" xr:uid="{FF716CA7-7AF6-41C7-81AD-D9C399FC977D}"/>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60" xr:uid="{E4EDDA9C-4537-489E-AD3F-0227CB70982F}"/>
    <cellStyle name="20% - Accent4 4 4 2 3" xfId="12142" xr:uid="{1F7E3318-99FE-4FC4-BFCE-316316367BB7}"/>
    <cellStyle name="20% - Accent4 4 4 3" xfId="5776" xr:uid="{00000000-0005-0000-0000-000066020000}"/>
    <cellStyle name="20% - Accent4 4 4 3 2" xfId="14215" xr:uid="{8AF4DFBF-7974-4770-A2FE-FFA890F9FDDE}"/>
    <cellStyle name="20% - Accent4 4 4 4" xfId="9997" xr:uid="{9E18961E-497F-40A3-A77F-FB49BA67FCCE}"/>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3" xr:uid="{A6F5D1B3-E1BF-47A9-A0D4-8652B962F230}"/>
    <cellStyle name="20% - Accent4 4 5 2 3" xfId="12555" xr:uid="{09E63A9D-1C57-4E0A-859D-502E3C82FE50}"/>
    <cellStyle name="20% - Accent4 4 5 3" xfId="6189" xr:uid="{00000000-0005-0000-0000-00006A020000}"/>
    <cellStyle name="20% - Accent4 4 5 3 2" xfId="14628" xr:uid="{2FF001BC-433F-4432-B738-49EF25A86547}"/>
    <cellStyle name="20% - Accent4 4 5 4" xfId="10410" xr:uid="{8EFC4B48-606F-4B9C-80D2-AD773521AC3D}"/>
    <cellStyle name="20% - Accent4 4 6" xfId="2295" xr:uid="{00000000-0005-0000-0000-00006B020000}"/>
    <cellStyle name="20% - Accent4 4 6 2" xfId="6602" xr:uid="{00000000-0005-0000-0000-00006C020000}"/>
    <cellStyle name="20% - Accent4 4 6 2 2" xfId="15041" xr:uid="{E1FA97BA-8548-4B18-A49E-F48BF50A29BF}"/>
    <cellStyle name="20% - Accent4 4 6 3" xfId="10823" xr:uid="{2F4518E4-39D3-4D0C-ACA5-78D3EB56E20F}"/>
    <cellStyle name="20% - Accent4 4 7" xfId="4536" xr:uid="{00000000-0005-0000-0000-00006D020000}"/>
    <cellStyle name="20% - Accent4 4 7 2" xfId="12975" xr:uid="{87779B77-E87F-434F-BEF7-DD0571E5293C}"/>
    <cellStyle name="20% - Accent4 4 8" xfId="8757" xr:uid="{2DB7C396-F1E9-44B6-AA6F-4C6419522A82}"/>
    <cellStyle name="20% - Accent4 5" xfId="594" xr:uid="{00000000-0005-0000-0000-00006E020000}"/>
    <cellStyle name="20% - Accent4 5 2" xfId="2865" xr:uid="{00000000-0005-0000-0000-00006F020000}"/>
    <cellStyle name="20% - Accent4 5 2 2" xfId="7088" xr:uid="{00000000-0005-0000-0000-000070020000}"/>
    <cellStyle name="20% - Accent4 5 2 2 2" xfId="15527" xr:uid="{D1AE4552-C83B-4AE7-826A-4A5398F96E9D}"/>
    <cellStyle name="20% - Accent4 5 2 3" xfId="11309" xr:uid="{FC7490FF-0BA2-4ACE-B254-632B0B31536C}"/>
    <cellStyle name="20% - Accent4 5 3" xfId="4943" xr:uid="{00000000-0005-0000-0000-000071020000}"/>
    <cellStyle name="20% - Accent4 5 3 2" xfId="13382" xr:uid="{EE3BC757-146B-4F71-85CD-443DC8FF3D53}"/>
    <cellStyle name="20% - Accent4 5 4" xfId="9164" xr:uid="{858A46E2-B2C0-4982-9B56-4556CF54CA3C}"/>
    <cellStyle name="20% - Accent4 6" xfId="1047" xr:uid="{00000000-0005-0000-0000-000072020000}"/>
    <cellStyle name="20% - Accent4 6 2" xfId="3278" xr:uid="{00000000-0005-0000-0000-000073020000}"/>
    <cellStyle name="20% - Accent4 6 2 2" xfId="7501" xr:uid="{00000000-0005-0000-0000-000074020000}"/>
    <cellStyle name="20% - Accent4 6 2 2 2" xfId="15940" xr:uid="{E362AE08-4836-4FBC-8AA4-117313FA25B7}"/>
    <cellStyle name="20% - Accent4 6 2 3" xfId="11722" xr:uid="{269CA3BC-A85C-4768-BADB-C6FB5328898A}"/>
    <cellStyle name="20% - Accent4 6 3" xfId="5356" xr:uid="{00000000-0005-0000-0000-000075020000}"/>
    <cellStyle name="20% - Accent4 6 3 2" xfId="13795" xr:uid="{17F89DD3-18B0-4B73-B17C-19EF0B9208A0}"/>
    <cellStyle name="20% - Accent4 6 4" xfId="9577" xr:uid="{043FFF99-2525-4C20-949D-36E0A1B66988}"/>
    <cellStyle name="20% - Accent4 7" xfId="1461" xr:uid="{00000000-0005-0000-0000-000076020000}"/>
    <cellStyle name="20% - Accent4 7 2" xfId="3691" xr:uid="{00000000-0005-0000-0000-000077020000}"/>
    <cellStyle name="20% - Accent4 7 2 2" xfId="7914" xr:uid="{00000000-0005-0000-0000-000078020000}"/>
    <cellStyle name="20% - Accent4 7 2 2 2" xfId="16353" xr:uid="{AB6692B2-F3E8-47BD-8A2A-AB8A6563AC4D}"/>
    <cellStyle name="20% - Accent4 7 2 3" xfId="12135" xr:uid="{79872403-138C-4910-9C55-964B648EFB18}"/>
    <cellStyle name="20% - Accent4 7 3" xfId="5769" xr:uid="{00000000-0005-0000-0000-000079020000}"/>
    <cellStyle name="20% - Accent4 7 3 2" xfId="14208" xr:uid="{CBEEDF8F-551C-4ED3-9090-5C36DCB02555}"/>
    <cellStyle name="20% - Accent4 7 4" xfId="9990" xr:uid="{3563AA32-80BE-4FBA-B935-E27506B40B3A}"/>
    <cellStyle name="20% - Accent4 8" xfId="1875" xr:uid="{00000000-0005-0000-0000-00007A020000}"/>
    <cellStyle name="20% - Accent4 8 2" xfId="4104" xr:uid="{00000000-0005-0000-0000-00007B020000}"/>
    <cellStyle name="20% - Accent4 8 2 2" xfId="8327" xr:uid="{00000000-0005-0000-0000-00007C020000}"/>
    <cellStyle name="20% - Accent4 8 2 2 2" xfId="16766" xr:uid="{5FCB017B-BCC4-44AA-9E39-C917AECA1A55}"/>
    <cellStyle name="20% - Accent4 8 2 3" xfId="12548" xr:uid="{1D6EF4C4-629E-4BE1-B0C5-5C8A9E8FD754}"/>
    <cellStyle name="20% - Accent4 8 3" xfId="6182" xr:uid="{00000000-0005-0000-0000-00007D020000}"/>
    <cellStyle name="20% - Accent4 8 3 2" xfId="14621" xr:uid="{B413C24E-366D-44B9-9D37-ED6F373F6770}"/>
    <cellStyle name="20% - Accent4 8 4" xfId="10403" xr:uid="{7F9B5853-DEC7-4BDB-9EA0-EC34558FC753}"/>
    <cellStyle name="20% - Accent4 9" xfId="2288" xr:uid="{00000000-0005-0000-0000-00007E020000}"/>
    <cellStyle name="20% - Accent4 9 2" xfId="6595" xr:uid="{00000000-0005-0000-0000-00007F020000}"/>
    <cellStyle name="20% - Accent4 9 2 2" xfId="15034" xr:uid="{50A7B7E1-E995-4BD2-9057-9041DD6887E1}"/>
    <cellStyle name="20% - Accent4 9 3" xfId="10816" xr:uid="{305FF24D-ACFD-4C81-A46A-3C1A7D63DEE5}"/>
    <cellStyle name="20% - Accent5" xfId="33" builtinId="46" customBuiltin="1"/>
    <cellStyle name="20% - Accent5 10" xfId="4537" xr:uid="{00000000-0005-0000-0000-000081020000}"/>
    <cellStyle name="20% - Accent5 10 2" xfId="12976" xr:uid="{60AF98DD-D81B-4303-8E88-30F79A5F1064}"/>
    <cellStyle name="20% - Accent5 11" xfId="8758" xr:uid="{89831CE3-A006-4F94-B97A-2F3C3FCCE06C}"/>
    <cellStyle name="20% - Accent5 2" xfId="34" xr:uid="{00000000-0005-0000-0000-000082020000}"/>
    <cellStyle name="20% - Accent5 2 10" xfId="8759" xr:uid="{CB9D4844-43C2-4E3D-A258-DCA16CA99259}"/>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38" xr:uid="{D6770169-3203-4AE2-9A7D-6D4362F44D4A}"/>
    <cellStyle name="20% - Accent5 2 2 2 2 2 3" xfId="11320" xr:uid="{CF12A6D2-DEC1-4B21-A5FD-237A359E7C36}"/>
    <cellStyle name="20% - Accent5 2 2 2 2 3" xfId="4954" xr:uid="{00000000-0005-0000-0000-000088020000}"/>
    <cellStyle name="20% - Accent5 2 2 2 2 3 2" xfId="13393" xr:uid="{8B469DF9-2895-49A2-9CDE-E625010D85A3}"/>
    <cellStyle name="20% - Accent5 2 2 2 2 4" xfId="9175" xr:uid="{22E4CA30-A5CA-47D3-ACDC-2EE9A297CC9B}"/>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51" xr:uid="{58B63350-DD20-4904-BA1E-06186CE00400}"/>
    <cellStyle name="20% - Accent5 2 2 2 3 2 3" xfId="11733" xr:uid="{156A0B6F-2D9A-4CA2-B79A-FC1CF8D3F6C0}"/>
    <cellStyle name="20% - Accent5 2 2 2 3 3" xfId="5367" xr:uid="{00000000-0005-0000-0000-00008C020000}"/>
    <cellStyle name="20% - Accent5 2 2 2 3 3 2" xfId="13806" xr:uid="{F1815859-85E3-49FE-900D-B7C38784507A}"/>
    <cellStyle name="20% - Accent5 2 2 2 3 4" xfId="9588" xr:uid="{6DA344AE-AFB6-4F78-8FDD-861A66932526}"/>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4" xr:uid="{79385D30-7B73-497C-91AA-D64FD722AAED}"/>
    <cellStyle name="20% - Accent5 2 2 2 4 2 3" xfId="12146" xr:uid="{A4B85D92-34E7-420B-ACD0-015562649059}"/>
    <cellStyle name="20% - Accent5 2 2 2 4 3" xfId="5780" xr:uid="{00000000-0005-0000-0000-000090020000}"/>
    <cellStyle name="20% - Accent5 2 2 2 4 3 2" xfId="14219" xr:uid="{450B0A19-468C-49CF-A29B-B106EFA95B0D}"/>
    <cellStyle name="20% - Accent5 2 2 2 4 4" xfId="10001" xr:uid="{D43D8389-E6F9-4F92-B99A-B8DA5D6D16EB}"/>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77" xr:uid="{89FCC6C3-3F99-40AE-8DEF-4F6FE804D5BA}"/>
    <cellStyle name="20% - Accent5 2 2 2 5 2 3" xfId="12559" xr:uid="{905F3567-5A49-496B-A1AF-B5C76F75BC76}"/>
    <cellStyle name="20% - Accent5 2 2 2 5 3" xfId="6193" xr:uid="{00000000-0005-0000-0000-000094020000}"/>
    <cellStyle name="20% - Accent5 2 2 2 5 3 2" xfId="14632" xr:uid="{DFC8BC11-DB6A-4E5B-96A7-1BA4B7C313AD}"/>
    <cellStyle name="20% - Accent5 2 2 2 5 4" xfId="10414" xr:uid="{4C534361-768F-4B12-8A4D-3367DF1CD0C3}"/>
    <cellStyle name="20% - Accent5 2 2 2 6" xfId="2299" xr:uid="{00000000-0005-0000-0000-000095020000}"/>
    <cellStyle name="20% - Accent5 2 2 2 6 2" xfId="6606" xr:uid="{00000000-0005-0000-0000-000096020000}"/>
    <cellStyle name="20% - Accent5 2 2 2 6 2 2" xfId="15045" xr:uid="{A377256A-6BC1-4D9F-A487-894E1B3E3A5B}"/>
    <cellStyle name="20% - Accent5 2 2 2 6 3" xfId="10827" xr:uid="{C3EF8433-6AAE-4ADB-8ABB-A629BCA2813D}"/>
    <cellStyle name="20% - Accent5 2 2 2 7" xfId="4540" xr:uid="{00000000-0005-0000-0000-000097020000}"/>
    <cellStyle name="20% - Accent5 2 2 2 7 2" xfId="12979" xr:uid="{8A3B0061-FF90-49A7-83F3-69D53EFA5A23}"/>
    <cellStyle name="20% - Accent5 2 2 2 8" xfId="8761" xr:uid="{00B0464C-AF42-4297-9197-781F512335E8}"/>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37" xr:uid="{C4A337D1-94D3-497B-9A00-91537C3473BD}"/>
    <cellStyle name="20% - Accent5 2 2 3 2 3" xfId="11319" xr:uid="{A7783E84-47FA-4E02-B820-3DC6C65E518E}"/>
    <cellStyle name="20% - Accent5 2 2 3 3" xfId="4953" xr:uid="{00000000-0005-0000-0000-00009B020000}"/>
    <cellStyle name="20% - Accent5 2 2 3 3 2" xfId="13392" xr:uid="{8FC2837F-E2BB-428B-8153-E1D7FC9977C0}"/>
    <cellStyle name="20% - Accent5 2 2 3 4" xfId="9174" xr:uid="{68D2C9C4-69D9-4B51-ABE4-5D48F4C14B5F}"/>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50" xr:uid="{7AC23D14-B8B6-4891-9537-DCBBC4F8EC39}"/>
    <cellStyle name="20% - Accent5 2 2 4 2 3" xfId="11732" xr:uid="{4C4BF714-2494-42B3-852E-543F7876B57B}"/>
    <cellStyle name="20% - Accent5 2 2 4 3" xfId="5366" xr:uid="{00000000-0005-0000-0000-00009F020000}"/>
    <cellStyle name="20% - Accent5 2 2 4 3 2" xfId="13805" xr:uid="{968758E4-A6D7-4B89-8C3A-58E0AB80744D}"/>
    <cellStyle name="20% - Accent5 2 2 4 4" xfId="9587" xr:uid="{546B90AD-6552-430B-9965-D252C316BC5B}"/>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3" xr:uid="{BC820E65-C8CC-4E2A-8785-E74178D2652C}"/>
    <cellStyle name="20% - Accent5 2 2 5 2 3" xfId="12145" xr:uid="{C3769D24-1E13-4232-957A-71A993551F09}"/>
    <cellStyle name="20% - Accent5 2 2 5 3" xfId="5779" xr:uid="{00000000-0005-0000-0000-0000A3020000}"/>
    <cellStyle name="20% - Accent5 2 2 5 3 2" xfId="14218" xr:uid="{1703B838-A5C7-4232-9B8E-27DDF0CB809C}"/>
    <cellStyle name="20% - Accent5 2 2 5 4" xfId="10000" xr:uid="{BE77B360-F9F4-45D1-B8DE-F85202563ADF}"/>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6" xr:uid="{FFF4063F-A6FF-4E57-8D0E-D58009F8979D}"/>
    <cellStyle name="20% - Accent5 2 2 6 2 3" xfId="12558" xr:uid="{47A88230-AC24-4CE9-9222-B02F05F2473B}"/>
    <cellStyle name="20% - Accent5 2 2 6 3" xfId="6192" xr:uid="{00000000-0005-0000-0000-0000A7020000}"/>
    <cellStyle name="20% - Accent5 2 2 6 3 2" xfId="14631" xr:uid="{AFDFAE30-AC8A-4EB4-B93A-5A32A5B90169}"/>
    <cellStyle name="20% - Accent5 2 2 6 4" xfId="10413" xr:uid="{739162EC-27F9-4BF9-911F-85D2390490A6}"/>
    <cellStyle name="20% - Accent5 2 2 7" xfId="2298" xr:uid="{00000000-0005-0000-0000-0000A8020000}"/>
    <cellStyle name="20% - Accent5 2 2 7 2" xfId="6605" xr:uid="{00000000-0005-0000-0000-0000A9020000}"/>
    <cellStyle name="20% - Accent5 2 2 7 2 2" xfId="15044" xr:uid="{9EB9E14B-87AC-4060-8CCE-B63B86FF64E6}"/>
    <cellStyle name="20% - Accent5 2 2 7 3" xfId="10826" xr:uid="{9D7BD22A-DBE4-4B84-9CFE-9C3B72755F2E}"/>
    <cellStyle name="20% - Accent5 2 2 8" xfId="4539" xr:uid="{00000000-0005-0000-0000-0000AA020000}"/>
    <cellStyle name="20% - Accent5 2 2 8 2" xfId="12978" xr:uid="{F3C4E63B-748B-486F-8ECA-2402EB4FF6C7}"/>
    <cellStyle name="20% - Accent5 2 2 9" xfId="8760" xr:uid="{85493AD0-85E9-43AC-84BB-C3E1B2724CD4}"/>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39" xr:uid="{89551B16-2B8E-4B73-B7B1-DD655682232F}"/>
    <cellStyle name="20% - Accent5 2 3 2 2 3" xfId="11321" xr:uid="{AF9B0297-6355-4311-8355-7F52356DCE90}"/>
    <cellStyle name="20% - Accent5 2 3 2 3" xfId="4955" xr:uid="{00000000-0005-0000-0000-0000AF020000}"/>
    <cellStyle name="20% - Accent5 2 3 2 3 2" xfId="13394" xr:uid="{F2552F6F-B655-478A-B806-3FEC7F9AB98E}"/>
    <cellStyle name="20% - Accent5 2 3 2 4" xfId="9176" xr:uid="{EBCD4390-ECA0-4917-B380-119FABF16F7A}"/>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52" xr:uid="{8A47EB3D-6342-4DA4-A6AD-FBFDB9C2FFBC}"/>
    <cellStyle name="20% - Accent5 2 3 3 2 3" xfId="11734" xr:uid="{5A29EE1A-082E-4F89-87B4-937A9B77475A}"/>
    <cellStyle name="20% - Accent5 2 3 3 3" xfId="5368" xr:uid="{00000000-0005-0000-0000-0000B3020000}"/>
    <cellStyle name="20% - Accent5 2 3 3 3 2" xfId="13807" xr:uid="{57E20088-5805-4B5D-9354-F80100CA49F2}"/>
    <cellStyle name="20% - Accent5 2 3 3 4" xfId="9589" xr:uid="{CE5E40F3-D2AB-48F0-AAE6-D378A5E3B023}"/>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5" xr:uid="{218FA7C3-D655-4758-A13E-EF70DA2A2CD6}"/>
    <cellStyle name="20% - Accent5 2 3 4 2 3" xfId="12147" xr:uid="{4FADE711-E6B1-47DE-A3DF-0C3624E49D6A}"/>
    <cellStyle name="20% - Accent5 2 3 4 3" xfId="5781" xr:uid="{00000000-0005-0000-0000-0000B7020000}"/>
    <cellStyle name="20% - Accent5 2 3 4 3 2" xfId="14220" xr:uid="{9CACBBD9-F5D2-4581-B018-D7D70E536ABB}"/>
    <cellStyle name="20% - Accent5 2 3 4 4" xfId="10002" xr:uid="{DB597637-F460-4A9A-AB5A-428261425D3B}"/>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78" xr:uid="{B994640C-3B72-4648-9A3B-E6FEDA0FAE9D}"/>
    <cellStyle name="20% - Accent5 2 3 5 2 3" xfId="12560" xr:uid="{D5FCDDEE-AFD0-4260-BD01-418BF5EE498E}"/>
    <cellStyle name="20% - Accent5 2 3 5 3" xfId="6194" xr:uid="{00000000-0005-0000-0000-0000BB020000}"/>
    <cellStyle name="20% - Accent5 2 3 5 3 2" xfId="14633" xr:uid="{D1FB2EF5-88E1-4F45-99D1-14DADF374CB6}"/>
    <cellStyle name="20% - Accent5 2 3 5 4" xfId="10415" xr:uid="{4AA970B1-8762-47F1-BAA0-D68AB3C34F1A}"/>
    <cellStyle name="20% - Accent5 2 3 6" xfId="2300" xr:uid="{00000000-0005-0000-0000-0000BC020000}"/>
    <cellStyle name="20% - Accent5 2 3 6 2" xfId="6607" xr:uid="{00000000-0005-0000-0000-0000BD020000}"/>
    <cellStyle name="20% - Accent5 2 3 6 2 2" xfId="15046" xr:uid="{3E35F325-FD82-4AA0-BE3A-AE6867892AFE}"/>
    <cellStyle name="20% - Accent5 2 3 6 3" xfId="10828" xr:uid="{EBA5F290-E5EC-4F20-8EAC-5F1DED48AE83}"/>
    <cellStyle name="20% - Accent5 2 3 7" xfId="4541" xr:uid="{00000000-0005-0000-0000-0000BE020000}"/>
    <cellStyle name="20% - Accent5 2 3 7 2" xfId="12980" xr:uid="{EAB478C5-B7E8-4865-A2C4-41FC93FC3BF1}"/>
    <cellStyle name="20% - Accent5 2 3 8" xfId="8762" xr:uid="{0C8BBB79-B564-476F-9454-9D99CAC92A0A}"/>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6" xr:uid="{44844814-E0C0-4BF4-A2CA-7F35E50002E9}"/>
    <cellStyle name="20% - Accent5 2 4 2 3" xfId="11318" xr:uid="{9DFB853A-7CB0-4CA5-BF20-F6766350E55E}"/>
    <cellStyle name="20% - Accent5 2 4 3" xfId="4952" xr:uid="{00000000-0005-0000-0000-0000C2020000}"/>
    <cellStyle name="20% - Accent5 2 4 3 2" xfId="13391" xr:uid="{42465678-A886-438B-BAE2-680D4C3EBAB3}"/>
    <cellStyle name="20% - Accent5 2 4 4" xfId="9173" xr:uid="{CB4B0EF3-8C17-49B3-8A0A-A100C8D99049}"/>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49" xr:uid="{79619C8D-1B16-4BBA-B28B-0533956C7606}"/>
    <cellStyle name="20% - Accent5 2 5 2 3" xfId="11731" xr:uid="{C7B51890-231E-41E3-8882-774EF329941C}"/>
    <cellStyle name="20% - Accent5 2 5 3" xfId="5365" xr:uid="{00000000-0005-0000-0000-0000C6020000}"/>
    <cellStyle name="20% - Accent5 2 5 3 2" xfId="13804" xr:uid="{0C3F21D3-6CDA-451E-9BEF-11FF78B5B438}"/>
    <cellStyle name="20% - Accent5 2 5 4" xfId="9586" xr:uid="{1FA83B6D-51E2-4671-A9AE-C97F4F79F833}"/>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62" xr:uid="{4705F38E-D142-444B-A7CD-5AF57E780EC6}"/>
    <cellStyle name="20% - Accent5 2 6 2 3" xfId="12144" xr:uid="{E2328380-39B3-4421-9E41-0E619509E15A}"/>
    <cellStyle name="20% - Accent5 2 6 3" xfId="5778" xr:uid="{00000000-0005-0000-0000-0000CA020000}"/>
    <cellStyle name="20% - Accent5 2 6 3 2" xfId="14217" xr:uid="{08D80EBA-D2C1-47B2-B2E9-75E57D80C739}"/>
    <cellStyle name="20% - Accent5 2 6 4" xfId="9999" xr:uid="{6BC6DF98-43EA-4E4F-8F98-2B273D35A9EE}"/>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5" xr:uid="{3B549B4F-FF39-4336-BA84-75B5FECC97CF}"/>
    <cellStyle name="20% - Accent5 2 7 2 3" xfId="12557" xr:uid="{323E53CC-88CD-46F3-886A-53E5883590FC}"/>
    <cellStyle name="20% - Accent5 2 7 3" xfId="6191" xr:uid="{00000000-0005-0000-0000-0000CE020000}"/>
    <cellStyle name="20% - Accent5 2 7 3 2" xfId="14630" xr:uid="{66D67D92-490F-42BD-A970-58636FE4CE4F}"/>
    <cellStyle name="20% - Accent5 2 7 4" xfId="10412" xr:uid="{F58C9618-2CD7-4BEC-A417-0FAA9CF86184}"/>
    <cellStyle name="20% - Accent5 2 8" xfId="2297" xr:uid="{00000000-0005-0000-0000-0000CF020000}"/>
    <cellStyle name="20% - Accent5 2 8 2" xfId="6604" xr:uid="{00000000-0005-0000-0000-0000D0020000}"/>
    <cellStyle name="20% - Accent5 2 8 2 2" xfId="15043" xr:uid="{E5E833CB-3E26-4444-A1A9-62626DFE59A3}"/>
    <cellStyle name="20% - Accent5 2 8 3" xfId="10825" xr:uid="{F4C2F615-C9F4-412A-96EB-9CD33EFFC78D}"/>
    <cellStyle name="20% - Accent5 2 9" xfId="4538" xr:uid="{00000000-0005-0000-0000-0000D1020000}"/>
    <cellStyle name="20% - Accent5 2 9 2" xfId="12977" xr:uid="{648DC824-0D8A-45E6-8B4E-8AB426A5FE0B}"/>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41" xr:uid="{57C572C2-FC70-4C72-858A-3B07CA32B7A7}"/>
    <cellStyle name="20% - Accent5 3 2 2 2 3" xfId="11323" xr:uid="{82702D66-E9A6-4618-A2DD-9B67930DFF83}"/>
    <cellStyle name="20% - Accent5 3 2 2 3" xfId="4957" xr:uid="{00000000-0005-0000-0000-0000D7020000}"/>
    <cellStyle name="20% - Accent5 3 2 2 3 2" xfId="13396" xr:uid="{347F11DF-A401-43C1-B162-1EB9A49155E4}"/>
    <cellStyle name="20% - Accent5 3 2 2 4" xfId="9178" xr:uid="{2D0EF517-2ADF-47B8-931A-35FCAF643A52}"/>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4" xr:uid="{9C9D3C03-CB34-4173-8772-8DED45A8C36D}"/>
    <cellStyle name="20% - Accent5 3 2 3 2 3" xfId="11736" xr:uid="{C5D5839F-C707-4E35-8608-12CB8B08DE31}"/>
    <cellStyle name="20% - Accent5 3 2 3 3" xfId="5370" xr:uid="{00000000-0005-0000-0000-0000DB020000}"/>
    <cellStyle name="20% - Accent5 3 2 3 3 2" xfId="13809" xr:uid="{6AFC235B-8FAF-4C57-8691-719E44F53D11}"/>
    <cellStyle name="20% - Accent5 3 2 3 4" xfId="9591" xr:uid="{7804014F-3487-468B-B055-D73B61BC3CF4}"/>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67" xr:uid="{A972AF79-6389-40A5-A2C6-A66368DEF134}"/>
    <cellStyle name="20% - Accent5 3 2 4 2 3" xfId="12149" xr:uid="{1ED16B01-63F2-4715-86B9-2560EAE0E08E}"/>
    <cellStyle name="20% - Accent5 3 2 4 3" xfId="5783" xr:uid="{00000000-0005-0000-0000-0000DF020000}"/>
    <cellStyle name="20% - Accent5 3 2 4 3 2" xfId="14222" xr:uid="{EAE075E0-6CA6-478A-92A6-E2A8D93B53DD}"/>
    <cellStyle name="20% - Accent5 3 2 4 4" xfId="10004" xr:uid="{790353D7-E476-4DF8-A636-86CC55FD38F0}"/>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80" xr:uid="{A38E1F9D-F186-4C4E-82AD-DB6B227F9071}"/>
    <cellStyle name="20% - Accent5 3 2 5 2 3" xfId="12562" xr:uid="{E9712CCB-D49E-406C-A1C0-CE4F78C7C355}"/>
    <cellStyle name="20% - Accent5 3 2 5 3" xfId="6196" xr:uid="{00000000-0005-0000-0000-0000E3020000}"/>
    <cellStyle name="20% - Accent5 3 2 5 3 2" xfId="14635" xr:uid="{71356FEF-9199-40E4-963A-DF3B4B1F25A2}"/>
    <cellStyle name="20% - Accent5 3 2 5 4" xfId="10417" xr:uid="{86739D98-617B-4524-BD7C-10A25A8EF731}"/>
    <cellStyle name="20% - Accent5 3 2 6" xfId="2302" xr:uid="{00000000-0005-0000-0000-0000E4020000}"/>
    <cellStyle name="20% - Accent5 3 2 6 2" xfId="6609" xr:uid="{00000000-0005-0000-0000-0000E5020000}"/>
    <cellStyle name="20% - Accent5 3 2 6 2 2" xfId="15048" xr:uid="{C39FBA74-7D06-47EF-96E7-AD57EED4D49F}"/>
    <cellStyle name="20% - Accent5 3 2 6 3" xfId="10830" xr:uid="{CCAF5E3B-C526-4D5F-800A-268507732927}"/>
    <cellStyle name="20% - Accent5 3 2 7" xfId="4543" xr:uid="{00000000-0005-0000-0000-0000E6020000}"/>
    <cellStyle name="20% - Accent5 3 2 7 2" xfId="12982" xr:uid="{C0F4802F-47B5-4203-AA01-D54471C9A68C}"/>
    <cellStyle name="20% - Accent5 3 2 8" xfId="8764" xr:uid="{50F1BF19-9D0A-46FC-8319-9BFEBC5D2487}"/>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40" xr:uid="{41D90645-8765-4AC0-BA3B-767E7EB53033}"/>
    <cellStyle name="20% - Accent5 3 3 2 3" xfId="11322" xr:uid="{82ECBFF8-AFEB-4BA2-B0BE-F16C7A3D2B98}"/>
    <cellStyle name="20% - Accent5 3 3 3" xfId="4956" xr:uid="{00000000-0005-0000-0000-0000EA020000}"/>
    <cellStyle name="20% - Accent5 3 3 3 2" xfId="13395" xr:uid="{E58B134D-4624-4AA3-BB75-0453F92DEAC8}"/>
    <cellStyle name="20% - Accent5 3 3 4" xfId="9177" xr:uid="{770DD13E-DA1B-4087-9D81-F85AC18F83C4}"/>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3" xr:uid="{99CD21C9-3834-4639-816E-C0417B27CDC2}"/>
    <cellStyle name="20% - Accent5 3 4 2 3" xfId="11735" xr:uid="{488D43F4-4DFF-45C4-95C4-D720C5B28802}"/>
    <cellStyle name="20% - Accent5 3 4 3" xfId="5369" xr:uid="{00000000-0005-0000-0000-0000EE020000}"/>
    <cellStyle name="20% - Accent5 3 4 3 2" xfId="13808" xr:uid="{C908C076-79DB-4042-95D3-70E40B64A44F}"/>
    <cellStyle name="20% - Accent5 3 4 4" xfId="9590" xr:uid="{D6AEBF82-4731-4ED8-9CFD-9A7E06C5E9E2}"/>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6" xr:uid="{F11EE88A-27FA-4234-9718-426253F5EDC1}"/>
    <cellStyle name="20% - Accent5 3 5 2 3" xfId="12148" xr:uid="{FF992F95-AD38-4345-8C51-76FC0755E242}"/>
    <cellStyle name="20% - Accent5 3 5 3" xfId="5782" xr:uid="{00000000-0005-0000-0000-0000F2020000}"/>
    <cellStyle name="20% - Accent5 3 5 3 2" xfId="14221" xr:uid="{6A4EAEFE-C103-4195-BE32-9F6FC12B0641}"/>
    <cellStyle name="20% - Accent5 3 5 4" xfId="10003" xr:uid="{719A9720-E8BC-4151-925B-1C9A1CB61264}"/>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79" xr:uid="{4EA88C29-71A1-4E51-9D8B-259FE6594666}"/>
    <cellStyle name="20% - Accent5 3 6 2 3" xfId="12561" xr:uid="{F3CFC21E-1FC2-4F7E-B681-992CDBB94DBC}"/>
    <cellStyle name="20% - Accent5 3 6 3" xfId="6195" xr:uid="{00000000-0005-0000-0000-0000F6020000}"/>
    <cellStyle name="20% - Accent5 3 6 3 2" xfId="14634" xr:uid="{6C7C8664-1CAF-4C57-B6EB-B813865989D5}"/>
    <cellStyle name="20% - Accent5 3 6 4" xfId="10416" xr:uid="{508EA635-0C7B-4B0E-8F42-7EC0B98A373F}"/>
    <cellStyle name="20% - Accent5 3 7" xfId="2301" xr:uid="{00000000-0005-0000-0000-0000F7020000}"/>
    <cellStyle name="20% - Accent5 3 7 2" xfId="6608" xr:uid="{00000000-0005-0000-0000-0000F8020000}"/>
    <cellStyle name="20% - Accent5 3 7 2 2" xfId="15047" xr:uid="{D1285C58-393D-48B6-A9DB-B1036632E446}"/>
    <cellStyle name="20% - Accent5 3 7 3" xfId="10829" xr:uid="{7F68D4C8-AFD4-4D19-92F6-C17736C489B7}"/>
    <cellStyle name="20% - Accent5 3 8" xfId="4542" xr:uid="{00000000-0005-0000-0000-0000F9020000}"/>
    <cellStyle name="20% - Accent5 3 8 2" xfId="12981" xr:uid="{0AC29356-76C3-4B87-9A45-9FBF3B0098E5}"/>
    <cellStyle name="20% - Accent5 3 9" xfId="8763" xr:uid="{E73F8A94-A037-4A36-9E35-CCB4ECDBB212}"/>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42" xr:uid="{D6BB0C63-EE15-4013-9C3B-023D917CD917}"/>
    <cellStyle name="20% - Accent5 4 2 2 3" xfId="11324" xr:uid="{13DDA515-4F12-47F3-BF8E-A40891BC9D1D}"/>
    <cellStyle name="20% - Accent5 4 2 3" xfId="4958" xr:uid="{00000000-0005-0000-0000-0000FE020000}"/>
    <cellStyle name="20% - Accent5 4 2 3 2" xfId="13397" xr:uid="{C31D8E3E-B1F2-49ED-92F4-752E2D41679C}"/>
    <cellStyle name="20% - Accent5 4 2 4" xfId="9179" xr:uid="{FACE603E-D8D0-4507-8ECF-0DEFB615500B}"/>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5" xr:uid="{DEEB0B09-0DCE-4F59-9A4D-F9BA22378B7A}"/>
    <cellStyle name="20% - Accent5 4 3 2 3" xfId="11737" xr:uid="{2A808CE4-4CE0-432D-A127-D366972F3433}"/>
    <cellStyle name="20% - Accent5 4 3 3" xfId="5371" xr:uid="{00000000-0005-0000-0000-000002030000}"/>
    <cellStyle name="20% - Accent5 4 3 3 2" xfId="13810" xr:uid="{E5FDF9C4-EEFB-4BE0-A5B9-FAF81270A6EB}"/>
    <cellStyle name="20% - Accent5 4 3 4" xfId="9592" xr:uid="{67F18D2A-726E-499C-8213-84B27CC3A29F}"/>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68" xr:uid="{01281430-9391-4E76-B176-FF429775CBF7}"/>
    <cellStyle name="20% - Accent5 4 4 2 3" xfId="12150" xr:uid="{FC15E8C3-A98B-47A9-9EC1-025DC54A2894}"/>
    <cellStyle name="20% - Accent5 4 4 3" xfId="5784" xr:uid="{00000000-0005-0000-0000-000006030000}"/>
    <cellStyle name="20% - Accent5 4 4 3 2" xfId="14223" xr:uid="{706893C0-80B1-491F-989A-E8003A310AA6}"/>
    <cellStyle name="20% - Accent5 4 4 4" xfId="10005" xr:uid="{21D5201C-59D3-490E-B485-8A1F51E9E8F1}"/>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81" xr:uid="{7E621EA5-85CA-4E57-B7A2-C35F5D844D68}"/>
    <cellStyle name="20% - Accent5 4 5 2 3" xfId="12563" xr:uid="{00BA9770-E2D8-4B8B-B675-FC52DEB99F61}"/>
    <cellStyle name="20% - Accent5 4 5 3" xfId="6197" xr:uid="{00000000-0005-0000-0000-00000A030000}"/>
    <cellStyle name="20% - Accent5 4 5 3 2" xfId="14636" xr:uid="{90622CEC-BE50-425C-A523-004B946B6FFA}"/>
    <cellStyle name="20% - Accent5 4 5 4" xfId="10418" xr:uid="{428E4846-1CD7-4D79-8C44-BED461F255F1}"/>
    <cellStyle name="20% - Accent5 4 6" xfId="2303" xr:uid="{00000000-0005-0000-0000-00000B030000}"/>
    <cellStyle name="20% - Accent5 4 6 2" xfId="6610" xr:uid="{00000000-0005-0000-0000-00000C030000}"/>
    <cellStyle name="20% - Accent5 4 6 2 2" xfId="15049" xr:uid="{91198EDB-D088-47B7-9862-9B4A4C2E7C28}"/>
    <cellStyle name="20% - Accent5 4 6 3" xfId="10831" xr:uid="{45BE56F8-DEE8-4A49-9631-01E644514019}"/>
    <cellStyle name="20% - Accent5 4 7" xfId="4544" xr:uid="{00000000-0005-0000-0000-00000D030000}"/>
    <cellStyle name="20% - Accent5 4 7 2" xfId="12983" xr:uid="{32D455D7-9160-468E-9757-C1EB3EB84E1D}"/>
    <cellStyle name="20% - Accent5 4 8" xfId="8765" xr:uid="{4DEBEC12-64E1-4614-B0C6-CF4AF6EF0819}"/>
    <cellStyle name="20% - Accent5 5" xfId="602" xr:uid="{00000000-0005-0000-0000-00000E030000}"/>
    <cellStyle name="20% - Accent5 5 2" xfId="2873" xr:uid="{00000000-0005-0000-0000-00000F030000}"/>
    <cellStyle name="20% - Accent5 5 2 2" xfId="7096" xr:uid="{00000000-0005-0000-0000-000010030000}"/>
    <cellStyle name="20% - Accent5 5 2 2 2" xfId="15535" xr:uid="{5072AA0F-D3EE-44A5-9348-C4B4458D4672}"/>
    <cellStyle name="20% - Accent5 5 2 3" xfId="11317" xr:uid="{0F0A4C6C-DB9A-4EBF-AC59-D89F34810D49}"/>
    <cellStyle name="20% - Accent5 5 3" xfId="4951" xr:uid="{00000000-0005-0000-0000-000011030000}"/>
    <cellStyle name="20% - Accent5 5 3 2" xfId="13390" xr:uid="{91DB72BA-8634-41C5-92C3-CEF1C6FD5CDA}"/>
    <cellStyle name="20% - Accent5 5 4" xfId="9172" xr:uid="{086BD235-21E1-47D4-9FB2-B440376A30C5}"/>
    <cellStyle name="20% - Accent5 6" xfId="1055" xr:uid="{00000000-0005-0000-0000-000012030000}"/>
    <cellStyle name="20% - Accent5 6 2" xfId="3286" xr:uid="{00000000-0005-0000-0000-000013030000}"/>
    <cellStyle name="20% - Accent5 6 2 2" xfId="7509" xr:uid="{00000000-0005-0000-0000-000014030000}"/>
    <cellStyle name="20% - Accent5 6 2 2 2" xfId="15948" xr:uid="{4AC303E6-1DE4-4A71-9B9E-984D0FCAEDDD}"/>
    <cellStyle name="20% - Accent5 6 2 3" xfId="11730" xr:uid="{632ED0FB-1351-4F5F-926E-BAB7247154CA}"/>
    <cellStyle name="20% - Accent5 6 3" xfId="5364" xr:uid="{00000000-0005-0000-0000-000015030000}"/>
    <cellStyle name="20% - Accent5 6 3 2" xfId="13803" xr:uid="{37383338-D3BA-4977-BDB5-6D616B94A8F1}"/>
    <cellStyle name="20% - Accent5 6 4" xfId="9585" xr:uid="{A25F6EC1-A2FD-4F6F-83AC-9C2AC187B6D5}"/>
    <cellStyle name="20% - Accent5 7" xfId="1469" xr:uid="{00000000-0005-0000-0000-000016030000}"/>
    <cellStyle name="20% - Accent5 7 2" xfId="3699" xr:uid="{00000000-0005-0000-0000-000017030000}"/>
    <cellStyle name="20% - Accent5 7 2 2" xfId="7922" xr:uid="{00000000-0005-0000-0000-000018030000}"/>
    <cellStyle name="20% - Accent5 7 2 2 2" xfId="16361" xr:uid="{45C73C33-6292-4F68-A202-84F5A5FAA77C}"/>
    <cellStyle name="20% - Accent5 7 2 3" xfId="12143" xr:uid="{F85078BD-DFD3-47B2-85A4-B903E3A54A7B}"/>
    <cellStyle name="20% - Accent5 7 3" xfId="5777" xr:uid="{00000000-0005-0000-0000-000019030000}"/>
    <cellStyle name="20% - Accent5 7 3 2" xfId="14216" xr:uid="{72F08947-47F2-4C5D-8D85-9736F6E95AD5}"/>
    <cellStyle name="20% - Accent5 7 4" xfId="9998" xr:uid="{6C03DD4A-DDA0-4E7A-A8A5-740E9521F3E9}"/>
    <cellStyle name="20% - Accent5 8" xfId="1883" xr:uid="{00000000-0005-0000-0000-00001A030000}"/>
    <cellStyle name="20% - Accent5 8 2" xfId="4112" xr:uid="{00000000-0005-0000-0000-00001B030000}"/>
    <cellStyle name="20% - Accent5 8 2 2" xfId="8335" xr:uid="{00000000-0005-0000-0000-00001C030000}"/>
    <cellStyle name="20% - Accent5 8 2 2 2" xfId="16774" xr:uid="{12299944-70CE-445E-9909-39D170C8AD00}"/>
    <cellStyle name="20% - Accent5 8 2 3" xfId="12556" xr:uid="{24E8F113-FCC9-4122-A531-85033CDB4536}"/>
    <cellStyle name="20% - Accent5 8 3" xfId="6190" xr:uid="{00000000-0005-0000-0000-00001D030000}"/>
    <cellStyle name="20% - Accent5 8 3 2" xfId="14629" xr:uid="{92F3AF50-28C6-47F4-AB5D-257EDB2D7873}"/>
    <cellStyle name="20% - Accent5 8 4" xfId="10411" xr:uid="{A0483A69-D74B-4F89-9470-2289F87A84A4}"/>
    <cellStyle name="20% - Accent5 9" xfId="2296" xr:uid="{00000000-0005-0000-0000-00001E030000}"/>
    <cellStyle name="20% - Accent5 9 2" xfId="6603" xr:uid="{00000000-0005-0000-0000-00001F030000}"/>
    <cellStyle name="20% - Accent5 9 2 2" xfId="15042" xr:uid="{6472EE05-A4B0-4C6D-BEA1-F6D8404819A8}"/>
    <cellStyle name="20% - Accent5 9 3" xfId="10824" xr:uid="{9AA2D5F5-03C5-4B61-BA9F-A4FEF4A90C5D}"/>
    <cellStyle name="20% - Accent6" xfId="41" builtinId="50" customBuiltin="1"/>
    <cellStyle name="20% - Accent6 10" xfId="4545" xr:uid="{00000000-0005-0000-0000-000021030000}"/>
    <cellStyle name="20% - Accent6 10 2" xfId="12984" xr:uid="{269F3EE0-44FE-4F4D-8A3E-182684011D50}"/>
    <cellStyle name="20% - Accent6 11" xfId="8766" xr:uid="{7738409E-E4A6-42CC-B422-E90C7E92FE4C}"/>
    <cellStyle name="20% - Accent6 2" xfId="42" xr:uid="{00000000-0005-0000-0000-000022030000}"/>
    <cellStyle name="20% - Accent6 2 10" xfId="8767" xr:uid="{3B402264-78FA-470C-AD13-C44A463F6041}"/>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6" xr:uid="{8F5DF65A-D2A6-4C4C-A84D-1B087277EDD1}"/>
    <cellStyle name="20% - Accent6 2 2 2 2 2 3" xfId="11328" xr:uid="{226E0858-EFEF-4F2A-AFFD-5D3078B7ECB4}"/>
    <cellStyle name="20% - Accent6 2 2 2 2 3" xfId="4962" xr:uid="{00000000-0005-0000-0000-000028030000}"/>
    <cellStyle name="20% - Accent6 2 2 2 2 3 2" xfId="13401" xr:uid="{043FBFC9-F8F0-445F-A3C5-CCD78508D38A}"/>
    <cellStyle name="20% - Accent6 2 2 2 2 4" xfId="9183" xr:uid="{E1FBFD26-E537-48BB-A714-3B2A1B324B35}"/>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59" xr:uid="{AED3BBF6-BE36-4DE0-82DA-69480F0FDFC0}"/>
    <cellStyle name="20% - Accent6 2 2 2 3 2 3" xfId="11741" xr:uid="{BECBE48E-3455-44C1-82DD-A2F97BCB2914}"/>
    <cellStyle name="20% - Accent6 2 2 2 3 3" xfId="5375" xr:uid="{00000000-0005-0000-0000-00002C030000}"/>
    <cellStyle name="20% - Accent6 2 2 2 3 3 2" xfId="13814" xr:uid="{C524924A-36A8-4A5E-B957-700B93CB4AF8}"/>
    <cellStyle name="20% - Accent6 2 2 2 3 4" xfId="9596" xr:uid="{AE19C7CC-E557-485C-A2E5-5496C825D5E1}"/>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72" xr:uid="{A7F8243B-D7D1-42D5-A34E-5FB6665A29DE}"/>
    <cellStyle name="20% - Accent6 2 2 2 4 2 3" xfId="12154" xr:uid="{056AA088-ADF7-4D44-980B-CBD4A4F310FA}"/>
    <cellStyle name="20% - Accent6 2 2 2 4 3" xfId="5788" xr:uid="{00000000-0005-0000-0000-000030030000}"/>
    <cellStyle name="20% - Accent6 2 2 2 4 3 2" xfId="14227" xr:uid="{6EA3E5BE-4943-48CB-AAD2-ADB22E4A35E3}"/>
    <cellStyle name="20% - Accent6 2 2 2 4 4" xfId="10009" xr:uid="{3BAB857A-F7F5-4B25-BB15-EA94AED5C40A}"/>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5" xr:uid="{78B0622D-9D48-4AB1-9EDE-C050EEC67532}"/>
    <cellStyle name="20% - Accent6 2 2 2 5 2 3" xfId="12567" xr:uid="{22469CDF-D001-498F-BD8A-4D2F7D12F198}"/>
    <cellStyle name="20% - Accent6 2 2 2 5 3" xfId="6201" xr:uid="{00000000-0005-0000-0000-000034030000}"/>
    <cellStyle name="20% - Accent6 2 2 2 5 3 2" xfId="14640" xr:uid="{74DCFE3C-CE45-4FA3-8B1E-53300734B7BB}"/>
    <cellStyle name="20% - Accent6 2 2 2 5 4" xfId="10422" xr:uid="{9374D991-C40A-421B-9A0A-0EF45AC5BB45}"/>
    <cellStyle name="20% - Accent6 2 2 2 6" xfId="2307" xr:uid="{00000000-0005-0000-0000-000035030000}"/>
    <cellStyle name="20% - Accent6 2 2 2 6 2" xfId="6614" xr:uid="{00000000-0005-0000-0000-000036030000}"/>
    <cellStyle name="20% - Accent6 2 2 2 6 2 2" xfId="15053" xr:uid="{841797CB-54DB-4433-9A53-FDB47F42ED03}"/>
    <cellStyle name="20% - Accent6 2 2 2 6 3" xfId="10835" xr:uid="{5487EB20-7929-4532-84F6-6D29771D2E81}"/>
    <cellStyle name="20% - Accent6 2 2 2 7" xfId="4548" xr:uid="{00000000-0005-0000-0000-000037030000}"/>
    <cellStyle name="20% - Accent6 2 2 2 7 2" xfId="12987" xr:uid="{E19C8185-2B8D-483C-8CBF-7B3B87543627}"/>
    <cellStyle name="20% - Accent6 2 2 2 8" xfId="8769" xr:uid="{13ECD74D-6E1D-4CCB-858F-B98848CE148B}"/>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5" xr:uid="{E3FDAD95-8E49-4E38-B618-3686FFA174D6}"/>
    <cellStyle name="20% - Accent6 2 2 3 2 3" xfId="11327" xr:uid="{FDEA65B4-7FB3-4D5E-AB08-5AC70CDE03C5}"/>
    <cellStyle name="20% - Accent6 2 2 3 3" xfId="4961" xr:uid="{00000000-0005-0000-0000-00003B030000}"/>
    <cellStyle name="20% - Accent6 2 2 3 3 2" xfId="13400" xr:uid="{9ED04D37-4CDA-410F-B85F-4C49E6ED9E03}"/>
    <cellStyle name="20% - Accent6 2 2 3 4" xfId="9182" xr:uid="{899ACC85-7F2C-4334-8B0E-ECF9358768AA}"/>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58" xr:uid="{CEC3BCAD-E65A-404E-B14F-5A5BDD49B7FA}"/>
    <cellStyle name="20% - Accent6 2 2 4 2 3" xfId="11740" xr:uid="{27287B05-B0AA-4447-9E2F-E1F4D8441512}"/>
    <cellStyle name="20% - Accent6 2 2 4 3" xfId="5374" xr:uid="{00000000-0005-0000-0000-00003F030000}"/>
    <cellStyle name="20% - Accent6 2 2 4 3 2" xfId="13813" xr:uid="{7FF99A1C-D981-4086-8ECA-B704264AB9CD}"/>
    <cellStyle name="20% - Accent6 2 2 4 4" xfId="9595" xr:uid="{9626CF7B-3D62-4283-8412-8A4ABFD57414}"/>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71" xr:uid="{3ECD0DA7-A6F4-4FA0-90DF-3F36732BF35C}"/>
    <cellStyle name="20% - Accent6 2 2 5 2 3" xfId="12153" xr:uid="{4E7C4678-C401-4081-9755-F98E1F2DB5A7}"/>
    <cellStyle name="20% - Accent6 2 2 5 3" xfId="5787" xr:uid="{00000000-0005-0000-0000-000043030000}"/>
    <cellStyle name="20% - Accent6 2 2 5 3 2" xfId="14226" xr:uid="{6936F7DE-BFCA-480C-AF88-C0A84F704D41}"/>
    <cellStyle name="20% - Accent6 2 2 5 4" xfId="10008" xr:uid="{B7949BD5-8297-4D16-88A2-421C32A7A765}"/>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4" xr:uid="{407A62E7-F7C4-4CE7-A7A6-1EAEA1FBA7C9}"/>
    <cellStyle name="20% - Accent6 2 2 6 2 3" xfId="12566" xr:uid="{CC14A140-9DA0-4015-8821-83CAFF7B01C6}"/>
    <cellStyle name="20% - Accent6 2 2 6 3" xfId="6200" xr:uid="{00000000-0005-0000-0000-000047030000}"/>
    <cellStyle name="20% - Accent6 2 2 6 3 2" xfId="14639" xr:uid="{42492F01-974C-4FAA-93AE-B09DD02C7906}"/>
    <cellStyle name="20% - Accent6 2 2 6 4" xfId="10421" xr:uid="{BF281032-4C8D-4608-8F20-BACD6500ED22}"/>
    <cellStyle name="20% - Accent6 2 2 7" xfId="2306" xr:uid="{00000000-0005-0000-0000-000048030000}"/>
    <cellStyle name="20% - Accent6 2 2 7 2" xfId="6613" xr:uid="{00000000-0005-0000-0000-000049030000}"/>
    <cellStyle name="20% - Accent6 2 2 7 2 2" xfId="15052" xr:uid="{B7DFE4E0-9B3D-44AC-B9CC-7FCFD5A15F06}"/>
    <cellStyle name="20% - Accent6 2 2 7 3" xfId="10834" xr:uid="{A13C1E13-7D22-41EC-963F-F8153F013F76}"/>
    <cellStyle name="20% - Accent6 2 2 8" xfId="4547" xr:uid="{00000000-0005-0000-0000-00004A030000}"/>
    <cellStyle name="20% - Accent6 2 2 8 2" xfId="12986" xr:uid="{A2BACA32-A422-43C0-87A4-2FE557420968}"/>
    <cellStyle name="20% - Accent6 2 2 9" xfId="8768" xr:uid="{1653ED4A-3169-4C7F-800D-E36CE39EA8A5}"/>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47" xr:uid="{0DBFC5EF-7267-42E9-9FE7-084151097E8F}"/>
    <cellStyle name="20% - Accent6 2 3 2 2 3" xfId="11329" xr:uid="{DD6F2EDE-E92B-48D3-A594-7BA8BF6C92D3}"/>
    <cellStyle name="20% - Accent6 2 3 2 3" xfId="4963" xr:uid="{00000000-0005-0000-0000-00004F030000}"/>
    <cellStyle name="20% - Accent6 2 3 2 3 2" xfId="13402" xr:uid="{DD69B0F7-8A0A-4C60-B7AB-4804AC72972E}"/>
    <cellStyle name="20% - Accent6 2 3 2 4" xfId="9184" xr:uid="{F72EF2CA-BD18-4720-89C9-B55DC87243CB}"/>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60" xr:uid="{8A1CC884-AD63-4961-883C-BEF9CC792A74}"/>
    <cellStyle name="20% - Accent6 2 3 3 2 3" xfId="11742" xr:uid="{6F8452E5-C911-4B00-BBF6-75A36FD9BB40}"/>
    <cellStyle name="20% - Accent6 2 3 3 3" xfId="5376" xr:uid="{00000000-0005-0000-0000-000053030000}"/>
    <cellStyle name="20% - Accent6 2 3 3 3 2" xfId="13815" xr:uid="{8833614E-E1C7-4BC3-AAB2-C0BEC670CECC}"/>
    <cellStyle name="20% - Accent6 2 3 3 4" xfId="9597" xr:uid="{87237548-F917-4FB9-B524-5528DF844739}"/>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3" xr:uid="{71A80B8E-9710-4927-BD74-1DAADAC0A98E}"/>
    <cellStyle name="20% - Accent6 2 3 4 2 3" xfId="12155" xr:uid="{EDE1792C-C10E-40DE-B7EE-45B2F2F212E4}"/>
    <cellStyle name="20% - Accent6 2 3 4 3" xfId="5789" xr:uid="{00000000-0005-0000-0000-000057030000}"/>
    <cellStyle name="20% - Accent6 2 3 4 3 2" xfId="14228" xr:uid="{D0AB0D53-4B7E-4A07-980E-F1CA783A6257}"/>
    <cellStyle name="20% - Accent6 2 3 4 4" xfId="10010" xr:uid="{E8AFDCA3-260B-47FA-A550-CEE4961911CB}"/>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6" xr:uid="{D3468125-4528-43DF-AD43-E2C96227D097}"/>
    <cellStyle name="20% - Accent6 2 3 5 2 3" xfId="12568" xr:uid="{2447B32C-4EEB-48EC-87D6-646B9E8950C4}"/>
    <cellStyle name="20% - Accent6 2 3 5 3" xfId="6202" xr:uid="{00000000-0005-0000-0000-00005B030000}"/>
    <cellStyle name="20% - Accent6 2 3 5 3 2" xfId="14641" xr:uid="{0B2B2029-B65E-4893-8130-3E82026E2F47}"/>
    <cellStyle name="20% - Accent6 2 3 5 4" xfId="10423" xr:uid="{B17F6C34-2730-4CC3-832A-81D5CB7B3A72}"/>
    <cellStyle name="20% - Accent6 2 3 6" xfId="2308" xr:uid="{00000000-0005-0000-0000-00005C030000}"/>
    <cellStyle name="20% - Accent6 2 3 6 2" xfId="6615" xr:uid="{00000000-0005-0000-0000-00005D030000}"/>
    <cellStyle name="20% - Accent6 2 3 6 2 2" xfId="15054" xr:uid="{087EF5AF-0E6A-4585-8298-C8A0DB8B5561}"/>
    <cellStyle name="20% - Accent6 2 3 6 3" xfId="10836" xr:uid="{B06C56C1-3042-4DE1-9EBB-302B63055C80}"/>
    <cellStyle name="20% - Accent6 2 3 7" xfId="4549" xr:uid="{00000000-0005-0000-0000-00005E030000}"/>
    <cellStyle name="20% - Accent6 2 3 7 2" xfId="12988" xr:uid="{CACEDE0F-761E-4E42-BCC6-E431D5F84CE1}"/>
    <cellStyle name="20% - Accent6 2 3 8" xfId="8770" xr:uid="{4FB45222-56E2-499A-A1E4-988E5DF73485}"/>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4" xr:uid="{6BA03442-1153-44F4-A8D6-AFD1A141CF76}"/>
    <cellStyle name="20% - Accent6 2 4 2 3" xfId="11326" xr:uid="{817BE92C-527E-401D-8DDD-B5596B39A044}"/>
    <cellStyle name="20% - Accent6 2 4 3" xfId="4960" xr:uid="{00000000-0005-0000-0000-000062030000}"/>
    <cellStyle name="20% - Accent6 2 4 3 2" xfId="13399" xr:uid="{A8E5EEF7-384B-499F-934E-E1B2453E6F37}"/>
    <cellStyle name="20% - Accent6 2 4 4" xfId="9181" xr:uid="{A45BD506-1A2D-40D6-AEC3-6D618B716E36}"/>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57" xr:uid="{F0C5B3F9-BA6C-43A9-8ADB-23D19AFCDC12}"/>
    <cellStyle name="20% - Accent6 2 5 2 3" xfId="11739" xr:uid="{5F33F998-1E9B-41C5-8CFF-DF4A8199CF4B}"/>
    <cellStyle name="20% - Accent6 2 5 3" xfId="5373" xr:uid="{00000000-0005-0000-0000-000066030000}"/>
    <cellStyle name="20% - Accent6 2 5 3 2" xfId="13812" xr:uid="{8084E8E0-595A-43B9-8544-DD912115E32E}"/>
    <cellStyle name="20% - Accent6 2 5 4" xfId="9594" xr:uid="{C8101526-7199-4333-99CE-90E7778968F3}"/>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70" xr:uid="{CEC0D0B7-23CA-4B03-AE01-313F2E27ECA8}"/>
    <cellStyle name="20% - Accent6 2 6 2 3" xfId="12152" xr:uid="{95FE6F0C-ABCF-4787-BE8A-03F44B3AFB23}"/>
    <cellStyle name="20% - Accent6 2 6 3" xfId="5786" xr:uid="{00000000-0005-0000-0000-00006A030000}"/>
    <cellStyle name="20% - Accent6 2 6 3 2" xfId="14225" xr:uid="{D495F96A-184A-4188-A35C-EB605A2B32B7}"/>
    <cellStyle name="20% - Accent6 2 6 4" xfId="10007" xr:uid="{6B00F9EA-4257-448E-A6A4-52993887BAB0}"/>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3" xr:uid="{15497B22-FEF3-4946-B096-91C651FF4137}"/>
    <cellStyle name="20% - Accent6 2 7 2 3" xfId="12565" xr:uid="{0F6E462B-E481-4B4A-B983-A35B6FA2A361}"/>
    <cellStyle name="20% - Accent6 2 7 3" xfId="6199" xr:uid="{00000000-0005-0000-0000-00006E030000}"/>
    <cellStyle name="20% - Accent6 2 7 3 2" xfId="14638" xr:uid="{59DA9122-B05A-4ED4-A5DF-D060B8700475}"/>
    <cellStyle name="20% - Accent6 2 7 4" xfId="10420" xr:uid="{E659A3D3-E72C-4FAC-B1D8-360F2720EB49}"/>
    <cellStyle name="20% - Accent6 2 8" xfId="2305" xr:uid="{00000000-0005-0000-0000-00006F030000}"/>
    <cellStyle name="20% - Accent6 2 8 2" xfId="6612" xr:uid="{00000000-0005-0000-0000-000070030000}"/>
    <cellStyle name="20% - Accent6 2 8 2 2" xfId="15051" xr:uid="{D5DC8E29-D468-4DA5-98FB-4038903578EC}"/>
    <cellStyle name="20% - Accent6 2 8 3" xfId="10833" xr:uid="{A061F1E8-790D-41C4-8705-EC2CA4AF89FB}"/>
    <cellStyle name="20% - Accent6 2 9" xfId="4546" xr:uid="{00000000-0005-0000-0000-000071030000}"/>
    <cellStyle name="20% - Accent6 2 9 2" xfId="12985" xr:uid="{51290814-8F3F-444D-943A-B1F004FADD12}"/>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49" xr:uid="{2480189E-D8F5-4580-BED3-321959728017}"/>
    <cellStyle name="20% - Accent6 3 2 2 2 3" xfId="11331" xr:uid="{35D77264-35C0-4529-99B6-B79C1117CDD4}"/>
    <cellStyle name="20% - Accent6 3 2 2 3" xfId="4965" xr:uid="{00000000-0005-0000-0000-000077030000}"/>
    <cellStyle name="20% - Accent6 3 2 2 3 2" xfId="13404" xr:uid="{278960F6-B621-4C29-9C85-A5101158FE8C}"/>
    <cellStyle name="20% - Accent6 3 2 2 4" xfId="9186" xr:uid="{F6CF1271-7A45-4BF3-A10D-7CBB676F7E57}"/>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62" xr:uid="{F057CC07-0686-440F-9FCB-BB0365270FA9}"/>
    <cellStyle name="20% - Accent6 3 2 3 2 3" xfId="11744" xr:uid="{54F944A1-11D7-402B-9892-0B0177C48826}"/>
    <cellStyle name="20% - Accent6 3 2 3 3" xfId="5378" xr:uid="{00000000-0005-0000-0000-00007B030000}"/>
    <cellStyle name="20% - Accent6 3 2 3 3 2" xfId="13817" xr:uid="{1447C2CA-D9F3-498C-BED7-450B2A4DDA28}"/>
    <cellStyle name="20% - Accent6 3 2 3 4" xfId="9599" xr:uid="{326AA708-8680-451C-9E90-FED880EA3609}"/>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5" xr:uid="{F3287C74-E476-4142-9B12-CC8EC5436502}"/>
    <cellStyle name="20% - Accent6 3 2 4 2 3" xfId="12157" xr:uid="{ABF3638E-FE32-4C57-9A70-5455F39E1346}"/>
    <cellStyle name="20% - Accent6 3 2 4 3" xfId="5791" xr:uid="{00000000-0005-0000-0000-00007F030000}"/>
    <cellStyle name="20% - Accent6 3 2 4 3 2" xfId="14230" xr:uid="{D5ACE87A-4283-4E75-8A18-F61398DA1F72}"/>
    <cellStyle name="20% - Accent6 3 2 4 4" xfId="10012" xr:uid="{4C0C9E5A-8BD8-4244-88A6-36F8A38B94AB}"/>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88" xr:uid="{D9A55F75-6EE4-4AAB-A019-C3B6AB41EEC1}"/>
    <cellStyle name="20% - Accent6 3 2 5 2 3" xfId="12570" xr:uid="{D8199B50-3C0C-4D65-B64E-5B3D84A8DAFE}"/>
    <cellStyle name="20% - Accent6 3 2 5 3" xfId="6204" xr:uid="{00000000-0005-0000-0000-000083030000}"/>
    <cellStyle name="20% - Accent6 3 2 5 3 2" xfId="14643" xr:uid="{6F1AE475-B47A-4ADD-8C03-D521D6E78060}"/>
    <cellStyle name="20% - Accent6 3 2 5 4" xfId="10425" xr:uid="{9DA05904-913F-436A-84AF-F3C0A42DCB0F}"/>
    <cellStyle name="20% - Accent6 3 2 6" xfId="2310" xr:uid="{00000000-0005-0000-0000-000084030000}"/>
    <cellStyle name="20% - Accent6 3 2 6 2" xfId="6617" xr:uid="{00000000-0005-0000-0000-000085030000}"/>
    <cellStyle name="20% - Accent6 3 2 6 2 2" xfId="15056" xr:uid="{DD222236-D5FA-470D-A3DE-6A9097A38C91}"/>
    <cellStyle name="20% - Accent6 3 2 6 3" xfId="10838" xr:uid="{78935FD9-546A-4E83-9437-B4657AD2DEE5}"/>
    <cellStyle name="20% - Accent6 3 2 7" xfId="4551" xr:uid="{00000000-0005-0000-0000-000086030000}"/>
    <cellStyle name="20% - Accent6 3 2 7 2" xfId="12990" xr:uid="{5A1BF00E-CE04-4F0B-899E-ABBB3A5C4687}"/>
    <cellStyle name="20% - Accent6 3 2 8" xfId="8772" xr:uid="{21E367F5-32A3-4339-A5D9-8E80FA2E5120}"/>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48" xr:uid="{F355934F-E11C-4504-8F05-AB70BFEAA4B7}"/>
    <cellStyle name="20% - Accent6 3 3 2 3" xfId="11330" xr:uid="{E839291F-EE97-493E-83AD-63691C5E00B4}"/>
    <cellStyle name="20% - Accent6 3 3 3" xfId="4964" xr:uid="{00000000-0005-0000-0000-00008A030000}"/>
    <cellStyle name="20% - Accent6 3 3 3 2" xfId="13403" xr:uid="{C9FB2155-F1C8-40B0-9A55-7A48121AB509}"/>
    <cellStyle name="20% - Accent6 3 3 4" xfId="9185" xr:uid="{05C1076E-48F4-4B39-86D6-3A01B5ACA49E}"/>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61" xr:uid="{A1074C20-0263-4E42-928C-25BB90770475}"/>
    <cellStyle name="20% - Accent6 3 4 2 3" xfId="11743" xr:uid="{29ACEBCC-8CFA-4670-9EA2-A6B49FD60199}"/>
    <cellStyle name="20% - Accent6 3 4 3" xfId="5377" xr:uid="{00000000-0005-0000-0000-00008E030000}"/>
    <cellStyle name="20% - Accent6 3 4 3 2" xfId="13816" xr:uid="{8A1CB2B1-8F6C-44D8-B566-3E9FCED63E95}"/>
    <cellStyle name="20% - Accent6 3 4 4" xfId="9598" xr:uid="{1D7537DD-60C5-4A97-8894-54EEBC6F92E8}"/>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4" xr:uid="{213897E8-CE13-4CD4-9FD4-ED9FCC992E18}"/>
    <cellStyle name="20% - Accent6 3 5 2 3" xfId="12156" xr:uid="{3A89D5D7-6823-4709-9E49-2A810FAB8B82}"/>
    <cellStyle name="20% - Accent6 3 5 3" xfId="5790" xr:uid="{00000000-0005-0000-0000-000092030000}"/>
    <cellStyle name="20% - Accent6 3 5 3 2" xfId="14229" xr:uid="{71863AD4-1128-403B-B07C-243DCE94A92D}"/>
    <cellStyle name="20% - Accent6 3 5 4" xfId="10011" xr:uid="{DB71AC4F-F8F9-49A2-A30E-B5663AEE4E6C}"/>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87" xr:uid="{3C37C0E9-702E-4A53-A0CA-2D1216A1D39E}"/>
    <cellStyle name="20% - Accent6 3 6 2 3" xfId="12569" xr:uid="{9CAFF9E6-F606-4BEB-9B7E-FFE12C5654DE}"/>
    <cellStyle name="20% - Accent6 3 6 3" xfId="6203" xr:uid="{00000000-0005-0000-0000-000096030000}"/>
    <cellStyle name="20% - Accent6 3 6 3 2" xfId="14642" xr:uid="{3775A21B-9C2F-4882-AD81-AC59D216CFDA}"/>
    <cellStyle name="20% - Accent6 3 6 4" xfId="10424" xr:uid="{A1A6AC51-B2BC-4E5A-ACFE-20D80A9A8FB9}"/>
    <cellStyle name="20% - Accent6 3 7" xfId="2309" xr:uid="{00000000-0005-0000-0000-000097030000}"/>
    <cellStyle name="20% - Accent6 3 7 2" xfId="6616" xr:uid="{00000000-0005-0000-0000-000098030000}"/>
    <cellStyle name="20% - Accent6 3 7 2 2" xfId="15055" xr:uid="{A74CBA1B-0300-499A-A331-1B95658012D3}"/>
    <cellStyle name="20% - Accent6 3 7 3" xfId="10837" xr:uid="{7F626A28-FA88-44D5-AF51-4E75CACDD1D1}"/>
    <cellStyle name="20% - Accent6 3 8" xfId="4550" xr:uid="{00000000-0005-0000-0000-000099030000}"/>
    <cellStyle name="20% - Accent6 3 8 2" xfId="12989" xr:uid="{044DA069-35BF-442F-B372-9022EF554D35}"/>
    <cellStyle name="20% - Accent6 3 9" xfId="8771" xr:uid="{77A039D1-486F-441E-BEDB-664E3EA46C22}"/>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50" xr:uid="{E8F85639-D821-4406-A1A1-99DCE8E0CE88}"/>
    <cellStyle name="20% - Accent6 4 2 2 3" xfId="11332" xr:uid="{0C8612DA-9D53-4C2D-86A1-6B64B173310B}"/>
    <cellStyle name="20% - Accent6 4 2 3" xfId="4966" xr:uid="{00000000-0005-0000-0000-00009E030000}"/>
    <cellStyle name="20% - Accent6 4 2 3 2" xfId="13405" xr:uid="{DFAE4DF2-0827-4590-81E9-13D947D782AC}"/>
    <cellStyle name="20% - Accent6 4 2 4" xfId="9187" xr:uid="{06E5E9F6-534E-434F-98B7-589953119B2F}"/>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3" xr:uid="{00D7B66C-B56E-4F5D-A3DE-9EE8C99FA1D0}"/>
    <cellStyle name="20% - Accent6 4 3 2 3" xfId="11745" xr:uid="{3C61A159-B338-4938-BE15-B78853DD1064}"/>
    <cellStyle name="20% - Accent6 4 3 3" xfId="5379" xr:uid="{00000000-0005-0000-0000-0000A2030000}"/>
    <cellStyle name="20% - Accent6 4 3 3 2" xfId="13818" xr:uid="{B4660F8E-3F1E-441C-A8B6-578568C8BB3C}"/>
    <cellStyle name="20% - Accent6 4 3 4" xfId="9600" xr:uid="{F848593A-A653-4862-B90D-3FCD164C3475}"/>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6" xr:uid="{77F1C8A2-26B9-4BDB-A064-0D5376A8EDEB}"/>
    <cellStyle name="20% - Accent6 4 4 2 3" xfId="12158" xr:uid="{CA96D17B-4210-4BFE-8D03-C2C96C55E1F2}"/>
    <cellStyle name="20% - Accent6 4 4 3" xfId="5792" xr:uid="{00000000-0005-0000-0000-0000A6030000}"/>
    <cellStyle name="20% - Accent6 4 4 3 2" xfId="14231" xr:uid="{A4A75FE4-1768-46E7-87FF-84BD3803F7AE}"/>
    <cellStyle name="20% - Accent6 4 4 4" xfId="10013" xr:uid="{1D347621-A5A0-4D84-BAA5-F1F2C4D4B522}"/>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89" xr:uid="{F354D14E-68DF-4C5F-8F07-B2198A519113}"/>
    <cellStyle name="20% - Accent6 4 5 2 3" xfId="12571" xr:uid="{84A4583B-6BD8-422F-9CB2-23B051315E44}"/>
    <cellStyle name="20% - Accent6 4 5 3" xfId="6205" xr:uid="{00000000-0005-0000-0000-0000AA030000}"/>
    <cellStyle name="20% - Accent6 4 5 3 2" xfId="14644" xr:uid="{D52A038C-CC4B-4A65-ABAF-A1693582C240}"/>
    <cellStyle name="20% - Accent6 4 5 4" xfId="10426" xr:uid="{7B61B016-4F90-4122-A7C9-DC54775EFCFB}"/>
    <cellStyle name="20% - Accent6 4 6" xfId="2311" xr:uid="{00000000-0005-0000-0000-0000AB030000}"/>
    <cellStyle name="20% - Accent6 4 6 2" xfId="6618" xr:uid="{00000000-0005-0000-0000-0000AC030000}"/>
    <cellStyle name="20% - Accent6 4 6 2 2" xfId="15057" xr:uid="{A157E512-171A-4D71-9365-261A6439F1E3}"/>
    <cellStyle name="20% - Accent6 4 6 3" xfId="10839" xr:uid="{B5163AC9-E838-4E1D-84F1-53D71C8835B6}"/>
    <cellStyle name="20% - Accent6 4 7" xfId="4552" xr:uid="{00000000-0005-0000-0000-0000AD030000}"/>
    <cellStyle name="20% - Accent6 4 7 2" xfId="12991" xr:uid="{C189B9F2-05B3-49F1-8167-8F02481689BD}"/>
    <cellStyle name="20% - Accent6 4 8" xfId="8773" xr:uid="{159838D8-EE01-4586-A178-9E88C403B981}"/>
    <cellStyle name="20% - Accent6 5" xfId="610" xr:uid="{00000000-0005-0000-0000-0000AE030000}"/>
    <cellStyle name="20% - Accent6 5 2" xfId="2881" xr:uid="{00000000-0005-0000-0000-0000AF030000}"/>
    <cellStyle name="20% - Accent6 5 2 2" xfId="7104" xr:uid="{00000000-0005-0000-0000-0000B0030000}"/>
    <cellStyle name="20% - Accent6 5 2 2 2" xfId="15543" xr:uid="{66CF573A-AC05-437A-992A-D29727FD6761}"/>
    <cellStyle name="20% - Accent6 5 2 3" xfId="11325" xr:uid="{E7E705CD-7190-4D28-82BD-28F4356204A7}"/>
    <cellStyle name="20% - Accent6 5 3" xfId="4959" xr:uid="{00000000-0005-0000-0000-0000B1030000}"/>
    <cellStyle name="20% - Accent6 5 3 2" xfId="13398" xr:uid="{B143744A-1500-43FB-B818-D4CCC22D1782}"/>
    <cellStyle name="20% - Accent6 5 4" xfId="9180" xr:uid="{45FAFDC1-DC97-4467-9C15-F70152421B3C}"/>
    <cellStyle name="20% - Accent6 6" xfId="1063" xr:uid="{00000000-0005-0000-0000-0000B2030000}"/>
    <cellStyle name="20% - Accent6 6 2" xfId="3294" xr:uid="{00000000-0005-0000-0000-0000B3030000}"/>
    <cellStyle name="20% - Accent6 6 2 2" xfId="7517" xr:uid="{00000000-0005-0000-0000-0000B4030000}"/>
    <cellStyle name="20% - Accent6 6 2 2 2" xfId="15956" xr:uid="{807CC650-2EAA-4EBF-AEBA-6BF9AE90C1BA}"/>
    <cellStyle name="20% - Accent6 6 2 3" xfId="11738" xr:uid="{0DD0F626-7B5D-4B98-BBF6-4EB816471DD9}"/>
    <cellStyle name="20% - Accent6 6 3" xfId="5372" xr:uid="{00000000-0005-0000-0000-0000B5030000}"/>
    <cellStyle name="20% - Accent6 6 3 2" xfId="13811" xr:uid="{C9A308F3-0A3F-40D3-9DFE-1D5A18C539C1}"/>
    <cellStyle name="20% - Accent6 6 4" xfId="9593" xr:uid="{C1088001-4A36-458C-8F50-DF20201667A3}"/>
    <cellStyle name="20% - Accent6 7" xfId="1477" xr:uid="{00000000-0005-0000-0000-0000B6030000}"/>
    <cellStyle name="20% - Accent6 7 2" xfId="3707" xr:uid="{00000000-0005-0000-0000-0000B7030000}"/>
    <cellStyle name="20% - Accent6 7 2 2" xfId="7930" xr:uid="{00000000-0005-0000-0000-0000B8030000}"/>
    <cellStyle name="20% - Accent6 7 2 2 2" xfId="16369" xr:uid="{A6A251D3-A521-49BF-8956-CE57BDEC97A4}"/>
    <cellStyle name="20% - Accent6 7 2 3" xfId="12151" xr:uid="{B7509DBB-6AE9-41C9-A84C-342219DD89E8}"/>
    <cellStyle name="20% - Accent6 7 3" xfId="5785" xr:uid="{00000000-0005-0000-0000-0000B9030000}"/>
    <cellStyle name="20% - Accent6 7 3 2" xfId="14224" xr:uid="{5ADA04D5-39EB-414C-9FDF-2783D95492B1}"/>
    <cellStyle name="20% - Accent6 7 4" xfId="10006" xr:uid="{9C288F62-741A-4DDD-9BB7-546F21A8FF98}"/>
    <cellStyle name="20% - Accent6 8" xfId="1891" xr:uid="{00000000-0005-0000-0000-0000BA030000}"/>
    <cellStyle name="20% - Accent6 8 2" xfId="4120" xr:uid="{00000000-0005-0000-0000-0000BB030000}"/>
    <cellStyle name="20% - Accent6 8 2 2" xfId="8343" xr:uid="{00000000-0005-0000-0000-0000BC030000}"/>
    <cellStyle name="20% - Accent6 8 2 2 2" xfId="16782" xr:uid="{A6B9FCBE-5ACF-4FD1-8C07-85C023B6FBAC}"/>
    <cellStyle name="20% - Accent6 8 2 3" xfId="12564" xr:uid="{02FC63E2-F9B7-4547-89F6-D15D9795871D}"/>
    <cellStyle name="20% - Accent6 8 3" xfId="6198" xr:uid="{00000000-0005-0000-0000-0000BD030000}"/>
    <cellStyle name="20% - Accent6 8 3 2" xfId="14637" xr:uid="{469E30F3-06D3-4B75-A748-802248892A26}"/>
    <cellStyle name="20% - Accent6 8 4" xfId="10419" xr:uid="{BA05ECA1-03C5-41F8-8792-9BFA7ADE0230}"/>
    <cellStyle name="20% - Accent6 9" xfId="2304" xr:uid="{00000000-0005-0000-0000-0000BE030000}"/>
    <cellStyle name="20% - Accent6 9 2" xfId="6611" xr:uid="{00000000-0005-0000-0000-0000BF030000}"/>
    <cellStyle name="20% - Accent6 9 2 2" xfId="15050" xr:uid="{7927F2A4-3C78-4706-8F5F-C1CB5AB53BEC}"/>
    <cellStyle name="20% - Accent6 9 3" xfId="10832" xr:uid="{42AF2DA9-9AE6-4DF7-8F71-AFB99A03FAFA}"/>
    <cellStyle name="40% - Accent1" xfId="49" builtinId="31" customBuiltin="1"/>
    <cellStyle name="40% - Accent1 10" xfId="4553" xr:uid="{00000000-0005-0000-0000-0000C1030000}"/>
    <cellStyle name="40% - Accent1 10 2" xfId="12992" xr:uid="{6A07AE28-E467-4A5A-951D-5250EC664235}"/>
    <cellStyle name="40% - Accent1 11" xfId="8774" xr:uid="{86070A23-45AF-4835-9C4F-A66A4401E83F}"/>
    <cellStyle name="40% - Accent1 2" xfId="50" xr:uid="{00000000-0005-0000-0000-0000C2030000}"/>
    <cellStyle name="40% - Accent1 2 10" xfId="8775" xr:uid="{BFC45C6B-474A-435D-A64B-0B3600BCEAE7}"/>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4" xr:uid="{D523540C-B958-4151-AC82-26B92E8AB85D}"/>
    <cellStyle name="40% - Accent1 2 2 2 2 2 3" xfId="11336" xr:uid="{B6B31CB9-09CC-42D1-8DDA-0D6DA314573F}"/>
    <cellStyle name="40% - Accent1 2 2 2 2 3" xfId="4970" xr:uid="{00000000-0005-0000-0000-0000C8030000}"/>
    <cellStyle name="40% - Accent1 2 2 2 2 3 2" xfId="13409" xr:uid="{76F2AAE8-C7B2-486D-81D2-19B20C551F98}"/>
    <cellStyle name="40% - Accent1 2 2 2 2 4" xfId="9191" xr:uid="{2D0C2B0E-7F94-444C-87D6-7C8B16CD289F}"/>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67" xr:uid="{34F2737F-5EBC-4E90-9A76-451A67E9BDA7}"/>
    <cellStyle name="40% - Accent1 2 2 2 3 2 3" xfId="11749" xr:uid="{F7C2A8C0-8904-4B5E-9267-2459B680EC5A}"/>
    <cellStyle name="40% - Accent1 2 2 2 3 3" xfId="5383" xr:uid="{00000000-0005-0000-0000-0000CC030000}"/>
    <cellStyle name="40% - Accent1 2 2 2 3 3 2" xfId="13822" xr:uid="{1FE06A91-0AB3-41B1-8886-E1A7964C3AA2}"/>
    <cellStyle name="40% - Accent1 2 2 2 3 4" xfId="9604" xr:uid="{D34B0F71-71ED-489A-92E0-97B0FA642D9B}"/>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80" xr:uid="{D7B209DA-48E5-49EF-97F0-31A5336E38BE}"/>
    <cellStyle name="40% - Accent1 2 2 2 4 2 3" xfId="12162" xr:uid="{AFC9C49F-FDD1-494C-A0A3-51FFC9806722}"/>
    <cellStyle name="40% - Accent1 2 2 2 4 3" xfId="5796" xr:uid="{00000000-0005-0000-0000-0000D0030000}"/>
    <cellStyle name="40% - Accent1 2 2 2 4 3 2" xfId="14235" xr:uid="{7AB4911E-CD18-4392-8BC1-D2C957AD3EE8}"/>
    <cellStyle name="40% - Accent1 2 2 2 4 4" xfId="10017" xr:uid="{830A7706-5A4F-47E1-AB38-FFABBC78509E}"/>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3" xr:uid="{6CFEF937-8F2B-4FF0-9C68-0EEFB7CDDF85}"/>
    <cellStyle name="40% - Accent1 2 2 2 5 2 3" xfId="12575" xr:uid="{86A7AEDC-7428-46CA-8ABB-893A11447C7F}"/>
    <cellStyle name="40% - Accent1 2 2 2 5 3" xfId="6209" xr:uid="{00000000-0005-0000-0000-0000D4030000}"/>
    <cellStyle name="40% - Accent1 2 2 2 5 3 2" xfId="14648" xr:uid="{1A4BD65E-4FD9-4FF6-B5CB-C940B04157F4}"/>
    <cellStyle name="40% - Accent1 2 2 2 5 4" xfId="10430" xr:uid="{C2A1801A-4828-4534-9DD7-BB55FB975D62}"/>
    <cellStyle name="40% - Accent1 2 2 2 6" xfId="2315" xr:uid="{00000000-0005-0000-0000-0000D5030000}"/>
    <cellStyle name="40% - Accent1 2 2 2 6 2" xfId="6622" xr:uid="{00000000-0005-0000-0000-0000D6030000}"/>
    <cellStyle name="40% - Accent1 2 2 2 6 2 2" xfId="15061" xr:uid="{E41FFEB2-3FB1-488A-B5F3-6481663F66D7}"/>
    <cellStyle name="40% - Accent1 2 2 2 6 3" xfId="10843" xr:uid="{7C31E452-B59B-4CF8-A5EC-619B4E594FC6}"/>
    <cellStyle name="40% - Accent1 2 2 2 7" xfId="4556" xr:uid="{00000000-0005-0000-0000-0000D7030000}"/>
    <cellStyle name="40% - Accent1 2 2 2 7 2" xfId="12995" xr:uid="{D9C32F7C-0EA7-4A23-9EE9-9283BEA08DA1}"/>
    <cellStyle name="40% - Accent1 2 2 2 8" xfId="8777" xr:uid="{9B4DE755-4A93-496D-AC1C-7FF63E1F6B24}"/>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3" xr:uid="{6B38603B-A4E9-407F-8D2F-FA18415D3AEF}"/>
    <cellStyle name="40% - Accent1 2 2 3 2 3" xfId="11335" xr:uid="{0B6A0DD2-0316-4688-81F5-5C8D20A668D5}"/>
    <cellStyle name="40% - Accent1 2 2 3 3" xfId="4969" xr:uid="{00000000-0005-0000-0000-0000DB030000}"/>
    <cellStyle name="40% - Accent1 2 2 3 3 2" xfId="13408" xr:uid="{E66032E4-9D01-4432-943B-9C68D7C27F64}"/>
    <cellStyle name="40% - Accent1 2 2 3 4" xfId="9190" xr:uid="{E45F8623-0A8F-4134-96C6-D8645077D490}"/>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6" xr:uid="{B650B486-490E-4C63-9778-98C6D7AE26B9}"/>
    <cellStyle name="40% - Accent1 2 2 4 2 3" xfId="11748" xr:uid="{6C353A5D-9EDA-44E7-83C8-E533F9957263}"/>
    <cellStyle name="40% - Accent1 2 2 4 3" xfId="5382" xr:uid="{00000000-0005-0000-0000-0000DF030000}"/>
    <cellStyle name="40% - Accent1 2 2 4 3 2" xfId="13821" xr:uid="{FCD0B8A1-6CBE-4407-8798-A2B0A9478593}"/>
    <cellStyle name="40% - Accent1 2 2 4 4" xfId="9603" xr:uid="{7972209C-A2D0-4A7A-9A11-B14F799A6605}"/>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79" xr:uid="{1C1E85D2-77D6-47D1-9D92-BA56B63D3F43}"/>
    <cellStyle name="40% - Accent1 2 2 5 2 3" xfId="12161" xr:uid="{7E317B66-A798-4761-913A-3D8E9DA3CF8F}"/>
    <cellStyle name="40% - Accent1 2 2 5 3" xfId="5795" xr:uid="{00000000-0005-0000-0000-0000E3030000}"/>
    <cellStyle name="40% - Accent1 2 2 5 3 2" xfId="14234" xr:uid="{29BAFEF2-FA4C-4408-90B5-5F7699A82E6F}"/>
    <cellStyle name="40% - Accent1 2 2 5 4" xfId="10016" xr:uid="{E490F387-DC93-451F-A99E-F9DE25D198B6}"/>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92" xr:uid="{BB05A139-A5BA-46FF-90DC-F2B9ACFDD4C1}"/>
    <cellStyle name="40% - Accent1 2 2 6 2 3" xfId="12574" xr:uid="{D2B7C00E-166C-41CC-B437-EA4FC93E1A5B}"/>
    <cellStyle name="40% - Accent1 2 2 6 3" xfId="6208" xr:uid="{00000000-0005-0000-0000-0000E7030000}"/>
    <cellStyle name="40% - Accent1 2 2 6 3 2" xfId="14647" xr:uid="{952D63C9-7A35-45BD-9D93-F752D0ED6EF2}"/>
    <cellStyle name="40% - Accent1 2 2 6 4" xfId="10429" xr:uid="{4DC5660B-E843-4923-B380-418CCEA9F2AC}"/>
    <cellStyle name="40% - Accent1 2 2 7" xfId="2314" xr:uid="{00000000-0005-0000-0000-0000E8030000}"/>
    <cellStyle name="40% - Accent1 2 2 7 2" xfId="6621" xr:uid="{00000000-0005-0000-0000-0000E9030000}"/>
    <cellStyle name="40% - Accent1 2 2 7 2 2" xfId="15060" xr:uid="{5A15FD71-F34A-4D6A-A468-F0843F80EC18}"/>
    <cellStyle name="40% - Accent1 2 2 7 3" xfId="10842" xr:uid="{9E662138-63B6-422A-A5BE-86C5E9DC0E0F}"/>
    <cellStyle name="40% - Accent1 2 2 8" xfId="4555" xr:uid="{00000000-0005-0000-0000-0000EA030000}"/>
    <cellStyle name="40% - Accent1 2 2 8 2" xfId="12994" xr:uid="{1815AD90-E3FD-4F63-B11B-BF06F015CE51}"/>
    <cellStyle name="40% - Accent1 2 2 9" xfId="8776" xr:uid="{9E2B58B8-6E96-4FAB-9C1B-7F6AF0C3CD52}"/>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5" xr:uid="{10141CD5-2461-44EC-958B-9484CD9309CF}"/>
    <cellStyle name="40% - Accent1 2 3 2 2 3" xfId="11337" xr:uid="{538567E9-20CB-4504-AFC6-222EC6B60C40}"/>
    <cellStyle name="40% - Accent1 2 3 2 3" xfId="4971" xr:uid="{00000000-0005-0000-0000-0000EF030000}"/>
    <cellStyle name="40% - Accent1 2 3 2 3 2" xfId="13410" xr:uid="{1EEE6AFC-585E-41F3-8213-253C396706E9}"/>
    <cellStyle name="40% - Accent1 2 3 2 4" xfId="9192" xr:uid="{90514303-74AF-4C69-9C18-1A6A33C3ED64}"/>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68" xr:uid="{932CD102-9AC6-47F9-A830-C49F67C16626}"/>
    <cellStyle name="40% - Accent1 2 3 3 2 3" xfId="11750" xr:uid="{87BE4F9E-0DC7-40F6-8A01-0ECE8E68F7B2}"/>
    <cellStyle name="40% - Accent1 2 3 3 3" xfId="5384" xr:uid="{00000000-0005-0000-0000-0000F3030000}"/>
    <cellStyle name="40% - Accent1 2 3 3 3 2" xfId="13823" xr:uid="{1E62DF8C-1D6C-4B08-A6BE-2F21BCC66B9C}"/>
    <cellStyle name="40% - Accent1 2 3 3 4" xfId="9605" xr:uid="{C2484E4B-4A1F-441E-B6D4-CCCFDCEC4CB8}"/>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81" xr:uid="{B88E7D7C-F2A6-4F92-A7A7-236CC7E8A7C3}"/>
    <cellStyle name="40% - Accent1 2 3 4 2 3" xfId="12163" xr:uid="{6C886C25-CDD5-4202-AAB8-34990273F3CC}"/>
    <cellStyle name="40% - Accent1 2 3 4 3" xfId="5797" xr:uid="{00000000-0005-0000-0000-0000F7030000}"/>
    <cellStyle name="40% - Accent1 2 3 4 3 2" xfId="14236" xr:uid="{3F6ACDE6-4FEA-4DB9-9C83-14002A90FC36}"/>
    <cellStyle name="40% - Accent1 2 3 4 4" xfId="10018" xr:uid="{908D1287-90E2-4527-8966-1C4B6C5C2901}"/>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4" xr:uid="{F42E0864-D455-4913-A208-8A7B916956C7}"/>
    <cellStyle name="40% - Accent1 2 3 5 2 3" xfId="12576" xr:uid="{C45F0597-7AEF-4ABD-A27E-74ED2149BC9E}"/>
    <cellStyle name="40% - Accent1 2 3 5 3" xfId="6210" xr:uid="{00000000-0005-0000-0000-0000FB030000}"/>
    <cellStyle name="40% - Accent1 2 3 5 3 2" xfId="14649" xr:uid="{275A0423-641A-4D51-B5DF-F12195ECFBF4}"/>
    <cellStyle name="40% - Accent1 2 3 5 4" xfId="10431" xr:uid="{1D6B50CF-D45E-46AF-9F93-A73B5A198FCF}"/>
    <cellStyle name="40% - Accent1 2 3 6" xfId="2316" xr:uid="{00000000-0005-0000-0000-0000FC030000}"/>
    <cellStyle name="40% - Accent1 2 3 6 2" xfId="6623" xr:uid="{00000000-0005-0000-0000-0000FD030000}"/>
    <cellStyle name="40% - Accent1 2 3 6 2 2" xfId="15062" xr:uid="{8C76589C-FEF9-438C-95C7-F7374AB0010D}"/>
    <cellStyle name="40% - Accent1 2 3 6 3" xfId="10844" xr:uid="{3FB03B62-1B42-4A9B-A345-3CF749FD04AB}"/>
    <cellStyle name="40% - Accent1 2 3 7" xfId="4557" xr:uid="{00000000-0005-0000-0000-0000FE030000}"/>
    <cellStyle name="40% - Accent1 2 3 7 2" xfId="12996" xr:uid="{75FF87C7-71E2-44EE-9B9E-1AC5CAC55E94}"/>
    <cellStyle name="40% - Accent1 2 3 8" xfId="8778" xr:uid="{A37F472E-D7AF-4820-9594-505FDEDF602F}"/>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52" xr:uid="{FF4E889D-5383-4032-98DD-D7BF13BCC1B8}"/>
    <cellStyle name="40% - Accent1 2 4 2 3" xfId="11334" xr:uid="{A5C9AB7E-FDAB-4571-8822-4C6D8608C438}"/>
    <cellStyle name="40% - Accent1 2 4 3" xfId="4968" xr:uid="{00000000-0005-0000-0000-000002040000}"/>
    <cellStyle name="40% - Accent1 2 4 3 2" xfId="13407" xr:uid="{E4136CCE-AC76-43DF-BF86-F915C72D68D4}"/>
    <cellStyle name="40% - Accent1 2 4 4" xfId="9189" xr:uid="{9DF06BB0-B728-41FA-B583-54F4CEE41D9C}"/>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5" xr:uid="{EBBC28BD-DBE9-4815-AD16-A716ABD2252F}"/>
    <cellStyle name="40% - Accent1 2 5 2 3" xfId="11747" xr:uid="{D86F81BF-84AA-47E2-B95B-C2527D8235DB}"/>
    <cellStyle name="40% - Accent1 2 5 3" xfId="5381" xr:uid="{00000000-0005-0000-0000-000006040000}"/>
    <cellStyle name="40% - Accent1 2 5 3 2" xfId="13820" xr:uid="{014E7D94-3436-4540-A5EA-AE986A620735}"/>
    <cellStyle name="40% - Accent1 2 5 4" xfId="9602" xr:uid="{F628AFA8-C0EC-49F7-A4E0-3D79D539CB38}"/>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78" xr:uid="{F6E66881-2AB7-47C8-AB47-68A0C6B10511}"/>
    <cellStyle name="40% - Accent1 2 6 2 3" xfId="12160" xr:uid="{D5A52962-1119-4A9D-86BE-DC4FFEF24192}"/>
    <cellStyle name="40% - Accent1 2 6 3" xfId="5794" xr:uid="{00000000-0005-0000-0000-00000A040000}"/>
    <cellStyle name="40% - Accent1 2 6 3 2" xfId="14233" xr:uid="{0EE15D33-6C8C-4714-B700-E13FAB8A71CC}"/>
    <cellStyle name="40% - Accent1 2 6 4" xfId="10015" xr:uid="{D233FABF-9ADB-4DEE-99AC-FEE4D7EFECF5}"/>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91" xr:uid="{013C1DD2-4CCD-4988-B5F4-503D0805496D}"/>
    <cellStyle name="40% - Accent1 2 7 2 3" xfId="12573" xr:uid="{A793F7F6-6DD2-4EDD-B1FF-5D9155EEF89F}"/>
    <cellStyle name="40% - Accent1 2 7 3" xfId="6207" xr:uid="{00000000-0005-0000-0000-00000E040000}"/>
    <cellStyle name="40% - Accent1 2 7 3 2" xfId="14646" xr:uid="{29F81087-CDB3-4175-86A9-D38130028DDA}"/>
    <cellStyle name="40% - Accent1 2 7 4" xfId="10428" xr:uid="{556616E1-9640-458B-80DF-1D21D1855AFE}"/>
    <cellStyle name="40% - Accent1 2 8" xfId="2313" xr:uid="{00000000-0005-0000-0000-00000F040000}"/>
    <cellStyle name="40% - Accent1 2 8 2" xfId="6620" xr:uid="{00000000-0005-0000-0000-000010040000}"/>
    <cellStyle name="40% - Accent1 2 8 2 2" xfId="15059" xr:uid="{C65C4279-02B6-46AB-BB01-60ED56FB34C2}"/>
    <cellStyle name="40% - Accent1 2 8 3" xfId="10841" xr:uid="{6A3B483D-3BB0-4B9E-8B0F-C8F4851C719E}"/>
    <cellStyle name="40% - Accent1 2 9" xfId="4554" xr:uid="{00000000-0005-0000-0000-000011040000}"/>
    <cellStyle name="40% - Accent1 2 9 2" xfId="12993" xr:uid="{C175CF1C-E632-45A3-85F3-CAC81069EEA8}"/>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57" xr:uid="{E1AF2057-22ED-4C02-AA3D-10259E9AC914}"/>
    <cellStyle name="40% - Accent1 3 2 2 2 3" xfId="11339" xr:uid="{4368AC24-4E2F-4D5A-AC92-A2EE12B2BA6A}"/>
    <cellStyle name="40% - Accent1 3 2 2 3" xfId="4973" xr:uid="{00000000-0005-0000-0000-000017040000}"/>
    <cellStyle name="40% - Accent1 3 2 2 3 2" xfId="13412" xr:uid="{B00D8A2C-AC23-4185-A804-6E9B8FE4366D}"/>
    <cellStyle name="40% - Accent1 3 2 2 4" xfId="9194" xr:uid="{2BFACA13-FD77-49A5-94FE-738DD2FE0A32}"/>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70" xr:uid="{F55A79C8-990F-4985-B3A7-AD9DC15FBBE6}"/>
    <cellStyle name="40% - Accent1 3 2 3 2 3" xfId="11752" xr:uid="{FC6E0907-2B2E-46C5-A3C3-6B319AB6D732}"/>
    <cellStyle name="40% - Accent1 3 2 3 3" xfId="5386" xr:uid="{00000000-0005-0000-0000-00001B040000}"/>
    <cellStyle name="40% - Accent1 3 2 3 3 2" xfId="13825" xr:uid="{45E35549-D9FB-41C9-85D3-32B3EB08A46D}"/>
    <cellStyle name="40% - Accent1 3 2 3 4" xfId="9607" xr:uid="{89087B0B-7CA6-4182-B98A-D652B160E719}"/>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3" xr:uid="{9FE9D5C7-73DB-48F6-BE77-B765CD18013E}"/>
    <cellStyle name="40% - Accent1 3 2 4 2 3" xfId="12165" xr:uid="{26767604-F3C0-4594-9ED9-51C75F6BE1AD}"/>
    <cellStyle name="40% - Accent1 3 2 4 3" xfId="5799" xr:uid="{00000000-0005-0000-0000-00001F040000}"/>
    <cellStyle name="40% - Accent1 3 2 4 3 2" xfId="14238" xr:uid="{22DF4259-ACB7-4A5C-A1DB-D6A20092A8D6}"/>
    <cellStyle name="40% - Accent1 3 2 4 4" xfId="10020" xr:uid="{95D528D4-401D-48DD-92D4-69F2E3B7D6D7}"/>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6" xr:uid="{03CD0D7D-49C4-4CAC-9173-78439A98D470}"/>
    <cellStyle name="40% - Accent1 3 2 5 2 3" xfId="12578" xr:uid="{37D5C65D-0D5F-4E22-AAB7-3DF40DCBDB54}"/>
    <cellStyle name="40% - Accent1 3 2 5 3" xfId="6212" xr:uid="{00000000-0005-0000-0000-000023040000}"/>
    <cellStyle name="40% - Accent1 3 2 5 3 2" xfId="14651" xr:uid="{6B7E5B6D-11A7-47A5-B1DA-041722EFCBCA}"/>
    <cellStyle name="40% - Accent1 3 2 5 4" xfId="10433" xr:uid="{AEC7DF51-1C4E-409B-B0B5-1202081F1E3F}"/>
    <cellStyle name="40% - Accent1 3 2 6" xfId="2318" xr:uid="{00000000-0005-0000-0000-000024040000}"/>
    <cellStyle name="40% - Accent1 3 2 6 2" xfId="6625" xr:uid="{00000000-0005-0000-0000-000025040000}"/>
    <cellStyle name="40% - Accent1 3 2 6 2 2" xfId="15064" xr:uid="{0E369380-4968-40E3-9FD1-CB851D5613F6}"/>
    <cellStyle name="40% - Accent1 3 2 6 3" xfId="10846" xr:uid="{F76BB8E4-D6C5-4C6F-A93C-69BB40127644}"/>
    <cellStyle name="40% - Accent1 3 2 7" xfId="4559" xr:uid="{00000000-0005-0000-0000-000026040000}"/>
    <cellStyle name="40% - Accent1 3 2 7 2" xfId="12998" xr:uid="{A3C5D690-F1EB-47E6-BEE6-D5E1F39CE69D}"/>
    <cellStyle name="40% - Accent1 3 2 8" xfId="8780" xr:uid="{8735F2D4-C641-47CD-B3BB-CAE30331D571}"/>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6" xr:uid="{2817D347-4F54-47F7-9C1A-646B28A0719A}"/>
    <cellStyle name="40% - Accent1 3 3 2 3" xfId="11338" xr:uid="{01661657-92F4-408D-9B88-655DFC43E226}"/>
    <cellStyle name="40% - Accent1 3 3 3" xfId="4972" xr:uid="{00000000-0005-0000-0000-00002A040000}"/>
    <cellStyle name="40% - Accent1 3 3 3 2" xfId="13411" xr:uid="{CAB1FD8F-B8F3-4ADF-92D3-3A0174E55F2F}"/>
    <cellStyle name="40% - Accent1 3 3 4" xfId="9193" xr:uid="{FD1F4AE7-0303-4411-A5FC-104FCE6963EE}"/>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69" xr:uid="{70F679D7-2109-4E5F-80BA-0CA0A9BEF623}"/>
    <cellStyle name="40% - Accent1 3 4 2 3" xfId="11751" xr:uid="{9BCAFFCC-0E7B-4D8F-988B-E0CC009921E2}"/>
    <cellStyle name="40% - Accent1 3 4 3" xfId="5385" xr:uid="{00000000-0005-0000-0000-00002E040000}"/>
    <cellStyle name="40% - Accent1 3 4 3 2" xfId="13824" xr:uid="{0C6E1237-FC7B-4F8A-98A6-A6E9A3F99259}"/>
    <cellStyle name="40% - Accent1 3 4 4" xfId="9606" xr:uid="{0D6ED778-7F38-4452-AEE0-7ECF78FF678D}"/>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82" xr:uid="{E8121B48-2692-416E-9D88-7D7414B58D10}"/>
    <cellStyle name="40% - Accent1 3 5 2 3" xfId="12164" xr:uid="{4E206969-9583-486F-A327-3CDB01CA1F66}"/>
    <cellStyle name="40% - Accent1 3 5 3" xfId="5798" xr:uid="{00000000-0005-0000-0000-000032040000}"/>
    <cellStyle name="40% - Accent1 3 5 3 2" xfId="14237" xr:uid="{B115AED2-06F7-4770-92F6-C47CE837ACE4}"/>
    <cellStyle name="40% - Accent1 3 5 4" xfId="10019" xr:uid="{3244C735-DBA4-46E6-9654-F6C812E77B84}"/>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5" xr:uid="{9D11F118-8224-41BB-A792-D8A98E55F05C}"/>
    <cellStyle name="40% - Accent1 3 6 2 3" xfId="12577" xr:uid="{5F2A1D61-D2D7-457E-94F0-49A57A492EDD}"/>
    <cellStyle name="40% - Accent1 3 6 3" xfId="6211" xr:uid="{00000000-0005-0000-0000-000036040000}"/>
    <cellStyle name="40% - Accent1 3 6 3 2" xfId="14650" xr:uid="{2FA96563-FAB2-4880-B591-FD28A65F8DF9}"/>
    <cellStyle name="40% - Accent1 3 6 4" xfId="10432" xr:uid="{0ED10541-2AE1-4333-B330-45C4B397C6A1}"/>
    <cellStyle name="40% - Accent1 3 7" xfId="2317" xr:uid="{00000000-0005-0000-0000-000037040000}"/>
    <cellStyle name="40% - Accent1 3 7 2" xfId="6624" xr:uid="{00000000-0005-0000-0000-000038040000}"/>
    <cellStyle name="40% - Accent1 3 7 2 2" xfId="15063" xr:uid="{40703C1E-1425-47C7-A3E7-5C26CFD925A3}"/>
    <cellStyle name="40% - Accent1 3 7 3" xfId="10845" xr:uid="{9B45EC14-15C1-416B-B32D-4FD0A9E49688}"/>
    <cellStyle name="40% - Accent1 3 8" xfId="4558" xr:uid="{00000000-0005-0000-0000-000039040000}"/>
    <cellStyle name="40% - Accent1 3 8 2" xfId="12997" xr:uid="{3B4D743F-ECA8-4C53-9798-BD52FED518E0}"/>
    <cellStyle name="40% - Accent1 3 9" xfId="8779" xr:uid="{6947C3E6-5279-4884-AE59-25FB1619137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58" xr:uid="{6E9C502F-A559-4769-BAFF-0A74C0F74383}"/>
    <cellStyle name="40% - Accent1 4 2 2 3" xfId="11340" xr:uid="{1BDE4CAE-FDE9-4277-8F59-2D50A9F8057E}"/>
    <cellStyle name="40% - Accent1 4 2 3" xfId="4974" xr:uid="{00000000-0005-0000-0000-00003E040000}"/>
    <cellStyle name="40% - Accent1 4 2 3 2" xfId="13413" xr:uid="{DA3C14F6-31C2-430A-A44F-A91CF22ADF7B}"/>
    <cellStyle name="40% - Accent1 4 2 4" xfId="9195" xr:uid="{2B45AE16-D3F1-47E9-93DE-7A0AC127D27A}"/>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71" xr:uid="{AFE49B78-6182-4955-95CD-0DA80C2CD0CB}"/>
    <cellStyle name="40% - Accent1 4 3 2 3" xfId="11753" xr:uid="{C365C3C5-4360-4B23-B761-F7A514B2AD35}"/>
    <cellStyle name="40% - Accent1 4 3 3" xfId="5387" xr:uid="{00000000-0005-0000-0000-000042040000}"/>
    <cellStyle name="40% - Accent1 4 3 3 2" xfId="13826" xr:uid="{95E1D560-2EB6-4DFD-98A2-A07549D086ED}"/>
    <cellStyle name="40% - Accent1 4 3 4" xfId="9608" xr:uid="{C7FC4D95-AFD4-43FA-9C9C-ADB1E62D2CF5}"/>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4" xr:uid="{CEFCE518-062C-46BB-B32E-57387DBAF471}"/>
    <cellStyle name="40% - Accent1 4 4 2 3" xfId="12166" xr:uid="{18F46A02-CD92-4A76-8CD5-7D9DD2E28ADD}"/>
    <cellStyle name="40% - Accent1 4 4 3" xfId="5800" xr:uid="{00000000-0005-0000-0000-000046040000}"/>
    <cellStyle name="40% - Accent1 4 4 3 2" xfId="14239" xr:uid="{95C0E416-8513-4D1D-B91E-D5E12CB57725}"/>
    <cellStyle name="40% - Accent1 4 4 4" xfId="10021" xr:uid="{3D3D9E18-16F9-4CD0-8ABA-483C1771286B}"/>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797" xr:uid="{4BBF60B9-324E-434F-9CCC-F5D35790E409}"/>
    <cellStyle name="40% - Accent1 4 5 2 3" xfId="12579" xr:uid="{A56C5802-38CB-47F1-80C6-F710A98A52AE}"/>
    <cellStyle name="40% - Accent1 4 5 3" xfId="6213" xr:uid="{00000000-0005-0000-0000-00004A040000}"/>
    <cellStyle name="40% - Accent1 4 5 3 2" xfId="14652" xr:uid="{5AC7768A-9197-4BE1-832B-5619906321C7}"/>
    <cellStyle name="40% - Accent1 4 5 4" xfId="10434" xr:uid="{D2C896A8-E1BC-49EA-A26B-3090879F77A6}"/>
    <cellStyle name="40% - Accent1 4 6" xfId="2319" xr:uid="{00000000-0005-0000-0000-00004B040000}"/>
    <cellStyle name="40% - Accent1 4 6 2" xfId="6626" xr:uid="{00000000-0005-0000-0000-00004C040000}"/>
    <cellStyle name="40% - Accent1 4 6 2 2" xfId="15065" xr:uid="{AB2D4DD1-5D4E-4EB3-B94F-DB8B153589F4}"/>
    <cellStyle name="40% - Accent1 4 6 3" xfId="10847" xr:uid="{6B838B77-DA92-43FE-9EFC-F60B117367B2}"/>
    <cellStyle name="40% - Accent1 4 7" xfId="4560" xr:uid="{00000000-0005-0000-0000-00004D040000}"/>
    <cellStyle name="40% - Accent1 4 7 2" xfId="12999" xr:uid="{780F345F-DED8-4CE3-B1E8-04B380F2227F}"/>
    <cellStyle name="40% - Accent1 4 8" xfId="8781" xr:uid="{6DD3D310-3DB1-4BDD-BF32-65E6D3DFE6CA}"/>
    <cellStyle name="40% - Accent1 5" xfId="618" xr:uid="{00000000-0005-0000-0000-00004E040000}"/>
    <cellStyle name="40% - Accent1 5 2" xfId="2889" xr:uid="{00000000-0005-0000-0000-00004F040000}"/>
    <cellStyle name="40% - Accent1 5 2 2" xfId="7112" xr:uid="{00000000-0005-0000-0000-000050040000}"/>
    <cellStyle name="40% - Accent1 5 2 2 2" xfId="15551" xr:uid="{79364FC3-98CB-4019-B0F5-DEDAA8C8288A}"/>
    <cellStyle name="40% - Accent1 5 2 3" xfId="11333" xr:uid="{327F6B82-1948-480B-A63B-756C0F6A9EAF}"/>
    <cellStyle name="40% - Accent1 5 3" xfId="4967" xr:uid="{00000000-0005-0000-0000-000051040000}"/>
    <cellStyle name="40% - Accent1 5 3 2" xfId="13406" xr:uid="{24DECE4A-8755-42D1-8195-F8180F4CFAF7}"/>
    <cellStyle name="40% - Accent1 5 4" xfId="9188" xr:uid="{B52020B1-8DAA-4331-8BD9-746673D6BDE7}"/>
    <cellStyle name="40% - Accent1 6" xfId="1071" xr:uid="{00000000-0005-0000-0000-000052040000}"/>
    <cellStyle name="40% - Accent1 6 2" xfId="3302" xr:uid="{00000000-0005-0000-0000-000053040000}"/>
    <cellStyle name="40% - Accent1 6 2 2" xfId="7525" xr:uid="{00000000-0005-0000-0000-000054040000}"/>
    <cellStyle name="40% - Accent1 6 2 2 2" xfId="15964" xr:uid="{D39538FD-73B6-4423-BAA5-3E51695E731C}"/>
    <cellStyle name="40% - Accent1 6 2 3" xfId="11746" xr:uid="{7B6484B7-AE35-44E1-8952-27D953B91E26}"/>
    <cellStyle name="40% - Accent1 6 3" xfId="5380" xr:uid="{00000000-0005-0000-0000-000055040000}"/>
    <cellStyle name="40% - Accent1 6 3 2" xfId="13819" xr:uid="{B940BECD-F755-444F-BE4E-584A219ED937}"/>
    <cellStyle name="40% - Accent1 6 4" xfId="9601" xr:uid="{AF169D48-3DF2-4F7B-885F-FADA64A069AF}"/>
    <cellStyle name="40% - Accent1 7" xfId="1485" xr:uid="{00000000-0005-0000-0000-000056040000}"/>
    <cellStyle name="40% - Accent1 7 2" xfId="3715" xr:uid="{00000000-0005-0000-0000-000057040000}"/>
    <cellStyle name="40% - Accent1 7 2 2" xfId="7938" xr:uid="{00000000-0005-0000-0000-000058040000}"/>
    <cellStyle name="40% - Accent1 7 2 2 2" xfId="16377" xr:uid="{4A72E4B0-CC10-42A7-91D0-56009A1902EC}"/>
    <cellStyle name="40% - Accent1 7 2 3" xfId="12159" xr:uid="{6BF79CBE-36A9-44F1-97EA-AFBFA403950C}"/>
    <cellStyle name="40% - Accent1 7 3" xfId="5793" xr:uid="{00000000-0005-0000-0000-000059040000}"/>
    <cellStyle name="40% - Accent1 7 3 2" xfId="14232" xr:uid="{007F7F13-BCE5-4E44-9F42-9FB59992BF92}"/>
    <cellStyle name="40% - Accent1 7 4" xfId="10014" xr:uid="{E40FAA7E-884C-4731-80EC-9D5E36BA6FE0}"/>
    <cellStyle name="40% - Accent1 8" xfId="1899" xr:uid="{00000000-0005-0000-0000-00005A040000}"/>
    <cellStyle name="40% - Accent1 8 2" xfId="4128" xr:uid="{00000000-0005-0000-0000-00005B040000}"/>
    <cellStyle name="40% - Accent1 8 2 2" xfId="8351" xr:uid="{00000000-0005-0000-0000-00005C040000}"/>
    <cellStyle name="40% - Accent1 8 2 2 2" xfId="16790" xr:uid="{750388E6-3B03-4A52-83E6-C1D60133416B}"/>
    <cellStyle name="40% - Accent1 8 2 3" xfId="12572" xr:uid="{69A6D2CB-E96C-4B5D-8AC8-4229DB4F8C2F}"/>
    <cellStyle name="40% - Accent1 8 3" xfId="6206" xr:uid="{00000000-0005-0000-0000-00005D040000}"/>
    <cellStyle name="40% - Accent1 8 3 2" xfId="14645" xr:uid="{18245AB2-040F-420E-97F2-EC088D6AE8D7}"/>
    <cellStyle name="40% - Accent1 8 4" xfId="10427" xr:uid="{857D4DF5-E38D-4D3D-BD57-82FDF29A2E26}"/>
    <cellStyle name="40% - Accent1 9" xfId="2312" xr:uid="{00000000-0005-0000-0000-00005E040000}"/>
    <cellStyle name="40% - Accent1 9 2" xfId="6619" xr:uid="{00000000-0005-0000-0000-00005F040000}"/>
    <cellStyle name="40% - Accent1 9 2 2" xfId="15058" xr:uid="{526E3D81-0408-45DC-BA85-74FCEB089377}"/>
    <cellStyle name="40% - Accent1 9 3" xfId="10840" xr:uid="{42E80B41-321D-4EB7-BD93-2E3043909288}"/>
    <cellStyle name="40% - Accent2" xfId="57" builtinId="35" customBuiltin="1"/>
    <cellStyle name="40% - Accent2 10" xfId="4561" xr:uid="{00000000-0005-0000-0000-000061040000}"/>
    <cellStyle name="40% - Accent2 10 2" xfId="13000" xr:uid="{CED461C4-1625-403E-BE8D-6E282B7915EB}"/>
    <cellStyle name="40% - Accent2 11" xfId="8782" xr:uid="{93E53601-57FB-498D-B41D-DC8F17592E15}"/>
    <cellStyle name="40% - Accent2 2" xfId="58" xr:uid="{00000000-0005-0000-0000-000062040000}"/>
    <cellStyle name="40% - Accent2 2 10" xfId="8783" xr:uid="{67BECBE7-CCEC-4599-BD66-ADA4CAA5F1E7}"/>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62" xr:uid="{871FF639-9865-41FA-BB95-BCE2CF3417C3}"/>
    <cellStyle name="40% - Accent2 2 2 2 2 2 3" xfId="11344" xr:uid="{993A42A7-7DF9-44B9-ACA0-3C4CBE0C7CCB}"/>
    <cellStyle name="40% - Accent2 2 2 2 2 3" xfId="4978" xr:uid="{00000000-0005-0000-0000-000068040000}"/>
    <cellStyle name="40% - Accent2 2 2 2 2 3 2" xfId="13417" xr:uid="{E0B6B494-62BF-4782-B3D0-CA1842C51B63}"/>
    <cellStyle name="40% - Accent2 2 2 2 2 4" xfId="9199" xr:uid="{5EAF325D-7D99-4384-9574-A9C0E3A41413}"/>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5" xr:uid="{A5D51632-E28E-4603-9F82-F19D55798383}"/>
    <cellStyle name="40% - Accent2 2 2 2 3 2 3" xfId="11757" xr:uid="{A7EAE222-2F11-424A-BF9B-C75393A9E930}"/>
    <cellStyle name="40% - Accent2 2 2 2 3 3" xfId="5391" xr:uid="{00000000-0005-0000-0000-00006C040000}"/>
    <cellStyle name="40% - Accent2 2 2 2 3 3 2" xfId="13830" xr:uid="{BF98535A-8D6E-4945-B6D8-25DBEB452416}"/>
    <cellStyle name="40% - Accent2 2 2 2 3 4" xfId="9612" xr:uid="{3F4C99C9-15D2-43D8-8450-87646D079824}"/>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88" xr:uid="{90E0F015-62CD-4D13-9B64-14052704AD0D}"/>
    <cellStyle name="40% - Accent2 2 2 2 4 2 3" xfId="12170" xr:uid="{29569E5A-507D-47BB-9352-9214AB5CB283}"/>
    <cellStyle name="40% - Accent2 2 2 2 4 3" xfId="5804" xr:uid="{00000000-0005-0000-0000-000070040000}"/>
    <cellStyle name="40% - Accent2 2 2 2 4 3 2" xfId="14243" xr:uid="{B2B444B1-631A-423C-A87A-7D2C62067B36}"/>
    <cellStyle name="40% - Accent2 2 2 2 4 4" xfId="10025" xr:uid="{3F93A64D-F810-4572-A7B7-1B22576E2C7B}"/>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801" xr:uid="{91F16A26-3A9C-4FF6-A76E-4EC4F73358ED}"/>
    <cellStyle name="40% - Accent2 2 2 2 5 2 3" xfId="12583" xr:uid="{32B9F19B-AB66-4387-937F-A30EB92360F9}"/>
    <cellStyle name="40% - Accent2 2 2 2 5 3" xfId="6217" xr:uid="{00000000-0005-0000-0000-000074040000}"/>
    <cellStyle name="40% - Accent2 2 2 2 5 3 2" xfId="14656" xr:uid="{CE958523-9920-47DD-A0A8-FB164F9ED3D9}"/>
    <cellStyle name="40% - Accent2 2 2 2 5 4" xfId="10438" xr:uid="{4A2F7AA7-24FA-4FB6-AEDE-E5E1480ED61D}"/>
    <cellStyle name="40% - Accent2 2 2 2 6" xfId="2323" xr:uid="{00000000-0005-0000-0000-000075040000}"/>
    <cellStyle name="40% - Accent2 2 2 2 6 2" xfId="6630" xr:uid="{00000000-0005-0000-0000-000076040000}"/>
    <cellStyle name="40% - Accent2 2 2 2 6 2 2" xfId="15069" xr:uid="{FDB36F14-763B-4CBD-BC48-6E26E925EA75}"/>
    <cellStyle name="40% - Accent2 2 2 2 6 3" xfId="10851" xr:uid="{D73FD395-F0A9-471F-9C36-E76C402F02AD}"/>
    <cellStyle name="40% - Accent2 2 2 2 7" xfId="4564" xr:uid="{00000000-0005-0000-0000-000077040000}"/>
    <cellStyle name="40% - Accent2 2 2 2 7 2" xfId="13003" xr:uid="{9F1DE2BE-0183-4CCD-8C5F-6406A2B2A477}"/>
    <cellStyle name="40% - Accent2 2 2 2 8" xfId="8785" xr:uid="{48B2A1F8-8647-4E27-8D7E-0E4FCF107D16}"/>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61" xr:uid="{F305ACF6-22A0-49BB-9F21-F662DF40838B}"/>
    <cellStyle name="40% - Accent2 2 2 3 2 3" xfId="11343" xr:uid="{1A49A4F3-A888-4C42-8776-8FB52C2A4CBB}"/>
    <cellStyle name="40% - Accent2 2 2 3 3" xfId="4977" xr:uid="{00000000-0005-0000-0000-00007B040000}"/>
    <cellStyle name="40% - Accent2 2 2 3 3 2" xfId="13416" xr:uid="{AECC9F64-8E71-4BD0-8F8F-5E4AB34602A3}"/>
    <cellStyle name="40% - Accent2 2 2 3 4" xfId="9198" xr:uid="{F1C41D36-7944-4B53-87E5-C6F695621DD1}"/>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4" xr:uid="{2A835C34-13C3-4106-9A0C-0E03C38D71A6}"/>
    <cellStyle name="40% - Accent2 2 2 4 2 3" xfId="11756" xr:uid="{99001E9B-5872-444B-B4C9-E66144496156}"/>
    <cellStyle name="40% - Accent2 2 2 4 3" xfId="5390" xr:uid="{00000000-0005-0000-0000-00007F040000}"/>
    <cellStyle name="40% - Accent2 2 2 4 3 2" xfId="13829" xr:uid="{709260B8-3015-4672-BB17-0027CA2EDADD}"/>
    <cellStyle name="40% - Accent2 2 2 4 4" xfId="9611" xr:uid="{31C67B73-B5CA-4168-A675-C4584B1757D9}"/>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87" xr:uid="{DD9DA6E5-54FA-4DF3-BB49-9D1735264E98}"/>
    <cellStyle name="40% - Accent2 2 2 5 2 3" xfId="12169" xr:uid="{E5ABB2CB-F6B6-408A-8E7D-2D9BF389C722}"/>
    <cellStyle name="40% - Accent2 2 2 5 3" xfId="5803" xr:uid="{00000000-0005-0000-0000-000083040000}"/>
    <cellStyle name="40% - Accent2 2 2 5 3 2" xfId="14242" xr:uid="{B56A6CCF-6BB3-4416-940E-01DF2C58093B}"/>
    <cellStyle name="40% - Accent2 2 2 5 4" xfId="10024" xr:uid="{BDEA4439-8BCF-44EF-914A-61F09176059B}"/>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800" xr:uid="{EEF4FD22-9C67-4C05-815B-61C008CCFE3B}"/>
    <cellStyle name="40% - Accent2 2 2 6 2 3" xfId="12582" xr:uid="{DC59A711-FAAA-41BA-9DF0-523D94ACE317}"/>
    <cellStyle name="40% - Accent2 2 2 6 3" xfId="6216" xr:uid="{00000000-0005-0000-0000-000087040000}"/>
    <cellStyle name="40% - Accent2 2 2 6 3 2" xfId="14655" xr:uid="{808C5354-8812-4DA5-B423-043F862F24A0}"/>
    <cellStyle name="40% - Accent2 2 2 6 4" xfId="10437" xr:uid="{3CF13581-4A26-4925-AB1C-66118B9F7364}"/>
    <cellStyle name="40% - Accent2 2 2 7" xfId="2322" xr:uid="{00000000-0005-0000-0000-000088040000}"/>
    <cellStyle name="40% - Accent2 2 2 7 2" xfId="6629" xr:uid="{00000000-0005-0000-0000-000089040000}"/>
    <cellStyle name="40% - Accent2 2 2 7 2 2" xfId="15068" xr:uid="{E44B3B6A-85EB-4105-8347-1FB0CD7EF404}"/>
    <cellStyle name="40% - Accent2 2 2 7 3" xfId="10850" xr:uid="{F23F3F1B-0FB3-48F7-AE42-79555129D3F2}"/>
    <cellStyle name="40% - Accent2 2 2 8" xfId="4563" xr:uid="{00000000-0005-0000-0000-00008A040000}"/>
    <cellStyle name="40% - Accent2 2 2 8 2" xfId="13002" xr:uid="{E68C4111-69D6-421A-8C1D-CBF50297B2BF}"/>
    <cellStyle name="40% - Accent2 2 2 9" xfId="8784" xr:uid="{C1FCBBA8-6CFA-449E-BAC0-ED1FAAC83718}"/>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3" xr:uid="{F57CE725-152F-49E1-BE33-883148E57357}"/>
    <cellStyle name="40% - Accent2 2 3 2 2 3" xfId="11345" xr:uid="{78BEC1D2-18B1-472A-8305-5283D5C32CF8}"/>
    <cellStyle name="40% - Accent2 2 3 2 3" xfId="4979" xr:uid="{00000000-0005-0000-0000-00008F040000}"/>
    <cellStyle name="40% - Accent2 2 3 2 3 2" xfId="13418" xr:uid="{8EFE3635-8B89-49D6-9A11-83198BC222A1}"/>
    <cellStyle name="40% - Accent2 2 3 2 4" xfId="9200" xr:uid="{37081F42-8083-4BC9-B57E-595AACD55DEC}"/>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6" xr:uid="{1E4FE9D7-8B46-41D5-9FD6-784A234657B5}"/>
    <cellStyle name="40% - Accent2 2 3 3 2 3" xfId="11758" xr:uid="{28DB968E-F565-489F-922A-C24EFB9747ED}"/>
    <cellStyle name="40% - Accent2 2 3 3 3" xfId="5392" xr:uid="{00000000-0005-0000-0000-000093040000}"/>
    <cellStyle name="40% - Accent2 2 3 3 3 2" xfId="13831" xr:uid="{65F4576C-7AD3-40A5-84ED-E1DB1EE30ECB}"/>
    <cellStyle name="40% - Accent2 2 3 3 4" xfId="9613" xr:uid="{DC93972C-80C4-4CCC-9216-A86FC6DACA2A}"/>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89" xr:uid="{EF27B843-B861-4E63-AB9C-59BE2D019945}"/>
    <cellStyle name="40% - Accent2 2 3 4 2 3" xfId="12171" xr:uid="{81ECF763-9058-4154-815C-D8A842915AC6}"/>
    <cellStyle name="40% - Accent2 2 3 4 3" xfId="5805" xr:uid="{00000000-0005-0000-0000-000097040000}"/>
    <cellStyle name="40% - Accent2 2 3 4 3 2" xfId="14244" xr:uid="{3E0495AA-88D0-48E3-B7EA-861A0D0FF52E}"/>
    <cellStyle name="40% - Accent2 2 3 4 4" xfId="10026" xr:uid="{E863C850-361B-458A-AD69-FC59945B575A}"/>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802" xr:uid="{9F702CD0-4125-4425-8E26-96F71E63980E}"/>
    <cellStyle name="40% - Accent2 2 3 5 2 3" xfId="12584" xr:uid="{DCDC8C02-E70E-41E9-9BCF-4C6DB047DCA5}"/>
    <cellStyle name="40% - Accent2 2 3 5 3" xfId="6218" xr:uid="{00000000-0005-0000-0000-00009B040000}"/>
    <cellStyle name="40% - Accent2 2 3 5 3 2" xfId="14657" xr:uid="{CAAA7D64-D337-4E12-A0D7-ED348F17CD48}"/>
    <cellStyle name="40% - Accent2 2 3 5 4" xfId="10439" xr:uid="{A134CB28-B42C-4835-A154-98D5D1E4823C}"/>
    <cellStyle name="40% - Accent2 2 3 6" xfId="2324" xr:uid="{00000000-0005-0000-0000-00009C040000}"/>
    <cellStyle name="40% - Accent2 2 3 6 2" xfId="6631" xr:uid="{00000000-0005-0000-0000-00009D040000}"/>
    <cellStyle name="40% - Accent2 2 3 6 2 2" xfId="15070" xr:uid="{8263CFE1-1873-4CB2-B016-923AB6C3F7E5}"/>
    <cellStyle name="40% - Accent2 2 3 6 3" xfId="10852" xr:uid="{CE7F027B-25D2-4C64-B123-BA7802935085}"/>
    <cellStyle name="40% - Accent2 2 3 7" xfId="4565" xr:uid="{00000000-0005-0000-0000-00009E040000}"/>
    <cellStyle name="40% - Accent2 2 3 7 2" xfId="13004" xr:uid="{459B652F-BA1C-411D-8C00-E9960D6404B4}"/>
    <cellStyle name="40% - Accent2 2 3 8" xfId="8786" xr:uid="{5AA209FF-BA2A-4BBD-99F3-5B389866EDD2}"/>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60" xr:uid="{5E2CDFA4-1D44-45FB-B533-3E5A638EA11E}"/>
    <cellStyle name="40% - Accent2 2 4 2 3" xfId="11342" xr:uid="{BA6B18E0-DCFA-490E-8C93-7D93A22944AF}"/>
    <cellStyle name="40% - Accent2 2 4 3" xfId="4976" xr:uid="{00000000-0005-0000-0000-0000A2040000}"/>
    <cellStyle name="40% - Accent2 2 4 3 2" xfId="13415" xr:uid="{A2C22CAA-D934-4605-A615-6480A0DE65C6}"/>
    <cellStyle name="40% - Accent2 2 4 4" xfId="9197" xr:uid="{42EC33AC-D38D-4256-92EF-6EDF84B0789A}"/>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3" xr:uid="{7E973D75-4B4B-4F0C-B138-AAD7C50ECD09}"/>
    <cellStyle name="40% - Accent2 2 5 2 3" xfId="11755" xr:uid="{15EBD2C8-0A12-4997-BD21-3E7E11C327B3}"/>
    <cellStyle name="40% - Accent2 2 5 3" xfId="5389" xr:uid="{00000000-0005-0000-0000-0000A6040000}"/>
    <cellStyle name="40% - Accent2 2 5 3 2" xfId="13828" xr:uid="{18DEA8B7-2A5B-4F16-B3EB-AEEDB01E750C}"/>
    <cellStyle name="40% - Accent2 2 5 4" xfId="9610" xr:uid="{C0C3D4A0-9CCE-4213-8A56-33CBD8FCCCEC}"/>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6" xr:uid="{CE41168C-2C89-4556-A372-8EDD73EF9F41}"/>
    <cellStyle name="40% - Accent2 2 6 2 3" xfId="12168" xr:uid="{90E0C538-0429-44FA-A050-745CD6930568}"/>
    <cellStyle name="40% - Accent2 2 6 3" xfId="5802" xr:uid="{00000000-0005-0000-0000-0000AA040000}"/>
    <cellStyle name="40% - Accent2 2 6 3 2" xfId="14241" xr:uid="{F02C8A19-8189-4064-A8DF-1AB47E47C620}"/>
    <cellStyle name="40% - Accent2 2 6 4" xfId="10023" xr:uid="{7E5130E2-CB74-43BC-B2B1-0642A110BA45}"/>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799" xr:uid="{37738E33-E8FA-4388-BBF2-638015E090C7}"/>
    <cellStyle name="40% - Accent2 2 7 2 3" xfId="12581" xr:uid="{5B33FF1C-C1EA-4CB6-AF49-8CB847479FE4}"/>
    <cellStyle name="40% - Accent2 2 7 3" xfId="6215" xr:uid="{00000000-0005-0000-0000-0000AE040000}"/>
    <cellStyle name="40% - Accent2 2 7 3 2" xfId="14654" xr:uid="{A06CE708-B5AC-4343-BE0D-2FE60397A354}"/>
    <cellStyle name="40% - Accent2 2 7 4" xfId="10436" xr:uid="{3B58B9D0-0FF0-4493-ACE6-91D9437AFA71}"/>
    <cellStyle name="40% - Accent2 2 8" xfId="2321" xr:uid="{00000000-0005-0000-0000-0000AF040000}"/>
    <cellStyle name="40% - Accent2 2 8 2" xfId="6628" xr:uid="{00000000-0005-0000-0000-0000B0040000}"/>
    <cellStyle name="40% - Accent2 2 8 2 2" xfId="15067" xr:uid="{2637BB87-64B0-47FD-A3BF-02E1F4DCBFFC}"/>
    <cellStyle name="40% - Accent2 2 8 3" xfId="10849" xr:uid="{DC9E6773-7212-405B-B72D-0566CA85067F}"/>
    <cellStyle name="40% - Accent2 2 9" xfId="4562" xr:uid="{00000000-0005-0000-0000-0000B1040000}"/>
    <cellStyle name="40% - Accent2 2 9 2" xfId="13001" xr:uid="{590E86E1-8E10-4215-94E1-736E3B03314F}"/>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5" xr:uid="{F6FB2235-0CCA-4A4A-B0D2-6D72D14BA7A2}"/>
    <cellStyle name="40% - Accent2 3 2 2 2 3" xfId="11347" xr:uid="{0D72EA8D-A8F9-42A6-8F0B-DD53D47C1DCF}"/>
    <cellStyle name="40% - Accent2 3 2 2 3" xfId="4981" xr:uid="{00000000-0005-0000-0000-0000B7040000}"/>
    <cellStyle name="40% - Accent2 3 2 2 3 2" xfId="13420" xr:uid="{B05CE31A-11BD-4B4C-9045-BB6F1686D555}"/>
    <cellStyle name="40% - Accent2 3 2 2 4" xfId="9202" xr:uid="{125998C0-58AA-4B3A-AD9D-032E8C96F1B8}"/>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78" xr:uid="{FC2666DF-D84D-42E2-B758-46CCC998E9AA}"/>
    <cellStyle name="40% - Accent2 3 2 3 2 3" xfId="11760" xr:uid="{605354D1-F51F-43DA-921A-F0AF43F832B7}"/>
    <cellStyle name="40% - Accent2 3 2 3 3" xfId="5394" xr:uid="{00000000-0005-0000-0000-0000BB040000}"/>
    <cellStyle name="40% - Accent2 3 2 3 3 2" xfId="13833" xr:uid="{02A66013-587F-42B5-A721-37A40E64BBFC}"/>
    <cellStyle name="40% - Accent2 3 2 3 4" xfId="9615" xr:uid="{A551544A-E91F-4653-9177-065C4ECC51AD}"/>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91" xr:uid="{3EC634D5-B98F-401B-BAA6-AA309801FC48}"/>
    <cellStyle name="40% - Accent2 3 2 4 2 3" xfId="12173" xr:uid="{11EE637D-1F1E-46A0-9C8D-91478762EFAC}"/>
    <cellStyle name="40% - Accent2 3 2 4 3" xfId="5807" xr:uid="{00000000-0005-0000-0000-0000BF040000}"/>
    <cellStyle name="40% - Accent2 3 2 4 3 2" xfId="14246" xr:uid="{1B01F9DE-C533-46AE-8A1D-9D70DA809BAE}"/>
    <cellStyle name="40% - Accent2 3 2 4 4" xfId="10028" xr:uid="{C67A7C36-DD05-4BAD-ABAC-82428EC27820}"/>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4" xr:uid="{44F16667-8FCE-480C-991D-AC9474D9D9D5}"/>
    <cellStyle name="40% - Accent2 3 2 5 2 3" xfId="12586" xr:uid="{6C1E7581-9CC1-49F9-9DFF-F1C984391E96}"/>
    <cellStyle name="40% - Accent2 3 2 5 3" xfId="6220" xr:uid="{00000000-0005-0000-0000-0000C3040000}"/>
    <cellStyle name="40% - Accent2 3 2 5 3 2" xfId="14659" xr:uid="{6C3430DB-CDED-428A-8FFE-A7AFB25BE2AB}"/>
    <cellStyle name="40% - Accent2 3 2 5 4" xfId="10441" xr:uid="{C664D35E-9E14-4626-8750-3269A918D1D9}"/>
    <cellStyle name="40% - Accent2 3 2 6" xfId="2326" xr:uid="{00000000-0005-0000-0000-0000C4040000}"/>
    <cellStyle name="40% - Accent2 3 2 6 2" xfId="6633" xr:uid="{00000000-0005-0000-0000-0000C5040000}"/>
    <cellStyle name="40% - Accent2 3 2 6 2 2" xfId="15072" xr:uid="{6AD7C255-E32F-44A2-825F-0A172907818B}"/>
    <cellStyle name="40% - Accent2 3 2 6 3" xfId="10854" xr:uid="{281F23C3-2D0C-40B4-A23A-4259B1D995D8}"/>
    <cellStyle name="40% - Accent2 3 2 7" xfId="4567" xr:uid="{00000000-0005-0000-0000-0000C6040000}"/>
    <cellStyle name="40% - Accent2 3 2 7 2" xfId="13006" xr:uid="{F4F454BF-1413-49DD-9EC0-CB4D9F8A321F}"/>
    <cellStyle name="40% - Accent2 3 2 8" xfId="8788" xr:uid="{FA02128D-2F7B-4339-8110-8276DB174ED5}"/>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4" xr:uid="{6F605DAF-F150-413A-BF6A-C6D9949CB1EC}"/>
    <cellStyle name="40% - Accent2 3 3 2 3" xfId="11346" xr:uid="{A1D8B63B-99AC-44A8-9D5B-FBB36F79ACF8}"/>
    <cellStyle name="40% - Accent2 3 3 3" xfId="4980" xr:uid="{00000000-0005-0000-0000-0000CA040000}"/>
    <cellStyle name="40% - Accent2 3 3 3 2" xfId="13419" xr:uid="{BED6DE65-9729-479C-85CF-DD9CFC5DFFE9}"/>
    <cellStyle name="40% - Accent2 3 3 4" xfId="9201" xr:uid="{037A3E96-6EB6-4CB2-AD7B-70F673C0C94F}"/>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77" xr:uid="{17AEDD21-49EB-4E61-BE3D-CFAF5AAEA084}"/>
    <cellStyle name="40% - Accent2 3 4 2 3" xfId="11759" xr:uid="{8F5FB996-0951-4C50-9776-5AD77BA8D44B}"/>
    <cellStyle name="40% - Accent2 3 4 3" xfId="5393" xr:uid="{00000000-0005-0000-0000-0000CE040000}"/>
    <cellStyle name="40% - Accent2 3 4 3 2" xfId="13832" xr:uid="{303E2E75-47F3-4D65-8AA5-FC5783630AB1}"/>
    <cellStyle name="40% - Accent2 3 4 4" xfId="9614" xr:uid="{695DC014-2C21-45EF-AE22-E3B9F6E9F423}"/>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90" xr:uid="{2A9EE966-9235-4BBE-A46B-A63D6103D880}"/>
    <cellStyle name="40% - Accent2 3 5 2 3" xfId="12172" xr:uid="{8D672533-2937-4116-9209-B5C6001B9A11}"/>
    <cellStyle name="40% - Accent2 3 5 3" xfId="5806" xr:uid="{00000000-0005-0000-0000-0000D2040000}"/>
    <cellStyle name="40% - Accent2 3 5 3 2" xfId="14245" xr:uid="{E8CE91B3-965C-4D55-A368-5A8FD52A840C}"/>
    <cellStyle name="40% - Accent2 3 5 4" xfId="10027" xr:uid="{4A74EB7C-9C7C-49C5-B21A-F809D750819D}"/>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3" xr:uid="{2DA544F2-DD72-4513-B58C-405FEDC2192F}"/>
    <cellStyle name="40% - Accent2 3 6 2 3" xfId="12585" xr:uid="{E39FF445-7D31-4FAB-9E5B-CA93F3609415}"/>
    <cellStyle name="40% - Accent2 3 6 3" xfId="6219" xr:uid="{00000000-0005-0000-0000-0000D6040000}"/>
    <cellStyle name="40% - Accent2 3 6 3 2" xfId="14658" xr:uid="{54144DB3-22CB-4C02-9B4F-B1823EC04567}"/>
    <cellStyle name="40% - Accent2 3 6 4" xfId="10440" xr:uid="{EA65C409-6742-4D4B-80F4-500D400AE4F4}"/>
    <cellStyle name="40% - Accent2 3 7" xfId="2325" xr:uid="{00000000-0005-0000-0000-0000D7040000}"/>
    <cellStyle name="40% - Accent2 3 7 2" xfId="6632" xr:uid="{00000000-0005-0000-0000-0000D8040000}"/>
    <cellStyle name="40% - Accent2 3 7 2 2" xfId="15071" xr:uid="{9E56C697-FE5D-4EC6-BA1D-8AD069E20C3B}"/>
    <cellStyle name="40% - Accent2 3 7 3" xfId="10853" xr:uid="{FEFABD65-E21D-48B3-8216-6522870D814E}"/>
    <cellStyle name="40% - Accent2 3 8" xfId="4566" xr:uid="{00000000-0005-0000-0000-0000D9040000}"/>
    <cellStyle name="40% - Accent2 3 8 2" xfId="13005" xr:uid="{B7AFF636-3656-4ADB-BD1E-1764344A7109}"/>
    <cellStyle name="40% - Accent2 3 9" xfId="8787" xr:uid="{300E2780-B9B0-4593-8F37-1162AEECF163}"/>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6" xr:uid="{A05CE450-7ADE-4728-BB96-2CDA73A40DFB}"/>
    <cellStyle name="40% - Accent2 4 2 2 3" xfId="11348" xr:uid="{698BBAFB-5BDE-4E21-A3D8-9D1D7D8F2956}"/>
    <cellStyle name="40% - Accent2 4 2 3" xfId="4982" xr:uid="{00000000-0005-0000-0000-0000DE040000}"/>
    <cellStyle name="40% - Accent2 4 2 3 2" xfId="13421" xr:uid="{184373C0-B5E6-4E11-AD33-DC2D23C2B46B}"/>
    <cellStyle name="40% - Accent2 4 2 4" xfId="9203" xr:uid="{BC474790-6480-4E64-AB6B-20BF8B83CDEC}"/>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79" xr:uid="{2F01FA62-8268-488F-A936-C520E28A4FAF}"/>
    <cellStyle name="40% - Accent2 4 3 2 3" xfId="11761" xr:uid="{EF98D552-1A7B-4916-82DE-5F0860849005}"/>
    <cellStyle name="40% - Accent2 4 3 3" xfId="5395" xr:uid="{00000000-0005-0000-0000-0000E2040000}"/>
    <cellStyle name="40% - Accent2 4 3 3 2" xfId="13834" xr:uid="{9BDF1D9A-EFF6-4223-A4FC-10691C972545}"/>
    <cellStyle name="40% - Accent2 4 3 4" xfId="9616" xr:uid="{5502DE79-A5FB-454A-BCF4-CE8FC4614D4A}"/>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92" xr:uid="{7812AE50-85C0-43F9-8D62-A56ADC56CC31}"/>
    <cellStyle name="40% - Accent2 4 4 2 3" xfId="12174" xr:uid="{B3C5936A-9FFB-42A8-9AFF-7F83BD62444D}"/>
    <cellStyle name="40% - Accent2 4 4 3" xfId="5808" xr:uid="{00000000-0005-0000-0000-0000E6040000}"/>
    <cellStyle name="40% - Accent2 4 4 3 2" xfId="14247" xr:uid="{277696A6-176A-4A7E-9426-863FE26732A8}"/>
    <cellStyle name="40% - Accent2 4 4 4" xfId="10029" xr:uid="{590AB653-7A16-44C0-855B-20E15475810F}"/>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5" xr:uid="{8418E02C-35BC-4135-B572-BA2A1657B4F2}"/>
    <cellStyle name="40% - Accent2 4 5 2 3" xfId="12587" xr:uid="{6E6A7E2A-C095-4D6E-807E-370818812681}"/>
    <cellStyle name="40% - Accent2 4 5 3" xfId="6221" xr:uid="{00000000-0005-0000-0000-0000EA040000}"/>
    <cellStyle name="40% - Accent2 4 5 3 2" xfId="14660" xr:uid="{C88E0A4D-99A4-4764-AF42-36450C88B471}"/>
    <cellStyle name="40% - Accent2 4 5 4" xfId="10442" xr:uid="{E0BD1D03-BE5E-449F-BE20-7BA4709579DA}"/>
    <cellStyle name="40% - Accent2 4 6" xfId="2327" xr:uid="{00000000-0005-0000-0000-0000EB040000}"/>
    <cellStyle name="40% - Accent2 4 6 2" xfId="6634" xr:uid="{00000000-0005-0000-0000-0000EC040000}"/>
    <cellStyle name="40% - Accent2 4 6 2 2" xfId="15073" xr:uid="{4D7AB45E-1963-4FB6-BB92-37B2D94DAB6D}"/>
    <cellStyle name="40% - Accent2 4 6 3" xfId="10855" xr:uid="{0D7313BF-5C52-46C6-8142-60B2E9CEA924}"/>
    <cellStyle name="40% - Accent2 4 7" xfId="4568" xr:uid="{00000000-0005-0000-0000-0000ED040000}"/>
    <cellStyle name="40% - Accent2 4 7 2" xfId="13007" xr:uid="{01B326E9-D629-4BE6-89DA-0525979C426C}"/>
    <cellStyle name="40% - Accent2 4 8" xfId="8789" xr:uid="{A9E93145-5B4C-4552-BF62-C804436E9D47}"/>
    <cellStyle name="40% - Accent2 5" xfId="626" xr:uid="{00000000-0005-0000-0000-0000EE040000}"/>
    <cellStyle name="40% - Accent2 5 2" xfId="2897" xr:uid="{00000000-0005-0000-0000-0000EF040000}"/>
    <cellStyle name="40% - Accent2 5 2 2" xfId="7120" xr:uid="{00000000-0005-0000-0000-0000F0040000}"/>
    <cellStyle name="40% - Accent2 5 2 2 2" xfId="15559" xr:uid="{95E23374-06C7-4EC4-B913-F1D8B9F8EB47}"/>
    <cellStyle name="40% - Accent2 5 2 3" xfId="11341" xr:uid="{43266553-8D91-4C83-810D-67DA7ED3C719}"/>
    <cellStyle name="40% - Accent2 5 3" xfId="4975" xr:uid="{00000000-0005-0000-0000-0000F1040000}"/>
    <cellStyle name="40% - Accent2 5 3 2" xfId="13414" xr:uid="{53953837-801C-4770-AB8E-FBF8DE9B713B}"/>
    <cellStyle name="40% - Accent2 5 4" xfId="9196" xr:uid="{24EE85D6-5145-4A53-8785-C29C0A7AA5CC}"/>
    <cellStyle name="40% - Accent2 6" xfId="1079" xr:uid="{00000000-0005-0000-0000-0000F2040000}"/>
    <cellStyle name="40% - Accent2 6 2" xfId="3310" xr:uid="{00000000-0005-0000-0000-0000F3040000}"/>
    <cellStyle name="40% - Accent2 6 2 2" xfId="7533" xr:uid="{00000000-0005-0000-0000-0000F4040000}"/>
    <cellStyle name="40% - Accent2 6 2 2 2" xfId="15972" xr:uid="{335F2CB4-DCE9-4671-B3E9-840D53163B7B}"/>
    <cellStyle name="40% - Accent2 6 2 3" xfId="11754" xr:uid="{1A91D66D-5469-4908-8B6A-16C851785EBA}"/>
    <cellStyle name="40% - Accent2 6 3" xfId="5388" xr:uid="{00000000-0005-0000-0000-0000F5040000}"/>
    <cellStyle name="40% - Accent2 6 3 2" xfId="13827" xr:uid="{12F9A49D-EFB5-4C36-8B90-7385BBE16AF5}"/>
    <cellStyle name="40% - Accent2 6 4" xfId="9609" xr:uid="{21048027-C160-4E26-AF8F-918E1EE5EE3A}"/>
    <cellStyle name="40% - Accent2 7" xfId="1493" xr:uid="{00000000-0005-0000-0000-0000F6040000}"/>
    <cellStyle name="40% - Accent2 7 2" xfId="3723" xr:uid="{00000000-0005-0000-0000-0000F7040000}"/>
    <cellStyle name="40% - Accent2 7 2 2" xfId="7946" xr:uid="{00000000-0005-0000-0000-0000F8040000}"/>
    <cellStyle name="40% - Accent2 7 2 2 2" xfId="16385" xr:uid="{71309D48-BECD-41FE-BFD1-7B49B93B970F}"/>
    <cellStyle name="40% - Accent2 7 2 3" xfId="12167" xr:uid="{7516EC36-780F-42EA-BDA2-740E82DB29AF}"/>
    <cellStyle name="40% - Accent2 7 3" xfId="5801" xr:uid="{00000000-0005-0000-0000-0000F9040000}"/>
    <cellStyle name="40% - Accent2 7 3 2" xfId="14240" xr:uid="{59BEF6E4-C610-48A0-84C2-C355472C6269}"/>
    <cellStyle name="40% - Accent2 7 4" xfId="10022" xr:uid="{6ED7255A-0A37-4702-9D25-4CBEF3E49D0F}"/>
    <cellStyle name="40% - Accent2 8" xfId="1907" xr:uid="{00000000-0005-0000-0000-0000FA040000}"/>
    <cellStyle name="40% - Accent2 8 2" xfId="4136" xr:uid="{00000000-0005-0000-0000-0000FB040000}"/>
    <cellStyle name="40% - Accent2 8 2 2" xfId="8359" xr:uid="{00000000-0005-0000-0000-0000FC040000}"/>
    <cellStyle name="40% - Accent2 8 2 2 2" xfId="16798" xr:uid="{3E0612D1-35AF-4047-9091-D5089F222B82}"/>
    <cellStyle name="40% - Accent2 8 2 3" xfId="12580" xr:uid="{10E4DE2E-331F-4420-9B91-AC7287B3CE57}"/>
    <cellStyle name="40% - Accent2 8 3" xfId="6214" xr:uid="{00000000-0005-0000-0000-0000FD040000}"/>
    <cellStyle name="40% - Accent2 8 3 2" xfId="14653" xr:uid="{9F2699B7-DC0E-4AEC-BD94-4426F4CD9390}"/>
    <cellStyle name="40% - Accent2 8 4" xfId="10435" xr:uid="{FF9B9BEC-BDFE-4734-828D-7E969DAF1FD2}"/>
    <cellStyle name="40% - Accent2 9" xfId="2320" xr:uid="{00000000-0005-0000-0000-0000FE040000}"/>
    <cellStyle name="40% - Accent2 9 2" xfId="6627" xr:uid="{00000000-0005-0000-0000-0000FF040000}"/>
    <cellStyle name="40% - Accent2 9 2 2" xfId="15066" xr:uid="{E8979D6F-CF8A-4027-9664-68C8AA271A52}"/>
    <cellStyle name="40% - Accent2 9 3" xfId="10848" xr:uid="{B3E4E4F0-54ED-4078-94AF-D15AD4C7E48B}"/>
    <cellStyle name="40% - Accent3" xfId="65" builtinId="39" customBuiltin="1"/>
    <cellStyle name="40% - Accent3 10" xfId="4569" xr:uid="{00000000-0005-0000-0000-000001050000}"/>
    <cellStyle name="40% - Accent3 10 2" xfId="13008" xr:uid="{B1DD528B-D053-4429-8AD3-6B9AC985C3DD}"/>
    <cellStyle name="40% - Accent3 11" xfId="8790" xr:uid="{EB808718-8157-491B-8302-54C3C1D318E9}"/>
    <cellStyle name="40% - Accent3 2" xfId="66" xr:uid="{00000000-0005-0000-0000-000002050000}"/>
    <cellStyle name="40% - Accent3 2 10" xfId="8791" xr:uid="{6A97BE24-9484-42CF-A451-18526DE7061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70" xr:uid="{95730D59-58FE-46B9-A446-C6035D9A9855}"/>
    <cellStyle name="40% - Accent3 2 2 2 2 2 3" xfId="11352" xr:uid="{32F86837-F340-49EF-AE7A-D43D632891FF}"/>
    <cellStyle name="40% - Accent3 2 2 2 2 3" xfId="4986" xr:uid="{00000000-0005-0000-0000-000008050000}"/>
    <cellStyle name="40% - Accent3 2 2 2 2 3 2" xfId="13425" xr:uid="{76E86392-4DBC-4AC8-9FDD-592944123851}"/>
    <cellStyle name="40% - Accent3 2 2 2 2 4" xfId="9207" xr:uid="{3D01FDB9-A52B-417F-A065-CDD426721C54}"/>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3" xr:uid="{1E89E92D-F998-479A-9106-A452447445CF}"/>
    <cellStyle name="40% - Accent3 2 2 2 3 2 3" xfId="11765" xr:uid="{CC6443A5-C41C-4DBE-8E95-C61325EDA0B7}"/>
    <cellStyle name="40% - Accent3 2 2 2 3 3" xfId="5399" xr:uid="{00000000-0005-0000-0000-00000C050000}"/>
    <cellStyle name="40% - Accent3 2 2 2 3 3 2" xfId="13838" xr:uid="{98645D1A-2C25-4554-A3A1-87D67B6DEE39}"/>
    <cellStyle name="40% - Accent3 2 2 2 3 4" xfId="9620" xr:uid="{8CE9EF51-7146-4832-9B47-0A5168E59531}"/>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6" xr:uid="{3186448C-D855-42FA-A9F3-7F992738E38C}"/>
    <cellStyle name="40% - Accent3 2 2 2 4 2 3" xfId="12178" xr:uid="{4F08708A-2E42-4E6C-9DF2-CC9EF0D849CE}"/>
    <cellStyle name="40% - Accent3 2 2 2 4 3" xfId="5812" xr:uid="{00000000-0005-0000-0000-000010050000}"/>
    <cellStyle name="40% - Accent3 2 2 2 4 3 2" xfId="14251" xr:uid="{62C417A8-3E28-49EA-96E4-A4A7347B8F9D}"/>
    <cellStyle name="40% - Accent3 2 2 2 4 4" xfId="10033" xr:uid="{EF5DF37D-566C-434F-9EB2-10C32B59F664}"/>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09" xr:uid="{10D78B5C-ADEC-4489-9C61-A54EDC907966}"/>
    <cellStyle name="40% - Accent3 2 2 2 5 2 3" xfId="12591" xr:uid="{AE205B45-D1DB-48D7-A765-BE8C5FD788EC}"/>
    <cellStyle name="40% - Accent3 2 2 2 5 3" xfId="6225" xr:uid="{00000000-0005-0000-0000-000014050000}"/>
    <cellStyle name="40% - Accent3 2 2 2 5 3 2" xfId="14664" xr:uid="{9C04CD2E-83E5-4320-9245-0EFD1575E0C7}"/>
    <cellStyle name="40% - Accent3 2 2 2 5 4" xfId="10446" xr:uid="{F7F1A9EB-A6F4-4EE9-AE30-9C3710305F03}"/>
    <cellStyle name="40% - Accent3 2 2 2 6" xfId="2331" xr:uid="{00000000-0005-0000-0000-000015050000}"/>
    <cellStyle name="40% - Accent3 2 2 2 6 2" xfId="6638" xr:uid="{00000000-0005-0000-0000-000016050000}"/>
    <cellStyle name="40% - Accent3 2 2 2 6 2 2" xfId="15077" xr:uid="{5CCF2965-F191-4452-8A2E-F0AC45EB3CB1}"/>
    <cellStyle name="40% - Accent3 2 2 2 6 3" xfId="10859" xr:uid="{927D23D0-6E55-4799-8C82-A0AA2D951413}"/>
    <cellStyle name="40% - Accent3 2 2 2 7" xfId="4572" xr:uid="{00000000-0005-0000-0000-000017050000}"/>
    <cellStyle name="40% - Accent3 2 2 2 7 2" xfId="13011" xr:uid="{67D87155-0896-4E2D-B84A-56C34AD20D2E}"/>
    <cellStyle name="40% - Accent3 2 2 2 8" xfId="8793" xr:uid="{9420E4DC-096D-4A5C-8C2E-EBE097479738}"/>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69" xr:uid="{968E5D8C-71B6-40D6-9C8F-4DC267CD9539}"/>
    <cellStyle name="40% - Accent3 2 2 3 2 3" xfId="11351" xr:uid="{A566CD0B-8D4A-4CA4-B515-8F3638CAE91D}"/>
    <cellStyle name="40% - Accent3 2 2 3 3" xfId="4985" xr:uid="{00000000-0005-0000-0000-00001B050000}"/>
    <cellStyle name="40% - Accent3 2 2 3 3 2" xfId="13424" xr:uid="{7F60C607-746F-43B2-908E-10C7D571C0CA}"/>
    <cellStyle name="40% - Accent3 2 2 3 4" xfId="9206" xr:uid="{802BA63D-4ABA-4145-816F-ED9F9CA91449}"/>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82" xr:uid="{10FFD67A-7A1B-4FEA-935B-BC552552A20D}"/>
    <cellStyle name="40% - Accent3 2 2 4 2 3" xfId="11764" xr:uid="{D985CDBB-CC50-4555-8B71-7B4462E62DE4}"/>
    <cellStyle name="40% - Accent3 2 2 4 3" xfId="5398" xr:uid="{00000000-0005-0000-0000-00001F050000}"/>
    <cellStyle name="40% - Accent3 2 2 4 3 2" xfId="13837" xr:uid="{06CBBA2B-4774-4B5A-BBEE-B1E796EBCF5C}"/>
    <cellStyle name="40% - Accent3 2 2 4 4" xfId="9619" xr:uid="{B9FCC060-84E4-4F86-B02E-BC7FCF65265C}"/>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5" xr:uid="{DF285061-A72C-4957-9462-9D32CB2782FD}"/>
    <cellStyle name="40% - Accent3 2 2 5 2 3" xfId="12177" xr:uid="{4CAACDD3-26C2-4CC9-9844-26CC0487B605}"/>
    <cellStyle name="40% - Accent3 2 2 5 3" xfId="5811" xr:uid="{00000000-0005-0000-0000-000023050000}"/>
    <cellStyle name="40% - Accent3 2 2 5 3 2" xfId="14250" xr:uid="{9B428E45-6FBF-4BFD-BB27-83E4B120AA91}"/>
    <cellStyle name="40% - Accent3 2 2 5 4" xfId="10032" xr:uid="{D34197B1-BFD3-4F7C-A3ED-D5E7EBECBF49}"/>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08" xr:uid="{FCB00139-C7C4-4082-826C-98697786875F}"/>
    <cellStyle name="40% - Accent3 2 2 6 2 3" xfId="12590" xr:uid="{43C166B6-502F-4A01-AA1E-2677AA408136}"/>
    <cellStyle name="40% - Accent3 2 2 6 3" xfId="6224" xr:uid="{00000000-0005-0000-0000-000027050000}"/>
    <cellStyle name="40% - Accent3 2 2 6 3 2" xfId="14663" xr:uid="{D60AB524-F5CE-4974-8D6F-436B911285DC}"/>
    <cellStyle name="40% - Accent3 2 2 6 4" xfId="10445" xr:uid="{8DD57229-2EFB-4005-AAA4-7F4BA8A7642B}"/>
    <cellStyle name="40% - Accent3 2 2 7" xfId="2330" xr:uid="{00000000-0005-0000-0000-000028050000}"/>
    <cellStyle name="40% - Accent3 2 2 7 2" xfId="6637" xr:uid="{00000000-0005-0000-0000-000029050000}"/>
    <cellStyle name="40% - Accent3 2 2 7 2 2" xfId="15076" xr:uid="{449CDE74-785C-4DE5-AF1B-3D8589299C15}"/>
    <cellStyle name="40% - Accent3 2 2 7 3" xfId="10858" xr:uid="{611965E5-5B6B-4932-BD25-670B8F7AF26A}"/>
    <cellStyle name="40% - Accent3 2 2 8" xfId="4571" xr:uid="{00000000-0005-0000-0000-00002A050000}"/>
    <cellStyle name="40% - Accent3 2 2 8 2" xfId="13010" xr:uid="{664B3F4B-9EB1-4180-B381-B0147FDA9E51}"/>
    <cellStyle name="40% - Accent3 2 2 9" xfId="8792" xr:uid="{302C39F4-0788-4EDF-A4F4-932484F0CC1E}"/>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71" xr:uid="{EAEA2FF1-4C0A-4034-BFD4-9822E7835286}"/>
    <cellStyle name="40% - Accent3 2 3 2 2 3" xfId="11353" xr:uid="{3928F9B1-67E0-44AF-A33A-9C3C9DD1DE74}"/>
    <cellStyle name="40% - Accent3 2 3 2 3" xfId="4987" xr:uid="{00000000-0005-0000-0000-00002F050000}"/>
    <cellStyle name="40% - Accent3 2 3 2 3 2" xfId="13426" xr:uid="{107539E0-F2C6-4CAE-9095-03B539102C59}"/>
    <cellStyle name="40% - Accent3 2 3 2 4" xfId="9208" xr:uid="{26FB1C67-9191-4635-9E7C-B2A5EAB784DD}"/>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4" xr:uid="{3C7AFFB0-3747-4B5E-974A-3DCDB958519C}"/>
    <cellStyle name="40% - Accent3 2 3 3 2 3" xfId="11766" xr:uid="{6B8B2900-02A0-4D17-B37D-FA2207F4DB5F}"/>
    <cellStyle name="40% - Accent3 2 3 3 3" xfId="5400" xr:uid="{00000000-0005-0000-0000-000033050000}"/>
    <cellStyle name="40% - Accent3 2 3 3 3 2" xfId="13839" xr:uid="{3B1231C6-6B7D-4C31-9749-C21929C75699}"/>
    <cellStyle name="40% - Accent3 2 3 3 4" xfId="9621" xr:uid="{83B1F0F9-3876-4754-B288-3DAFDE8F54F3}"/>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397" xr:uid="{9F4CE023-017C-4552-B472-6DEF661148FE}"/>
    <cellStyle name="40% - Accent3 2 3 4 2 3" xfId="12179" xr:uid="{95461FD8-6C43-4DE7-84EE-3C1D60A2C1F2}"/>
    <cellStyle name="40% - Accent3 2 3 4 3" xfId="5813" xr:uid="{00000000-0005-0000-0000-000037050000}"/>
    <cellStyle name="40% - Accent3 2 3 4 3 2" xfId="14252" xr:uid="{2B72C966-5432-47C1-9BA2-9D24165DA510}"/>
    <cellStyle name="40% - Accent3 2 3 4 4" xfId="10034" xr:uid="{CA8F019A-AACC-4861-8FA4-2CA1CEA102C8}"/>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10" xr:uid="{AB7CC6B4-99A5-453E-9605-AA910E95B1D9}"/>
    <cellStyle name="40% - Accent3 2 3 5 2 3" xfId="12592" xr:uid="{D862FD8D-8B6C-4491-9D7B-17A172C154E5}"/>
    <cellStyle name="40% - Accent3 2 3 5 3" xfId="6226" xr:uid="{00000000-0005-0000-0000-00003B050000}"/>
    <cellStyle name="40% - Accent3 2 3 5 3 2" xfId="14665" xr:uid="{1AF32480-547F-4D54-95D3-A131D1C5C029}"/>
    <cellStyle name="40% - Accent3 2 3 5 4" xfId="10447" xr:uid="{1200EDB5-1B65-470D-B277-545BAE52E6CD}"/>
    <cellStyle name="40% - Accent3 2 3 6" xfId="2332" xr:uid="{00000000-0005-0000-0000-00003C050000}"/>
    <cellStyle name="40% - Accent3 2 3 6 2" xfId="6639" xr:uid="{00000000-0005-0000-0000-00003D050000}"/>
    <cellStyle name="40% - Accent3 2 3 6 2 2" xfId="15078" xr:uid="{DB8083DE-2A5A-48A7-80A2-0EF4F6C5FA72}"/>
    <cellStyle name="40% - Accent3 2 3 6 3" xfId="10860" xr:uid="{E27DD0A8-AD27-4787-BD92-D2F91D37F4EC}"/>
    <cellStyle name="40% - Accent3 2 3 7" xfId="4573" xr:uid="{00000000-0005-0000-0000-00003E050000}"/>
    <cellStyle name="40% - Accent3 2 3 7 2" xfId="13012" xr:uid="{21034084-54BF-47C2-9949-86C90AB16240}"/>
    <cellStyle name="40% - Accent3 2 3 8" xfId="8794" xr:uid="{1867CC86-AB95-4C90-A4EE-734C503ACD23}"/>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68" xr:uid="{4D11C094-E636-436B-814C-68752CCB0048}"/>
    <cellStyle name="40% - Accent3 2 4 2 3" xfId="11350" xr:uid="{3AC0A389-06A3-4244-90AD-5659F1E47A7D}"/>
    <cellStyle name="40% - Accent3 2 4 3" xfId="4984" xr:uid="{00000000-0005-0000-0000-000042050000}"/>
    <cellStyle name="40% - Accent3 2 4 3 2" xfId="13423" xr:uid="{1BA372E9-0867-477B-A30A-0B9507B35373}"/>
    <cellStyle name="40% - Accent3 2 4 4" xfId="9205" xr:uid="{BA80AB07-0D99-4E97-8028-4DF4C4683028}"/>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81" xr:uid="{86F2F463-9593-4D1F-BDD9-60C101F8321A}"/>
    <cellStyle name="40% - Accent3 2 5 2 3" xfId="11763" xr:uid="{1681350A-A2F1-40CD-BB45-9EE731C486E3}"/>
    <cellStyle name="40% - Accent3 2 5 3" xfId="5397" xr:uid="{00000000-0005-0000-0000-000046050000}"/>
    <cellStyle name="40% - Accent3 2 5 3 2" xfId="13836" xr:uid="{3FB7C0BE-17AB-40EA-9024-A14A43B3BFF7}"/>
    <cellStyle name="40% - Accent3 2 5 4" xfId="9618" xr:uid="{C28A676A-7310-4FB3-BE49-5FE200E28263}"/>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4" xr:uid="{BE6445B4-06AE-4C82-9666-383C63B72D9A}"/>
    <cellStyle name="40% - Accent3 2 6 2 3" xfId="12176" xr:uid="{413BF748-87E3-4EF7-8434-D6BC1B4C23BD}"/>
    <cellStyle name="40% - Accent3 2 6 3" xfId="5810" xr:uid="{00000000-0005-0000-0000-00004A050000}"/>
    <cellStyle name="40% - Accent3 2 6 3 2" xfId="14249" xr:uid="{D979E73F-25BA-4647-A8AC-6BF36FC1FB08}"/>
    <cellStyle name="40% - Accent3 2 6 4" xfId="10031" xr:uid="{B374B06B-51C9-4220-A524-8786154B08A6}"/>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07" xr:uid="{47715E77-1F1D-4A54-A73C-E68E06D9F31E}"/>
    <cellStyle name="40% - Accent3 2 7 2 3" xfId="12589" xr:uid="{AC6D3605-8ECF-4EAE-BEB8-56578BE0614D}"/>
    <cellStyle name="40% - Accent3 2 7 3" xfId="6223" xr:uid="{00000000-0005-0000-0000-00004E050000}"/>
    <cellStyle name="40% - Accent3 2 7 3 2" xfId="14662" xr:uid="{80A45B8A-09C2-4B76-96F8-65720EB3597C}"/>
    <cellStyle name="40% - Accent3 2 7 4" xfId="10444" xr:uid="{838B67D0-8018-4BFC-9541-0C8DB24EC4BA}"/>
    <cellStyle name="40% - Accent3 2 8" xfId="2329" xr:uid="{00000000-0005-0000-0000-00004F050000}"/>
    <cellStyle name="40% - Accent3 2 8 2" xfId="6636" xr:uid="{00000000-0005-0000-0000-000050050000}"/>
    <cellStyle name="40% - Accent3 2 8 2 2" xfId="15075" xr:uid="{F73A73EE-42CB-442D-93B2-741CA6ED5EFE}"/>
    <cellStyle name="40% - Accent3 2 8 3" xfId="10857" xr:uid="{29BAC460-3F04-4665-BD2E-708747846685}"/>
    <cellStyle name="40% - Accent3 2 9" xfId="4570" xr:uid="{00000000-0005-0000-0000-000051050000}"/>
    <cellStyle name="40% - Accent3 2 9 2" xfId="13009" xr:uid="{BBF90EF0-10B6-4FC4-A5A5-1975CD28CE01}"/>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3" xr:uid="{9041526C-9FC4-465B-B822-3F5ABCD735E4}"/>
    <cellStyle name="40% - Accent3 3 2 2 2 3" xfId="11355" xr:uid="{BE152806-DE0A-4B9C-91B6-9C39B24F1C5C}"/>
    <cellStyle name="40% - Accent3 3 2 2 3" xfId="4989" xr:uid="{00000000-0005-0000-0000-000057050000}"/>
    <cellStyle name="40% - Accent3 3 2 2 3 2" xfId="13428" xr:uid="{BF3D69C5-EFA7-4D4F-A74E-FD6644316A0C}"/>
    <cellStyle name="40% - Accent3 3 2 2 4" xfId="9210" xr:uid="{CE2B5950-3FCC-4C6E-9DEE-F0BAF2D60039}"/>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6" xr:uid="{23E89B77-5815-4002-97FD-6B9B526BAC08}"/>
    <cellStyle name="40% - Accent3 3 2 3 2 3" xfId="11768" xr:uid="{ED3E9228-D98C-4022-895F-73F831FE4B7D}"/>
    <cellStyle name="40% - Accent3 3 2 3 3" xfId="5402" xr:uid="{00000000-0005-0000-0000-00005B050000}"/>
    <cellStyle name="40% - Accent3 3 2 3 3 2" xfId="13841" xr:uid="{5DC2CF55-BD0F-465E-A21A-016069D5DDB3}"/>
    <cellStyle name="40% - Accent3 3 2 3 4" xfId="9623" xr:uid="{B4652E98-C8E5-41AC-9446-DFC60C681B00}"/>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399" xr:uid="{B4AA757C-8797-4354-A2A6-784736849498}"/>
    <cellStyle name="40% - Accent3 3 2 4 2 3" xfId="12181" xr:uid="{3C4E6BE2-E024-4A32-8454-E1DD36A08773}"/>
    <cellStyle name="40% - Accent3 3 2 4 3" xfId="5815" xr:uid="{00000000-0005-0000-0000-00005F050000}"/>
    <cellStyle name="40% - Accent3 3 2 4 3 2" xfId="14254" xr:uid="{8D836D20-FD30-4493-AD67-9A87F4681582}"/>
    <cellStyle name="40% - Accent3 3 2 4 4" xfId="10036" xr:uid="{9C44BAF0-CD1B-407B-983B-C47C0B7F10B5}"/>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12" xr:uid="{F74866A7-4181-40FD-8374-D39C2C2F5C39}"/>
    <cellStyle name="40% - Accent3 3 2 5 2 3" xfId="12594" xr:uid="{8EF49F21-EF6A-486F-AA08-1DE9C7001961}"/>
    <cellStyle name="40% - Accent3 3 2 5 3" xfId="6228" xr:uid="{00000000-0005-0000-0000-000063050000}"/>
    <cellStyle name="40% - Accent3 3 2 5 3 2" xfId="14667" xr:uid="{4713987E-BDEE-44B5-8D33-60275077A145}"/>
    <cellStyle name="40% - Accent3 3 2 5 4" xfId="10449" xr:uid="{8A390719-99D7-4A14-AB00-8BF83C06A1B8}"/>
    <cellStyle name="40% - Accent3 3 2 6" xfId="2334" xr:uid="{00000000-0005-0000-0000-000064050000}"/>
    <cellStyle name="40% - Accent3 3 2 6 2" xfId="6641" xr:uid="{00000000-0005-0000-0000-000065050000}"/>
    <cellStyle name="40% - Accent3 3 2 6 2 2" xfId="15080" xr:uid="{EDFDEC88-295F-464C-BEB5-BF0B34982FC0}"/>
    <cellStyle name="40% - Accent3 3 2 6 3" xfId="10862" xr:uid="{45BD177A-F4E2-4811-B437-F1C013E73F43}"/>
    <cellStyle name="40% - Accent3 3 2 7" xfId="4575" xr:uid="{00000000-0005-0000-0000-000066050000}"/>
    <cellStyle name="40% - Accent3 3 2 7 2" xfId="13014" xr:uid="{5E6574EA-9C71-4D4F-B10C-5336EC84AE8D}"/>
    <cellStyle name="40% - Accent3 3 2 8" xfId="8796" xr:uid="{EC57068D-BE9A-4EFE-93F5-04E5FCCCAB5D}"/>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72" xr:uid="{5F88BAA3-BB49-4F27-97FF-18D9B4D5A414}"/>
    <cellStyle name="40% - Accent3 3 3 2 3" xfId="11354" xr:uid="{8193DF5E-D239-450D-BF8C-4C77A02539E6}"/>
    <cellStyle name="40% - Accent3 3 3 3" xfId="4988" xr:uid="{00000000-0005-0000-0000-00006A050000}"/>
    <cellStyle name="40% - Accent3 3 3 3 2" xfId="13427" xr:uid="{0C598756-9A71-4D89-927A-3ADCF0519A86}"/>
    <cellStyle name="40% - Accent3 3 3 4" xfId="9209" xr:uid="{227AE5BF-007C-40EA-99BE-F95A4A3B465B}"/>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5" xr:uid="{5D36C1D4-9E2E-4024-9599-7AD93F1201CA}"/>
    <cellStyle name="40% - Accent3 3 4 2 3" xfId="11767" xr:uid="{D714F7E1-6B55-46C9-8EBC-5E39D77619CE}"/>
    <cellStyle name="40% - Accent3 3 4 3" xfId="5401" xr:uid="{00000000-0005-0000-0000-00006E050000}"/>
    <cellStyle name="40% - Accent3 3 4 3 2" xfId="13840" xr:uid="{83488F8C-A300-43CD-B979-56FAFD072000}"/>
    <cellStyle name="40% - Accent3 3 4 4" xfId="9622" xr:uid="{70740967-A5E9-4006-9793-B9E55CB69D4B}"/>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398" xr:uid="{194D02D8-DB5C-40F2-A49A-097EDA5A603C}"/>
    <cellStyle name="40% - Accent3 3 5 2 3" xfId="12180" xr:uid="{5CC5BBE1-9CA6-4BA6-ACDC-D5070FB6213F}"/>
    <cellStyle name="40% - Accent3 3 5 3" xfId="5814" xr:uid="{00000000-0005-0000-0000-000072050000}"/>
    <cellStyle name="40% - Accent3 3 5 3 2" xfId="14253" xr:uid="{2E5E8C5E-9059-4F9D-A822-12B875C1E4E1}"/>
    <cellStyle name="40% - Accent3 3 5 4" xfId="10035" xr:uid="{81106ACB-95B7-4BAC-BEA6-7373AC496454}"/>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11" xr:uid="{B53E9E7A-D290-4561-8E5B-4E6729017FC7}"/>
    <cellStyle name="40% - Accent3 3 6 2 3" xfId="12593" xr:uid="{1DCCDF10-4AD4-423E-9E93-87DDD880743E}"/>
    <cellStyle name="40% - Accent3 3 6 3" xfId="6227" xr:uid="{00000000-0005-0000-0000-000076050000}"/>
    <cellStyle name="40% - Accent3 3 6 3 2" xfId="14666" xr:uid="{E40EF40C-0071-445C-812F-C666CD090F5F}"/>
    <cellStyle name="40% - Accent3 3 6 4" xfId="10448" xr:uid="{A78C892D-20A6-4116-979C-E3727CC47821}"/>
    <cellStyle name="40% - Accent3 3 7" xfId="2333" xr:uid="{00000000-0005-0000-0000-000077050000}"/>
    <cellStyle name="40% - Accent3 3 7 2" xfId="6640" xr:uid="{00000000-0005-0000-0000-000078050000}"/>
    <cellStyle name="40% - Accent3 3 7 2 2" xfId="15079" xr:uid="{BCF196B4-365A-4077-9313-E63C2DD0D7CC}"/>
    <cellStyle name="40% - Accent3 3 7 3" xfId="10861" xr:uid="{7B149545-2C2F-40BD-A325-21E3FAA52BF8}"/>
    <cellStyle name="40% - Accent3 3 8" xfId="4574" xr:uid="{00000000-0005-0000-0000-000079050000}"/>
    <cellStyle name="40% - Accent3 3 8 2" xfId="13013" xr:uid="{39690EE7-90D3-49FE-A410-8069B8186085}"/>
    <cellStyle name="40% - Accent3 3 9" xfId="8795" xr:uid="{840D3A59-4402-462D-B1E6-6FF5BDE02046}"/>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4" xr:uid="{2D03E9CA-BBCF-41A7-A1B8-BD1186D7D9A6}"/>
    <cellStyle name="40% - Accent3 4 2 2 3" xfId="11356" xr:uid="{4F0815F8-45FE-4D0C-B61E-A1FE9D3DFFB9}"/>
    <cellStyle name="40% - Accent3 4 2 3" xfId="4990" xr:uid="{00000000-0005-0000-0000-00007E050000}"/>
    <cellStyle name="40% - Accent3 4 2 3 2" xfId="13429" xr:uid="{4206F465-7012-483A-8DC3-1ABAB63D895D}"/>
    <cellStyle name="40% - Accent3 4 2 4" xfId="9211" xr:uid="{89B8332D-639A-4225-A190-4FF30650BD26}"/>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87" xr:uid="{FD8A7B64-B898-4A4A-B09F-C18473C8D749}"/>
    <cellStyle name="40% - Accent3 4 3 2 3" xfId="11769" xr:uid="{190B9175-B59E-42D6-97FF-93416AAD39D9}"/>
    <cellStyle name="40% - Accent3 4 3 3" xfId="5403" xr:uid="{00000000-0005-0000-0000-000082050000}"/>
    <cellStyle name="40% - Accent3 4 3 3 2" xfId="13842" xr:uid="{7BD42B8A-B296-4151-9B00-C78284EDC421}"/>
    <cellStyle name="40% - Accent3 4 3 4" xfId="9624" xr:uid="{2EB43933-9AC1-49A3-9DE2-3CBC75929695}"/>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400" xr:uid="{D781D479-C8FB-462D-854C-D48E4B2CCE0D}"/>
    <cellStyle name="40% - Accent3 4 4 2 3" xfId="12182" xr:uid="{58CAC8F8-DA7F-4129-B14B-6B9E39E6D8F3}"/>
    <cellStyle name="40% - Accent3 4 4 3" xfId="5816" xr:uid="{00000000-0005-0000-0000-000086050000}"/>
    <cellStyle name="40% - Accent3 4 4 3 2" xfId="14255" xr:uid="{CBCEC4C8-BD5B-4DC9-985B-A8C682F15FB9}"/>
    <cellStyle name="40% - Accent3 4 4 4" xfId="10037" xr:uid="{05B42AFA-A632-41FD-A025-967B24ED334E}"/>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3" xr:uid="{858CA828-D880-4E9A-8CC3-AF682AA798E8}"/>
    <cellStyle name="40% - Accent3 4 5 2 3" xfId="12595" xr:uid="{A4308E01-B0DA-495B-876B-A2EF060F6B37}"/>
    <cellStyle name="40% - Accent3 4 5 3" xfId="6229" xr:uid="{00000000-0005-0000-0000-00008A050000}"/>
    <cellStyle name="40% - Accent3 4 5 3 2" xfId="14668" xr:uid="{00491872-090E-4679-8F3F-5A93E4A936D8}"/>
    <cellStyle name="40% - Accent3 4 5 4" xfId="10450" xr:uid="{AC95DAC1-34C6-44DC-98CA-BA6D762CC242}"/>
    <cellStyle name="40% - Accent3 4 6" xfId="2335" xr:uid="{00000000-0005-0000-0000-00008B050000}"/>
    <cellStyle name="40% - Accent3 4 6 2" xfId="6642" xr:uid="{00000000-0005-0000-0000-00008C050000}"/>
    <cellStyle name="40% - Accent3 4 6 2 2" xfId="15081" xr:uid="{21153E57-BD28-459F-9519-2A1F037D5791}"/>
    <cellStyle name="40% - Accent3 4 6 3" xfId="10863" xr:uid="{D3D71934-8280-4CBE-95FC-19DE5951BC5E}"/>
    <cellStyle name="40% - Accent3 4 7" xfId="4576" xr:uid="{00000000-0005-0000-0000-00008D050000}"/>
    <cellStyle name="40% - Accent3 4 7 2" xfId="13015" xr:uid="{D48170E8-A6EF-4FD3-8A32-4EB69BF7E53F}"/>
    <cellStyle name="40% - Accent3 4 8" xfId="8797" xr:uid="{98B39BB5-8EEC-46C5-9C71-234B73A41EE8}"/>
    <cellStyle name="40% - Accent3 5" xfId="634" xr:uid="{00000000-0005-0000-0000-00008E050000}"/>
    <cellStyle name="40% - Accent3 5 2" xfId="2905" xr:uid="{00000000-0005-0000-0000-00008F050000}"/>
    <cellStyle name="40% - Accent3 5 2 2" xfId="7128" xr:uid="{00000000-0005-0000-0000-000090050000}"/>
    <cellStyle name="40% - Accent3 5 2 2 2" xfId="15567" xr:uid="{A91399C9-B005-4888-8406-76A69276658F}"/>
    <cellStyle name="40% - Accent3 5 2 3" xfId="11349" xr:uid="{493772DB-370E-4220-A82F-DF8192DD2989}"/>
    <cellStyle name="40% - Accent3 5 3" xfId="4983" xr:uid="{00000000-0005-0000-0000-000091050000}"/>
    <cellStyle name="40% - Accent3 5 3 2" xfId="13422" xr:uid="{732F5A85-279F-4900-B671-FE6F122BEB60}"/>
    <cellStyle name="40% - Accent3 5 4" xfId="9204" xr:uid="{F0B72F62-B4F2-461B-A6C3-9EEA435F9DEC}"/>
    <cellStyle name="40% - Accent3 6" xfId="1087" xr:uid="{00000000-0005-0000-0000-000092050000}"/>
    <cellStyle name="40% - Accent3 6 2" xfId="3318" xr:uid="{00000000-0005-0000-0000-000093050000}"/>
    <cellStyle name="40% - Accent3 6 2 2" xfId="7541" xr:uid="{00000000-0005-0000-0000-000094050000}"/>
    <cellStyle name="40% - Accent3 6 2 2 2" xfId="15980" xr:uid="{761E193B-BC9D-4A28-8364-654793EDC03D}"/>
    <cellStyle name="40% - Accent3 6 2 3" xfId="11762" xr:uid="{E8C4C677-7C80-484B-828B-F7038ED479CD}"/>
    <cellStyle name="40% - Accent3 6 3" xfId="5396" xr:uid="{00000000-0005-0000-0000-000095050000}"/>
    <cellStyle name="40% - Accent3 6 3 2" xfId="13835" xr:uid="{B2EA53FC-0594-4744-A1E2-1FBF63C2C8A3}"/>
    <cellStyle name="40% - Accent3 6 4" xfId="9617" xr:uid="{0C484773-9BEE-40E6-BABE-170333ACD412}"/>
    <cellStyle name="40% - Accent3 7" xfId="1501" xr:uid="{00000000-0005-0000-0000-000096050000}"/>
    <cellStyle name="40% - Accent3 7 2" xfId="3731" xr:uid="{00000000-0005-0000-0000-000097050000}"/>
    <cellStyle name="40% - Accent3 7 2 2" xfId="7954" xr:uid="{00000000-0005-0000-0000-000098050000}"/>
    <cellStyle name="40% - Accent3 7 2 2 2" xfId="16393" xr:uid="{ED1BAC10-6DA2-45A7-97AE-8EA357DFD60D}"/>
    <cellStyle name="40% - Accent3 7 2 3" xfId="12175" xr:uid="{7AFBD7D0-B3D3-4989-9C99-8B3A7D9BF7A6}"/>
    <cellStyle name="40% - Accent3 7 3" xfId="5809" xr:uid="{00000000-0005-0000-0000-000099050000}"/>
    <cellStyle name="40% - Accent3 7 3 2" xfId="14248" xr:uid="{2EA1D354-53C1-4344-AB58-BE1C2AEEA93A}"/>
    <cellStyle name="40% - Accent3 7 4" xfId="10030" xr:uid="{8B7933A0-0128-4E38-A6FB-2BA95B1CC4EF}"/>
    <cellStyle name="40% - Accent3 8" xfId="1915" xr:uid="{00000000-0005-0000-0000-00009A050000}"/>
    <cellStyle name="40% - Accent3 8 2" xfId="4144" xr:uid="{00000000-0005-0000-0000-00009B050000}"/>
    <cellStyle name="40% - Accent3 8 2 2" xfId="8367" xr:uid="{00000000-0005-0000-0000-00009C050000}"/>
    <cellStyle name="40% - Accent3 8 2 2 2" xfId="16806" xr:uid="{E87EA092-F2B0-46FF-B3B5-923E03C51DD7}"/>
    <cellStyle name="40% - Accent3 8 2 3" xfId="12588" xr:uid="{3B79D05A-5D85-4856-85FE-D064DDCCBA95}"/>
    <cellStyle name="40% - Accent3 8 3" xfId="6222" xr:uid="{00000000-0005-0000-0000-00009D050000}"/>
    <cellStyle name="40% - Accent3 8 3 2" xfId="14661" xr:uid="{115F721D-483C-4079-8C97-B44603C72110}"/>
    <cellStyle name="40% - Accent3 8 4" xfId="10443" xr:uid="{FD96D107-E464-430C-BF09-5A5DE6BFCFD9}"/>
    <cellStyle name="40% - Accent3 9" xfId="2328" xr:uid="{00000000-0005-0000-0000-00009E050000}"/>
    <cellStyle name="40% - Accent3 9 2" xfId="6635" xr:uid="{00000000-0005-0000-0000-00009F050000}"/>
    <cellStyle name="40% - Accent3 9 2 2" xfId="15074" xr:uid="{A4BC0E1F-1AD4-49E5-B969-B7D55EA3C55A}"/>
    <cellStyle name="40% - Accent3 9 3" xfId="10856" xr:uid="{C5B8C347-F1A9-4BBB-A91A-6C2EAFF2E386}"/>
    <cellStyle name="40% - Accent4" xfId="73" builtinId="43" customBuiltin="1"/>
    <cellStyle name="40% - Accent4 10" xfId="4577" xr:uid="{00000000-0005-0000-0000-0000A1050000}"/>
    <cellStyle name="40% - Accent4 10 2" xfId="13016" xr:uid="{0E6CB578-11A7-4FC3-AC27-DA1CA4919325}"/>
    <cellStyle name="40% - Accent4 11" xfId="8798" xr:uid="{62524FC5-74AF-467C-AA84-73F735BAC1B2}"/>
    <cellStyle name="40% - Accent4 2" xfId="74" xr:uid="{00000000-0005-0000-0000-0000A2050000}"/>
    <cellStyle name="40% - Accent4 2 10" xfId="8799" xr:uid="{E0996D1D-0F3F-46E7-ABB4-ADA9749C8548}"/>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78" xr:uid="{208E3565-061F-44BF-8972-052271E28362}"/>
    <cellStyle name="40% - Accent4 2 2 2 2 2 3" xfId="11360" xr:uid="{8B2948D2-ECD3-4208-8E17-11DA2B8DDB9B}"/>
    <cellStyle name="40% - Accent4 2 2 2 2 3" xfId="4994" xr:uid="{00000000-0005-0000-0000-0000A8050000}"/>
    <cellStyle name="40% - Accent4 2 2 2 2 3 2" xfId="13433" xr:uid="{30733037-ED6F-44E7-9EC8-0507240783DB}"/>
    <cellStyle name="40% - Accent4 2 2 2 2 4" xfId="9215" xr:uid="{38331BA4-C7B4-4FEB-989A-653C96EA233A}"/>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91" xr:uid="{CBD78237-ACA4-4E96-95DE-2801CEF9F7E9}"/>
    <cellStyle name="40% - Accent4 2 2 2 3 2 3" xfId="11773" xr:uid="{C123121C-B20C-4EAA-BA42-57994744FDF9}"/>
    <cellStyle name="40% - Accent4 2 2 2 3 3" xfId="5407" xr:uid="{00000000-0005-0000-0000-0000AC050000}"/>
    <cellStyle name="40% - Accent4 2 2 2 3 3 2" xfId="13846" xr:uid="{CE1772D6-CEF6-4836-B306-5022AAAA722D}"/>
    <cellStyle name="40% - Accent4 2 2 2 3 4" xfId="9628" xr:uid="{BEE6FBE4-331E-47DA-81F9-3DCFBE52FD42}"/>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4" xr:uid="{A5FF9B3B-55E4-4D67-8399-F559966F4D91}"/>
    <cellStyle name="40% - Accent4 2 2 2 4 2 3" xfId="12186" xr:uid="{A978AEB9-AC9F-42AC-B92B-87EE2EAC0E04}"/>
    <cellStyle name="40% - Accent4 2 2 2 4 3" xfId="5820" xr:uid="{00000000-0005-0000-0000-0000B0050000}"/>
    <cellStyle name="40% - Accent4 2 2 2 4 3 2" xfId="14259" xr:uid="{C776F368-77D8-49B8-A9DB-827E864667A2}"/>
    <cellStyle name="40% - Accent4 2 2 2 4 4" xfId="10041" xr:uid="{ABDED655-A805-49A2-A2B4-9221D9761E3C}"/>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17" xr:uid="{B9FE3144-EC1B-43AD-8A9D-008367F156CE}"/>
    <cellStyle name="40% - Accent4 2 2 2 5 2 3" xfId="12599" xr:uid="{B777762D-4FFD-44DF-9C72-1D1C4E7C3951}"/>
    <cellStyle name="40% - Accent4 2 2 2 5 3" xfId="6233" xr:uid="{00000000-0005-0000-0000-0000B4050000}"/>
    <cellStyle name="40% - Accent4 2 2 2 5 3 2" xfId="14672" xr:uid="{D86DBA7C-1F9A-4AA4-9E6C-7C8303ACD7A4}"/>
    <cellStyle name="40% - Accent4 2 2 2 5 4" xfId="10454" xr:uid="{6CFC8F1C-7D98-4419-A60D-B351140C8B19}"/>
    <cellStyle name="40% - Accent4 2 2 2 6" xfId="2339" xr:uid="{00000000-0005-0000-0000-0000B5050000}"/>
    <cellStyle name="40% - Accent4 2 2 2 6 2" xfId="6646" xr:uid="{00000000-0005-0000-0000-0000B6050000}"/>
    <cellStyle name="40% - Accent4 2 2 2 6 2 2" xfId="15085" xr:uid="{4523FF68-F2A1-45F9-9E7F-859F05B6D922}"/>
    <cellStyle name="40% - Accent4 2 2 2 6 3" xfId="10867" xr:uid="{DCBE02A9-14CD-4DC2-9C74-13E46BFF237D}"/>
    <cellStyle name="40% - Accent4 2 2 2 7" xfId="4580" xr:uid="{00000000-0005-0000-0000-0000B7050000}"/>
    <cellStyle name="40% - Accent4 2 2 2 7 2" xfId="13019" xr:uid="{11A2B6E8-587B-4F8F-BC9C-B8E88399B81A}"/>
    <cellStyle name="40% - Accent4 2 2 2 8" xfId="8801" xr:uid="{4DC0EDC8-28D1-4386-8493-AF56F5B5F195}"/>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77" xr:uid="{7BBBC89A-1ADC-46F7-A25D-AD45588EE0D4}"/>
    <cellStyle name="40% - Accent4 2 2 3 2 3" xfId="11359" xr:uid="{D5F4F0A6-C445-4E20-9256-1E8C85C4ABA6}"/>
    <cellStyle name="40% - Accent4 2 2 3 3" xfId="4993" xr:uid="{00000000-0005-0000-0000-0000BB050000}"/>
    <cellStyle name="40% - Accent4 2 2 3 3 2" xfId="13432" xr:uid="{79C3F027-35BD-4F1E-9BFE-D8C48F3960B8}"/>
    <cellStyle name="40% - Accent4 2 2 3 4" xfId="9214" xr:uid="{D5429263-9881-4D2F-83F6-D2DF5634D25D}"/>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90" xr:uid="{80E83202-EB97-44BB-AD23-BD6949A32622}"/>
    <cellStyle name="40% - Accent4 2 2 4 2 3" xfId="11772" xr:uid="{D1DD6F13-432F-4D90-B76C-29FB28FCC6A4}"/>
    <cellStyle name="40% - Accent4 2 2 4 3" xfId="5406" xr:uid="{00000000-0005-0000-0000-0000BF050000}"/>
    <cellStyle name="40% - Accent4 2 2 4 3 2" xfId="13845" xr:uid="{FB94CE29-4E08-436C-A366-317BEB557A7A}"/>
    <cellStyle name="40% - Accent4 2 2 4 4" xfId="9627" xr:uid="{64082D37-C328-451C-A3F1-F90481572A84}"/>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3" xr:uid="{C74BF683-A4BD-46D7-A3A2-2D4A1CF7933E}"/>
    <cellStyle name="40% - Accent4 2 2 5 2 3" xfId="12185" xr:uid="{2EADF4A9-B51E-439C-917B-2F720CC55021}"/>
    <cellStyle name="40% - Accent4 2 2 5 3" xfId="5819" xr:uid="{00000000-0005-0000-0000-0000C3050000}"/>
    <cellStyle name="40% - Accent4 2 2 5 3 2" xfId="14258" xr:uid="{6007B85F-5DC2-41E7-ACDD-70D2E4747E80}"/>
    <cellStyle name="40% - Accent4 2 2 5 4" xfId="10040" xr:uid="{42BEA6E8-C9EF-4216-865D-666C5D178C1A}"/>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6" xr:uid="{46CB4BA5-8E29-42AB-A869-6D1F989EFE81}"/>
    <cellStyle name="40% - Accent4 2 2 6 2 3" xfId="12598" xr:uid="{B274FC5D-3608-4967-BF52-ACA3606199CE}"/>
    <cellStyle name="40% - Accent4 2 2 6 3" xfId="6232" xr:uid="{00000000-0005-0000-0000-0000C7050000}"/>
    <cellStyle name="40% - Accent4 2 2 6 3 2" xfId="14671" xr:uid="{851F4D5D-4083-4643-8824-A48FCA306807}"/>
    <cellStyle name="40% - Accent4 2 2 6 4" xfId="10453" xr:uid="{DCEBDB6C-F19F-4A06-BC8C-0ED92F99A4A2}"/>
    <cellStyle name="40% - Accent4 2 2 7" xfId="2338" xr:uid="{00000000-0005-0000-0000-0000C8050000}"/>
    <cellStyle name="40% - Accent4 2 2 7 2" xfId="6645" xr:uid="{00000000-0005-0000-0000-0000C9050000}"/>
    <cellStyle name="40% - Accent4 2 2 7 2 2" xfId="15084" xr:uid="{3929D9FE-1A26-4520-B76D-87DFBF3CFE5A}"/>
    <cellStyle name="40% - Accent4 2 2 7 3" xfId="10866" xr:uid="{6C3F8716-B64C-47AD-BED3-76EF28A944FC}"/>
    <cellStyle name="40% - Accent4 2 2 8" xfId="4579" xr:uid="{00000000-0005-0000-0000-0000CA050000}"/>
    <cellStyle name="40% - Accent4 2 2 8 2" xfId="13018" xr:uid="{61A14DE5-8AB5-43B5-B2F1-66C2BE3B8CEA}"/>
    <cellStyle name="40% - Accent4 2 2 9" xfId="8800" xr:uid="{06954207-3929-4660-A784-5C7077763FD9}"/>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79" xr:uid="{E7C57BD9-8832-4AC6-BEA5-C5C8807932D0}"/>
    <cellStyle name="40% - Accent4 2 3 2 2 3" xfId="11361" xr:uid="{5042DCFE-0CCA-444F-B6AD-7CE45DFC5051}"/>
    <cellStyle name="40% - Accent4 2 3 2 3" xfId="4995" xr:uid="{00000000-0005-0000-0000-0000CF050000}"/>
    <cellStyle name="40% - Accent4 2 3 2 3 2" xfId="13434" xr:uid="{EFBA83E2-BBAA-420F-927D-EA48F774A63A}"/>
    <cellStyle name="40% - Accent4 2 3 2 4" xfId="9216" xr:uid="{EB8393D6-5A96-4DA9-AAE1-53225AFA7826}"/>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92" xr:uid="{81E3D606-BED4-46D0-A73B-60C896DFE208}"/>
    <cellStyle name="40% - Accent4 2 3 3 2 3" xfId="11774" xr:uid="{5F4E61A3-883A-493B-B82D-A7872236CE64}"/>
    <cellStyle name="40% - Accent4 2 3 3 3" xfId="5408" xr:uid="{00000000-0005-0000-0000-0000D3050000}"/>
    <cellStyle name="40% - Accent4 2 3 3 3 2" xfId="13847" xr:uid="{B416FB29-DDAC-4EBD-8115-3FF19DA067FF}"/>
    <cellStyle name="40% - Accent4 2 3 3 4" xfId="9629" xr:uid="{A4EF0247-91F8-4D7D-A8A3-5A89A5DADF90}"/>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5" xr:uid="{84869D8D-BE4D-428E-B760-F9D215BB52D9}"/>
    <cellStyle name="40% - Accent4 2 3 4 2 3" xfId="12187" xr:uid="{70502716-02BB-42DA-9512-FF90FDDF88AF}"/>
    <cellStyle name="40% - Accent4 2 3 4 3" xfId="5821" xr:uid="{00000000-0005-0000-0000-0000D7050000}"/>
    <cellStyle name="40% - Accent4 2 3 4 3 2" xfId="14260" xr:uid="{2775146C-F486-4D21-B0F2-45026D2A4964}"/>
    <cellStyle name="40% - Accent4 2 3 4 4" xfId="10042" xr:uid="{8E090DEF-C157-4F7E-B263-1C89EA6BE30C}"/>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18" xr:uid="{B3BF9B86-58D6-482C-B96B-26BD353388AF}"/>
    <cellStyle name="40% - Accent4 2 3 5 2 3" xfId="12600" xr:uid="{1BD203F3-FB5D-44D5-AA58-34F672D4A5FC}"/>
    <cellStyle name="40% - Accent4 2 3 5 3" xfId="6234" xr:uid="{00000000-0005-0000-0000-0000DB050000}"/>
    <cellStyle name="40% - Accent4 2 3 5 3 2" xfId="14673" xr:uid="{904443AF-29CF-4FA8-A3B4-2DC6DB7F87B4}"/>
    <cellStyle name="40% - Accent4 2 3 5 4" xfId="10455" xr:uid="{27049164-3D7B-4E85-8BE8-786B0CFA74F8}"/>
    <cellStyle name="40% - Accent4 2 3 6" xfId="2340" xr:uid="{00000000-0005-0000-0000-0000DC050000}"/>
    <cellStyle name="40% - Accent4 2 3 6 2" xfId="6647" xr:uid="{00000000-0005-0000-0000-0000DD050000}"/>
    <cellStyle name="40% - Accent4 2 3 6 2 2" xfId="15086" xr:uid="{CC934480-1969-4A2D-B589-3EB584BD0628}"/>
    <cellStyle name="40% - Accent4 2 3 6 3" xfId="10868" xr:uid="{3C92BA55-7AB1-4B55-A4C1-BA53E86D03E5}"/>
    <cellStyle name="40% - Accent4 2 3 7" xfId="4581" xr:uid="{00000000-0005-0000-0000-0000DE050000}"/>
    <cellStyle name="40% - Accent4 2 3 7 2" xfId="13020" xr:uid="{D8E32DD4-A4D6-48DD-9CC8-B0A0F53B5FE5}"/>
    <cellStyle name="40% - Accent4 2 3 8" xfId="8802" xr:uid="{4ECC359B-DEC1-472A-B954-8E3B5524D7E4}"/>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6" xr:uid="{0991CB6D-9043-41FB-AA64-9451CC8D3092}"/>
    <cellStyle name="40% - Accent4 2 4 2 3" xfId="11358" xr:uid="{942FF56D-DDCD-4C04-9ACF-87891CD1F49A}"/>
    <cellStyle name="40% - Accent4 2 4 3" xfId="4992" xr:uid="{00000000-0005-0000-0000-0000E2050000}"/>
    <cellStyle name="40% - Accent4 2 4 3 2" xfId="13431" xr:uid="{0C04D250-3FD8-4AD2-849C-46667E6B8CC2}"/>
    <cellStyle name="40% - Accent4 2 4 4" xfId="9213" xr:uid="{E83EF90B-5458-4A67-A69D-86C3EBA3A75F}"/>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89" xr:uid="{B2B4E6C3-A5E3-45C6-B8E1-AA718D4EDE8D}"/>
    <cellStyle name="40% - Accent4 2 5 2 3" xfId="11771" xr:uid="{06BA593C-4CC8-4ADB-B39E-6623E650C47A}"/>
    <cellStyle name="40% - Accent4 2 5 3" xfId="5405" xr:uid="{00000000-0005-0000-0000-0000E6050000}"/>
    <cellStyle name="40% - Accent4 2 5 3 2" xfId="13844" xr:uid="{10402E86-D4F6-4546-823D-EC9AE7FE7BE0}"/>
    <cellStyle name="40% - Accent4 2 5 4" xfId="9626" xr:uid="{3FD113D4-9AC7-4754-A827-853D2827E3B0}"/>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402" xr:uid="{0BE825D0-F957-4BD1-AC27-B81443258845}"/>
    <cellStyle name="40% - Accent4 2 6 2 3" xfId="12184" xr:uid="{446D0713-F6F9-4718-8F33-A72232C849C3}"/>
    <cellStyle name="40% - Accent4 2 6 3" xfId="5818" xr:uid="{00000000-0005-0000-0000-0000EA050000}"/>
    <cellStyle name="40% - Accent4 2 6 3 2" xfId="14257" xr:uid="{464118D4-D68E-42B9-8850-EFBD925A50F6}"/>
    <cellStyle name="40% - Accent4 2 6 4" xfId="10039" xr:uid="{29B6B8AA-63C5-404F-9D8A-CBCAE5947B29}"/>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5" xr:uid="{0CA2CB5B-D05D-4A01-815B-F5D19A04A27E}"/>
    <cellStyle name="40% - Accent4 2 7 2 3" xfId="12597" xr:uid="{9CD497D3-B570-4C2F-BA3D-C538EB59D6DB}"/>
    <cellStyle name="40% - Accent4 2 7 3" xfId="6231" xr:uid="{00000000-0005-0000-0000-0000EE050000}"/>
    <cellStyle name="40% - Accent4 2 7 3 2" xfId="14670" xr:uid="{CC6CA7EA-7154-4117-B822-0FD8F144D809}"/>
    <cellStyle name="40% - Accent4 2 7 4" xfId="10452" xr:uid="{FD24BB9D-8FF4-4F76-9629-E3AA8761B36D}"/>
    <cellStyle name="40% - Accent4 2 8" xfId="2337" xr:uid="{00000000-0005-0000-0000-0000EF050000}"/>
    <cellStyle name="40% - Accent4 2 8 2" xfId="6644" xr:uid="{00000000-0005-0000-0000-0000F0050000}"/>
    <cellStyle name="40% - Accent4 2 8 2 2" xfId="15083" xr:uid="{7FC15E69-57A8-4BF2-BECA-37F6ED8D31BC}"/>
    <cellStyle name="40% - Accent4 2 8 3" xfId="10865" xr:uid="{B626341F-EE6F-4211-AB61-BF1295A6C5C5}"/>
    <cellStyle name="40% - Accent4 2 9" xfId="4578" xr:uid="{00000000-0005-0000-0000-0000F1050000}"/>
    <cellStyle name="40% - Accent4 2 9 2" xfId="13017" xr:uid="{20B76F5F-1A7A-4A88-9E33-4880613258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81" xr:uid="{593DD749-BF4B-4B8D-ACF7-8240E7DF5186}"/>
    <cellStyle name="40% - Accent4 3 2 2 2 3" xfId="11363" xr:uid="{41ED0019-16C3-45E9-A287-4D5612F15372}"/>
    <cellStyle name="40% - Accent4 3 2 2 3" xfId="4997" xr:uid="{00000000-0005-0000-0000-0000F7050000}"/>
    <cellStyle name="40% - Accent4 3 2 2 3 2" xfId="13436" xr:uid="{AFBCCF92-E6A4-424D-9A7B-0F07B436DE8A}"/>
    <cellStyle name="40% - Accent4 3 2 2 4" xfId="9218" xr:uid="{B6BAB548-6C8E-4174-AF73-22CC4DE521F0}"/>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4" xr:uid="{4F7FFB86-671C-4454-894B-4D4165BA245F}"/>
    <cellStyle name="40% - Accent4 3 2 3 2 3" xfId="11776" xr:uid="{C7BB9238-B330-426D-8E90-50AFE7177653}"/>
    <cellStyle name="40% - Accent4 3 2 3 3" xfId="5410" xr:uid="{00000000-0005-0000-0000-0000FB050000}"/>
    <cellStyle name="40% - Accent4 3 2 3 3 2" xfId="13849" xr:uid="{D8CCC33F-A98B-4BA0-9BAA-AC88CAEE079D}"/>
    <cellStyle name="40% - Accent4 3 2 3 4" xfId="9631" xr:uid="{BA1BF99D-11D2-481A-AF4D-0770BFE16B41}"/>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07" xr:uid="{8A08104A-4E87-4862-B57D-F956D248AAEF}"/>
    <cellStyle name="40% - Accent4 3 2 4 2 3" xfId="12189" xr:uid="{CFE65A28-F979-465B-99B0-0D23C3EB97BB}"/>
    <cellStyle name="40% - Accent4 3 2 4 3" xfId="5823" xr:uid="{00000000-0005-0000-0000-0000FF050000}"/>
    <cellStyle name="40% - Accent4 3 2 4 3 2" xfId="14262" xr:uid="{0C1BD849-A5CA-44DB-A667-190C492B1395}"/>
    <cellStyle name="40% - Accent4 3 2 4 4" xfId="10044" xr:uid="{F3FDACA2-6B81-4DF2-A84F-13264380A63F}"/>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20" xr:uid="{0287957D-143B-469E-8953-9E31D8EAD5AB}"/>
    <cellStyle name="40% - Accent4 3 2 5 2 3" xfId="12602" xr:uid="{42A298C1-F7F5-4A7C-A31F-98EF525EB781}"/>
    <cellStyle name="40% - Accent4 3 2 5 3" xfId="6236" xr:uid="{00000000-0005-0000-0000-000003060000}"/>
    <cellStyle name="40% - Accent4 3 2 5 3 2" xfId="14675" xr:uid="{B4628C45-B185-4D52-819E-06A7858BCCED}"/>
    <cellStyle name="40% - Accent4 3 2 5 4" xfId="10457" xr:uid="{5BEAFBC5-DFDA-48D9-A635-FC7664A1782F}"/>
    <cellStyle name="40% - Accent4 3 2 6" xfId="2342" xr:uid="{00000000-0005-0000-0000-000004060000}"/>
    <cellStyle name="40% - Accent4 3 2 6 2" xfId="6649" xr:uid="{00000000-0005-0000-0000-000005060000}"/>
    <cellStyle name="40% - Accent4 3 2 6 2 2" xfId="15088" xr:uid="{F8A7B28E-6C45-43B3-9569-3AD076B77E5C}"/>
    <cellStyle name="40% - Accent4 3 2 6 3" xfId="10870" xr:uid="{E99E9238-D9CF-48FE-8CF6-B6483F980626}"/>
    <cellStyle name="40% - Accent4 3 2 7" xfId="4583" xr:uid="{00000000-0005-0000-0000-000006060000}"/>
    <cellStyle name="40% - Accent4 3 2 7 2" xfId="13022" xr:uid="{F6C610D3-954B-4411-AB98-74316A2B7EFD}"/>
    <cellStyle name="40% - Accent4 3 2 8" xfId="8804" xr:uid="{61756C78-6CBD-46DB-A481-3231EA5E8ADD}"/>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80" xr:uid="{714BABD7-B092-412B-91AC-575B328123A9}"/>
    <cellStyle name="40% - Accent4 3 3 2 3" xfId="11362" xr:uid="{21F5B0C6-BBD7-42EA-8B11-7E06971A6035}"/>
    <cellStyle name="40% - Accent4 3 3 3" xfId="4996" xr:uid="{00000000-0005-0000-0000-00000A060000}"/>
    <cellStyle name="40% - Accent4 3 3 3 2" xfId="13435" xr:uid="{096A5712-C1DA-4CAE-8141-3539F70F6014}"/>
    <cellStyle name="40% - Accent4 3 3 4" xfId="9217" xr:uid="{58F48C23-92AC-4350-85F7-9B8329290D45}"/>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3" xr:uid="{AD4637C0-9FC3-4474-B3C1-656AF694FE26}"/>
    <cellStyle name="40% - Accent4 3 4 2 3" xfId="11775" xr:uid="{29F08EB1-AFF8-4E1B-A25A-75F3E09F52C0}"/>
    <cellStyle name="40% - Accent4 3 4 3" xfId="5409" xr:uid="{00000000-0005-0000-0000-00000E060000}"/>
    <cellStyle name="40% - Accent4 3 4 3 2" xfId="13848" xr:uid="{F66E8146-A7DD-454C-9449-2E5F07E2CAB3}"/>
    <cellStyle name="40% - Accent4 3 4 4" xfId="9630" xr:uid="{426B194B-6153-4882-9B47-9A652552BFBE}"/>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6" xr:uid="{01477899-51BE-4EDB-84BA-E5986850E494}"/>
    <cellStyle name="40% - Accent4 3 5 2 3" xfId="12188" xr:uid="{27F2AA50-F66C-4518-BACD-F3FD516F17EE}"/>
    <cellStyle name="40% - Accent4 3 5 3" xfId="5822" xr:uid="{00000000-0005-0000-0000-000012060000}"/>
    <cellStyle name="40% - Accent4 3 5 3 2" xfId="14261" xr:uid="{6595987E-BA42-43F4-AB74-7F117FC0E83F}"/>
    <cellStyle name="40% - Accent4 3 5 4" xfId="10043" xr:uid="{580E5088-4506-4813-A887-3B7CD51B0D9E}"/>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19" xr:uid="{2D895D29-617A-4B4E-8492-56EAFF28F80E}"/>
    <cellStyle name="40% - Accent4 3 6 2 3" xfId="12601" xr:uid="{19E4A577-6975-4D89-B0C8-6F76BDE27023}"/>
    <cellStyle name="40% - Accent4 3 6 3" xfId="6235" xr:uid="{00000000-0005-0000-0000-000016060000}"/>
    <cellStyle name="40% - Accent4 3 6 3 2" xfId="14674" xr:uid="{FE36B49A-626F-4C80-838C-B88A37877B89}"/>
    <cellStyle name="40% - Accent4 3 6 4" xfId="10456" xr:uid="{A2EF337F-0C5A-451A-964E-C72F3CD4F289}"/>
    <cellStyle name="40% - Accent4 3 7" xfId="2341" xr:uid="{00000000-0005-0000-0000-000017060000}"/>
    <cellStyle name="40% - Accent4 3 7 2" xfId="6648" xr:uid="{00000000-0005-0000-0000-000018060000}"/>
    <cellStyle name="40% - Accent4 3 7 2 2" xfId="15087" xr:uid="{2D0DC482-D256-4377-AED6-7C132E4FA530}"/>
    <cellStyle name="40% - Accent4 3 7 3" xfId="10869" xr:uid="{49FD5E9B-033A-43D4-9FCB-F2A3C184C0C9}"/>
    <cellStyle name="40% - Accent4 3 8" xfId="4582" xr:uid="{00000000-0005-0000-0000-000019060000}"/>
    <cellStyle name="40% - Accent4 3 8 2" xfId="13021" xr:uid="{0DADEDC8-4255-4B95-9812-EC73B1A16972}"/>
    <cellStyle name="40% - Accent4 3 9" xfId="8803" xr:uid="{7D62D2FD-3D21-4376-A28C-0D05A732EAD2}"/>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82" xr:uid="{981A3619-60DE-4F3D-A57E-1F5D1C8F69B5}"/>
    <cellStyle name="40% - Accent4 4 2 2 3" xfId="11364" xr:uid="{D851748C-C1AF-4E4B-9ED0-1F040DC1ED54}"/>
    <cellStyle name="40% - Accent4 4 2 3" xfId="4998" xr:uid="{00000000-0005-0000-0000-00001E060000}"/>
    <cellStyle name="40% - Accent4 4 2 3 2" xfId="13437" xr:uid="{A6F2F304-10BB-4E6D-A907-050389C9516E}"/>
    <cellStyle name="40% - Accent4 4 2 4" xfId="9219" xr:uid="{7A34F619-DD8A-4014-B721-1B74FCD8841B}"/>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5" xr:uid="{2C6CAB88-0646-4BFF-B8A2-4E8A26DFC6CA}"/>
    <cellStyle name="40% - Accent4 4 3 2 3" xfId="11777" xr:uid="{2DE78E25-4E40-4902-8EA3-2AAC2C0FD576}"/>
    <cellStyle name="40% - Accent4 4 3 3" xfId="5411" xr:uid="{00000000-0005-0000-0000-000022060000}"/>
    <cellStyle name="40% - Accent4 4 3 3 2" xfId="13850" xr:uid="{D7503494-4404-475D-A0E9-D2978B15F45E}"/>
    <cellStyle name="40% - Accent4 4 3 4" xfId="9632" xr:uid="{7A55FB1F-AE9F-4970-A904-E53451213BF6}"/>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08" xr:uid="{B4D73D55-CE55-4013-A2C9-BD0B6C0F609C}"/>
    <cellStyle name="40% - Accent4 4 4 2 3" xfId="12190" xr:uid="{94E93231-1EE4-493E-BA7B-377BEFA344FB}"/>
    <cellStyle name="40% - Accent4 4 4 3" xfId="5824" xr:uid="{00000000-0005-0000-0000-000026060000}"/>
    <cellStyle name="40% - Accent4 4 4 3 2" xfId="14263" xr:uid="{31565C3C-4BF2-45BB-B5DD-3AE0FF7ECE54}"/>
    <cellStyle name="40% - Accent4 4 4 4" xfId="10045" xr:uid="{22A36937-718A-463F-8725-704E22496772}"/>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21" xr:uid="{7CAC972E-7D88-401B-BE9A-544D6306A800}"/>
    <cellStyle name="40% - Accent4 4 5 2 3" xfId="12603" xr:uid="{89860BBE-A498-42CB-8637-E17AB59F87F4}"/>
    <cellStyle name="40% - Accent4 4 5 3" xfId="6237" xr:uid="{00000000-0005-0000-0000-00002A060000}"/>
    <cellStyle name="40% - Accent4 4 5 3 2" xfId="14676" xr:uid="{10A1F960-0388-4779-8EFE-11CE84009C44}"/>
    <cellStyle name="40% - Accent4 4 5 4" xfId="10458" xr:uid="{747936C2-1719-4417-A38D-6803A9FFCA7D}"/>
    <cellStyle name="40% - Accent4 4 6" xfId="2343" xr:uid="{00000000-0005-0000-0000-00002B060000}"/>
    <cellStyle name="40% - Accent4 4 6 2" xfId="6650" xr:uid="{00000000-0005-0000-0000-00002C060000}"/>
    <cellStyle name="40% - Accent4 4 6 2 2" xfId="15089" xr:uid="{275455AF-99D8-48AE-B9B7-470FE582C8BF}"/>
    <cellStyle name="40% - Accent4 4 6 3" xfId="10871" xr:uid="{DCE1A396-491E-4D4F-A305-5B5E3C2F1D9B}"/>
    <cellStyle name="40% - Accent4 4 7" xfId="4584" xr:uid="{00000000-0005-0000-0000-00002D060000}"/>
    <cellStyle name="40% - Accent4 4 7 2" xfId="13023" xr:uid="{92890691-F909-4D45-B69D-D89FAFC5E9B5}"/>
    <cellStyle name="40% - Accent4 4 8" xfId="8805" xr:uid="{5266C695-4195-46F6-BC88-3292D90810CF}"/>
    <cellStyle name="40% - Accent4 5" xfId="642" xr:uid="{00000000-0005-0000-0000-00002E060000}"/>
    <cellStyle name="40% - Accent4 5 2" xfId="2913" xr:uid="{00000000-0005-0000-0000-00002F060000}"/>
    <cellStyle name="40% - Accent4 5 2 2" xfId="7136" xr:uid="{00000000-0005-0000-0000-000030060000}"/>
    <cellStyle name="40% - Accent4 5 2 2 2" xfId="15575" xr:uid="{F5679327-4223-4A80-A0A5-03156387CF59}"/>
    <cellStyle name="40% - Accent4 5 2 3" xfId="11357" xr:uid="{B2FCE6E9-DAE0-4FE9-9A32-9C6A66291DD7}"/>
    <cellStyle name="40% - Accent4 5 3" xfId="4991" xr:uid="{00000000-0005-0000-0000-000031060000}"/>
    <cellStyle name="40% - Accent4 5 3 2" xfId="13430" xr:uid="{1432EB12-EC93-4D46-ADC3-6C4D1D1F22D5}"/>
    <cellStyle name="40% - Accent4 5 4" xfId="9212" xr:uid="{BEDDAAAA-B3EE-4354-94D6-20BF246C4B16}"/>
    <cellStyle name="40% - Accent4 6" xfId="1095" xr:uid="{00000000-0005-0000-0000-000032060000}"/>
    <cellStyle name="40% - Accent4 6 2" xfId="3326" xr:uid="{00000000-0005-0000-0000-000033060000}"/>
    <cellStyle name="40% - Accent4 6 2 2" xfId="7549" xr:uid="{00000000-0005-0000-0000-000034060000}"/>
    <cellStyle name="40% - Accent4 6 2 2 2" xfId="15988" xr:uid="{2B49823E-FDF2-4D52-AA82-68BD8E142C81}"/>
    <cellStyle name="40% - Accent4 6 2 3" xfId="11770" xr:uid="{E0D02BAC-AA9F-46B5-BFCD-57C95BDD10F1}"/>
    <cellStyle name="40% - Accent4 6 3" xfId="5404" xr:uid="{00000000-0005-0000-0000-000035060000}"/>
    <cellStyle name="40% - Accent4 6 3 2" xfId="13843" xr:uid="{31418132-38F6-419B-AFC4-9AB617F1A175}"/>
    <cellStyle name="40% - Accent4 6 4" xfId="9625" xr:uid="{FCBCEF93-BC1B-4D8F-A3D6-6025A2EB322D}"/>
    <cellStyle name="40% - Accent4 7" xfId="1509" xr:uid="{00000000-0005-0000-0000-000036060000}"/>
    <cellStyle name="40% - Accent4 7 2" xfId="3739" xr:uid="{00000000-0005-0000-0000-000037060000}"/>
    <cellStyle name="40% - Accent4 7 2 2" xfId="7962" xr:uid="{00000000-0005-0000-0000-000038060000}"/>
    <cellStyle name="40% - Accent4 7 2 2 2" xfId="16401" xr:uid="{F7006848-086F-4FF8-9905-FBE162242F7B}"/>
    <cellStyle name="40% - Accent4 7 2 3" xfId="12183" xr:uid="{DFA2088E-8B1D-4499-A780-9403808E4D88}"/>
    <cellStyle name="40% - Accent4 7 3" xfId="5817" xr:uid="{00000000-0005-0000-0000-000039060000}"/>
    <cellStyle name="40% - Accent4 7 3 2" xfId="14256" xr:uid="{A2778477-2D4B-401C-A707-719B5C727601}"/>
    <cellStyle name="40% - Accent4 7 4" xfId="10038" xr:uid="{F721DA3C-0378-4E43-BB65-EDB961C8C2C5}"/>
    <cellStyle name="40% - Accent4 8" xfId="1923" xr:uid="{00000000-0005-0000-0000-00003A060000}"/>
    <cellStyle name="40% - Accent4 8 2" xfId="4152" xr:uid="{00000000-0005-0000-0000-00003B060000}"/>
    <cellStyle name="40% - Accent4 8 2 2" xfId="8375" xr:uid="{00000000-0005-0000-0000-00003C060000}"/>
    <cellStyle name="40% - Accent4 8 2 2 2" xfId="16814" xr:uid="{15733A91-15AE-4DBA-B776-690DC18D4794}"/>
    <cellStyle name="40% - Accent4 8 2 3" xfId="12596" xr:uid="{80DB1931-06F8-4C01-BE88-3662341A5CCA}"/>
    <cellStyle name="40% - Accent4 8 3" xfId="6230" xr:uid="{00000000-0005-0000-0000-00003D060000}"/>
    <cellStyle name="40% - Accent4 8 3 2" xfId="14669" xr:uid="{84F39E64-6B56-4E2B-A406-9ECCEA884868}"/>
    <cellStyle name="40% - Accent4 8 4" xfId="10451" xr:uid="{501FA71B-5A63-424C-ACE8-648D0C971AD1}"/>
    <cellStyle name="40% - Accent4 9" xfId="2336" xr:uid="{00000000-0005-0000-0000-00003E060000}"/>
    <cellStyle name="40% - Accent4 9 2" xfId="6643" xr:uid="{00000000-0005-0000-0000-00003F060000}"/>
    <cellStyle name="40% - Accent4 9 2 2" xfId="15082" xr:uid="{30B568DC-524F-4814-8B8D-30B373DBC7F9}"/>
    <cellStyle name="40% - Accent4 9 3" xfId="10864" xr:uid="{AA3F51A0-B052-408E-AE8B-75A0327BE303}"/>
    <cellStyle name="40% - Accent5" xfId="81" builtinId="47" customBuiltin="1"/>
    <cellStyle name="40% - Accent5 10" xfId="4585" xr:uid="{00000000-0005-0000-0000-000041060000}"/>
    <cellStyle name="40% - Accent5 10 2" xfId="13024" xr:uid="{B34BE10C-86E0-47F4-9F41-79926D63C685}"/>
    <cellStyle name="40% - Accent5 11" xfId="8806" xr:uid="{D446E815-D0F2-4A0E-899F-C051D292AF09}"/>
    <cellStyle name="40% - Accent5 2" xfId="82" xr:uid="{00000000-0005-0000-0000-000042060000}"/>
    <cellStyle name="40% - Accent5 2 10" xfId="8807" xr:uid="{FDAFA990-FAE5-430D-B2AA-58F571CB9E1B}"/>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6" xr:uid="{F4CDDA15-25FD-4FA7-AB40-2CE7AA2F949E}"/>
    <cellStyle name="40% - Accent5 2 2 2 2 2 3" xfId="11368" xr:uid="{A38CA7EF-779E-45B6-B7FA-EDCB26561FE3}"/>
    <cellStyle name="40% - Accent5 2 2 2 2 3" xfId="5002" xr:uid="{00000000-0005-0000-0000-000048060000}"/>
    <cellStyle name="40% - Accent5 2 2 2 2 3 2" xfId="13441" xr:uid="{9B676EC5-77F8-4590-AD30-80D210425C4A}"/>
    <cellStyle name="40% - Accent5 2 2 2 2 4" xfId="9223" xr:uid="{E764B530-04F3-4992-B607-B4074CC5A28C}"/>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5999" xr:uid="{727F63BC-0CC9-4F22-A3E1-E5E52E3E94A0}"/>
    <cellStyle name="40% - Accent5 2 2 2 3 2 3" xfId="11781" xr:uid="{26ECBC9D-D0C5-4E91-9FFD-CA882FC05F12}"/>
    <cellStyle name="40% - Accent5 2 2 2 3 3" xfId="5415" xr:uid="{00000000-0005-0000-0000-00004C060000}"/>
    <cellStyle name="40% - Accent5 2 2 2 3 3 2" xfId="13854" xr:uid="{D4F89884-8175-4B2F-802C-F2D9AEFBAA7A}"/>
    <cellStyle name="40% - Accent5 2 2 2 3 4" xfId="9636" xr:uid="{1C7CF7B6-822C-4053-A6AE-1831E8F8575D}"/>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12" xr:uid="{9834D23C-2FD9-42C3-B873-2BE36CAF572E}"/>
    <cellStyle name="40% - Accent5 2 2 2 4 2 3" xfId="12194" xr:uid="{59F53746-5377-4206-BE09-0209072DA8AB}"/>
    <cellStyle name="40% - Accent5 2 2 2 4 3" xfId="5828" xr:uid="{00000000-0005-0000-0000-000050060000}"/>
    <cellStyle name="40% - Accent5 2 2 2 4 3 2" xfId="14267" xr:uid="{7DFC0523-AD93-49CC-9A0A-85248258E9DA}"/>
    <cellStyle name="40% - Accent5 2 2 2 4 4" xfId="10049" xr:uid="{7B78339E-B064-4910-94E5-0A8C82C845CC}"/>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5" xr:uid="{1692FF4F-EDE9-4E77-9BF7-780F9A5176D9}"/>
    <cellStyle name="40% - Accent5 2 2 2 5 2 3" xfId="12607" xr:uid="{1264D2F3-0A89-4A29-8A65-81F9A7B4D587}"/>
    <cellStyle name="40% - Accent5 2 2 2 5 3" xfId="6241" xr:uid="{00000000-0005-0000-0000-000054060000}"/>
    <cellStyle name="40% - Accent5 2 2 2 5 3 2" xfId="14680" xr:uid="{A07EBF9C-82E6-443D-87DC-6E2F209B7A02}"/>
    <cellStyle name="40% - Accent5 2 2 2 5 4" xfId="10462" xr:uid="{27F7C5E7-0688-41E5-9801-010CDF7CF339}"/>
    <cellStyle name="40% - Accent5 2 2 2 6" xfId="2347" xr:uid="{00000000-0005-0000-0000-000055060000}"/>
    <cellStyle name="40% - Accent5 2 2 2 6 2" xfId="6654" xr:uid="{00000000-0005-0000-0000-000056060000}"/>
    <cellStyle name="40% - Accent5 2 2 2 6 2 2" xfId="15093" xr:uid="{4512427B-FFBC-4614-B8C7-1C75A0E2B8CE}"/>
    <cellStyle name="40% - Accent5 2 2 2 6 3" xfId="10875" xr:uid="{7B4C184F-7B52-417E-BD73-F6E21FBF414A}"/>
    <cellStyle name="40% - Accent5 2 2 2 7" xfId="4588" xr:uid="{00000000-0005-0000-0000-000057060000}"/>
    <cellStyle name="40% - Accent5 2 2 2 7 2" xfId="13027" xr:uid="{16C4F0B1-0E3D-441A-B02D-2229E240B4A3}"/>
    <cellStyle name="40% - Accent5 2 2 2 8" xfId="8809" xr:uid="{C2854496-F605-45A3-897D-1B252A680A56}"/>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5" xr:uid="{39F305BD-DFEC-4906-B937-13C01635CEEA}"/>
    <cellStyle name="40% - Accent5 2 2 3 2 3" xfId="11367" xr:uid="{38B377CE-2A94-4801-BD0E-E3E6E43EF5D5}"/>
    <cellStyle name="40% - Accent5 2 2 3 3" xfId="5001" xr:uid="{00000000-0005-0000-0000-00005B060000}"/>
    <cellStyle name="40% - Accent5 2 2 3 3 2" xfId="13440" xr:uid="{C8857056-0CC8-48A9-8FE0-ECCA56EC0FDC}"/>
    <cellStyle name="40% - Accent5 2 2 3 4" xfId="9222" xr:uid="{B36FF871-5BA4-4791-972B-B1D8CEC47441}"/>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5998" xr:uid="{DE18CCD1-5253-4ECB-AC24-B11BCAA6FE9D}"/>
    <cellStyle name="40% - Accent5 2 2 4 2 3" xfId="11780" xr:uid="{08C1489F-37D3-40D3-BA97-4397C91A378E}"/>
    <cellStyle name="40% - Accent5 2 2 4 3" xfId="5414" xr:uid="{00000000-0005-0000-0000-00005F060000}"/>
    <cellStyle name="40% - Accent5 2 2 4 3 2" xfId="13853" xr:uid="{68F0A62A-D637-4262-A121-3966FD773F83}"/>
    <cellStyle name="40% - Accent5 2 2 4 4" xfId="9635" xr:uid="{439AD1C1-EF47-49C5-8C34-1452D0646C85}"/>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11" xr:uid="{CBDD81D4-EC60-46E8-88F4-437B5D5C4D06}"/>
    <cellStyle name="40% - Accent5 2 2 5 2 3" xfId="12193" xr:uid="{91D3F86A-3BC5-4776-89A7-63E5DB9E19D1}"/>
    <cellStyle name="40% - Accent5 2 2 5 3" xfId="5827" xr:uid="{00000000-0005-0000-0000-000063060000}"/>
    <cellStyle name="40% - Accent5 2 2 5 3 2" xfId="14266" xr:uid="{A194BF95-B8E7-4744-AC31-84163E1AED94}"/>
    <cellStyle name="40% - Accent5 2 2 5 4" xfId="10048" xr:uid="{B7FA4F85-8832-45FF-8A9F-0F5EC77E7C39}"/>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4" xr:uid="{79987E85-B2E6-4E09-AA1B-4A486A82B768}"/>
    <cellStyle name="40% - Accent5 2 2 6 2 3" xfId="12606" xr:uid="{D3B5CC54-B4B8-4BAD-A5EB-EB8B332BC041}"/>
    <cellStyle name="40% - Accent5 2 2 6 3" xfId="6240" xr:uid="{00000000-0005-0000-0000-000067060000}"/>
    <cellStyle name="40% - Accent5 2 2 6 3 2" xfId="14679" xr:uid="{38A81DB8-03AB-44BC-9645-3C10DB6430F8}"/>
    <cellStyle name="40% - Accent5 2 2 6 4" xfId="10461" xr:uid="{DDD26FAC-3172-4B72-B0B1-588A21635942}"/>
    <cellStyle name="40% - Accent5 2 2 7" xfId="2346" xr:uid="{00000000-0005-0000-0000-000068060000}"/>
    <cellStyle name="40% - Accent5 2 2 7 2" xfId="6653" xr:uid="{00000000-0005-0000-0000-000069060000}"/>
    <cellStyle name="40% - Accent5 2 2 7 2 2" xfId="15092" xr:uid="{1BACE830-F458-4178-98AF-0EAEF937D1FC}"/>
    <cellStyle name="40% - Accent5 2 2 7 3" xfId="10874" xr:uid="{72934992-7EF8-4D1A-BC62-2B4782AF7711}"/>
    <cellStyle name="40% - Accent5 2 2 8" xfId="4587" xr:uid="{00000000-0005-0000-0000-00006A060000}"/>
    <cellStyle name="40% - Accent5 2 2 8 2" xfId="13026" xr:uid="{6BE9D888-9990-4B3A-8A33-973CE81CB197}"/>
    <cellStyle name="40% - Accent5 2 2 9" xfId="8808" xr:uid="{E7BDE12A-44CD-4253-92F4-B7D42586D1B1}"/>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87" xr:uid="{E85862A0-33CF-4272-B695-F601AFE86102}"/>
    <cellStyle name="40% - Accent5 2 3 2 2 3" xfId="11369" xr:uid="{950654B3-B609-4208-BFBD-AE5CFBC57327}"/>
    <cellStyle name="40% - Accent5 2 3 2 3" xfId="5003" xr:uid="{00000000-0005-0000-0000-00006F060000}"/>
    <cellStyle name="40% - Accent5 2 3 2 3 2" xfId="13442" xr:uid="{155EAD12-2FBD-479C-904B-315B7549AF3F}"/>
    <cellStyle name="40% - Accent5 2 3 2 4" xfId="9224" xr:uid="{E3A74B43-02F7-480B-A8C0-C34E70250626}"/>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6000" xr:uid="{652509E8-503E-481C-AC34-71F65106E5F8}"/>
    <cellStyle name="40% - Accent5 2 3 3 2 3" xfId="11782" xr:uid="{8E1C7E75-4620-44CD-973E-C98126D93E37}"/>
    <cellStyle name="40% - Accent5 2 3 3 3" xfId="5416" xr:uid="{00000000-0005-0000-0000-000073060000}"/>
    <cellStyle name="40% - Accent5 2 3 3 3 2" xfId="13855" xr:uid="{6FB50DED-550F-4BA6-AFDE-D73FF624617D}"/>
    <cellStyle name="40% - Accent5 2 3 3 4" xfId="9637" xr:uid="{3AFD81E4-4D53-4D9D-B8AA-72344C06A2EE}"/>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3" xr:uid="{E854E1A0-F216-47D0-9221-98C1506F23CF}"/>
    <cellStyle name="40% - Accent5 2 3 4 2 3" xfId="12195" xr:uid="{96221E42-42C2-40CA-BCBB-EF159DD14B61}"/>
    <cellStyle name="40% - Accent5 2 3 4 3" xfId="5829" xr:uid="{00000000-0005-0000-0000-000077060000}"/>
    <cellStyle name="40% - Accent5 2 3 4 3 2" xfId="14268" xr:uid="{2F5A6AB8-E7EB-4EE2-95A5-A46A5FCC9B78}"/>
    <cellStyle name="40% - Accent5 2 3 4 4" xfId="10050" xr:uid="{2351AFC2-B6B0-41D3-A5B3-67365B069CBF}"/>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6" xr:uid="{B71D4CDD-70E8-487A-8BC1-9C962D875B5C}"/>
    <cellStyle name="40% - Accent5 2 3 5 2 3" xfId="12608" xr:uid="{3B95A457-DED6-488D-A70B-A48584E367F1}"/>
    <cellStyle name="40% - Accent5 2 3 5 3" xfId="6242" xr:uid="{00000000-0005-0000-0000-00007B060000}"/>
    <cellStyle name="40% - Accent5 2 3 5 3 2" xfId="14681" xr:uid="{520BD424-ED07-423C-B53E-0F29F6512487}"/>
    <cellStyle name="40% - Accent5 2 3 5 4" xfId="10463" xr:uid="{5E28DFAE-A21D-40EE-9FA1-ECDF8DC0B743}"/>
    <cellStyle name="40% - Accent5 2 3 6" xfId="2348" xr:uid="{00000000-0005-0000-0000-00007C060000}"/>
    <cellStyle name="40% - Accent5 2 3 6 2" xfId="6655" xr:uid="{00000000-0005-0000-0000-00007D060000}"/>
    <cellStyle name="40% - Accent5 2 3 6 2 2" xfId="15094" xr:uid="{D11A98B2-8C26-4146-A7BD-76EE10D9EF99}"/>
    <cellStyle name="40% - Accent5 2 3 6 3" xfId="10876" xr:uid="{C1448161-DFA8-4A73-966D-C965F222F7CE}"/>
    <cellStyle name="40% - Accent5 2 3 7" xfId="4589" xr:uid="{00000000-0005-0000-0000-00007E060000}"/>
    <cellStyle name="40% - Accent5 2 3 7 2" xfId="13028" xr:uid="{0D1382EB-6DA2-40ED-B189-83A870F56E60}"/>
    <cellStyle name="40% - Accent5 2 3 8" xfId="8810" xr:uid="{B58BF528-6657-4A71-9FCE-49ACDEEE6D25}"/>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4" xr:uid="{5C48D4D8-738A-4A14-99E7-0F1FEDB94090}"/>
    <cellStyle name="40% - Accent5 2 4 2 3" xfId="11366" xr:uid="{545B8D2B-0784-46CB-B44C-17C853F26CE6}"/>
    <cellStyle name="40% - Accent5 2 4 3" xfId="5000" xr:uid="{00000000-0005-0000-0000-000082060000}"/>
    <cellStyle name="40% - Accent5 2 4 3 2" xfId="13439" xr:uid="{07A4FB95-26E1-4980-B6D2-D793249B0DA2}"/>
    <cellStyle name="40% - Accent5 2 4 4" xfId="9221" xr:uid="{48F92A9D-B9BF-43B8-9C5C-9CBFDA7F69C7}"/>
    <cellStyle name="40% - Accent5 2 5" xfId="1104" xr:uid="{00000000-0005-0000-0000-000083060000}"/>
    <cellStyle name="40% - Accent5 2 5 2" xfId="3335" xr:uid="{00000000-0005-0000-0000-000084060000}"/>
    <cellStyle name="40% - Accent5 2 5 2 2" xfId="7558" xr:uid="{00000000-0005-0000-0000-000085060000}"/>
    <cellStyle name="40% - Accent5 2 5 2 2 2" xfId="15997" xr:uid="{6BB80FAD-D099-4642-84B2-23743162AB27}"/>
    <cellStyle name="40% - Accent5 2 5 2 3" xfId="11779" xr:uid="{041A56CA-81AD-4F8A-ABDE-4E7FA7CCC612}"/>
    <cellStyle name="40% - Accent5 2 5 3" xfId="5413" xr:uid="{00000000-0005-0000-0000-000086060000}"/>
    <cellStyle name="40% - Accent5 2 5 3 2" xfId="13852" xr:uid="{E011795A-2AA0-41E7-88E3-DF203AAE2209}"/>
    <cellStyle name="40% - Accent5 2 5 4" xfId="9634" xr:uid="{D746B53D-692C-47C5-B1E4-44995D779F1C}"/>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10" xr:uid="{B802A40A-532E-4662-8688-CEF605A82787}"/>
    <cellStyle name="40% - Accent5 2 6 2 3" xfId="12192" xr:uid="{A8FCD073-FA8D-40DE-845A-F0385DCADAF9}"/>
    <cellStyle name="40% - Accent5 2 6 3" xfId="5826" xr:uid="{00000000-0005-0000-0000-00008A060000}"/>
    <cellStyle name="40% - Accent5 2 6 3 2" xfId="14265" xr:uid="{CD40EC91-9108-4197-B039-A50371CAD36B}"/>
    <cellStyle name="40% - Accent5 2 6 4" xfId="10047" xr:uid="{458D831C-B453-4D14-9015-846566800F3A}"/>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3" xr:uid="{036D01AD-E23C-41B3-990A-F3F8D454D89E}"/>
    <cellStyle name="40% - Accent5 2 7 2 3" xfId="12605" xr:uid="{AFEE586F-D130-445A-B8D7-CDE1B5B23F46}"/>
    <cellStyle name="40% - Accent5 2 7 3" xfId="6239" xr:uid="{00000000-0005-0000-0000-00008E060000}"/>
    <cellStyle name="40% - Accent5 2 7 3 2" xfId="14678" xr:uid="{B7F7F2DD-B67C-40F0-B397-7E66FCFBF39C}"/>
    <cellStyle name="40% - Accent5 2 7 4" xfId="10460" xr:uid="{EDD1921A-5AD7-4DB6-A5B1-923538E47C0D}"/>
    <cellStyle name="40% - Accent5 2 8" xfId="2345" xr:uid="{00000000-0005-0000-0000-00008F060000}"/>
    <cellStyle name="40% - Accent5 2 8 2" xfId="6652" xr:uid="{00000000-0005-0000-0000-000090060000}"/>
    <cellStyle name="40% - Accent5 2 8 2 2" xfId="15091" xr:uid="{03D4ED89-DB88-443B-BE0F-216A294E47EF}"/>
    <cellStyle name="40% - Accent5 2 8 3" xfId="10873" xr:uid="{02496E18-B24E-4306-808B-599B5E904B21}"/>
    <cellStyle name="40% - Accent5 2 9" xfId="4586" xr:uid="{00000000-0005-0000-0000-000091060000}"/>
    <cellStyle name="40% - Accent5 2 9 2" xfId="13025" xr:uid="{29E6A127-72B8-4B91-8386-5CD52F47C966}"/>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89" xr:uid="{E8082DF8-F474-4A55-B234-2B4F44C6F079}"/>
    <cellStyle name="40% - Accent5 3 2 2 2 3" xfId="11371" xr:uid="{A01827D1-2415-46EB-9AD7-942FA689A04B}"/>
    <cellStyle name="40% - Accent5 3 2 2 3" xfId="5005" xr:uid="{00000000-0005-0000-0000-000097060000}"/>
    <cellStyle name="40% - Accent5 3 2 2 3 2" xfId="13444" xr:uid="{9EDA9B44-005C-4766-A9FA-B47E1BB23E45}"/>
    <cellStyle name="40% - Accent5 3 2 2 4" xfId="9226" xr:uid="{53F9D5FF-1F28-4CDC-9ED5-42A5055B2427}"/>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6002" xr:uid="{02242E92-F84A-495A-BCDE-DE64FBDD7175}"/>
    <cellStyle name="40% - Accent5 3 2 3 2 3" xfId="11784" xr:uid="{70ABFA12-6637-4B77-BE24-44138CC6EA79}"/>
    <cellStyle name="40% - Accent5 3 2 3 3" xfId="5418" xr:uid="{00000000-0005-0000-0000-00009B060000}"/>
    <cellStyle name="40% - Accent5 3 2 3 3 2" xfId="13857" xr:uid="{8EC36D21-F7B7-413E-BE97-BB2D7AA917F9}"/>
    <cellStyle name="40% - Accent5 3 2 3 4" xfId="9639" xr:uid="{DD03150F-BDF1-4614-A097-9E62C0D9688A}"/>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5" xr:uid="{2EB60F6F-FB42-438F-8AFC-F22072C8EACC}"/>
    <cellStyle name="40% - Accent5 3 2 4 2 3" xfId="12197" xr:uid="{A44221C1-126C-4CFE-B1B2-2EFD5B68059F}"/>
    <cellStyle name="40% - Accent5 3 2 4 3" xfId="5831" xr:uid="{00000000-0005-0000-0000-00009F060000}"/>
    <cellStyle name="40% - Accent5 3 2 4 3 2" xfId="14270" xr:uid="{CC31369C-5D2A-47BA-9417-B91BDD777A97}"/>
    <cellStyle name="40% - Accent5 3 2 4 4" xfId="10052" xr:uid="{D6A5E139-4291-471D-A4E5-38CEE6F2C817}"/>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28" xr:uid="{FF52F686-195F-4B09-9E3A-DFDBAD558EB8}"/>
    <cellStyle name="40% - Accent5 3 2 5 2 3" xfId="12610" xr:uid="{B5A85511-3603-4DB2-9084-BD3294075A78}"/>
    <cellStyle name="40% - Accent5 3 2 5 3" xfId="6244" xr:uid="{00000000-0005-0000-0000-0000A3060000}"/>
    <cellStyle name="40% - Accent5 3 2 5 3 2" xfId="14683" xr:uid="{27C9FF36-63D2-40BE-B401-4563150114D6}"/>
    <cellStyle name="40% - Accent5 3 2 5 4" xfId="10465" xr:uid="{D645B5AF-6AD4-43E3-BC3E-F2B1A37A0AC6}"/>
    <cellStyle name="40% - Accent5 3 2 6" xfId="2350" xr:uid="{00000000-0005-0000-0000-0000A4060000}"/>
    <cellStyle name="40% - Accent5 3 2 6 2" xfId="6657" xr:uid="{00000000-0005-0000-0000-0000A5060000}"/>
    <cellStyle name="40% - Accent5 3 2 6 2 2" xfId="15096" xr:uid="{2D7667DE-09D0-4940-B8C4-42436C982F00}"/>
    <cellStyle name="40% - Accent5 3 2 6 3" xfId="10878" xr:uid="{E6CF0781-BFC1-43D2-8964-6DBAE9604333}"/>
    <cellStyle name="40% - Accent5 3 2 7" xfId="4591" xr:uid="{00000000-0005-0000-0000-0000A6060000}"/>
    <cellStyle name="40% - Accent5 3 2 7 2" xfId="13030" xr:uid="{8425CCDB-445D-455A-A766-0849F5FDA4CB}"/>
    <cellStyle name="40% - Accent5 3 2 8" xfId="8812" xr:uid="{FEF0F4C4-9306-4164-A84D-AA8643C42483}"/>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88" xr:uid="{1645FE7D-0B3E-40E7-9B30-D57E03B81104}"/>
    <cellStyle name="40% - Accent5 3 3 2 3" xfId="11370" xr:uid="{0B3E5340-81D9-4C0D-B6C9-4D023614C235}"/>
    <cellStyle name="40% - Accent5 3 3 3" xfId="5004" xr:uid="{00000000-0005-0000-0000-0000AA060000}"/>
    <cellStyle name="40% - Accent5 3 3 3 2" xfId="13443" xr:uid="{EB904687-AC36-4E64-B6A4-DD1B5C16861F}"/>
    <cellStyle name="40% - Accent5 3 3 4" xfId="9225" xr:uid="{4FB7E251-2CA0-4280-BDF4-F41235EB662B}"/>
    <cellStyle name="40% - Accent5 3 4" xfId="1108" xr:uid="{00000000-0005-0000-0000-0000AB060000}"/>
    <cellStyle name="40% - Accent5 3 4 2" xfId="3339" xr:uid="{00000000-0005-0000-0000-0000AC060000}"/>
    <cellStyle name="40% - Accent5 3 4 2 2" xfId="7562" xr:uid="{00000000-0005-0000-0000-0000AD060000}"/>
    <cellStyle name="40% - Accent5 3 4 2 2 2" xfId="16001" xr:uid="{4E430D01-E773-4E70-BDC1-76F876E34123}"/>
    <cellStyle name="40% - Accent5 3 4 2 3" xfId="11783" xr:uid="{513EA790-3639-440C-B6F1-1AB6ABB67CDB}"/>
    <cellStyle name="40% - Accent5 3 4 3" xfId="5417" xr:uid="{00000000-0005-0000-0000-0000AE060000}"/>
    <cellStyle name="40% - Accent5 3 4 3 2" xfId="13856" xr:uid="{F24D1872-24B6-4F5E-AD9A-CFC18CFEC3DE}"/>
    <cellStyle name="40% - Accent5 3 4 4" xfId="9638" xr:uid="{A581DE0E-471B-4B3B-9267-BCB1595C6CA3}"/>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4" xr:uid="{782F8354-DF1C-431B-A4D7-2860C60D100E}"/>
    <cellStyle name="40% - Accent5 3 5 2 3" xfId="12196" xr:uid="{345D599C-DCA1-4303-8A86-94352DF6F288}"/>
    <cellStyle name="40% - Accent5 3 5 3" xfId="5830" xr:uid="{00000000-0005-0000-0000-0000B2060000}"/>
    <cellStyle name="40% - Accent5 3 5 3 2" xfId="14269" xr:uid="{A4E6E2D5-37AA-4B0D-B315-55FFC58FF6AC}"/>
    <cellStyle name="40% - Accent5 3 5 4" xfId="10051" xr:uid="{B054B95D-78BF-4EDC-AD3E-407360B053BB}"/>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27" xr:uid="{7411F9ED-4F73-4A1B-A2E4-E26AB88B9A04}"/>
    <cellStyle name="40% - Accent5 3 6 2 3" xfId="12609" xr:uid="{995E0FB0-298B-4FD2-8CB5-01D56A4F289D}"/>
    <cellStyle name="40% - Accent5 3 6 3" xfId="6243" xr:uid="{00000000-0005-0000-0000-0000B6060000}"/>
    <cellStyle name="40% - Accent5 3 6 3 2" xfId="14682" xr:uid="{372D3120-CBB2-4F47-86A4-5749B30FC9A4}"/>
    <cellStyle name="40% - Accent5 3 6 4" xfId="10464" xr:uid="{3B847554-9720-40F2-8B8A-3C9B3F3C08AC}"/>
    <cellStyle name="40% - Accent5 3 7" xfId="2349" xr:uid="{00000000-0005-0000-0000-0000B7060000}"/>
    <cellStyle name="40% - Accent5 3 7 2" xfId="6656" xr:uid="{00000000-0005-0000-0000-0000B8060000}"/>
    <cellStyle name="40% - Accent5 3 7 2 2" xfId="15095" xr:uid="{EF1B774C-32D4-4ADE-91FB-4B041DE898A3}"/>
    <cellStyle name="40% - Accent5 3 7 3" xfId="10877" xr:uid="{685D5845-8895-4399-8093-0253C69B1DB9}"/>
    <cellStyle name="40% - Accent5 3 8" xfId="4590" xr:uid="{00000000-0005-0000-0000-0000B9060000}"/>
    <cellStyle name="40% - Accent5 3 8 2" xfId="13029" xr:uid="{C719E5D2-930C-4A4A-A46F-98349D4BBCE3}"/>
    <cellStyle name="40% - Accent5 3 9" xfId="8811" xr:uid="{2A3D8243-31A8-4C85-8F95-15C7F4E8C1C8}"/>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90" xr:uid="{EED81927-DECE-40A6-B126-2AD7CE74B6D0}"/>
    <cellStyle name="40% - Accent5 4 2 2 3" xfId="11372" xr:uid="{94012181-1F58-4D19-A0DC-16FBD26D366F}"/>
    <cellStyle name="40% - Accent5 4 2 3" xfId="5006" xr:uid="{00000000-0005-0000-0000-0000BE060000}"/>
    <cellStyle name="40% - Accent5 4 2 3 2" xfId="13445" xr:uid="{42BF5A30-DFF4-46B5-AF9A-A5AECBFC0BB2}"/>
    <cellStyle name="40% - Accent5 4 2 4" xfId="9227" xr:uid="{FB51743F-D8D7-48F0-AAD1-9F20F8A4392D}"/>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3" xr:uid="{FB9E74EC-FE8B-4F90-9BBA-5E227440D6F3}"/>
    <cellStyle name="40% - Accent5 4 3 2 3" xfId="11785" xr:uid="{5C82FBB2-D605-46E9-8A07-6D2A65024CA2}"/>
    <cellStyle name="40% - Accent5 4 3 3" xfId="5419" xr:uid="{00000000-0005-0000-0000-0000C2060000}"/>
    <cellStyle name="40% - Accent5 4 3 3 2" xfId="13858" xr:uid="{C17FC424-8F2E-4EF1-A10F-1549CF5C59A2}"/>
    <cellStyle name="40% - Accent5 4 3 4" xfId="9640" xr:uid="{9BDF213F-3E01-4F4A-A21A-8205CAF0E9BB}"/>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6" xr:uid="{79BCC90A-9934-465B-9004-66F95A130948}"/>
    <cellStyle name="40% - Accent5 4 4 2 3" xfId="12198" xr:uid="{DF8FCB4F-6B7D-42FF-9644-6132908CB0D4}"/>
    <cellStyle name="40% - Accent5 4 4 3" xfId="5832" xr:uid="{00000000-0005-0000-0000-0000C6060000}"/>
    <cellStyle name="40% - Accent5 4 4 3 2" xfId="14271" xr:uid="{34662195-6B27-49C2-9C2A-E76EF213F65E}"/>
    <cellStyle name="40% - Accent5 4 4 4" xfId="10053" xr:uid="{28E6DAA0-409A-46DE-935C-3C18912FDE7B}"/>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29" xr:uid="{B999BED4-CCD5-446B-8272-0E3090DBA398}"/>
    <cellStyle name="40% - Accent5 4 5 2 3" xfId="12611" xr:uid="{686FA952-8173-465A-9B66-101CDCC035C2}"/>
    <cellStyle name="40% - Accent5 4 5 3" xfId="6245" xr:uid="{00000000-0005-0000-0000-0000CA060000}"/>
    <cellStyle name="40% - Accent5 4 5 3 2" xfId="14684" xr:uid="{CEB4876E-452C-4052-B5CA-52E432102351}"/>
    <cellStyle name="40% - Accent5 4 5 4" xfId="10466" xr:uid="{24E69686-E4DE-48AE-B9B5-B5105705AB0E}"/>
    <cellStyle name="40% - Accent5 4 6" xfId="2351" xr:uid="{00000000-0005-0000-0000-0000CB060000}"/>
    <cellStyle name="40% - Accent5 4 6 2" xfId="6658" xr:uid="{00000000-0005-0000-0000-0000CC060000}"/>
    <cellStyle name="40% - Accent5 4 6 2 2" xfId="15097" xr:uid="{BAE83488-19D3-4CDA-A0BD-04B98C970366}"/>
    <cellStyle name="40% - Accent5 4 6 3" xfId="10879" xr:uid="{9E113A42-B3AA-4590-8081-F2FD2890DF7B}"/>
    <cellStyle name="40% - Accent5 4 7" xfId="4592" xr:uid="{00000000-0005-0000-0000-0000CD060000}"/>
    <cellStyle name="40% - Accent5 4 7 2" xfId="13031" xr:uid="{A5DB76AB-C038-48C1-83A9-DCD29EAF5416}"/>
    <cellStyle name="40% - Accent5 4 8" xfId="8813" xr:uid="{8F6D2D54-1E44-40F0-8D0E-5F890E480B3E}"/>
    <cellStyle name="40% - Accent5 5" xfId="650" xr:uid="{00000000-0005-0000-0000-0000CE060000}"/>
    <cellStyle name="40% - Accent5 5 2" xfId="2921" xr:uid="{00000000-0005-0000-0000-0000CF060000}"/>
    <cellStyle name="40% - Accent5 5 2 2" xfId="7144" xr:uid="{00000000-0005-0000-0000-0000D0060000}"/>
    <cellStyle name="40% - Accent5 5 2 2 2" xfId="15583" xr:uid="{19FEA431-AB1E-4507-A769-CBA49442AACD}"/>
    <cellStyle name="40% - Accent5 5 2 3" xfId="11365" xr:uid="{374732CC-2B39-4BF1-86EF-762EDE79476D}"/>
    <cellStyle name="40% - Accent5 5 3" xfId="4999" xr:uid="{00000000-0005-0000-0000-0000D1060000}"/>
    <cellStyle name="40% - Accent5 5 3 2" xfId="13438" xr:uid="{DF2DA915-3E46-4D9B-B84D-815B09C5FD8B}"/>
    <cellStyle name="40% - Accent5 5 4" xfId="9220" xr:uid="{7ED3731F-D251-4586-B5BC-6B66AD028936}"/>
    <cellStyle name="40% - Accent5 6" xfId="1103" xr:uid="{00000000-0005-0000-0000-0000D2060000}"/>
    <cellStyle name="40% - Accent5 6 2" xfId="3334" xr:uid="{00000000-0005-0000-0000-0000D3060000}"/>
    <cellStyle name="40% - Accent5 6 2 2" xfId="7557" xr:uid="{00000000-0005-0000-0000-0000D4060000}"/>
    <cellStyle name="40% - Accent5 6 2 2 2" xfId="15996" xr:uid="{745C95F1-0456-40F6-B3E1-2857EB78318A}"/>
    <cellStyle name="40% - Accent5 6 2 3" xfId="11778" xr:uid="{B6829A48-540D-4584-9776-E4A61C302120}"/>
    <cellStyle name="40% - Accent5 6 3" xfId="5412" xr:uid="{00000000-0005-0000-0000-0000D5060000}"/>
    <cellStyle name="40% - Accent5 6 3 2" xfId="13851" xr:uid="{0CC571AC-294B-4CF0-9097-D02FEA0A20D1}"/>
    <cellStyle name="40% - Accent5 6 4" xfId="9633" xr:uid="{FBF938CE-B32F-4471-BFBD-3366D2336314}"/>
    <cellStyle name="40% - Accent5 7" xfId="1517" xr:uid="{00000000-0005-0000-0000-0000D6060000}"/>
    <cellStyle name="40% - Accent5 7 2" xfId="3747" xr:uid="{00000000-0005-0000-0000-0000D7060000}"/>
    <cellStyle name="40% - Accent5 7 2 2" xfId="7970" xr:uid="{00000000-0005-0000-0000-0000D8060000}"/>
    <cellStyle name="40% - Accent5 7 2 2 2" xfId="16409" xr:uid="{CA141EA3-3BAF-429E-BA50-EAD411F4C212}"/>
    <cellStyle name="40% - Accent5 7 2 3" xfId="12191" xr:uid="{A98B27AA-1E0C-436A-B779-A7250AC3D395}"/>
    <cellStyle name="40% - Accent5 7 3" xfId="5825" xr:uid="{00000000-0005-0000-0000-0000D9060000}"/>
    <cellStyle name="40% - Accent5 7 3 2" xfId="14264" xr:uid="{FDE1EC8E-277D-4517-8EB7-0091A0EA7317}"/>
    <cellStyle name="40% - Accent5 7 4" xfId="10046" xr:uid="{1FA3F37F-33DF-48A5-8F78-BA63E7A8CEFE}"/>
    <cellStyle name="40% - Accent5 8" xfId="1931" xr:uid="{00000000-0005-0000-0000-0000DA060000}"/>
    <cellStyle name="40% - Accent5 8 2" xfId="4160" xr:uid="{00000000-0005-0000-0000-0000DB060000}"/>
    <cellStyle name="40% - Accent5 8 2 2" xfId="8383" xr:uid="{00000000-0005-0000-0000-0000DC060000}"/>
    <cellStyle name="40% - Accent5 8 2 2 2" xfId="16822" xr:uid="{30E0E385-8735-4672-809A-612844F68F49}"/>
    <cellStyle name="40% - Accent5 8 2 3" xfId="12604" xr:uid="{7E1C81CD-B284-4C39-B139-9AC300A4C7FE}"/>
    <cellStyle name="40% - Accent5 8 3" xfId="6238" xr:uid="{00000000-0005-0000-0000-0000DD060000}"/>
    <cellStyle name="40% - Accent5 8 3 2" xfId="14677" xr:uid="{300B3B3B-F10F-4C7A-941D-790B49EED811}"/>
    <cellStyle name="40% - Accent5 8 4" xfId="10459" xr:uid="{DBD4F83A-B559-4BAC-A98F-569BAF26F2B6}"/>
    <cellStyle name="40% - Accent5 9" xfId="2344" xr:uid="{00000000-0005-0000-0000-0000DE060000}"/>
    <cellStyle name="40% - Accent5 9 2" xfId="6651" xr:uid="{00000000-0005-0000-0000-0000DF060000}"/>
    <cellStyle name="40% - Accent5 9 2 2" xfId="15090" xr:uid="{06D11B25-055E-4DF4-B645-965FFFD5603B}"/>
    <cellStyle name="40% - Accent5 9 3" xfId="10872" xr:uid="{EE497E3A-0DCF-4A1A-B128-4CE649B3F2BD}"/>
    <cellStyle name="40% - Accent6" xfId="89" builtinId="51" customBuiltin="1"/>
    <cellStyle name="40% - Accent6 10" xfId="4593" xr:uid="{00000000-0005-0000-0000-0000E1060000}"/>
    <cellStyle name="40% - Accent6 10 2" xfId="13032" xr:uid="{75F294EA-5F78-450A-89B5-EEC2E6F1EC9A}"/>
    <cellStyle name="40% - Accent6 11" xfId="8814" xr:uid="{6C469597-2E8E-4C2B-84F3-4AED58070AFB}"/>
    <cellStyle name="40% - Accent6 2" xfId="90" xr:uid="{00000000-0005-0000-0000-0000E2060000}"/>
    <cellStyle name="40% - Accent6 2 10" xfId="8815" xr:uid="{E8EE6B71-144D-433C-92DB-A63FF99FA3D4}"/>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4" xr:uid="{9A4F22A8-3685-4A15-8F59-30D763635FE1}"/>
    <cellStyle name="40% - Accent6 2 2 2 2 2 3" xfId="11376" xr:uid="{19AA60B1-BB24-42AE-BD4B-A360ADF588A5}"/>
    <cellStyle name="40% - Accent6 2 2 2 2 3" xfId="5010" xr:uid="{00000000-0005-0000-0000-0000E8060000}"/>
    <cellStyle name="40% - Accent6 2 2 2 2 3 2" xfId="13449" xr:uid="{91CC62C0-77E6-4F7F-B969-81FF2C62156A}"/>
    <cellStyle name="40% - Accent6 2 2 2 2 4" xfId="9231" xr:uid="{D6730208-F637-4D1A-9F39-1FA44FC2FB3D}"/>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07" xr:uid="{BDE41D2D-2CE1-4934-A2DA-84018FE8B92B}"/>
    <cellStyle name="40% - Accent6 2 2 2 3 2 3" xfId="11789" xr:uid="{BA1DE23C-6B35-4D23-AB5D-FCD6873718BF}"/>
    <cellStyle name="40% - Accent6 2 2 2 3 3" xfId="5423" xr:uid="{00000000-0005-0000-0000-0000EC060000}"/>
    <cellStyle name="40% - Accent6 2 2 2 3 3 2" xfId="13862" xr:uid="{410B5018-AB1D-4B15-B232-25AEECAE5DA8}"/>
    <cellStyle name="40% - Accent6 2 2 2 3 4" xfId="9644" xr:uid="{D9FE7F1E-65B7-49CD-A889-4DFCBB13AA85}"/>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20" xr:uid="{E5780223-F79D-45DD-B756-6B1EF64AFF30}"/>
    <cellStyle name="40% - Accent6 2 2 2 4 2 3" xfId="12202" xr:uid="{B5FCC145-4E6B-45CE-87A6-86450E6CD5E2}"/>
    <cellStyle name="40% - Accent6 2 2 2 4 3" xfId="5836" xr:uid="{00000000-0005-0000-0000-0000F0060000}"/>
    <cellStyle name="40% - Accent6 2 2 2 4 3 2" xfId="14275" xr:uid="{F6BB6102-EC77-4A5D-8BC9-F50FAFA6B59B}"/>
    <cellStyle name="40% - Accent6 2 2 2 4 4" xfId="10057" xr:uid="{1A26EC79-703F-417E-B593-66E5F6507801}"/>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3" xr:uid="{BD5650E6-8811-4028-8D34-C2BCC01132BD}"/>
    <cellStyle name="40% - Accent6 2 2 2 5 2 3" xfId="12615" xr:uid="{4F58966C-28FC-42C2-BC1F-F55B2AB96E6E}"/>
    <cellStyle name="40% - Accent6 2 2 2 5 3" xfId="6249" xr:uid="{00000000-0005-0000-0000-0000F4060000}"/>
    <cellStyle name="40% - Accent6 2 2 2 5 3 2" xfId="14688" xr:uid="{98527C60-E241-47F9-9A8B-17136F85DE09}"/>
    <cellStyle name="40% - Accent6 2 2 2 5 4" xfId="10470" xr:uid="{F5B79FF7-7388-4B2C-9A6A-236E426EF944}"/>
    <cellStyle name="40% - Accent6 2 2 2 6" xfId="2355" xr:uid="{00000000-0005-0000-0000-0000F5060000}"/>
    <cellStyle name="40% - Accent6 2 2 2 6 2" xfId="6662" xr:uid="{00000000-0005-0000-0000-0000F6060000}"/>
    <cellStyle name="40% - Accent6 2 2 2 6 2 2" xfId="15101" xr:uid="{73A42534-5E08-42D2-A0C9-D57EB76B9537}"/>
    <cellStyle name="40% - Accent6 2 2 2 6 3" xfId="10883" xr:uid="{97C3CC30-B0F8-46D8-952D-C3AB545915A8}"/>
    <cellStyle name="40% - Accent6 2 2 2 7" xfId="4596" xr:uid="{00000000-0005-0000-0000-0000F7060000}"/>
    <cellStyle name="40% - Accent6 2 2 2 7 2" xfId="13035" xr:uid="{2AFB61AC-0896-4545-994E-313CA8F5EA16}"/>
    <cellStyle name="40% - Accent6 2 2 2 8" xfId="8817" xr:uid="{96FD87C1-3EC7-482E-B272-8381E642D5CB}"/>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3" xr:uid="{4A15220F-9A9C-4F0B-A851-E56B752977C5}"/>
    <cellStyle name="40% - Accent6 2 2 3 2 3" xfId="11375" xr:uid="{CAC52E0A-FD2B-4620-8864-BA01552A2845}"/>
    <cellStyle name="40% - Accent6 2 2 3 3" xfId="5009" xr:uid="{00000000-0005-0000-0000-0000FB060000}"/>
    <cellStyle name="40% - Accent6 2 2 3 3 2" xfId="13448" xr:uid="{29523581-F471-44A4-9DB9-26FB7BFAE279}"/>
    <cellStyle name="40% - Accent6 2 2 3 4" xfId="9230" xr:uid="{58A7FB96-35CF-4AF0-8D9A-A1CF4ACB0FDE}"/>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6" xr:uid="{B0C91544-BFBA-424B-B3ED-23CD3C2DFE5E}"/>
    <cellStyle name="40% - Accent6 2 2 4 2 3" xfId="11788" xr:uid="{5BFA78E6-7385-42AB-A30B-B2EEC48D1127}"/>
    <cellStyle name="40% - Accent6 2 2 4 3" xfId="5422" xr:uid="{00000000-0005-0000-0000-0000FF060000}"/>
    <cellStyle name="40% - Accent6 2 2 4 3 2" xfId="13861" xr:uid="{D863E88D-46A0-41CA-8184-F8234CDB4EE2}"/>
    <cellStyle name="40% - Accent6 2 2 4 4" xfId="9643" xr:uid="{AE5EF8E8-BBDE-4312-8345-0A6346D6D2A9}"/>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19" xr:uid="{EC8E7875-FDF0-487B-B076-60B103AB0340}"/>
    <cellStyle name="40% - Accent6 2 2 5 2 3" xfId="12201" xr:uid="{2E26AB8C-2E65-4DE3-B50C-A295A1038D29}"/>
    <cellStyle name="40% - Accent6 2 2 5 3" xfId="5835" xr:uid="{00000000-0005-0000-0000-000003070000}"/>
    <cellStyle name="40% - Accent6 2 2 5 3 2" xfId="14274" xr:uid="{3F897DDB-40AF-456B-A71B-DC77A3ECC2EF}"/>
    <cellStyle name="40% - Accent6 2 2 5 4" xfId="10056" xr:uid="{BEC69793-AD3B-4764-9819-67DBFC4FE6FE}"/>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32" xr:uid="{E67AD4A3-09DB-459E-95CF-54519C8B327E}"/>
    <cellStyle name="40% - Accent6 2 2 6 2 3" xfId="12614" xr:uid="{C17DDA84-984A-4E26-BA12-D3861BC490C7}"/>
    <cellStyle name="40% - Accent6 2 2 6 3" xfId="6248" xr:uid="{00000000-0005-0000-0000-000007070000}"/>
    <cellStyle name="40% - Accent6 2 2 6 3 2" xfId="14687" xr:uid="{C689D2AE-6CEB-486C-A09E-172646C60260}"/>
    <cellStyle name="40% - Accent6 2 2 6 4" xfId="10469" xr:uid="{D77A8BF2-D9FE-4889-B9C3-3D1E77D538AA}"/>
    <cellStyle name="40% - Accent6 2 2 7" xfId="2354" xr:uid="{00000000-0005-0000-0000-000008070000}"/>
    <cellStyle name="40% - Accent6 2 2 7 2" xfId="6661" xr:uid="{00000000-0005-0000-0000-000009070000}"/>
    <cellStyle name="40% - Accent6 2 2 7 2 2" xfId="15100" xr:uid="{324BFF80-54F3-4365-BDF8-91C1D36E01EA}"/>
    <cellStyle name="40% - Accent6 2 2 7 3" xfId="10882" xr:uid="{D5F8CEC6-98A9-43E3-9AD1-951EE8266BD5}"/>
    <cellStyle name="40% - Accent6 2 2 8" xfId="4595" xr:uid="{00000000-0005-0000-0000-00000A070000}"/>
    <cellStyle name="40% - Accent6 2 2 8 2" xfId="13034" xr:uid="{8360A95C-237F-447A-82FB-0895460024D5}"/>
    <cellStyle name="40% - Accent6 2 2 9" xfId="8816" xr:uid="{1CAAFD2D-934D-47D4-8EFB-EDADC51C098F}"/>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5" xr:uid="{7FD79B3B-1928-4841-91A2-68047178B9D4}"/>
    <cellStyle name="40% - Accent6 2 3 2 2 3" xfId="11377" xr:uid="{B6A6CAB4-44A3-42AC-A750-20E4A3D5B7B7}"/>
    <cellStyle name="40% - Accent6 2 3 2 3" xfId="5011" xr:uid="{00000000-0005-0000-0000-00000F070000}"/>
    <cellStyle name="40% - Accent6 2 3 2 3 2" xfId="13450" xr:uid="{47ABF2BB-1304-4316-A1CC-2B04B6777F3F}"/>
    <cellStyle name="40% - Accent6 2 3 2 4" xfId="9232" xr:uid="{1005D400-2036-40DD-8B26-F18294CE66A8}"/>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08" xr:uid="{61BEB53F-340D-4611-B497-6670B7B62D4A}"/>
    <cellStyle name="40% - Accent6 2 3 3 2 3" xfId="11790" xr:uid="{C287A82C-F71F-401F-B718-317DC5A4FD48}"/>
    <cellStyle name="40% - Accent6 2 3 3 3" xfId="5424" xr:uid="{00000000-0005-0000-0000-000013070000}"/>
    <cellStyle name="40% - Accent6 2 3 3 3 2" xfId="13863" xr:uid="{4561C00A-E6E5-4E0C-9C0C-48B45FF8AAA8}"/>
    <cellStyle name="40% - Accent6 2 3 3 4" xfId="9645" xr:uid="{CC04BAC6-3A55-4F84-AFB3-8DB09E513E00}"/>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21" xr:uid="{755B700B-DF67-4FB3-87EB-AE572A7CCE58}"/>
    <cellStyle name="40% - Accent6 2 3 4 2 3" xfId="12203" xr:uid="{584CF3C5-B4DE-4A5B-8A29-E7099B0FF568}"/>
    <cellStyle name="40% - Accent6 2 3 4 3" xfId="5837" xr:uid="{00000000-0005-0000-0000-000017070000}"/>
    <cellStyle name="40% - Accent6 2 3 4 3 2" xfId="14276" xr:uid="{3607C293-B648-4DAC-A03D-4E9D31B68447}"/>
    <cellStyle name="40% - Accent6 2 3 4 4" xfId="10058" xr:uid="{95735DBF-22E9-4967-8723-D4491F422C93}"/>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4" xr:uid="{411A43F2-65E3-4518-99A5-18BB45946417}"/>
    <cellStyle name="40% - Accent6 2 3 5 2 3" xfId="12616" xr:uid="{A2B9400E-AF17-46E3-950E-D9E589C72635}"/>
    <cellStyle name="40% - Accent6 2 3 5 3" xfId="6250" xr:uid="{00000000-0005-0000-0000-00001B070000}"/>
    <cellStyle name="40% - Accent6 2 3 5 3 2" xfId="14689" xr:uid="{31684290-CA32-4DCD-9733-F732717D2C26}"/>
    <cellStyle name="40% - Accent6 2 3 5 4" xfId="10471" xr:uid="{41D4F04B-FED2-4435-B817-198A4B4BBE01}"/>
    <cellStyle name="40% - Accent6 2 3 6" xfId="2356" xr:uid="{00000000-0005-0000-0000-00001C070000}"/>
    <cellStyle name="40% - Accent6 2 3 6 2" xfId="6663" xr:uid="{00000000-0005-0000-0000-00001D070000}"/>
    <cellStyle name="40% - Accent6 2 3 6 2 2" xfId="15102" xr:uid="{7C556F7B-3C5E-4E8E-8059-DB448B8EAE99}"/>
    <cellStyle name="40% - Accent6 2 3 6 3" xfId="10884" xr:uid="{0C954ED2-600B-4F66-9220-1C7C93B185BC}"/>
    <cellStyle name="40% - Accent6 2 3 7" xfId="4597" xr:uid="{00000000-0005-0000-0000-00001E070000}"/>
    <cellStyle name="40% - Accent6 2 3 7 2" xfId="13036" xr:uid="{C66A6906-AA8F-438E-9262-96A5102256E3}"/>
    <cellStyle name="40% - Accent6 2 3 8" xfId="8818" xr:uid="{898E74A6-F24C-4D38-966B-62E63984204D}"/>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92" xr:uid="{87840256-F206-4511-AEBF-DF806682F574}"/>
    <cellStyle name="40% - Accent6 2 4 2 3" xfId="11374" xr:uid="{868279C8-7671-4EA3-B376-2C40A317EEB4}"/>
    <cellStyle name="40% - Accent6 2 4 3" xfId="5008" xr:uid="{00000000-0005-0000-0000-000022070000}"/>
    <cellStyle name="40% - Accent6 2 4 3 2" xfId="13447" xr:uid="{88C493D7-5AAF-4837-A3F9-A421D819660B}"/>
    <cellStyle name="40% - Accent6 2 4 4" xfId="9229" xr:uid="{48A50B4F-DD6C-42FA-A348-05CC02F4B19D}"/>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5" xr:uid="{E29BE03A-A18B-4F16-87C2-A04AF1089507}"/>
    <cellStyle name="40% - Accent6 2 5 2 3" xfId="11787" xr:uid="{AC286F34-1FD2-44B3-86A1-7154A657F5BA}"/>
    <cellStyle name="40% - Accent6 2 5 3" xfId="5421" xr:uid="{00000000-0005-0000-0000-000026070000}"/>
    <cellStyle name="40% - Accent6 2 5 3 2" xfId="13860" xr:uid="{BC65B129-5EEB-4E1D-8F99-9622188A330F}"/>
    <cellStyle name="40% - Accent6 2 5 4" xfId="9642" xr:uid="{35215376-E94C-4AD0-86D2-680C1F453EF3}"/>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18" xr:uid="{FD946F4F-1C1F-48A3-AAE1-A406EA2B6151}"/>
    <cellStyle name="40% - Accent6 2 6 2 3" xfId="12200" xr:uid="{38B4330E-BD77-4704-802F-60AB617159E2}"/>
    <cellStyle name="40% - Accent6 2 6 3" xfId="5834" xr:uid="{00000000-0005-0000-0000-00002A070000}"/>
    <cellStyle name="40% - Accent6 2 6 3 2" xfId="14273" xr:uid="{794F7407-7AD3-4E81-A081-E0FD9F62F144}"/>
    <cellStyle name="40% - Accent6 2 6 4" xfId="10055" xr:uid="{1D1BEB9E-3C1F-4FDD-8E53-D966F771C0E8}"/>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31" xr:uid="{013D092F-F008-4C4D-842A-D1D1B61217CD}"/>
    <cellStyle name="40% - Accent6 2 7 2 3" xfId="12613" xr:uid="{9A2D06C4-5150-4CDA-93E8-C4567EEF77B4}"/>
    <cellStyle name="40% - Accent6 2 7 3" xfId="6247" xr:uid="{00000000-0005-0000-0000-00002E070000}"/>
    <cellStyle name="40% - Accent6 2 7 3 2" xfId="14686" xr:uid="{05B456FC-2FC7-44B4-963C-BFF933CAC7D1}"/>
    <cellStyle name="40% - Accent6 2 7 4" xfId="10468" xr:uid="{D45692E8-8257-43AE-BA6F-FD37308470A0}"/>
    <cellStyle name="40% - Accent6 2 8" xfId="2353" xr:uid="{00000000-0005-0000-0000-00002F070000}"/>
    <cellStyle name="40% - Accent6 2 8 2" xfId="6660" xr:uid="{00000000-0005-0000-0000-000030070000}"/>
    <cellStyle name="40% - Accent6 2 8 2 2" xfId="15099" xr:uid="{A4BBD333-EDF5-4E84-9EF3-35BFFF842F46}"/>
    <cellStyle name="40% - Accent6 2 8 3" xfId="10881" xr:uid="{CD8932F4-E738-49A7-BC45-6932D3C33254}"/>
    <cellStyle name="40% - Accent6 2 9" xfId="4594" xr:uid="{00000000-0005-0000-0000-000031070000}"/>
    <cellStyle name="40% - Accent6 2 9 2" xfId="13033" xr:uid="{5C484FB8-7164-4B34-8D0F-CD8FCD0FE614}"/>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597" xr:uid="{471791BE-7D16-4B30-86E9-D4A31A88979B}"/>
    <cellStyle name="40% - Accent6 3 2 2 2 3" xfId="11379" xr:uid="{D7B5BF27-0B13-4D10-809B-BD81F1C3B76B}"/>
    <cellStyle name="40% - Accent6 3 2 2 3" xfId="5013" xr:uid="{00000000-0005-0000-0000-000037070000}"/>
    <cellStyle name="40% - Accent6 3 2 2 3 2" xfId="13452" xr:uid="{2F679B40-698D-42A5-B658-87CBA622E626}"/>
    <cellStyle name="40% - Accent6 3 2 2 4" xfId="9234" xr:uid="{66B3143A-20C5-42B0-A1FA-E48CC44D82C7}"/>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10" xr:uid="{A49C57D4-A5CB-4296-9CD1-6B90D7F731C3}"/>
    <cellStyle name="40% - Accent6 3 2 3 2 3" xfId="11792" xr:uid="{83EF382A-AA4F-4E3A-A372-8F036EC4DFC0}"/>
    <cellStyle name="40% - Accent6 3 2 3 3" xfId="5426" xr:uid="{00000000-0005-0000-0000-00003B070000}"/>
    <cellStyle name="40% - Accent6 3 2 3 3 2" xfId="13865" xr:uid="{082A6D18-2779-4CAD-9737-5981561C9574}"/>
    <cellStyle name="40% - Accent6 3 2 3 4" xfId="9647" xr:uid="{38F7BDF9-6AB5-48B4-8C7D-6BA4722DBC1E}"/>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3" xr:uid="{13A71A52-6D18-45B0-8BBA-53444E85D241}"/>
    <cellStyle name="40% - Accent6 3 2 4 2 3" xfId="12205" xr:uid="{39574AFF-3F27-4AB1-A8C4-60BB154BFEA8}"/>
    <cellStyle name="40% - Accent6 3 2 4 3" xfId="5839" xr:uid="{00000000-0005-0000-0000-00003F070000}"/>
    <cellStyle name="40% - Accent6 3 2 4 3 2" xfId="14278" xr:uid="{32D6E4B2-A5CA-4A8E-9AEA-0FC7DCF5E261}"/>
    <cellStyle name="40% - Accent6 3 2 4 4" xfId="10060" xr:uid="{B21F2790-2ED0-4A8D-AC6C-A827CABC8E83}"/>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6" xr:uid="{AF6CB0E7-3243-4821-BE59-DA4701C45CE1}"/>
    <cellStyle name="40% - Accent6 3 2 5 2 3" xfId="12618" xr:uid="{1ABF3D34-4F37-4A7B-9A22-3E8D1CF25360}"/>
    <cellStyle name="40% - Accent6 3 2 5 3" xfId="6252" xr:uid="{00000000-0005-0000-0000-000043070000}"/>
    <cellStyle name="40% - Accent6 3 2 5 3 2" xfId="14691" xr:uid="{A72F1BFE-1771-4364-84C1-4F52D2DDFE99}"/>
    <cellStyle name="40% - Accent6 3 2 5 4" xfId="10473" xr:uid="{39807033-7996-4558-99EE-FC1EB194F9E4}"/>
    <cellStyle name="40% - Accent6 3 2 6" xfId="2358" xr:uid="{00000000-0005-0000-0000-000044070000}"/>
    <cellStyle name="40% - Accent6 3 2 6 2" xfId="6665" xr:uid="{00000000-0005-0000-0000-000045070000}"/>
    <cellStyle name="40% - Accent6 3 2 6 2 2" xfId="15104" xr:uid="{C696283C-31D7-4CEB-A0B8-08BB698CB92C}"/>
    <cellStyle name="40% - Accent6 3 2 6 3" xfId="10886" xr:uid="{48901B9A-6893-49CD-8772-B3E5F05FCDB2}"/>
    <cellStyle name="40% - Accent6 3 2 7" xfId="4599" xr:uid="{00000000-0005-0000-0000-000046070000}"/>
    <cellStyle name="40% - Accent6 3 2 7 2" xfId="13038" xr:uid="{9C23A8C8-676B-449E-9995-947BBCEDFD04}"/>
    <cellStyle name="40% - Accent6 3 2 8" xfId="8820" xr:uid="{A43583FB-32BA-4AC9-90E8-4B676B788AE8}"/>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6" xr:uid="{FC4893A3-5DD1-48F7-B760-240E6E3D70D5}"/>
    <cellStyle name="40% - Accent6 3 3 2 3" xfId="11378" xr:uid="{E9E7F4E4-D8D5-48FF-96A1-ED72E96AC8FB}"/>
    <cellStyle name="40% - Accent6 3 3 3" xfId="5012" xr:uid="{00000000-0005-0000-0000-00004A070000}"/>
    <cellStyle name="40% - Accent6 3 3 3 2" xfId="13451" xr:uid="{01EE95C0-1A64-40DB-BCC7-C6E574694225}"/>
    <cellStyle name="40% - Accent6 3 3 4" xfId="9233" xr:uid="{FA8E9974-5FBF-4A6F-BE56-98FCE1BAEDFC}"/>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09" xr:uid="{CD5B8F37-80ED-4051-AB88-55A9D763CF49}"/>
    <cellStyle name="40% - Accent6 3 4 2 3" xfId="11791" xr:uid="{757FEE9E-6AE3-4F05-98DD-7335026EABE3}"/>
    <cellStyle name="40% - Accent6 3 4 3" xfId="5425" xr:uid="{00000000-0005-0000-0000-00004E070000}"/>
    <cellStyle name="40% - Accent6 3 4 3 2" xfId="13864" xr:uid="{85D033C8-B20C-4AA9-946E-9737BC448F3B}"/>
    <cellStyle name="40% - Accent6 3 4 4" xfId="9646" xr:uid="{F78C2659-783E-4F97-A0C3-39FD1BB7FD05}"/>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22" xr:uid="{61814CCD-BFF3-4681-9CAD-FFF8CE141B2E}"/>
    <cellStyle name="40% - Accent6 3 5 2 3" xfId="12204" xr:uid="{0F845907-F4D8-442B-8323-1492500922C5}"/>
    <cellStyle name="40% - Accent6 3 5 3" xfId="5838" xr:uid="{00000000-0005-0000-0000-000052070000}"/>
    <cellStyle name="40% - Accent6 3 5 3 2" xfId="14277" xr:uid="{CC61734C-3ACA-4EBF-A57B-847A9A7BE2C3}"/>
    <cellStyle name="40% - Accent6 3 5 4" xfId="10059" xr:uid="{5BEE1FBA-9332-4BBF-BBC3-67B0B6D2497B}"/>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5" xr:uid="{A38ED47D-9E08-4D0C-9167-1D1A4A1FEBD6}"/>
    <cellStyle name="40% - Accent6 3 6 2 3" xfId="12617" xr:uid="{C79CF70A-080B-4B0F-AD54-8F67D7F5B8FD}"/>
    <cellStyle name="40% - Accent6 3 6 3" xfId="6251" xr:uid="{00000000-0005-0000-0000-000056070000}"/>
    <cellStyle name="40% - Accent6 3 6 3 2" xfId="14690" xr:uid="{3FC307C6-715E-490D-90EB-9B998138A904}"/>
    <cellStyle name="40% - Accent6 3 6 4" xfId="10472" xr:uid="{493A3EE4-3548-4628-973D-30348145FABB}"/>
    <cellStyle name="40% - Accent6 3 7" xfId="2357" xr:uid="{00000000-0005-0000-0000-000057070000}"/>
    <cellStyle name="40% - Accent6 3 7 2" xfId="6664" xr:uid="{00000000-0005-0000-0000-000058070000}"/>
    <cellStyle name="40% - Accent6 3 7 2 2" xfId="15103" xr:uid="{EFD1F486-520F-4995-A6E0-5EFC605933ED}"/>
    <cellStyle name="40% - Accent6 3 7 3" xfId="10885" xr:uid="{A412D1DE-0F72-47E5-B786-023ACD8C10E0}"/>
    <cellStyle name="40% - Accent6 3 8" xfId="4598" xr:uid="{00000000-0005-0000-0000-000059070000}"/>
    <cellStyle name="40% - Accent6 3 8 2" xfId="13037" xr:uid="{D83EA315-2602-41D9-B0AE-369875021EEA}"/>
    <cellStyle name="40% - Accent6 3 9" xfId="8819" xr:uid="{19D21D36-648F-483A-8258-7715859B387D}"/>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5598" xr:uid="{C54F68A4-5670-476C-B215-643916AE8D50}"/>
    <cellStyle name="40% - Accent6 4 2 2 3" xfId="11380" xr:uid="{133FDDA6-6F60-4126-B2D2-F5E78966AAD4}"/>
    <cellStyle name="40% - Accent6 4 2 3" xfId="5014" xr:uid="{00000000-0005-0000-0000-00005E070000}"/>
    <cellStyle name="40% - Accent6 4 2 3 2" xfId="13453" xr:uid="{ACAC2FC9-2BBC-486E-ABF9-9D1B8627CF60}"/>
    <cellStyle name="40% - Accent6 4 2 4" xfId="9235" xr:uid="{E853964A-2B48-48C2-BDC3-1465408AFF25}"/>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11" xr:uid="{C6B14291-998C-4A27-85E6-560081B17911}"/>
    <cellStyle name="40% - Accent6 4 3 2 3" xfId="11793" xr:uid="{E0F9469A-2D7D-4CDC-A33B-CA58150C65C9}"/>
    <cellStyle name="40% - Accent6 4 3 3" xfId="5427" xr:uid="{00000000-0005-0000-0000-000062070000}"/>
    <cellStyle name="40% - Accent6 4 3 3 2" xfId="13866" xr:uid="{4913FCD7-A8A1-43EC-A874-0137AF63BB70}"/>
    <cellStyle name="40% - Accent6 4 3 4" xfId="9648" xr:uid="{1DDFB44A-1792-4842-A0D1-7B38C35070DA}"/>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4" xr:uid="{0A88E1C3-BE5A-4B13-A361-BA36B5928D55}"/>
    <cellStyle name="40% - Accent6 4 4 2 3" xfId="12206" xr:uid="{84A8CD1A-D32A-42E7-AA63-AAA0A65D662A}"/>
    <cellStyle name="40% - Accent6 4 4 3" xfId="5840" xr:uid="{00000000-0005-0000-0000-000066070000}"/>
    <cellStyle name="40% - Accent6 4 4 3 2" xfId="14279" xr:uid="{4C895A83-1439-4B60-B626-D3EF569A25E8}"/>
    <cellStyle name="40% - Accent6 4 4 4" xfId="10061" xr:uid="{DE4D84CA-9695-4984-829A-0254A3223FE9}"/>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37" xr:uid="{C039A217-B5B8-4181-940B-8EEFC8FBEC95}"/>
    <cellStyle name="40% - Accent6 4 5 2 3" xfId="12619" xr:uid="{13D09E70-42A4-4379-9183-C003F1213ABA}"/>
    <cellStyle name="40% - Accent6 4 5 3" xfId="6253" xr:uid="{00000000-0005-0000-0000-00006A070000}"/>
    <cellStyle name="40% - Accent6 4 5 3 2" xfId="14692" xr:uid="{268D5C60-D73A-4FA0-B92A-42F8BD4B35A7}"/>
    <cellStyle name="40% - Accent6 4 5 4" xfId="10474" xr:uid="{4BF4BA60-BD60-4C02-941F-3F1BA49B97FD}"/>
    <cellStyle name="40% - Accent6 4 6" xfId="2359" xr:uid="{00000000-0005-0000-0000-00006B070000}"/>
    <cellStyle name="40% - Accent6 4 6 2" xfId="6666" xr:uid="{00000000-0005-0000-0000-00006C070000}"/>
    <cellStyle name="40% - Accent6 4 6 2 2" xfId="15105" xr:uid="{62418A8A-4A78-4436-9105-87B17DAC5CAD}"/>
    <cellStyle name="40% - Accent6 4 6 3" xfId="10887" xr:uid="{901E0921-70DF-454B-864F-1465B87D9ABA}"/>
    <cellStyle name="40% - Accent6 4 7" xfId="4600" xr:uid="{00000000-0005-0000-0000-00006D070000}"/>
    <cellStyle name="40% - Accent6 4 7 2" xfId="13039" xr:uid="{66298A5E-C9AF-40A8-BB1F-685D73D80081}"/>
    <cellStyle name="40% - Accent6 4 8" xfId="8821" xr:uid="{314AF4EC-9448-4AA1-8EFF-BFF0DC7A4C1A}"/>
    <cellStyle name="40% - Accent6 5" xfId="658" xr:uid="{00000000-0005-0000-0000-00006E070000}"/>
    <cellStyle name="40% - Accent6 5 2" xfId="2929" xr:uid="{00000000-0005-0000-0000-00006F070000}"/>
    <cellStyle name="40% - Accent6 5 2 2" xfId="7152" xr:uid="{00000000-0005-0000-0000-000070070000}"/>
    <cellStyle name="40% - Accent6 5 2 2 2" xfId="15591" xr:uid="{4069C42E-0E76-4B5F-9735-9B7C46C90ED8}"/>
    <cellStyle name="40% - Accent6 5 2 3" xfId="11373" xr:uid="{A81A0213-C664-4BFC-9F5B-87166BA9D11E}"/>
    <cellStyle name="40% - Accent6 5 3" xfId="5007" xr:uid="{00000000-0005-0000-0000-000071070000}"/>
    <cellStyle name="40% - Accent6 5 3 2" xfId="13446" xr:uid="{986C8CC5-B5D6-40DF-9421-6C2A290D79CB}"/>
    <cellStyle name="40% - Accent6 5 4" xfId="9228" xr:uid="{1229C445-08B4-4434-8A2F-3CC520DA5411}"/>
    <cellStyle name="40% - Accent6 6" xfId="1111" xr:uid="{00000000-0005-0000-0000-000072070000}"/>
    <cellStyle name="40% - Accent6 6 2" xfId="3342" xr:uid="{00000000-0005-0000-0000-000073070000}"/>
    <cellStyle name="40% - Accent6 6 2 2" xfId="7565" xr:uid="{00000000-0005-0000-0000-000074070000}"/>
    <cellStyle name="40% - Accent6 6 2 2 2" xfId="16004" xr:uid="{081C2DCB-A5F2-484D-A346-8F3BD948D471}"/>
    <cellStyle name="40% - Accent6 6 2 3" xfId="11786" xr:uid="{5D13E2FA-7278-49A2-BB52-3B399A3BEEC3}"/>
    <cellStyle name="40% - Accent6 6 3" xfId="5420" xr:uid="{00000000-0005-0000-0000-000075070000}"/>
    <cellStyle name="40% - Accent6 6 3 2" xfId="13859" xr:uid="{4470DC73-4DB9-47F6-8CAA-0D3F81A51028}"/>
    <cellStyle name="40% - Accent6 6 4" xfId="9641" xr:uid="{CBEF9A06-86E9-4397-9F42-FA0E746D8140}"/>
    <cellStyle name="40% - Accent6 7" xfId="1525" xr:uid="{00000000-0005-0000-0000-000076070000}"/>
    <cellStyle name="40% - Accent6 7 2" xfId="3755" xr:uid="{00000000-0005-0000-0000-000077070000}"/>
    <cellStyle name="40% - Accent6 7 2 2" xfId="7978" xr:uid="{00000000-0005-0000-0000-000078070000}"/>
    <cellStyle name="40% - Accent6 7 2 2 2" xfId="16417" xr:uid="{90640CB7-D43A-49E2-A869-45CDE344E7E2}"/>
    <cellStyle name="40% - Accent6 7 2 3" xfId="12199" xr:uid="{D7CCBDCB-1AD5-455E-9A80-AAF28DF911B5}"/>
    <cellStyle name="40% - Accent6 7 3" xfId="5833" xr:uid="{00000000-0005-0000-0000-000079070000}"/>
    <cellStyle name="40% - Accent6 7 3 2" xfId="14272" xr:uid="{BBF6E8DF-71B7-461F-B969-5150F013DFF7}"/>
    <cellStyle name="40% - Accent6 7 4" xfId="10054" xr:uid="{EB821069-BF3E-44DE-9828-8419E0663066}"/>
    <cellStyle name="40% - Accent6 8" xfId="1939" xr:uid="{00000000-0005-0000-0000-00007A070000}"/>
    <cellStyle name="40% - Accent6 8 2" xfId="4168" xr:uid="{00000000-0005-0000-0000-00007B070000}"/>
    <cellStyle name="40% - Accent6 8 2 2" xfId="8391" xr:uid="{00000000-0005-0000-0000-00007C070000}"/>
    <cellStyle name="40% - Accent6 8 2 2 2" xfId="16830" xr:uid="{C3A86C76-76CB-4B9C-9D38-4CF12C4DDE75}"/>
    <cellStyle name="40% - Accent6 8 2 3" xfId="12612" xr:uid="{1E838E48-6EC8-4F79-850B-EB33EA8B9ACF}"/>
    <cellStyle name="40% - Accent6 8 3" xfId="6246" xr:uid="{00000000-0005-0000-0000-00007D070000}"/>
    <cellStyle name="40% - Accent6 8 3 2" xfId="14685" xr:uid="{6DA7E731-DC35-4EB3-9DF2-9FE90D78C74F}"/>
    <cellStyle name="40% - Accent6 8 4" xfId="10467" xr:uid="{BD1548D8-279E-4E55-8B8A-D9CE05DAB307}"/>
    <cellStyle name="40% - Accent6 9" xfId="2352" xr:uid="{00000000-0005-0000-0000-00007E070000}"/>
    <cellStyle name="40% - Accent6 9 2" xfId="6659" xr:uid="{00000000-0005-0000-0000-00007F070000}"/>
    <cellStyle name="40% - Accent6 9 2 2" xfId="15098" xr:uid="{36CCEFD9-1535-4652-8C23-6A66B46B8553}"/>
    <cellStyle name="40% - Accent6 9 3" xfId="10880" xr:uid="{09A10086-9874-4818-A1A9-B11182BDA267}"/>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3" xr:uid="{A19A480D-D4BE-4F74-BD0A-BD09C23D2B40}"/>
    <cellStyle name="Comma 4 2 2 2 10 3" xfId="11205" xr:uid="{ACCBE72E-AD9F-4951-B69A-4F11A1C92AF3}"/>
    <cellStyle name="Comma 4 2 2 2 11" xfId="4601" xr:uid="{00000000-0005-0000-0000-0000A3070000}"/>
    <cellStyle name="Comma 4 2 2 2 11 2" xfId="13040" xr:uid="{202F0C01-37FF-476E-8B54-284222E94CC9}"/>
    <cellStyle name="Comma 4 2 2 2 12" xfId="8822" xr:uid="{64AAC872-2645-4A97-A1E3-E4E749712FBD}"/>
    <cellStyle name="Comma 4 2 2 2 2" xfId="129" xr:uid="{00000000-0005-0000-0000-0000A4070000}"/>
    <cellStyle name="Comma 4 2 2 2 2 10" xfId="4602" xr:uid="{00000000-0005-0000-0000-0000A5070000}"/>
    <cellStyle name="Comma 4 2 2 2 2 10 2" xfId="13041" xr:uid="{1877AC28-7F9B-4A97-A857-E18C11FFACD8}"/>
    <cellStyle name="Comma 4 2 2 2 2 11" xfId="8823" xr:uid="{4E63BFC7-6B18-480B-AA5C-4DF5F840623F}"/>
    <cellStyle name="Comma 4 2 2 2 2 2" xfId="130" xr:uid="{00000000-0005-0000-0000-0000A6070000}"/>
    <cellStyle name="Comma 4 2 2 2 2 2 10" xfId="8824" xr:uid="{E052E9F3-7A1A-4D4F-B559-28479BB9A877}"/>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601" xr:uid="{7177F3F7-D10E-4D4C-B8DC-ADAD257EBB73}"/>
    <cellStyle name="Comma 4 2 2 2 2 2 2 2 3" xfId="11383" xr:uid="{405508AC-DD3D-4B8D-82FA-D2B18E3E500F}"/>
    <cellStyle name="Comma 4 2 2 2 2 2 2 3" xfId="5017" xr:uid="{00000000-0005-0000-0000-0000AA070000}"/>
    <cellStyle name="Comma 4 2 2 2 2 2 2 3 2" xfId="13456" xr:uid="{1737B965-5255-4758-89F1-B034C6E3DC05}"/>
    <cellStyle name="Comma 4 2 2 2 2 2 2 4" xfId="9238" xr:uid="{ED537E1D-EC7A-43A5-8C01-CDD19B7E33FB}"/>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4" xr:uid="{5B2491E8-61A3-49C8-895C-8B0F9D1D6A64}"/>
    <cellStyle name="Comma 4 2 2 2 2 2 3 2 3" xfId="11796" xr:uid="{5281C9F6-25C2-4E37-BE47-22D8116EC243}"/>
    <cellStyle name="Comma 4 2 2 2 2 2 3 3" xfId="5430" xr:uid="{00000000-0005-0000-0000-0000AE070000}"/>
    <cellStyle name="Comma 4 2 2 2 2 2 3 3 2" xfId="13869" xr:uid="{D6060A42-2836-46A1-ADE1-0D897701BECE}"/>
    <cellStyle name="Comma 4 2 2 2 2 2 3 4" xfId="9651" xr:uid="{80E222B4-99D5-4DC1-AB38-F32F7DFD8DDF}"/>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27" xr:uid="{609C11CE-A4D5-420D-AF37-44F862001E7C}"/>
    <cellStyle name="Comma 4 2 2 2 2 2 4 2 3" xfId="12209" xr:uid="{4F0105F6-C283-4A53-81BC-D8E8E8878D07}"/>
    <cellStyle name="Comma 4 2 2 2 2 2 4 3" xfId="5843" xr:uid="{00000000-0005-0000-0000-0000B2070000}"/>
    <cellStyle name="Comma 4 2 2 2 2 2 4 3 2" xfId="14282" xr:uid="{CDFB9BC1-0117-4908-A3B7-BF8D6C33D689}"/>
    <cellStyle name="Comma 4 2 2 2 2 2 4 4" xfId="10064" xr:uid="{EED71762-9315-42CB-9D2C-FBD49B7FE8D2}"/>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40" xr:uid="{F1F2D577-5C21-4E5C-8A89-5EEB312E6ADF}"/>
    <cellStyle name="Comma 4 2 2 2 2 2 5 2 3" xfId="12622" xr:uid="{6D5CB2C9-1EF3-4EFB-9E31-65AECB843DA7}"/>
    <cellStyle name="Comma 4 2 2 2 2 2 5 3" xfId="6256" xr:uid="{00000000-0005-0000-0000-0000B6070000}"/>
    <cellStyle name="Comma 4 2 2 2 2 2 5 3 2" xfId="14695" xr:uid="{F5C7582F-E977-40EB-80A6-200FA0056248}"/>
    <cellStyle name="Comma 4 2 2 2 2 2 5 4" xfId="10477" xr:uid="{137A90EC-7624-41A8-83EB-A12E40D39AAE}"/>
    <cellStyle name="Comma 4 2 2 2 2 2 6" xfId="2384" xr:uid="{00000000-0005-0000-0000-0000B7070000}"/>
    <cellStyle name="Comma 4 2 2 2 2 2 6 2" xfId="6669" xr:uid="{00000000-0005-0000-0000-0000B8070000}"/>
    <cellStyle name="Comma 4 2 2 2 2 2 6 2 2" xfId="15108" xr:uid="{BE057CD0-6ED4-4401-B077-444482B5C0E5}"/>
    <cellStyle name="Comma 4 2 2 2 2 2 6 3" xfId="10890" xr:uid="{934EDD46-1198-4806-8175-AE423F78322F}"/>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5" xr:uid="{D4D75DFB-DE2D-4954-B16C-0286B90B014C}"/>
    <cellStyle name="Comma 4 2 2 2 2 2 8 3" xfId="11207" xr:uid="{BB2E8911-4355-4E1F-BB8A-7172E96872F4}"/>
    <cellStyle name="Comma 4 2 2 2 2 2 9" xfId="4603" xr:uid="{00000000-0005-0000-0000-0000BC070000}"/>
    <cellStyle name="Comma 4 2 2 2 2 2 9 2" xfId="13042" xr:uid="{C0C72ADD-98FB-49D2-A6CD-C2FF7882F688}"/>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600" xr:uid="{0636F14B-C676-4262-BA30-4EE3261E6DF9}"/>
    <cellStyle name="Comma 4 2 2 2 2 3 2 3" xfId="11382" xr:uid="{B92F171A-A599-4909-942F-FE8119C36011}"/>
    <cellStyle name="Comma 4 2 2 2 2 3 3" xfId="5016" xr:uid="{00000000-0005-0000-0000-0000C0070000}"/>
    <cellStyle name="Comma 4 2 2 2 2 3 3 2" xfId="13455" xr:uid="{BBF9A282-F3F0-4CAF-A330-0C21AA252171}"/>
    <cellStyle name="Comma 4 2 2 2 2 3 4" xfId="9237" xr:uid="{ECD98EC1-2427-4762-98A0-80F727396C9D}"/>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3" xr:uid="{131678A2-43ED-450D-AB73-A3DF96EE3B52}"/>
    <cellStyle name="Comma 4 2 2 2 2 4 2 3" xfId="11795" xr:uid="{F35C320B-EAE9-4D10-8DC1-41CA316EA667}"/>
    <cellStyle name="Comma 4 2 2 2 2 4 3" xfId="5429" xr:uid="{00000000-0005-0000-0000-0000C4070000}"/>
    <cellStyle name="Comma 4 2 2 2 2 4 3 2" xfId="13868" xr:uid="{DADF1C4A-FC88-4916-9EE6-C7E7648E0852}"/>
    <cellStyle name="Comma 4 2 2 2 2 4 4" xfId="9650" xr:uid="{32716A42-A50D-4DDC-9D47-C26D41FE7468}"/>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6" xr:uid="{BA901A39-DDA3-42B4-BF10-1A9263D68F98}"/>
    <cellStyle name="Comma 4 2 2 2 2 5 2 3" xfId="12208" xr:uid="{5B62B836-703D-4C9A-AB8D-527199B86A2F}"/>
    <cellStyle name="Comma 4 2 2 2 2 5 3" xfId="5842" xr:uid="{00000000-0005-0000-0000-0000C8070000}"/>
    <cellStyle name="Comma 4 2 2 2 2 5 3 2" xfId="14281" xr:uid="{BB356B55-6D1A-456E-B062-2E7BB19CA3FD}"/>
    <cellStyle name="Comma 4 2 2 2 2 5 4" xfId="10063" xr:uid="{3C3FACB2-07BB-43BB-8580-D10881B43DE8}"/>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39" xr:uid="{9977A1AF-30B9-4576-A3F0-864D2403B49C}"/>
    <cellStyle name="Comma 4 2 2 2 2 6 2 3" xfId="12621" xr:uid="{4B80547D-C312-4BB2-9D21-55D01613192F}"/>
    <cellStyle name="Comma 4 2 2 2 2 6 3" xfId="6255" xr:uid="{00000000-0005-0000-0000-0000CC070000}"/>
    <cellStyle name="Comma 4 2 2 2 2 6 3 2" xfId="14694" xr:uid="{A00AA556-04B7-4E98-B785-CE931CCBFACE}"/>
    <cellStyle name="Comma 4 2 2 2 2 6 4" xfId="10476" xr:uid="{E393383A-FEAB-4DEE-9D71-6429085345FC}"/>
    <cellStyle name="Comma 4 2 2 2 2 7" xfId="2383" xr:uid="{00000000-0005-0000-0000-0000CD070000}"/>
    <cellStyle name="Comma 4 2 2 2 2 7 2" xfId="6668" xr:uid="{00000000-0005-0000-0000-0000CE070000}"/>
    <cellStyle name="Comma 4 2 2 2 2 7 2 2" xfId="15107" xr:uid="{02EF9C10-333E-4FC8-8EB4-66BA73927B84}"/>
    <cellStyle name="Comma 4 2 2 2 2 7 3" xfId="10889" xr:uid="{1CFE3F6F-303D-4DA4-B515-3FA8641C0559}"/>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4" xr:uid="{E3F4DF3C-A9E1-4015-B65A-335556274088}"/>
    <cellStyle name="Comma 4 2 2 2 2 9 3" xfId="11206" xr:uid="{E705A719-57C8-4F83-8D7C-571C690501D6}"/>
    <cellStyle name="Comma 4 2 2 2 3" xfId="131" xr:uid="{00000000-0005-0000-0000-0000D2070000}"/>
    <cellStyle name="Comma 4 2 2 2 3 10" xfId="8825" xr:uid="{C2EC488E-0FF4-4357-8C16-907A066B9E3C}"/>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602" xr:uid="{F54A3447-01EB-42E5-B6D0-7480BA87B517}"/>
    <cellStyle name="Comma 4 2 2 2 3 2 2 3" xfId="11384" xr:uid="{2F41BF9A-8325-4231-951A-AC3C29E2DD35}"/>
    <cellStyle name="Comma 4 2 2 2 3 2 3" xfId="5018" xr:uid="{00000000-0005-0000-0000-0000D6070000}"/>
    <cellStyle name="Comma 4 2 2 2 3 2 3 2" xfId="13457" xr:uid="{3780FBCA-9C2D-4E56-98C0-EF34157EE217}"/>
    <cellStyle name="Comma 4 2 2 2 3 2 4" xfId="9239" xr:uid="{744ABCDA-6AAE-4D4A-A884-8BBE5003D0C9}"/>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5" xr:uid="{C07C4120-CC76-4CE6-BAB0-ADA046FB4E60}"/>
    <cellStyle name="Comma 4 2 2 2 3 3 2 3" xfId="11797" xr:uid="{957700D2-967B-4E53-A1FB-0C90EC4E2A89}"/>
    <cellStyle name="Comma 4 2 2 2 3 3 3" xfId="5431" xr:uid="{00000000-0005-0000-0000-0000DA070000}"/>
    <cellStyle name="Comma 4 2 2 2 3 3 3 2" xfId="13870" xr:uid="{7DC3A18A-1435-4180-96CB-7D947BD5CC64}"/>
    <cellStyle name="Comma 4 2 2 2 3 3 4" xfId="9652" xr:uid="{506369A8-A169-4BDA-A978-ADDC00F7BDDA}"/>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28" xr:uid="{D27C9641-6480-41DE-9E63-81A68D4B1A2E}"/>
    <cellStyle name="Comma 4 2 2 2 3 4 2 3" xfId="12210" xr:uid="{A5A932AE-43C6-4A35-AB82-BD718986753A}"/>
    <cellStyle name="Comma 4 2 2 2 3 4 3" xfId="5844" xr:uid="{00000000-0005-0000-0000-0000DE070000}"/>
    <cellStyle name="Comma 4 2 2 2 3 4 3 2" xfId="14283" xr:uid="{8175F669-647F-4116-966C-DD624D4DD0F1}"/>
    <cellStyle name="Comma 4 2 2 2 3 4 4" xfId="10065" xr:uid="{3AC0002B-7B05-48E3-9F1F-865E2922D026}"/>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41" xr:uid="{40C00F0D-586F-4052-851F-B7E95FD0CEC7}"/>
    <cellStyle name="Comma 4 2 2 2 3 5 2 3" xfId="12623" xr:uid="{F3F7AFD6-842E-48C5-9436-E3F4B47D9C5A}"/>
    <cellStyle name="Comma 4 2 2 2 3 5 3" xfId="6257" xr:uid="{00000000-0005-0000-0000-0000E2070000}"/>
    <cellStyle name="Comma 4 2 2 2 3 5 3 2" xfId="14696" xr:uid="{22ED8F3B-267C-4BBD-97AA-95CC2A4F1662}"/>
    <cellStyle name="Comma 4 2 2 2 3 5 4" xfId="10478" xr:uid="{8171FC50-4B81-42EB-B145-673D3899FC64}"/>
    <cellStyle name="Comma 4 2 2 2 3 6" xfId="2385" xr:uid="{00000000-0005-0000-0000-0000E3070000}"/>
    <cellStyle name="Comma 4 2 2 2 3 6 2" xfId="6670" xr:uid="{00000000-0005-0000-0000-0000E4070000}"/>
    <cellStyle name="Comma 4 2 2 2 3 6 2 2" xfId="15109" xr:uid="{9BAC25F9-EE98-4D74-84F8-470B01D1D170}"/>
    <cellStyle name="Comma 4 2 2 2 3 6 3" xfId="10891" xr:uid="{B9B86DDB-BF71-42BA-9534-92EDC9C270CE}"/>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6" xr:uid="{6316542D-82EE-419F-AE09-41337676BF24}"/>
    <cellStyle name="Comma 4 2 2 2 3 8 3" xfId="11208" xr:uid="{B989C70B-76A6-4BC4-8C77-C0A9A4D01056}"/>
    <cellStyle name="Comma 4 2 2 2 3 9" xfId="4604" xr:uid="{00000000-0005-0000-0000-0000E8070000}"/>
    <cellStyle name="Comma 4 2 2 2 3 9 2" xfId="13043" xr:uid="{911E1C80-CE73-4C64-8999-89E49A23BADA}"/>
    <cellStyle name="Comma 4 2 2 2 4" xfId="666" xr:uid="{00000000-0005-0000-0000-0000E9070000}"/>
    <cellStyle name="Comma 4 2 2 2 4 2" xfId="2937" xr:uid="{00000000-0005-0000-0000-0000EA070000}"/>
    <cellStyle name="Comma 4 2 2 2 4 2 2" xfId="7160" xr:uid="{00000000-0005-0000-0000-0000EB070000}"/>
    <cellStyle name="Comma 4 2 2 2 4 2 2 2" xfId="15599" xr:uid="{F7B03E0E-E9B5-42D8-B055-9AC757732BB3}"/>
    <cellStyle name="Comma 4 2 2 2 4 2 3" xfId="11381" xr:uid="{B41AABBD-B39E-40D8-AB32-A77A52626871}"/>
    <cellStyle name="Comma 4 2 2 2 4 3" xfId="5015" xr:uid="{00000000-0005-0000-0000-0000EC070000}"/>
    <cellStyle name="Comma 4 2 2 2 4 3 2" xfId="13454" xr:uid="{25DEBB5E-E140-463A-BC4E-D0E2082954FD}"/>
    <cellStyle name="Comma 4 2 2 2 4 4" xfId="9236" xr:uid="{2A57CA8F-BFF4-43C1-B847-2BE75A4E0E4C}"/>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12" xr:uid="{10CC7B0B-CCD4-41FC-9EB6-16D2490A6C5A}"/>
    <cellStyle name="Comma 4 2 2 2 5 2 3" xfId="11794" xr:uid="{5D8CBEF0-5A0D-4847-A24A-57BAF4AB1898}"/>
    <cellStyle name="Comma 4 2 2 2 5 3" xfId="5428" xr:uid="{00000000-0005-0000-0000-0000F0070000}"/>
    <cellStyle name="Comma 4 2 2 2 5 3 2" xfId="13867" xr:uid="{742EA6C9-F994-44B5-B69B-CB9553C4153A}"/>
    <cellStyle name="Comma 4 2 2 2 5 4" xfId="9649" xr:uid="{2E54E7D6-28B2-47D2-88C0-65C6494CC650}"/>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5" xr:uid="{72179882-F15A-410B-B543-6563F2F8478C}"/>
    <cellStyle name="Comma 4 2 2 2 6 2 3" xfId="12207" xr:uid="{A07954C7-D81C-4B4E-98A8-BD427D0FD084}"/>
    <cellStyle name="Comma 4 2 2 2 6 3" xfId="5841" xr:uid="{00000000-0005-0000-0000-0000F4070000}"/>
    <cellStyle name="Comma 4 2 2 2 6 3 2" xfId="14280" xr:uid="{3E6CBCA8-C6D4-4F9F-8B30-DF459A8EE0E1}"/>
    <cellStyle name="Comma 4 2 2 2 6 4" xfId="10062" xr:uid="{FD3538B6-0B57-415A-A4D4-A34CCF0BF533}"/>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38" xr:uid="{0B3B2253-5AF8-4E59-8959-E78D1719F443}"/>
    <cellStyle name="Comma 4 2 2 2 7 2 3" xfId="12620" xr:uid="{79236F30-D735-4591-BC0C-46448C4FA209}"/>
    <cellStyle name="Comma 4 2 2 2 7 3" xfId="6254" xr:uid="{00000000-0005-0000-0000-0000F8070000}"/>
    <cellStyle name="Comma 4 2 2 2 7 3 2" xfId="14693" xr:uid="{6B491B30-51DA-4942-89D4-4EE8586216F8}"/>
    <cellStyle name="Comma 4 2 2 2 7 4" xfId="10475" xr:uid="{327EE5AF-68F5-415C-8678-F3CF6DFE8856}"/>
    <cellStyle name="Comma 4 2 2 2 8" xfId="2382" xr:uid="{00000000-0005-0000-0000-0000F9070000}"/>
    <cellStyle name="Comma 4 2 2 2 8 2" xfId="6667" xr:uid="{00000000-0005-0000-0000-0000FA070000}"/>
    <cellStyle name="Comma 4 2 2 2 8 2 2" xfId="15106" xr:uid="{942F8839-DF44-4FEF-A21C-0E45F5156C0D}"/>
    <cellStyle name="Comma 4 2 2 2 8 3" xfId="10888" xr:uid="{F007B85B-8EDF-4885-9B42-C08B251951A1}"/>
    <cellStyle name="Comma 4 2 2 2 9" xfId="2381" xr:uid="{00000000-0005-0000-0000-0000FB070000}"/>
    <cellStyle name="Comma 4 2 2 3" xfId="132" xr:uid="{00000000-0005-0000-0000-0000FC070000}"/>
    <cellStyle name="Comma 4 2 2 3 10" xfId="4605" xr:uid="{00000000-0005-0000-0000-0000FD070000}"/>
    <cellStyle name="Comma 4 2 2 3 10 2" xfId="13044" xr:uid="{F1FDF445-8B87-4AAE-B303-38B77AF45A78}"/>
    <cellStyle name="Comma 4 2 2 3 11" xfId="8826" xr:uid="{845DC854-FCC9-4722-9472-F5BD09D34A31}"/>
    <cellStyle name="Comma 4 2 2 3 2" xfId="133" xr:uid="{00000000-0005-0000-0000-0000FE070000}"/>
    <cellStyle name="Comma 4 2 2 3 2 10" xfId="8827" xr:uid="{1103077F-7B8E-4324-8E69-AAA1FEDED25C}"/>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4" xr:uid="{03E84968-CCF1-412E-8857-F68310FB9626}"/>
    <cellStyle name="Comma 4 2 2 3 2 2 2 3" xfId="11386" xr:uid="{EE5C766B-A9B1-4E77-83E0-AA058286417B}"/>
    <cellStyle name="Comma 4 2 2 3 2 2 3" xfId="5020" xr:uid="{00000000-0005-0000-0000-000002080000}"/>
    <cellStyle name="Comma 4 2 2 3 2 2 3 2" xfId="13459" xr:uid="{5FF0A5E5-C555-4A4F-8069-B4F39872D269}"/>
    <cellStyle name="Comma 4 2 2 3 2 2 4" xfId="9241" xr:uid="{4BA8A03D-2160-4A5B-BA70-AD5B85FE8E8C}"/>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17" xr:uid="{C4C0C796-9A73-4080-8BDF-4AC7B990F9F1}"/>
    <cellStyle name="Comma 4 2 2 3 2 3 2 3" xfId="11799" xr:uid="{3CED5A3E-149B-48DE-B109-4D8879A0BEE8}"/>
    <cellStyle name="Comma 4 2 2 3 2 3 3" xfId="5433" xr:uid="{00000000-0005-0000-0000-000006080000}"/>
    <cellStyle name="Comma 4 2 2 3 2 3 3 2" xfId="13872" xr:uid="{C2D8BF79-DC94-44EB-A504-38285F445A26}"/>
    <cellStyle name="Comma 4 2 2 3 2 3 4" xfId="9654" xr:uid="{E6A60949-5407-4288-83F6-84DEE3091F7D}"/>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30" xr:uid="{05EB19F3-78FE-45D3-9AD0-55921FD08334}"/>
    <cellStyle name="Comma 4 2 2 3 2 4 2 3" xfId="12212" xr:uid="{E7A2DD67-C010-45D2-9E2A-74D013BA1307}"/>
    <cellStyle name="Comma 4 2 2 3 2 4 3" xfId="5846" xr:uid="{00000000-0005-0000-0000-00000A080000}"/>
    <cellStyle name="Comma 4 2 2 3 2 4 3 2" xfId="14285" xr:uid="{326344D9-756F-45CD-9516-3E156788FADF}"/>
    <cellStyle name="Comma 4 2 2 3 2 4 4" xfId="10067" xr:uid="{FA5C811C-72D9-42A6-B551-FA750559DAFB}"/>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3" xr:uid="{97FCB969-990B-45C7-9BF7-19B55137EBC0}"/>
    <cellStyle name="Comma 4 2 2 3 2 5 2 3" xfId="12625" xr:uid="{7B391098-5DC8-4E41-85E6-0EEC42BAB237}"/>
    <cellStyle name="Comma 4 2 2 3 2 5 3" xfId="6259" xr:uid="{00000000-0005-0000-0000-00000E080000}"/>
    <cellStyle name="Comma 4 2 2 3 2 5 3 2" xfId="14698" xr:uid="{1F10B9B2-C977-4B3C-BDA5-F1E37DF8C6A0}"/>
    <cellStyle name="Comma 4 2 2 3 2 5 4" xfId="10480" xr:uid="{24C66530-7514-4D0D-AA3C-97E7AFCA9A42}"/>
    <cellStyle name="Comma 4 2 2 3 2 6" xfId="2387" xr:uid="{00000000-0005-0000-0000-00000F080000}"/>
    <cellStyle name="Comma 4 2 2 3 2 6 2" xfId="6672" xr:uid="{00000000-0005-0000-0000-000010080000}"/>
    <cellStyle name="Comma 4 2 2 3 2 6 2 2" xfId="15111" xr:uid="{173042CE-9C4C-42D5-BCC8-5A743147CF93}"/>
    <cellStyle name="Comma 4 2 2 3 2 6 3" xfId="10893" xr:uid="{974EFF51-EF31-48FC-9C0C-291DB402B6AC}"/>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28" xr:uid="{EAE795AA-D020-408B-8FF8-B0DC8B95E713}"/>
    <cellStyle name="Comma 4 2 2 3 2 8 3" xfId="11210" xr:uid="{B634034B-E669-4603-B55D-C18AD90D121E}"/>
    <cellStyle name="Comma 4 2 2 3 2 9" xfId="4606" xr:uid="{00000000-0005-0000-0000-000014080000}"/>
    <cellStyle name="Comma 4 2 2 3 2 9 2" xfId="13045" xr:uid="{9331BC87-0FEE-4DB5-A92F-AE1D50A7A1C7}"/>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3" xr:uid="{8BFFCDBC-D81F-4348-AB6A-66E559C62071}"/>
    <cellStyle name="Comma 4 2 2 3 3 2 3" xfId="11385" xr:uid="{6AB3A0E9-E1CE-4051-B987-791D97C09EAA}"/>
    <cellStyle name="Comma 4 2 2 3 3 3" xfId="5019" xr:uid="{00000000-0005-0000-0000-000018080000}"/>
    <cellStyle name="Comma 4 2 2 3 3 3 2" xfId="13458" xr:uid="{F8DA2737-8E9F-4052-94D0-EE629A2D61E1}"/>
    <cellStyle name="Comma 4 2 2 3 3 4" xfId="9240" xr:uid="{5E626AD9-6C57-4B1F-80DE-323D77CAB370}"/>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6" xr:uid="{AF4106B5-CDB8-44B3-B238-2C6191655BE2}"/>
    <cellStyle name="Comma 4 2 2 3 4 2 3" xfId="11798" xr:uid="{8800CE97-1B96-42C7-83CB-E451FF82EBC7}"/>
    <cellStyle name="Comma 4 2 2 3 4 3" xfId="5432" xr:uid="{00000000-0005-0000-0000-00001C080000}"/>
    <cellStyle name="Comma 4 2 2 3 4 3 2" xfId="13871" xr:uid="{0F2B18C0-EDC2-42DE-94C4-4A0CD2F4BD56}"/>
    <cellStyle name="Comma 4 2 2 3 4 4" xfId="9653" xr:uid="{5AC22177-4C8B-4CB4-B53B-0D4FBF5715D5}"/>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29" xr:uid="{56FB1443-2718-4492-953A-FAF144753844}"/>
    <cellStyle name="Comma 4 2 2 3 5 2 3" xfId="12211" xr:uid="{427D48D2-0325-47D2-A31B-7E106C880CEB}"/>
    <cellStyle name="Comma 4 2 2 3 5 3" xfId="5845" xr:uid="{00000000-0005-0000-0000-000020080000}"/>
    <cellStyle name="Comma 4 2 2 3 5 3 2" xfId="14284" xr:uid="{4B7E7228-8B9B-43D4-A04E-034D2295AF43}"/>
    <cellStyle name="Comma 4 2 2 3 5 4" xfId="10066" xr:uid="{FF59C398-516A-4FA4-9034-140C7F049B06}"/>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42" xr:uid="{A8CB75A2-DD04-4E7B-8A75-073BA41EDE4D}"/>
    <cellStyle name="Comma 4 2 2 3 6 2 3" xfId="12624" xr:uid="{2C977A86-C735-440D-AE35-AFEF7DCE4A2F}"/>
    <cellStyle name="Comma 4 2 2 3 6 3" xfId="6258" xr:uid="{00000000-0005-0000-0000-000024080000}"/>
    <cellStyle name="Comma 4 2 2 3 6 3 2" xfId="14697" xr:uid="{6C86F935-9FA8-4C12-A677-CFEF772EA9B9}"/>
    <cellStyle name="Comma 4 2 2 3 6 4" xfId="10479" xr:uid="{E82BD305-031A-45AF-A90B-A8FB86BE85B2}"/>
    <cellStyle name="Comma 4 2 2 3 7" xfId="2386" xr:uid="{00000000-0005-0000-0000-000025080000}"/>
    <cellStyle name="Comma 4 2 2 3 7 2" xfId="6671" xr:uid="{00000000-0005-0000-0000-000026080000}"/>
    <cellStyle name="Comma 4 2 2 3 7 2 2" xfId="15110" xr:uid="{898BAA7E-2626-4CF5-8211-F931F1458CAE}"/>
    <cellStyle name="Comma 4 2 2 3 7 3" xfId="10892" xr:uid="{CFDA95D1-F022-4BFE-84EC-313B55095603}"/>
    <cellStyle name="Comma 4 2 2 3 8" xfId="2377" xr:uid="{00000000-0005-0000-0000-000027080000}"/>
    <cellStyle name="Comma 4 2 2 3 9" xfId="2764" xr:uid="{00000000-0005-0000-0000-000028080000}"/>
    <cellStyle name="Comma 4 2 2 3 9 2" xfId="6988" xr:uid="{00000000-0005-0000-0000-000029080000}"/>
    <cellStyle name="Comma 4 2 2 3 9 2 2" xfId="15427" xr:uid="{3216CEFC-E1A1-479B-B58D-F6A6A9FE424E}"/>
    <cellStyle name="Comma 4 2 2 3 9 3" xfId="11209" xr:uid="{94346A06-C191-4539-BFD5-D555996E6BF1}"/>
    <cellStyle name="Comma 4 2 2 4" xfId="134" xr:uid="{00000000-0005-0000-0000-00002A080000}"/>
    <cellStyle name="Comma 4 2 2 4 10" xfId="8828" xr:uid="{E11B482A-AFF7-4511-8DB9-13DF12F51DA3}"/>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5" xr:uid="{5007A439-7D4B-477C-8EAB-40B0F35253B2}"/>
    <cellStyle name="Comma 4 2 2 4 2 2 3" xfId="11387" xr:uid="{E11216C5-B0E8-4913-AF2B-970D2CBFFDBA}"/>
    <cellStyle name="Comma 4 2 2 4 2 3" xfId="5021" xr:uid="{00000000-0005-0000-0000-00002E080000}"/>
    <cellStyle name="Comma 4 2 2 4 2 3 2" xfId="13460" xr:uid="{406BB8FF-307E-44B9-8327-761F906039DF}"/>
    <cellStyle name="Comma 4 2 2 4 2 4" xfId="9242" xr:uid="{2A10ACC3-7AC6-4C32-8DBA-176F1D7E8D1B}"/>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18" xr:uid="{A9A0930C-9413-4FAF-B3D3-6916A893237F}"/>
    <cellStyle name="Comma 4 2 2 4 3 2 3" xfId="11800" xr:uid="{E7C08C55-1852-456B-AF5A-675FEE483D67}"/>
    <cellStyle name="Comma 4 2 2 4 3 3" xfId="5434" xr:uid="{00000000-0005-0000-0000-000032080000}"/>
    <cellStyle name="Comma 4 2 2 4 3 3 2" xfId="13873" xr:uid="{1B47B965-E44D-4465-8F90-3E872AE5E13C}"/>
    <cellStyle name="Comma 4 2 2 4 3 4" xfId="9655" xr:uid="{6EEB77D5-5D15-4F20-8D9A-907C828D6CCE}"/>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31" xr:uid="{D4084625-1075-4FFC-A20F-59203AE9BD83}"/>
    <cellStyle name="Comma 4 2 2 4 4 2 3" xfId="12213" xr:uid="{3EE7D586-ECFD-48C2-A0FD-B6A0945726E4}"/>
    <cellStyle name="Comma 4 2 2 4 4 3" xfId="5847" xr:uid="{00000000-0005-0000-0000-000036080000}"/>
    <cellStyle name="Comma 4 2 2 4 4 3 2" xfId="14286" xr:uid="{0A050F2F-383B-4544-AEBD-C248ECFBB1C2}"/>
    <cellStyle name="Comma 4 2 2 4 4 4" xfId="10068" xr:uid="{08FB3CE3-BB15-4FBC-8C7B-4A02B7CBFCE9}"/>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4" xr:uid="{AD7FE3D9-9C60-4FDE-AC3B-B5E8DD957642}"/>
    <cellStyle name="Comma 4 2 2 4 5 2 3" xfId="12626" xr:uid="{4AB6B127-773F-4BBF-81E6-BC930E3D42F4}"/>
    <cellStyle name="Comma 4 2 2 4 5 3" xfId="6260" xr:uid="{00000000-0005-0000-0000-00003A080000}"/>
    <cellStyle name="Comma 4 2 2 4 5 3 2" xfId="14699" xr:uid="{26961B03-50B3-436C-B6FE-D60ED4E80139}"/>
    <cellStyle name="Comma 4 2 2 4 5 4" xfId="10481" xr:uid="{17DE5DF5-DA73-4B19-B7A3-8D6D5D169182}"/>
    <cellStyle name="Comma 4 2 2 4 6" xfId="2388" xr:uid="{00000000-0005-0000-0000-00003B080000}"/>
    <cellStyle name="Comma 4 2 2 4 6 2" xfId="6673" xr:uid="{00000000-0005-0000-0000-00003C080000}"/>
    <cellStyle name="Comma 4 2 2 4 6 2 2" xfId="15112" xr:uid="{67E31FF3-71C0-4E3C-A789-E85EF19ECA11}"/>
    <cellStyle name="Comma 4 2 2 4 6 3" xfId="10894" xr:uid="{5BD11671-5E6C-4647-8663-3803A0437EC8}"/>
    <cellStyle name="Comma 4 2 2 4 7" xfId="2375" xr:uid="{00000000-0005-0000-0000-00003D080000}"/>
    <cellStyle name="Comma 4 2 2 4 8" xfId="2766" xr:uid="{00000000-0005-0000-0000-00003E080000}"/>
    <cellStyle name="Comma 4 2 2 4 8 2" xfId="6990" xr:uid="{00000000-0005-0000-0000-00003F080000}"/>
    <cellStyle name="Comma 4 2 2 4 8 2 2" xfId="15429" xr:uid="{13F845C8-4810-47C1-BCA4-1A5F08193B39}"/>
    <cellStyle name="Comma 4 2 2 4 8 3" xfId="11211" xr:uid="{B885D756-B78E-4E70-AEE7-2624EAB5F1E8}"/>
    <cellStyle name="Comma 4 2 2 4 9" xfId="4607" xr:uid="{00000000-0005-0000-0000-000040080000}"/>
    <cellStyle name="Comma 4 2 2 4 9 2" xfId="13046" xr:uid="{1EC45B32-F6E6-4992-86C1-2D6C90D73B10}"/>
    <cellStyle name="Comma 4 2 2 5" xfId="135" xr:uid="{00000000-0005-0000-0000-000041080000}"/>
    <cellStyle name="Comma 4 2 2 5 10" xfId="8829" xr:uid="{1BBD7766-2B2C-431C-9621-660D611D3BCE}"/>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6" xr:uid="{5ED8D412-D6F7-4ADB-B58F-FF9A265DBFF9}"/>
    <cellStyle name="Comma 4 2 2 5 2 2 3" xfId="11388" xr:uid="{C2D93565-BF7E-4767-AD2E-F7E5CEB294C4}"/>
    <cellStyle name="Comma 4 2 2 5 2 3" xfId="5022" xr:uid="{00000000-0005-0000-0000-000045080000}"/>
    <cellStyle name="Comma 4 2 2 5 2 3 2" xfId="13461" xr:uid="{426FD507-05BD-44E0-8AA3-63E37E45C846}"/>
    <cellStyle name="Comma 4 2 2 5 2 4" xfId="9243" xr:uid="{0544BE2D-7671-49DC-BDD4-CDE17FEC3B19}"/>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19" xr:uid="{B07A842F-6181-4643-A925-72600C14DCC1}"/>
    <cellStyle name="Comma 4 2 2 5 3 2 3" xfId="11801" xr:uid="{7AEDFE1B-2D83-44E7-9D1E-DD40135134C0}"/>
    <cellStyle name="Comma 4 2 2 5 3 3" xfId="5435" xr:uid="{00000000-0005-0000-0000-000049080000}"/>
    <cellStyle name="Comma 4 2 2 5 3 3 2" xfId="13874" xr:uid="{B2015076-70B8-4448-BF1F-497687D5110E}"/>
    <cellStyle name="Comma 4 2 2 5 3 4" xfId="9656" xr:uid="{3B2D2DF2-E3DF-4650-8427-8491A9555549}"/>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32" xr:uid="{00DD0BC6-B92A-45DE-B304-171357E2C733}"/>
    <cellStyle name="Comma 4 2 2 5 4 2 3" xfId="12214" xr:uid="{BA1900A9-46C2-436C-9861-8245CAE98E40}"/>
    <cellStyle name="Comma 4 2 2 5 4 3" xfId="5848" xr:uid="{00000000-0005-0000-0000-00004D080000}"/>
    <cellStyle name="Comma 4 2 2 5 4 3 2" xfId="14287" xr:uid="{58B73602-64FA-43DD-82B3-D3B643E0E69E}"/>
    <cellStyle name="Comma 4 2 2 5 4 4" xfId="10069" xr:uid="{D83654DE-AE8B-43B5-8D2A-EB8562BE4B62}"/>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5" xr:uid="{8EC1A788-8167-4F8D-86EF-465AAE945BB6}"/>
    <cellStyle name="Comma 4 2 2 5 5 2 3" xfId="12627" xr:uid="{20F68049-569A-4E86-B58B-EB054AE800B6}"/>
    <cellStyle name="Comma 4 2 2 5 5 3" xfId="6261" xr:uid="{00000000-0005-0000-0000-000051080000}"/>
    <cellStyle name="Comma 4 2 2 5 5 3 2" xfId="14700" xr:uid="{2A744B2C-480C-44B4-B0D9-B874CCFF1E10}"/>
    <cellStyle name="Comma 4 2 2 5 5 4" xfId="10482" xr:uid="{556E92E4-5974-43FF-AA60-B4F9F4D2BCF9}"/>
    <cellStyle name="Comma 4 2 2 5 6" xfId="2389" xr:uid="{00000000-0005-0000-0000-000052080000}"/>
    <cellStyle name="Comma 4 2 2 5 6 2" xfId="6674" xr:uid="{00000000-0005-0000-0000-000053080000}"/>
    <cellStyle name="Comma 4 2 2 5 6 2 2" xfId="15113" xr:uid="{93479A53-197E-4B4E-BF55-71ECD30FF568}"/>
    <cellStyle name="Comma 4 2 2 5 6 3" xfId="10895" xr:uid="{EEB71FB0-39CD-46F2-9162-A051D5D69575}"/>
    <cellStyle name="Comma 4 2 2 5 7" xfId="2374" xr:uid="{00000000-0005-0000-0000-000054080000}"/>
    <cellStyle name="Comma 4 2 2 5 8" xfId="2767" xr:uid="{00000000-0005-0000-0000-000055080000}"/>
    <cellStyle name="Comma 4 2 2 5 8 2" xfId="6991" xr:uid="{00000000-0005-0000-0000-000056080000}"/>
    <cellStyle name="Comma 4 2 2 5 8 2 2" xfId="15430" xr:uid="{4A3FD1E3-4A58-4AEC-9F7D-5896197F6ED1}"/>
    <cellStyle name="Comma 4 2 2 5 8 3" xfId="11212" xr:uid="{F14DDE5C-5250-4572-BCEB-C17B890B583E}"/>
    <cellStyle name="Comma 4 2 2 5 9" xfId="4608" xr:uid="{00000000-0005-0000-0000-000057080000}"/>
    <cellStyle name="Comma 4 2 2 5 9 2" xfId="13047" xr:uid="{0853FE5F-60ED-4189-9733-D2E7E20E9BD9}"/>
    <cellStyle name="Comma 4 2 3" xfId="136" xr:uid="{00000000-0005-0000-0000-000058080000}"/>
    <cellStyle name="Comma 4 2 3 10" xfId="2768" xr:uid="{00000000-0005-0000-0000-000059080000}"/>
    <cellStyle name="Comma 4 2 3 10 2" xfId="6992" xr:uid="{00000000-0005-0000-0000-00005A080000}"/>
    <cellStyle name="Comma 4 2 3 10 2 2" xfId="15431" xr:uid="{2EFAA133-0A23-45E3-A0F7-BD9CE33EC38D}"/>
    <cellStyle name="Comma 4 2 3 10 3" xfId="11213" xr:uid="{5E72E2FF-5D20-43BA-98FC-279862826C72}"/>
    <cellStyle name="Comma 4 2 3 11" xfId="4609" xr:uid="{00000000-0005-0000-0000-00005B080000}"/>
    <cellStyle name="Comma 4 2 3 11 2" xfId="13048" xr:uid="{7B4FCA0B-EEBF-42B4-AB01-67DC80BAD937}"/>
    <cellStyle name="Comma 4 2 3 12" xfId="8830" xr:uid="{66199BBC-E8D2-43CF-951C-7D6679107D2C}"/>
    <cellStyle name="Comma 4 2 3 2" xfId="137" xr:uid="{00000000-0005-0000-0000-00005C080000}"/>
    <cellStyle name="Comma 4 2 3 2 10" xfId="4610" xr:uid="{00000000-0005-0000-0000-00005D080000}"/>
    <cellStyle name="Comma 4 2 3 2 10 2" xfId="13049" xr:uid="{39778B8C-6D08-4F41-8BF4-587B45BFCBE5}"/>
    <cellStyle name="Comma 4 2 3 2 11" xfId="8831" xr:uid="{4EBFA133-AAA1-4C71-A798-1EEFDF0BDE62}"/>
    <cellStyle name="Comma 4 2 3 2 2" xfId="138" xr:uid="{00000000-0005-0000-0000-00005E080000}"/>
    <cellStyle name="Comma 4 2 3 2 2 10" xfId="8832" xr:uid="{B6839909-B31A-4374-88D5-EF85E67660CD}"/>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09" xr:uid="{C6220BB6-942F-4090-B9E8-65DA59574349}"/>
    <cellStyle name="Comma 4 2 3 2 2 2 2 3" xfId="11391" xr:uid="{C73CCAFE-5CF6-4A6C-93E0-4EB7604EDE29}"/>
    <cellStyle name="Comma 4 2 3 2 2 2 3" xfId="5025" xr:uid="{00000000-0005-0000-0000-000062080000}"/>
    <cellStyle name="Comma 4 2 3 2 2 2 3 2" xfId="13464" xr:uid="{F3561EAD-D1B4-457D-AD59-96678626B3FD}"/>
    <cellStyle name="Comma 4 2 3 2 2 2 4" xfId="9246" xr:uid="{47372C48-DC29-4B6F-8925-7E15F64432AF}"/>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22" xr:uid="{122780FC-121E-417C-9F43-41BC367F4AC5}"/>
    <cellStyle name="Comma 4 2 3 2 2 3 2 3" xfId="11804" xr:uid="{843DF3EF-1162-4F01-9BAB-C9F264AE213D}"/>
    <cellStyle name="Comma 4 2 3 2 2 3 3" xfId="5438" xr:uid="{00000000-0005-0000-0000-000066080000}"/>
    <cellStyle name="Comma 4 2 3 2 2 3 3 2" xfId="13877" xr:uid="{A13F85EE-4344-416A-ACA0-6B4EC65FA100}"/>
    <cellStyle name="Comma 4 2 3 2 2 3 4" xfId="9659" xr:uid="{A1AFC064-A746-4623-8531-6B472366AE5F}"/>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5" xr:uid="{7D2B7C10-1503-4D89-A6B5-2A7058695EED}"/>
    <cellStyle name="Comma 4 2 3 2 2 4 2 3" xfId="12217" xr:uid="{28EF34E1-50ED-4223-9358-8118EA58C1E2}"/>
    <cellStyle name="Comma 4 2 3 2 2 4 3" xfId="5851" xr:uid="{00000000-0005-0000-0000-00006A080000}"/>
    <cellStyle name="Comma 4 2 3 2 2 4 3 2" xfId="14290" xr:uid="{331C7E10-4D9D-4736-9815-814A02EFCE5A}"/>
    <cellStyle name="Comma 4 2 3 2 2 4 4" xfId="10072" xr:uid="{94423D9C-672E-4601-859D-45D08B8DFD35}"/>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48" xr:uid="{18CE8154-4850-4732-BD12-5E8DAAD11B36}"/>
    <cellStyle name="Comma 4 2 3 2 2 5 2 3" xfId="12630" xr:uid="{01266599-4850-4DAE-8779-CC07D8BCE669}"/>
    <cellStyle name="Comma 4 2 3 2 2 5 3" xfId="6264" xr:uid="{00000000-0005-0000-0000-00006E080000}"/>
    <cellStyle name="Comma 4 2 3 2 2 5 3 2" xfId="14703" xr:uid="{08C7A7B8-76C5-4633-A5DC-7499D3E5D8B0}"/>
    <cellStyle name="Comma 4 2 3 2 2 5 4" xfId="10485" xr:uid="{E79383ED-5094-41D2-A4D0-033486B66FEC}"/>
    <cellStyle name="Comma 4 2 3 2 2 6" xfId="2392" xr:uid="{00000000-0005-0000-0000-00006F080000}"/>
    <cellStyle name="Comma 4 2 3 2 2 6 2" xfId="6677" xr:uid="{00000000-0005-0000-0000-000070080000}"/>
    <cellStyle name="Comma 4 2 3 2 2 6 2 2" xfId="15116" xr:uid="{5806EDEC-395B-45E6-AFD3-C3B0C585FECC}"/>
    <cellStyle name="Comma 4 2 3 2 2 6 3" xfId="10898" xr:uid="{636875E5-619B-45B0-B5E9-538C1CA36CA0}"/>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3" xr:uid="{637BB7F1-A6F8-4B96-894D-E901B623733D}"/>
    <cellStyle name="Comma 4 2 3 2 2 8 3" xfId="11215" xr:uid="{0291D793-FB1B-4937-BA2C-4920DF00EA07}"/>
    <cellStyle name="Comma 4 2 3 2 2 9" xfId="4611" xr:uid="{00000000-0005-0000-0000-000074080000}"/>
    <cellStyle name="Comma 4 2 3 2 2 9 2" xfId="13050" xr:uid="{CCFBF253-A9E7-4C04-9EA8-FC71A7DFF498}"/>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08" xr:uid="{84337FCB-330B-41BC-A99E-E8CC5A048C0F}"/>
    <cellStyle name="Comma 4 2 3 2 3 2 3" xfId="11390" xr:uid="{55BE2053-738F-4A02-BA3C-048A98A349FF}"/>
    <cellStyle name="Comma 4 2 3 2 3 3" xfId="5024" xr:uid="{00000000-0005-0000-0000-000078080000}"/>
    <cellStyle name="Comma 4 2 3 2 3 3 2" xfId="13463" xr:uid="{CDA02A5F-A3D7-4563-9584-A0A194702D28}"/>
    <cellStyle name="Comma 4 2 3 2 3 4" xfId="9245" xr:uid="{991BE977-F04B-4B9D-8977-F99F69D2B843}"/>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21" xr:uid="{7E5E9099-1C16-4F6D-BF30-D89CEC4CDECA}"/>
    <cellStyle name="Comma 4 2 3 2 4 2 3" xfId="11803" xr:uid="{1BBBFAB0-7397-4ABB-A1FF-D1E89C5E803E}"/>
    <cellStyle name="Comma 4 2 3 2 4 3" xfId="5437" xr:uid="{00000000-0005-0000-0000-00007C080000}"/>
    <cellStyle name="Comma 4 2 3 2 4 3 2" xfId="13876" xr:uid="{88CEA956-F1BF-4326-94F0-F4738721FEF9}"/>
    <cellStyle name="Comma 4 2 3 2 4 4" xfId="9658" xr:uid="{414FB065-9B7C-45F5-8999-4D2052C04BDF}"/>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4" xr:uid="{D2F7EB7B-393D-4D08-8774-485DD0C4AE17}"/>
    <cellStyle name="Comma 4 2 3 2 5 2 3" xfId="12216" xr:uid="{0AE0D65F-4607-41AD-AA5D-9FCC47A7B42D}"/>
    <cellStyle name="Comma 4 2 3 2 5 3" xfId="5850" xr:uid="{00000000-0005-0000-0000-000080080000}"/>
    <cellStyle name="Comma 4 2 3 2 5 3 2" xfId="14289" xr:uid="{E5D2D9A8-283B-4439-967B-EA6780C8E0C1}"/>
    <cellStyle name="Comma 4 2 3 2 5 4" xfId="10071" xr:uid="{097360DE-9C54-449B-A369-B276EBA00FA3}"/>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47" xr:uid="{DC77C554-775B-418F-926E-6AA4BC64F89F}"/>
    <cellStyle name="Comma 4 2 3 2 6 2 3" xfId="12629" xr:uid="{CA1935B0-F29B-4C66-941B-9B144CA669EB}"/>
    <cellStyle name="Comma 4 2 3 2 6 3" xfId="6263" xr:uid="{00000000-0005-0000-0000-000084080000}"/>
    <cellStyle name="Comma 4 2 3 2 6 3 2" xfId="14702" xr:uid="{12267B82-0C32-47E9-AEF2-3DE0D370E34C}"/>
    <cellStyle name="Comma 4 2 3 2 6 4" xfId="10484" xr:uid="{09104285-7D1A-4000-B65F-5BE77A741E87}"/>
    <cellStyle name="Comma 4 2 3 2 7" xfId="2391" xr:uid="{00000000-0005-0000-0000-000085080000}"/>
    <cellStyle name="Comma 4 2 3 2 7 2" xfId="6676" xr:uid="{00000000-0005-0000-0000-000086080000}"/>
    <cellStyle name="Comma 4 2 3 2 7 2 2" xfId="15115" xr:uid="{00465003-8F30-4A90-BD30-906D9CBDB221}"/>
    <cellStyle name="Comma 4 2 3 2 7 3" xfId="10897" xr:uid="{ECDC8AD4-9EF2-4B4F-932F-D49C80464E50}"/>
    <cellStyle name="Comma 4 2 3 2 8" xfId="2372" xr:uid="{00000000-0005-0000-0000-000087080000}"/>
    <cellStyle name="Comma 4 2 3 2 9" xfId="2769" xr:uid="{00000000-0005-0000-0000-000088080000}"/>
    <cellStyle name="Comma 4 2 3 2 9 2" xfId="6993" xr:uid="{00000000-0005-0000-0000-000089080000}"/>
    <cellStyle name="Comma 4 2 3 2 9 2 2" xfId="15432" xr:uid="{C94555EA-4F1D-4C67-9166-B1A416487370}"/>
    <cellStyle name="Comma 4 2 3 2 9 3" xfId="11214" xr:uid="{1BFFDCF1-0E0A-452A-8DE6-EE9A549B9275}"/>
    <cellStyle name="Comma 4 2 3 3" xfId="139" xr:uid="{00000000-0005-0000-0000-00008A080000}"/>
    <cellStyle name="Comma 4 2 3 3 10" xfId="8833" xr:uid="{5459C1BF-B095-4537-BFF4-4F0D10100AD2}"/>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10" xr:uid="{89A2E830-AB90-411E-9BB0-82112310A60A}"/>
    <cellStyle name="Comma 4 2 3 3 2 2 3" xfId="11392" xr:uid="{39B5D60A-CCA6-4412-BD80-00335F5C69DE}"/>
    <cellStyle name="Comma 4 2 3 3 2 3" xfId="5026" xr:uid="{00000000-0005-0000-0000-00008E080000}"/>
    <cellStyle name="Comma 4 2 3 3 2 3 2" xfId="13465" xr:uid="{A6D57926-3A65-4204-BD82-A3A8E78C22A3}"/>
    <cellStyle name="Comma 4 2 3 3 2 4" xfId="9247" xr:uid="{2440329C-EB39-4F9E-85EA-D0C788D12DF8}"/>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3" xr:uid="{3EEE3BB5-BCAA-4550-AFE2-77E1FF50D50A}"/>
    <cellStyle name="Comma 4 2 3 3 3 2 3" xfId="11805" xr:uid="{92136C32-2E3C-41E8-A9D9-40255D36805E}"/>
    <cellStyle name="Comma 4 2 3 3 3 3" xfId="5439" xr:uid="{00000000-0005-0000-0000-000092080000}"/>
    <cellStyle name="Comma 4 2 3 3 3 3 2" xfId="13878" xr:uid="{E9537517-593F-4BF6-B712-FE1240045265}"/>
    <cellStyle name="Comma 4 2 3 3 3 4" xfId="9660" xr:uid="{7DC9CB9D-91E0-419B-A937-F4D3DABBD069}"/>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6" xr:uid="{09E2C8B1-CDD8-4F0D-ABE6-AA914F99EE4A}"/>
    <cellStyle name="Comma 4 2 3 3 4 2 3" xfId="12218" xr:uid="{5E1BC52A-319E-4AD7-96D4-C8ADE97088B2}"/>
    <cellStyle name="Comma 4 2 3 3 4 3" xfId="5852" xr:uid="{00000000-0005-0000-0000-000096080000}"/>
    <cellStyle name="Comma 4 2 3 3 4 3 2" xfId="14291" xr:uid="{7F67D08D-B6DE-48FC-A7C3-05D3146E48C0}"/>
    <cellStyle name="Comma 4 2 3 3 4 4" xfId="10073" xr:uid="{0505B805-C651-4D48-9331-913D366CBE34}"/>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49" xr:uid="{6F70DDCF-B23C-4109-B93B-280C9EA750E5}"/>
    <cellStyle name="Comma 4 2 3 3 5 2 3" xfId="12631" xr:uid="{C79C6C54-8DEB-4BAC-A88D-E3DEECE5D7A3}"/>
    <cellStyle name="Comma 4 2 3 3 5 3" xfId="6265" xr:uid="{00000000-0005-0000-0000-00009A080000}"/>
    <cellStyle name="Comma 4 2 3 3 5 3 2" xfId="14704" xr:uid="{7D89EBFF-BF66-4098-B1A1-F07143C6E090}"/>
    <cellStyle name="Comma 4 2 3 3 5 4" xfId="10486" xr:uid="{CCCB080F-9919-4FD5-A00D-E60FD702BD65}"/>
    <cellStyle name="Comma 4 2 3 3 6" xfId="2393" xr:uid="{00000000-0005-0000-0000-00009B080000}"/>
    <cellStyle name="Comma 4 2 3 3 6 2" xfId="6678" xr:uid="{00000000-0005-0000-0000-00009C080000}"/>
    <cellStyle name="Comma 4 2 3 3 6 2 2" xfId="15117" xr:uid="{2F67FF27-0BCE-4527-835E-D1D74D08519E}"/>
    <cellStyle name="Comma 4 2 3 3 6 3" xfId="10899" xr:uid="{3EDC90E8-FDB2-4F39-A1F8-B45D23ABB38B}"/>
    <cellStyle name="Comma 4 2 3 3 7" xfId="2370" xr:uid="{00000000-0005-0000-0000-00009D080000}"/>
    <cellStyle name="Comma 4 2 3 3 8" xfId="2771" xr:uid="{00000000-0005-0000-0000-00009E080000}"/>
    <cellStyle name="Comma 4 2 3 3 8 2" xfId="6995" xr:uid="{00000000-0005-0000-0000-00009F080000}"/>
    <cellStyle name="Comma 4 2 3 3 8 2 2" xfId="15434" xr:uid="{8CBD64E3-0FF0-4396-A4AA-8F3DE863F73E}"/>
    <cellStyle name="Comma 4 2 3 3 8 3" xfId="11216" xr:uid="{1C6C35DE-3771-43EA-B402-A014EDD68BB0}"/>
    <cellStyle name="Comma 4 2 3 3 9" xfId="4612" xr:uid="{00000000-0005-0000-0000-0000A0080000}"/>
    <cellStyle name="Comma 4 2 3 3 9 2" xfId="13051" xr:uid="{79567F81-ECD2-4A01-8939-9A49FC69680C}"/>
    <cellStyle name="Comma 4 2 3 4" xfId="674" xr:uid="{00000000-0005-0000-0000-0000A1080000}"/>
    <cellStyle name="Comma 4 2 3 4 2" xfId="2945" xr:uid="{00000000-0005-0000-0000-0000A2080000}"/>
    <cellStyle name="Comma 4 2 3 4 2 2" xfId="7168" xr:uid="{00000000-0005-0000-0000-0000A3080000}"/>
    <cellStyle name="Comma 4 2 3 4 2 2 2" xfId="15607" xr:uid="{F4F9BAC5-B534-458F-92D8-C4C618408C6F}"/>
    <cellStyle name="Comma 4 2 3 4 2 3" xfId="11389" xr:uid="{AA113396-48AA-408E-87BC-F7F4A8A57429}"/>
    <cellStyle name="Comma 4 2 3 4 3" xfId="5023" xr:uid="{00000000-0005-0000-0000-0000A4080000}"/>
    <cellStyle name="Comma 4 2 3 4 3 2" xfId="13462" xr:uid="{D7C8FEB5-BBF2-409F-B2DD-404B01E367FD}"/>
    <cellStyle name="Comma 4 2 3 4 4" xfId="9244" xr:uid="{E93F5F1D-86AA-4211-85D3-D61A942C3E8E}"/>
    <cellStyle name="Comma 4 2 3 5" xfId="1127" xr:uid="{00000000-0005-0000-0000-0000A5080000}"/>
    <cellStyle name="Comma 4 2 3 5 2" xfId="3358" xr:uid="{00000000-0005-0000-0000-0000A6080000}"/>
    <cellStyle name="Comma 4 2 3 5 2 2" xfId="7581" xr:uid="{00000000-0005-0000-0000-0000A7080000}"/>
    <cellStyle name="Comma 4 2 3 5 2 2 2" xfId="16020" xr:uid="{47F6B574-9460-4A5F-82D0-C54335092A5A}"/>
    <cellStyle name="Comma 4 2 3 5 2 3" xfId="11802" xr:uid="{BDE108AB-6894-4D08-B266-2341BD209575}"/>
    <cellStyle name="Comma 4 2 3 5 3" xfId="5436" xr:uid="{00000000-0005-0000-0000-0000A8080000}"/>
    <cellStyle name="Comma 4 2 3 5 3 2" xfId="13875" xr:uid="{649FF450-6A63-4B60-90E1-E6D530631190}"/>
    <cellStyle name="Comma 4 2 3 5 4" xfId="9657" xr:uid="{FE9B6FED-DCD3-49C9-8406-490BC58563ED}"/>
    <cellStyle name="Comma 4 2 3 6" xfId="1541" xr:uid="{00000000-0005-0000-0000-0000A9080000}"/>
    <cellStyle name="Comma 4 2 3 6 2" xfId="3771" xr:uid="{00000000-0005-0000-0000-0000AA080000}"/>
    <cellStyle name="Comma 4 2 3 6 2 2" xfId="7994" xr:uid="{00000000-0005-0000-0000-0000AB080000}"/>
    <cellStyle name="Comma 4 2 3 6 2 2 2" xfId="16433" xr:uid="{C47A905C-E9DB-4FFF-8BC6-6911BA013B9D}"/>
    <cellStyle name="Comma 4 2 3 6 2 3" xfId="12215" xr:uid="{808F6463-8219-412F-B1A9-B15F7DD78776}"/>
    <cellStyle name="Comma 4 2 3 6 3" xfId="5849" xr:uid="{00000000-0005-0000-0000-0000AC080000}"/>
    <cellStyle name="Comma 4 2 3 6 3 2" xfId="14288" xr:uid="{7CF273BA-D997-44CB-868B-CAD2DB353F10}"/>
    <cellStyle name="Comma 4 2 3 6 4" xfId="10070" xr:uid="{D3C1BDBF-0B47-4DE4-AE7E-878F7CA3358E}"/>
    <cellStyle name="Comma 4 2 3 7" xfId="1955" xr:uid="{00000000-0005-0000-0000-0000AD080000}"/>
    <cellStyle name="Comma 4 2 3 7 2" xfId="4184" xr:uid="{00000000-0005-0000-0000-0000AE080000}"/>
    <cellStyle name="Comma 4 2 3 7 2 2" xfId="8407" xr:uid="{00000000-0005-0000-0000-0000AF080000}"/>
    <cellStyle name="Comma 4 2 3 7 2 2 2" xfId="16846" xr:uid="{A408A7D6-AABB-4D09-8F02-A40D3D96DF1B}"/>
    <cellStyle name="Comma 4 2 3 7 2 3" xfId="12628" xr:uid="{FD057F34-5917-4B28-93E5-CC236235609B}"/>
    <cellStyle name="Comma 4 2 3 7 3" xfId="6262" xr:uid="{00000000-0005-0000-0000-0000B0080000}"/>
    <cellStyle name="Comma 4 2 3 7 3 2" xfId="14701" xr:uid="{AC060132-EB87-4864-9EBE-7CE53EE5D427}"/>
    <cellStyle name="Comma 4 2 3 7 4" xfId="10483" xr:uid="{C1FE1480-4DF2-4DF0-92F7-C91C0CB1F68B}"/>
    <cellStyle name="Comma 4 2 3 8" xfId="2390" xr:uid="{00000000-0005-0000-0000-0000B1080000}"/>
    <cellStyle name="Comma 4 2 3 8 2" xfId="6675" xr:uid="{00000000-0005-0000-0000-0000B2080000}"/>
    <cellStyle name="Comma 4 2 3 8 2 2" xfId="15114" xr:uid="{FBB50266-23D4-4B0C-B5ED-54A653BFF15B}"/>
    <cellStyle name="Comma 4 2 3 8 3" xfId="10896" xr:uid="{F2C08869-EF8C-4048-8337-1A730C737F4B}"/>
    <cellStyle name="Comma 4 2 3 9" xfId="2373" xr:uid="{00000000-0005-0000-0000-0000B3080000}"/>
    <cellStyle name="Comma 4 2 4" xfId="140" xr:uid="{00000000-0005-0000-0000-0000B4080000}"/>
    <cellStyle name="Comma 4 2 4 10" xfId="4613" xr:uid="{00000000-0005-0000-0000-0000B5080000}"/>
    <cellStyle name="Comma 4 2 4 10 2" xfId="13052" xr:uid="{A4DC82C9-4190-4F74-9D6E-0104E7C577DF}"/>
    <cellStyle name="Comma 4 2 4 11" xfId="8834" xr:uid="{6AB3E545-7AF1-40C0-A86C-ACDCE3641961}"/>
    <cellStyle name="Comma 4 2 4 2" xfId="141" xr:uid="{00000000-0005-0000-0000-0000B6080000}"/>
    <cellStyle name="Comma 4 2 4 2 10" xfId="8835" xr:uid="{BAF94EA4-0D5A-4534-BE80-47D98F14C185}"/>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12" xr:uid="{A70D85AF-9A81-4C12-B27A-89007A85C938}"/>
    <cellStyle name="Comma 4 2 4 2 2 2 3" xfId="11394" xr:uid="{3EA8D94C-0425-4306-A275-90CCB0AD41C8}"/>
    <cellStyle name="Comma 4 2 4 2 2 3" xfId="5028" xr:uid="{00000000-0005-0000-0000-0000BA080000}"/>
    <cellStyle name="Comma 4 2 4 2 2 3 2" xfId="13467" xr:uid="{16A87E8C-A15A-44D4-B964-6152CDA73BC3}"/>
    <cellStyle name="Comma 4 2 4 2 2 4" xfId="9249" xr:uid="{1C791A1D-BB16-4E85-A45A-388702493743}"/>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5" xr:uid="{33E499FF-2FDD-4DF0-B6D9-717EFF376B26}"/>
    <cellStyle name="Comma 4 2 4 2 3 2 3" xfId="11807" xr:uid="{CC95095A-6B27-4B99-9A95-3539A8752E5D}"/>
    <cellStyle name="Comma 4 2 4 2 3 3" xfId="5441" xr:uid="{00000000-0005-0000-0000-0000BE080000}"/>
    <cellStyle name="Comma 4 2 4 2 3 3 2" xfId="13880" xr:uid="{B5646FEE-199C-4C95-9AE6-25D03E48E97E}"/>
    <cellStyle name="Comma 4 2 4 2 3 4" xfId="9662" xr:uid="{9C1232CE-F4D4-401E-A7A8-406D7B220571}"/>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38" xr:uid="{6653E1C9-A310-420C-B4E4-1E3308FB4A39}"/>
    <cellStyle name="Comma 4 2 4 2 4 2 3" xfId="12220" xr:uid="{C7252995-4493-4A9F-AE5F-C195BA979D10}"/>
    <cellStyle name="Comma 4 2 4 2 4 3" xfId="5854" xr:uid="{00000000-0005-0000-0000-0000C2080000}"/>
    <cellStyle name="Comma 4 2 4 2 4 3 2" xfId="14293" xr:uid="{01E515B6-D471-43BC-A1C7-AC35B31BEB17}"/>
    <cellStyle name="Comma 4 2 4 2 4 4" xfId="10075" xr:uid="{032DB6EC-77B4-4AB9-8960-D432A3392089}"/>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51" xr:uid="{664F2CD8-80B2-4D6F-898F-DB1E0D527144}"/>
    <cellStyle name="Comma 4 2 4 2 5 2 3" xfId="12633" xr:uid="{7BA1EA00-CAFE-4796-A220-F22DB7B8A212}"/>
    <cellStyle name="Comma 4 2 4 2 5 3" xfId="6267" xr:uid="{00000000-0005-0000-0000-0000C6080000}"/>
    <cellStyle name="Comma 4 2 4 2 5 3 2" xfId="14706" xr:uid="{8A261115-6862-4D67-A1A9-AA7208D875C6}"/>
    <cellStyle name="Comma 4 2 4 2 5 4" xfId="10488" xr:uid="{83E2403D-3100-4D14-A35E-5E78A31AF15F}"/>
    <cellStyle name="Comma 4 2 4 2 6" xfId="2395" xr:uid="{00000000-0005-0000-0000-0000C7080000}"/>
    <cellStyle name="Comma 4 2 4 2 6 2" xfId="6680" xr:uid="{00000000-0005-0000-0000-0000C8080000}"/>
    <cellStyle name="Comma 4 2 4 2 6 2 2" xfId="15119" xr:uid="{7B396BBF-459C-4B48-964A-64F94A3581B5}"/>
    <cellStyle name="Comma 4 2 4 2 6 3" xfId="10901" xr:uid="{3A09475B-7037-4038-B893-70DD3AA43355}"/>
    <cellStyle name="Comma 4 2 4 2 7" xfId="2368" xr:uid="{00000000-0005-0000-0000-0000C9080000}"/>
    <cellStyle name="Comma 4 2 4 2 8" xfId="2773" xr:uid="{00000000-0005-0000-0000-0000CA080000}"/>
    <cellStyle name="Comma 4 2 4 2 8 2" xfId="6997" xr:uid="{00000000-0005-0000-0000-0000CB080000}"/>
    <cellStyle name="Comma 4 2 4 2 8 2 2" xfId="15436" xr:uid="{6B244FDE-BA12-492F-8830-A257E3EB89C0}"/>
    <cellStyle name="Comma 4 2 4 2 8 3" xfId="11218" xr:uid="{68A973F2-4B9D-4F0E-84AA-0070DC41BF2A}"/>
    <cellStyle name="Comma 4 2 4 2 9" xfId="4614" xr:uid="{00000000-0005-0000-0000-0000CC080000}"/>
    <cellStyle name="Comma 4 2 4 2 9 2" xfId="13053" xr:uid="{747537C3-DD0C-4414-A7C2-9DC05C13E2F9}"/>
    <cellStyle name="Comma 4 2 4 3" xfId="678" xr:uid="{00000000-0005-0000-0000-0000CD080000}"/>
    <cellStyle name="Comma 4 2 4 3 2" xfId="2949" xr:uid="{00000000-0005-0000-0000-0000CE080000}"/>
    <cellStyle name="Comma 4 2 4 3 2 2" xfId="7172" xr:uid="{00000000-0005-0000-0000-0000CF080000}"/>
    <cellStyle name="Comma 4 2 4 3 2 2 2" xfId="15611" xr:uid="{C0210BF6-2497-4854-9D24-38E452C64372}"/>
    <cellStyle name="Comma 4 2 4 3 2 3" xfId="11393" xr:uid="{203E1444-A180-459C-B1EE-F954E77D17D0}"/>
    <cellStyle name="Comma 4 2 4 3 3" xfId="5027" xr:uid="{00000000-0005-0000-0000-0000D0080000}"/>
    <cellStyle name="Comma 4 2 4 3 3 2" xfId="13466" xr:uid="{9BC2F0EF-17EC-4BDE-AA62-EDFB7EAAA20F}"/>
    <cellStyle name="Comma 4 2 4 3 4" xfId="9248" xr:uid="{0999FEE8-D4D4-448F-A0A1-76F5B3010C3F}"/>
    <cellStyle name="Comma 4 2 4 4" xfId="1131" xr:uid="{00000000-0005-0000-0000-0000D1080000}"/>
    <cellStyle name="Comma 4 2 4 4 2" xfId="3362" xr:uid="{00000000-0005-0000-0000-0000D2080000}"/>
    <cellStyle name="Comma 4 2 4 4 2 2" xfId="7585" xr:uid="{00000000-0005-0000-0000-0000D3080000}"/>
    <cellStyle name="Comma 4 2 4 4 2 2 2" xfId="16024" xr:uid="{65FCB65F-7C0E-4BC2-AB14-4142C12A5527}"/>
    <cellStyle name="Comma 4 2 4 4 2 3" xfId="11806" xr:uid="{6B8344F4-3BC8-4AF7-99B8-6D4BBE5590EF}"/>
    <cellStyle name="Comma 4 2 4 4 3" xfId="5440" xr:uid="{00000000-0005-0000-0000-0000D4080000}"/>
    <cellStyle name="Comma 4 2 4 4 3 2" xfId="13879" xr:uid="{C0037F2A-98C8-4A5F-A094-0256DD038FB1}"/>
    <cellStyle name="Comma 4 2 4 4 4" xfId="9661" xr:uid="{DA09CF2C-6ED8-47E4-8133-503E160E9E1C}"/>
    <cellStyle name="Comma 4 2 4 5" xfId="1545" xr:uid="{00000000-0005-0000-0000-0000D5080000}"/>
    <cellStyle name="Comma 4 2 4 5 2" xfId="3775" xr:uid="{00000000-0005-0000-0000-0000D6080000}"/>
    <cellStyle name="Comma 4 2 4 5 2 2" xfId="7998" xr:uid="{00000000-0005-0000-0000-0000D7080000}"/>
    <cellStyle name="Comma 4 2 4 5 2 2 2" xfId="16437" xr:uid="{BE0E2A60-21D9-4DE8-94D0-390EA4497D21}"/>
    <cellStyle name="Comma 4 2 4 5 2 3" xfId="12219" xr:uid="{B13C1F5D-4358-49C5-A364-D5BF70B47D3B}"/>
    <cellStyle name="Comma 4 2 4 5 3" xfId="5853" xr:uid="{00000000-0005-0000-0000-0000D8080000}"/>
    <cellStyle name="Comma 4 2 4 5 3 2" xfId="14292" xr:uid="{993A3EA7-4877-4A35-99F1-83970319284B}"/>
    <cellStyle name="Comma 4 2 4 5 4" xfId="10074" xr:uid="{A66DAC5B-CA0D-4E4E-9C9E-01044BFA6566}"/>
    <cellStyle name="Comma 4 2 4 6" xfId="1959" xr:uid="{00000000-0005-0000-0000-0000D9080000}"/>
    <cellStyle name="Comma 4 2 4 6 2" xfId="4188" xr:uid="{00000000-0005-0000-0000-0000DA080000}"/>
    <cellStyle name="Comma 4 2 4 6 2 2" xfId="8411" xr:uid="{00000000-0005-0000-0000-0000DB080000}"/>
    <cellStyle name="Comma 4 2 4 6 2 2 2" xfId="16850" xr:uid="{0DA6EE9C-A84D-4B24-B75C-831DE35A5FCF}"/>
    <cellStyle name="Comma 4 2 4 6 2 3" xfId="12632" xr:uid="{027B753D-F1F7-42D8-9661-930074C1A4D7}"/>
    <cellStyle name="Comma 4 2 4 6 3" xfId="6266" xr:uid="{00000000-0005-0000-0000-0000DC080000}"/>
    <cellStyle name="Comma 4 2 4 6 3 2" xfId="14705" xr:uid="{E5BAED60-7797-4ED4-BA0B-9B1DFD787171}"/>
    <cellStyle name="Comma 4 2 4 6 4" xfId="10487" xr:uid="{F7D8EE09-EFE0-44CD-B721-4F5B5E447BD9}"/>
    <cellStyle name="Comma 4 2 4 7" xfId="2394" xr:uid="{00000000-0005-0000-0000-0000DD080000}"/>
    <cellStyle name="Comma 4 2 4 7 2" xfId="6679" xr:uid="{00000000-0005-0000-0000-0000DE080000}"/>
    <cellStyle name="Comma 4 2 4 7 2 2" xfId="15118" xr:uid="{81519505-F150-4197-A943-04F76A0E2F6C}"/>
    <cellStyle name="Comma 4 2 4 7 3" xfId="10900" xr:uid="{0B6C99AB-B8DF-4FCB-92B7-F5949759D2FA}"/>
    <cellStyle name="Comma 4 2 4 8" xfId="2369" xr:uid="{00000000-0005-0000-0000-0000DF080000}"/>
    <cellStyle name="Comma 4 2 4 9" xfId="2772" xr:uid="{00000000-0005-0000-0000-0000E0080000}"/>
    <cellStyle name="Comma 4 2 4 9 2" xfId="6996" xr:uid="{00000000-0005-0000-0000-0000E1080000}"/>
    <cellStyle name="Comma 4 2 4 9 2 2" xfId="15435" xr:uid="{A59C072F-269C-4486-BE17-B3F5AA395D77}"/>
    <cellStyle name="Comma 4 2 4 9 3" xfId="11217" xr:uid="{30BA732C-C6A0-4BE7-B6A8-560F17AF6E42}"/>
    <cellStyle name="Comma 4 2 5" xfId="142" xr:uid="{00000000-0005-0000-0000-0000E2080000}"/>
    <cellStyle name="Comma 4 2 5 10" xfId="8836" xr:uid="{F8A3EC7A-6429-46D7-BE4C-CF72FC1111CC}"/>
    <cellStyle name="Comma 4 2 5 2" xfId="680" xr:uid="{00000000-0005-0000-0000-0000E3080000}"/>
    <cellStyle name="Comma 4 2 5 2 2" xfId="2951" xr:uid="{00000000-0005-0000-0000-0000E4080000}"/>
    <cellStyle name="Comma 4 2 5 2 2 2" xfId="7174" xr:uid="{00000000-0005-0000-0000-0000E5080000}"/>
    <cellStyle name="Comma 4 2 5 2 2 2 2" xfId="15613" xr:uid="{F26C6B0C-A6F9-4696-86CF-161B491D51DB}"/>
    <cellStyle name="Comma 4 2 5 2 2 3" xfId="11395" xr:uid="{56E233FC-99D9-4531-B843-ED65EA124693}"/>
    <cellStyle name="Comma 4 2 5 2 3" xfId="5029" xr:uid="{00000000-0005-0000-0000-0000E6080000}"/>
    <cellStyle name="Comma 4 2 5 2 3 2" xfId="13468" xr:uid="{93274344-C406-4CBF-BC6E-D4204028AC07}"/>
    <cellStyle name="Comma 4 2 5 2 4" xfId="9250" xr:uid="{1F82AD3A-E184-4F90-AFB7-CA996A776F01}"/>
    <cellStyle name="Comma 4 2 5 3" xfId="1133" xr:uid="{00000000-0005-0000-0000-0000E7080000}"/>
    <cellStyle name="Comma 4 2 5 3 2" xfId="3364" xr:uid="{00000000-0005-0000-0000-0000E8080000}"/>
    <cellStyle name="Comma 4 2 5 3 2 2" xfId="7587" xr:uid="{00000000-0005-0000-0000-0000E9080000}"/>
    <cellStyle name="Comma 4 2 5 3 2 2 2" xfId="16026" xr:uid="{B2209B97-CCFF-42E6-8729-63F09AEF10F7}"/>
    <cellStyle name="Comma 4 2 5 3 2 3" xfId="11808" xr:uid="{360EFF7B-4803-4E37-807E-6B054281F087}"/>
    <cellStyle name="Comma 4 2 5 3 3" xfId="5442" xr:uid="{00000000-0005-0000-0000-0000EA080000}"/>
    <cellStyle name="Comma 4 2 5 3 3 2" xfId="13881" xr:uid="{A70669D7-6698-4605-ACCF-4C5B7D4D644F}"/>
    <cellStyle name="Comma 4 2 5 3 4" xfId="9663" xr:uid="{2C67BCAF-975D-4C72-BEF5-27371B8A39E2}"/>
    <cellStyle name="Comma 4 2 5 4" xfId="1547" xr:uid="{00000000-0005-0000-0000-0000EB080000}"/>
    <cellStyle name="Comma 4 2 5 4 2" xfId="3777" xr:uid="{00000000-0005-0000-0000-0000EC080000}"/>
    <cellStyle name="Comma 4 2 5 4 2 2" xfId="8000" xr:uid="{00000000-0005-0000-0000-0000ED080000}"/>
    <cellStyle name="Comma 4 2 5 4 2 2 2" xfId="16439" xr:uid="{27400BCC-9F9A-43B5-9C0F-86B695AB63A3}"/>
    <cellStyle name="Comma 4 2 5 4 2 3" xfId="12221" xr:uid="{8EFF1B2B-43BE-437B-AC52-91883FF0B8B9}"/>
    <cellStyle name="Comma 4 2 5 4 3" xfId="5855" xr:uid="{00000000-0005-0000-0000-0000EE080000}"/>
    <cellStyle name="Comma 4 2 5 4 3 2" xfId="14294" xr:uid="{B2820AB3-AD99-4A8C-A405-15D19E89B813}"/>
    <cellStyle name="Comma 4 2 5 4 4" xfId="10076" xr:uid="{A317C766-6C1A-44CA-8AE9-5606BA5EFF90}"/>
    <cellStyle name="Comma 4 2 5 5" xfId="1961" xr:uid="{00000000-0005-0000-0000-0000EF080000}"/>
    <cellStyle name="Comma 4 2 5 5 2" xfId="4190" xr:uid="{00000000-0005-0000-0000-0000F0080000}"/>
    <cellStyle name="Comma 4 2 5 5 2 2" xfId="8413" xr:uid="{00000000-0005-0000-0000-0000F1080000}"/>
    <cellStyle name="Comma 4 2 5 5 2 2 2" xfId="16852" xr:uid="{B36AE232-3D12-484E-B37A-9C3584C868F4}"/>
    <cellStyle name="Comma 4 2 5 5 2 3" xfId="12634" xr:uid="{30385990-06DF-465A-8F00-6F9B0531C97E}"/>
    <cellStyle name="Comma 4 2 5 5 3" xfId="6268" xr:uid="{00000000-0005-0000-0000-0000F2080000}"/>
    <cellStyle name="Comma 4 2 5 5 3 2" xfId="14707" xr:uid="{00979193-CA1C-4D08-9CD9-31BE117290E2}"/>
    <cellStyle name="Comma 4 2 5 5 4" xfId="10489" xr:uid="{D38A5674-BDE7-4A2A-828C-417F46885B7C}"/>
    <cellStyle name="Comma 4 2 5 6" xfId="2396" xr:uid="{00000000-0005-0000-0000-0000F3080000}"/>
    <cellStyle name="Comma 4 2 5 6 2" xfId="6681" xr:uid="{00000000-0005-0000-0000-0000F4080000}"/>
    <cellStyle name="Comma 4 2 5 6 2 2" xfId="15120" xr:uid="{F0E54EB4-511E-4454-85CC-7EF402B3885A}"/>
    <cellStyle name="Comma 4 2 5 6 3" xfId="10902" xr:uid="{9CC87A3D-6045-453C-89BA-5C2CBF64BD95}"/>
    <cellStyle name="Comma 4 2 5 7" xfId="2367" xr:uid="{00000000-0005-0000-0000-0000F5080000}"/>
    <cellStyle name="Comma 4 2 5 8" xfId="2774" xr:uid="{00000000-0005-0000-0000-0000F6080000}"/>
    <cellStyle name="Comma 4 2 5 8 2" xfId="6998" xr:uid="{00000000-0005-0000-0000-0000F7080000}"/>
    <cellStyle name="Comma 4 2 5 8 2 2" xfId="15437" xr:uid="{866F1CFE-97A6-40B2-907D-5AF72A87DBD6}"/>
    <cellStyle name="Comma 4 2 5 8 3" xfId="11219" xr:uid="{9B73F2BD-4235-40E8-A574-1C54DF994AFA}"/>
    <cellStyle name="Comma 4 2 5 9" xfId="4615" xr:uid="{00000000-0005-0000-0000-0000F8080000}"/>
    <cellStyle name="Comma 4 2 5 9 2" xfId="13054" xr:uid="{71F285D4-24C0-4589-BFC0-83BE1EB096D7}"/>
    <cellStyle name="Comma 4 2 6" xfId="143" xr:uid="{00000000-0005-0000-0000-0000F9080000}"/>
    <cellStyle name="Comma 4 2 6 10" xfId="8837" xr:uid="{D7C0BED4-E0AC-48C6-B85E-133717B2D83D}"/>
    <cellStyle name="Comma 4 2 6 2" xfId="681" xr:uid="{00000000-0005-0000-0000-0000FA080000}"/>
    <cellStyle name="Comma 4 2 6 2 2" xfId="2952" xr:uid="{00000000-0005-0000-0000-0000FB080000}"/>
    <cellStyle name="Comma 4 2 6 2 2 2" xfId="7175" xr:uid="{00000000-0005-0000-0000-0000FC080000}"/>
    <cellStyle name="Comma 4 2 6 2 2 2 2" xfId="15614" xr:uid="{72F52CF7-8EB0-4381-B27E-C1A1CE030FFC}"/>
    <cellStyle name="Comma 4 2 6 2 2 3" xfId="11396" xr:uid="{63F5BFE5-BF99-40B0-A875-BFFA46F4D893}"/>
    <cellStyle name="Comma 4 2 6 2 3" xfId="5030" xr:uid="{00000000-0005-0000-0000-0000FD080000}"/>
    <cellStyle name="Comma 4 2 6 2 3 2" xfId="13469" xr:uid="{EE07B273-5295-42BF-8BAF-28E592963262}"/>
    <cellStyle name="Comma 4 2 6 2 4" xfId="9251" xr:uid="{6B546117-B216-4DEC-AEF6-FF0A83AF7B2F}"/>
    <cellStyle name="Comma 4 2 6 3" xfId="1134" xr:uid="{00000000-0005-0000-0000-0000FE080000}"/>
    <cellStyle name="Comma 4 2 6 3 2" xfId="3365" xr:uid="{00000000-0005-0000-0000-0000FF080000}"/>
    <cellStyle name="Comma 4 2 6 3 2 2" xfId="7588" xr:uid="{00000000-0005-0000-0000-000000090000}"/>
    <cellStyle name="Comma 4 2 6 3 2 2 2" xfId="16027" xr:uid="{E28A3649-486B-43C1-B612-371491EC9AEF}"/>
    <cellStyle name="Comma 4 2 6 3 2 3" xfId="11809" xr:uid="{3DA767A3-2263-4DFD-9A27-4893E1696B0D}"/>
    <cellStyle name="Comma 4 2 6 3 3" xfId="5443" xr:uid="{00000000-0005-0000-0000-000001090000}"/>
    <cellStyle name="Comma 4 2 6 3 3 2" xfId="13882" xr:uid="{F69B7F93-48F6-40AE-9DD0-6E49349CE604}"/>
    <cellStyle name="Comma 4 2 6 3 4" xfId="9664" xr:uid="{DA75588D-06CE-4981-B6FF-92F3D8AFEACB}"/>
    <cellStyle name="Comma 4 2 6 4" xfId="1548" xr:uid="{00000000-0005-0000-0000-000002090000}"/>
    <cellStyle name="Comma 4 2 6 4 2" xfId="3778" xr:uid="{00000000-0005-0000-0000-000003090000}"/>
    <cellStyle name="Comma 4 2 6 4 2 2" xfId="8001" xr:uid="{00000000-0005-0000-0000-000004090000}"/>
    <cellStyle name="Comma 4 2 6 4 2 2 2" xfId="16440" xr:uid="{D52586CA-B81B-45DB-8D6A-05C06C282357}"/>
    <cellStyle name="Comma 4 2 6 4 2 3" xfId="12222" xr:uid="{D9688B86-2B1D-40A0-8B58-537A29BF910D}"/>
    <cellStyle name="Comma 4 2 6 4 3" xfId="5856" xr:uid="{00000000-0005-0000-0000-000005090000}"/>
    <cellStyle name="Comma 4 2 6 4 3 2" xfId="14295" xr:uid="{F79553B5-5569-4F72-9A48-0C0554246CA0}"/>
    <cellStyle name="Comma 4 2 6 4 4" xfId="10077" xr:uid="{09C77BC0-F67A-4DD2-85EF-F491E9205115}"/>
    <cellStyle name="Comma 4 2 6 5" xfId="1962" xr:uid="{00000000-0005-0000-0000-000006090000}"/>
    <cellStyle name="Comma 4 2 6 5 2" xfId="4191" xr:uid="{00000000-0005-0000-0000-000007090000}"/>
    <cellStyle name="Comma 4 2 6 5 2 2" xfId="8414" xr:uid="{00000000-0005-0000-0000-000008090000}"/>
    <cellStyle name="Comma 4 2 6 5 2 2 2" xfId="16853" xr:uid="{FE9FEC27-F749-46DB-9359-DFBDAAB54D1B}"/>
    <cellStyle name="Comma 4 2 6 5 2 3" xfId="12635" xr:uid="{30D7C819-43A2-4185-ABCE-D744C15838FA}"/>
    <cellStyle name="Comma 4 2 6 5 3" xfId="6269" xr:uid="{00000000-0005-0000-0000-000009090000}"/>
    <cellStyle name="Comma 4 2 6 5 3 2" xfId="14708" xr:uid="{25F942F2-A0E2-4508-92DB-DFF3FB295516}"/>
    <cellStyle name="Comma 4 2 6 5 4" xfId="10490" xr:uid="{033769FC-9C0B-4798-A5D8-72B45F5D816A}"/>
    <cellStyle name="Comma 4 2 6 6" xfId="2397" xr:uid="{00000000-0005-0000-0000-00000A090000}"/>
    <cellStyle name="Comma 4 2 6 6 2" xfId="6682" xr:uid="{00000000-0005-0000-0000-00000B090000}"/>
    <cellStyle name="Comma 4 2 6 6 2 2" xfId="15121" xr:uid="{382B5497-BE62-4596-8A8F-4B8BBA507CB5}"/>
    <cellStyle name="Comma 4 2 6 6 3" xfId="10903" xr:uid="{766804D9-1034-4C51-872D-475A06CCFFB3}"/>
    <cellStyle name="Comma 4 2 6 7" xfId="2366" xr:uid="{00000000-0005-0000-0000-00000C090000}"/>
    <cellStyle name="Comma 4 2 6 8" xfId="2775" xr:uid="{00000000-0005-0000-0000-00000D090000}"/>
    <cellStyle name="Comma 4 2 6 8 2" xfId="6999" xr:uid="{00000000-0005-0000-0000-00000E090000}"/>
    <cellStyle name="Comma 4 2 6 8 2 2" xfId="15438" xr:uid="{17BA9B67-83EF-4A86-A024-5610FAFCF0B1}"/>
    <cellStyle name="Comma 4 2 6 8 3" xfId="11220" xr:uid="{037555F0-9648-413D-9876-05ACF4D2BE3D}"/>
    <cellStyle name="Comma 4 2 6 9" xfId="4616" xr:uid="{00000000-0005-0000-0000-00000F090000}"/>
    <cellStyle name="Comma 4 2 6 9 2" xfId="13055" xr:uid="{9ABDF9EF-4D77-41AA-A11A-D5387B171542}"/>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39" xr:uid="{10E7D805-D7F9-46F2-B608-DD6A2B1F430F}"/>
    <cellStyle name="Comma 4 3 2 10 3" xfId="11221" xr:uid="{491355C4-2FCF-4531-82E4-80C5415CE856}"/>
    <cellStyle name="Comma 4 3 2 11" xfId="4617" xr:uid="{00000000-0005-0000-0000-000014090000}"/>
    <cellStyle name="Comma 4 3 2 11 2" xfId="13056" xr:uid="{BF638D4E-344E-4768-8584-C033B02955A4}"/>
    <cellStyle name="Comma 4 3 2 12" xfId="8838" xr:uid="{8AD7936D-3DC0-4F0C-8840-78D788E2CB5F}"/>
    <cellStyle name="Comma 4 3 2 2" xfId="146" xr:uid="{00000000-0005-0000-0000-000015090000}"/>
    <cellStyle name="Comma 4 3 2 2 10" xfId="4618" xr:uid="{00000000-0005-0000-0000-000016090000}"/>
    <cellStyle name="Comma 4 3 2 2 10 2" xfId="13057" xr:uid="{B9405324-F0DF-4E86-B613-555C89300929}"/>
    <cellStyle name="Comma 4 3 2 2 11" xfId="8839" xr:uid="{2EAC8045-2AA9-4351-8459-9418F1CA98A7}"/>
    <cellStyle name="Comma 4 3 2 2 2" xfId="147" xr:uid="{00000000-0005-0000-0000-000017090000}"/>
    <cellStyle name="Comma 4 3 2 2 2 10" xfId="8840" xr:uid="{D3FA8280-A232-43F6-99D7-1A3FCBFD1733}"/>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17" xr:uid="{F88930EC-274E-4932-88FC-887FF7C070C2}"/>
    <cellStyle name="Comma 4 3 2 2 2 2 2 3" xfId="11399" xr:uid="{542CCC85-ED75-4119-AF69-317ABA8E7E18}"/>
    <cellStyle name="Comma 4 3 2 2 2 2 3" xfId="5033" xr:uid="{00000000-0005-0000-0000-00001B090000}"/>
    <cellStyle name="Comma 4 3 2 2 2 2 3 2" xfId="13472" xr:uid="{AF06A5D4-86B1-4873-8391-FFCD47EDEC9A}"/>
    <cellStyle name="Comma 4 3 2 2 2 2 4" xfId="9254" xr:uid="{96D8D442-652D-4100-8311-A42EFA65628E}"/>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30" xr:uid="{46F50F06-BA3B-4D09-9F80-79F89BD21408}"/>
    <cellStyle name="Comma 4 3 2 2 2 3 2 3" xfId="11812" xr:uid="{C09958C1-6CD9-4A53-A1CA-3412D0300348}"/>
    <cellStyle name="Comma 4 3 2 2 2 3 3" xfId="5446" xr:uid="{00000000-0005-0000-0000-00001F090000}"/>
    <cellStyle name="Comma 4 3 2 2 2 3 3 2" xfId="13885" xr:uid="{5900D4E4-9972-4AE3-9F60-4FDFE890D3A9}"/>
    <cellStyle name="Comma 4 3 2 2 2 3 4" xfId="9667" xr:uid="{9DF09891-127C-49A2-9AA1-E447C74F3C74}"/>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3" xr:uid="{16388838-AE55-4135-ACAB-6B01DE31A78A}"/>
    <cellStyle name="Comma 4 3 2 2 2 4 2 3" xfId="12225" xr:uid="{EBE198BA-C2E5-4BF9-B97A-B4AF8F7F38F0}"/>
    <cellStyle name="Comma 4 3 2 2 2 4 3" xfId="5859" xr:uid="{00000000-0005-0000-0000-000023090000}"/>
    <cellStyle name="Comma 4 3 2 2 2 4 3 2" xfId="14298" xr:uid="{379C2CA1-9D17-46C8-ABD9-DF5555FEE1E9}"/>
    <cellStyle name="Comma 4 3 2 2 2 4 4" xfId="10080" xr:uid="{6E4D8133-CB1C-49BD-B2ED-94A379DED153}"/>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6" xr:uid="{C95A255D-19F4-4007-9688-E536C69A6469}"/>
    <cellStyle name="Comma 4 3 2 2 2 5 2 3" xfId="12638" xr:uid="{DB3308FA-D30C-47F8-A763-C7F9B46065CE}"/>
    <cellStyle name="Comma 4 3 2 2 2 5 3" xfId="6272" xr:uid="{00000000-0005-0000-0000-000027090000}"/>
    <cellStyle name="Comma 4 3 2 2 2 5 3 2" xfId="14711" xr:uid="{33A87B7F-670D-4DAF-8825-325FC91B664D}"/>
    <cellStyle name="Comma 4 3 2 2 2 5 4" xfId="10493" xr:uid="{45C29513-40AB-4498-ACF5-FF5F2D450C70}"/>
    <cellStyle name="Comma 4 3 2 2 2 6" xfId="2400" xr:uid="{00000000-0005-0000-0000-000028090000}"/>
    <cellStyle name="Comma 4 3 2 2 2 6 2" xfId="6685" xr:uid="{00000000-0005-0000-0000-000029090000}"/>
    <cellStyle name="Comma 4 3 2 2 2 6 2 2" xfId="15124" xr:uid="{152B2E0C-7015-4E95-B423-42A342DF238D}"/>
    <cellStyle name="Comma 4 3 2 2 2 6 3" xfId="10906" xr:uid="{B1C37C58-328A-472D-AECA-9D7508768907}"/>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41" xr:uid="{62C549FF-7A3F-4233-88C2-A8D5F1E73342}"/>
    <cellStyle name="Comma 4 3 2 2 2 8 3" xfId="11223" xr:uid="{094E68C4-64DF-40E8-82DD-7809D534A27E}"/>
    <cellStyle name="Comma 4 3 2 2 2 9" xfId="4619" xr:uid="{00000000-0005-0000-0000-00002D090000}"/>
    <cellStyle name="Comma 4 3 2 2 2 9 2" xfId="13058" xr:uid="{8D44506C-AEEB-4CCE-BDCA-2E705FF00AB3}"/>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6" xr:uid="{8B5CFBA6-E994-4C1B-ABCB-0CEACCC9B69A}"/>
    <cellStyle name="Comma 4 3 2 2 3 2 3" xfId="11398" xr:uid="{57B1182A-1D87-4D97-9B41-A07603C5050E}"/>
    <cellStyle name="Comma 4 3 2 2 3 3" xfId="5032" xr:uid="{00000000-0005-0000-0000-000031090000}"/>
    <cellStyle name="Comma 4 3 2 2 3 3 2" xfId="13471" xr:uid="{4DC35DAF-0F64-45BE-A496-514B14890F0D}"/>
    <cellStyle name="Comma 4 3 2 2 3 4" xfId="9253" xr:uid="{1BA2BE3B-6559-402D-B0D4-1BD628CD635C}"/>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29" xr:uid="{CB954635-CC6C-4F61-8013-FFF9ADBFB15F}"/>
    <cellStyle name="Comma 4 3 2 2 4 2 3" xfId="11811" xr:uid="{0A279B24-B9E5-44F8-8B1D-332158FB63F9}"/>
    <cellStyle name="Comma 4 3 2 2 4 3" xfId="5445" xr:uid="{00000000-0005-0000-0000-000035090000}"/>
    <cellStyle name="Comma 4 3 2 2 4 3 2" xfId="13884" xr:uid="{FFC1FB73-EB32-4C63-86FB-215F7CAE2524}"/>
    <cellStyle name="Comma 4 3 2 2 4 4" xfId="9666" xr:uid="{16CC9238-F097-4FD5-AD1C-9362CEDE4F07}"/>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42" xr:uid="{CDDDA800-A00D-44CD-A4FA-78270A7B2099}"/>
    <cellStyle name="Comma 4 3 2 2 5 2 3" xfId="12224" xr:uid="{07322DC3-5B22-4D06-8757-71D40466C49B}"/>
    <cellStyle name="Comma 4 3 2 2 5 3" xfId="5858" xr:uid="{00000000-0005-0000-0000-000039090000}"/>
    <cellStyle name="Comma 4 3 2 2 5 3 2" xfId="14297" xr:uid="{F70160B1-0BBE-4BC0-9FB4-10773B63F119}"/>
    <cellStyle name="Comma 4 3 2 2 5 4" xfId="10079" xr:uid="{99553A66-1B65-4161-8B76-169ECF373D19}"/>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5" xr:uid="{4C95C9BE-8701-4FE8-8E35-E371DBED1D72}"/>
    <cellStyle name="Comma 4 3 2 2 6 2 3" xfId="12637" xr:uid="{CBE0E2C1-2B4E-4E77-BE92-B671771DF471}"/>
    <cellStyle name="Comma 4 3 2 2 6 3" xfId="6271" xr:uid="{00000000-0005-0000-0000-00003D090000}"/>
    <cellStyle name="Comma 4 3 2 2 6 3 2" xfId="14710" xr:uid="{0187CB52-A639-4B1A-AF9C-F55C6B360F56}"/>
    <cellStyle name="Comma 4 3 2 2 6 4" xfId="10492" xr:uid="{80790739-3566-4B7E-8C00-B4C704C2FE70}"/>
    <cellStyle name="Comma 4 3 2 2 7" xfId="2399" xr:uid="{00000000-0005-0000-0000-00003E090000}"/>
    <cellStyle name="Comma 4 3 2 2 7 2" xfId="6684" xr:uid="{00000000-0005-0000-0000-00003F090000}"/>
    <cellStyle name="Comma 4 3 2 2 7 2 2" xfId="15123" xr:uid="{7FD3E7F0-7988-4A42-936A-A7128858B205}"/>
    <cellStyle name="Comma 4 3 2 2 7 3" xfId="10905" xr:uid="{60BB24CB-D151-429B-8625-98B20811EE42}"/>
    <cellStyle name="Comma 4 3 2 2 8" xfId="2364" xr:uid="{00000000-0005-0000-0000-000040090000}"/>
    <cellStyle name="Comma 4 3 2 2 9" xfId="2777" xr:uid="{00000000-0005-0000-0000-000041090000}"/>
    <cellStyle name="Comma 4 3 2 2 9 2" xfId="7001" xr:uid="{00000000-0005-0000-0000-000042090000}"/>
    <cellStyle name="Comma 4 3 2 2 9 2 2" xfId="15440" xr:uid="{4499374E-E135-45B4-8839-EC5972B493F1}"/>
    <cellStyle name="Comma 4 3 2 2 9 3" xfId="11222" xr:uid="{65B3DB8D-F000-4CA8-AD9E-931519984E1D}"/>
    <cellStyle name="Comma 4 3 2 3" xfId="148" xr:uid="{00000000-0005-0000-0000-000043090000}"/>
    <cellStyle name="Comma 4 3 2 3 10" xfId="8841" xr:uid="{426AD237-2585-492E-974B-41ECCED2D010}"/>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18" xr:uid="{17FD7551-4084-4782-8423-832192355ECF}"/>
    <cellStyle name="Comma 4 3 2 3 2 2 3" xfId="11400" xr:uid="{5FDEC50F-3488-4878-ACF1-01F49FD0C608}"/>
    <cellStyle name="Comma 4 3 2 3 2 3" xfId="5034" xr:uid="{00000000-0005-0000-0000-000047090000}"/>
    <cellStyle name="Comma 4 3 2 3 2 3 2" xfId="13473" xr:uid="{06F2BA1A-C061-41C9-8395-EC0A9D7E00F3}"/>
    <cellStyle name="Comma 4 3 2 3 2 4" xfId="9255" xr:uid="{EFAE8969-6E47-4A14-83CD-B0844F9668BA}"/>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31" xr:uid="{3C1CD561-948F-4DF3-8F18-FFF6F262552D}"/>
    <cellStyle name="Comma 4 3 2 3 3 2 3" xfId="11813" xr:uid="{425CB7E1-6EC2-49A5-8048-F8A95E98CE94}"/>
    <cellStyle name="Comma 4 3 2 3 3 3" xfId="5447" xr:uid="{00000000-0005-0000-0000-00004B090000}"/>
    <cellStyle name="Comma 4 3 2 3 3 3 2" xfId="13886" xr:uid="{04ED717C-C9D9-4471-AE51-2F396539F496}"/>
    <cellStyle name="Comma 4 3 2 3 3 4" xfId="9668" xr:uid="{80A2592E-0AE2-4602-9093-A605AEDA9799}"/>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4" xr:uid="{6EBF369B-1392-4FC2-9747-6300AC119111}"/>
    <cellStyle name="Comma 4 3 2 3 4 2 3" xfId="12226" xr:uid="{CA2590EF-42D7-4F14-A338-339FDD4B17DD}"/>
    <cellStyle name="Comma 4 3 2 3 4 3" xfId="5860" xr:uid="{00000000-0005-0000-0000-00004F090000}"/>
    <cellStyle name="Comma 4 3 2 3 4 3 2" xfId="14299" xr:uid="{2F6EB506-46AF-4102-8EDA-89890F3CECC1}"/>
    <cellStyle name="Comma 4 3 2 3 4 4" xfId="10081" xr:uid="{9B6334D8-2FBB-4414-B776-AB36AB7A4045}"/>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57" xr:uid="{27B18FBC-CF8F-42BC-AA34-60468145B6E7}"/>
    <cellStyle name="Comma 4 3 2 3 5 2 3" xfId="12639" xr:uid="{56AA05EE-3D54-4310-953C-F625ACB4636D}"/>
    <cellStyle name="Comma 4 3 2 3 5 3" xfId="6273" xr:uid="{00000000-0005-0000-0000-000053090000}"/>
    <cellStyle name="Comma 4 3 2 3 5 3 2" xfId="14712" xr:uid="{EEE4CB44-0F77-4C4E-84D4-66AE67786936}"/>
    <cellStyle name="Comma 4 3 2 3 5 4" xfId="10494" xr:uid="{B9021FF4-EA6E-4737-BC5A-764D9EC63729}"/>
    <cellStyle name="Comma 4 3 2 3 6" xfId="2401" xr:uid="{00000000-0005-0000-0000-000054090000}"/>
    <cellStyle name="Comma 4 3 2 3 6 2" xfId="6686" xr:uid="{00000000-0005-0000-0000-000055090000}"/>
    <cellStyle name="Comma 4 3 2 3 6 2 2" xfId="15125" xr:uid="{856F1D6F-87B5-4CCD-9F64-A2B7C64BAE75}"/>
    <cellStyle name="Comma 4 3 2 3 6 3" xfId="10907" xr:uid="{8C179235-FA32-461E-A759-D3FDA4AAF41A}"/>
    <cellStyle name="Comma 4 3 2 3 7" xfId="2362" xr:uid="{00000000-0005-0000-0000-000056090000}"/>
    <cellStyle name="Comma 4 3 2 3 8" xfId="2779" xr:uid="{00000000-0005-0000-0000-000057090000}"/>
    <cellStyle name="Comma 4 3 2 3 8 2" xfId="7003" xr:uid="{00000000-0005-0000-0000-000058090000}"/>
    <cellStyle name="Comma 4 3 2 3 8 2 2" xfId="15442" xr:uid="{B314AF54-9B8C-4D10-B790-97B2C0D2F98E}"/>
    <cellStyle name="Comma 4 3 2 3 8 3" xfId="11224" xr:uid="{5FE0E4B4-D255-4EF8-999A-08797CF81E5B}"/>
    <cellStyle name="Comma 4 3 2 3 9" xfId="4620" xr:uid="{00000000-0005-0000-0000-000059090000}"/>
    <cellStyle name="Comma 4 3 2 3 9 2" xfId="13059" xr:uid="{DFA107A0-3574-4C69-8871-A3C3C3983D59}"/>
    <cellStyle name="Comma 4 3 2 4" xfId="682" xr:uid="{00000000-0005-0000-0000-00005A090000}"/>
    <cellStyle name="Comma 4 3 2 4 2" xfId="2953" xr:uid="{00000000-0005-0000-0000-00005B090000}"/>
    <cellStyle name="Comma 4 3 2 4 2 2" xfId="7176" xr:uid="{00000000-0005-0000-0000-00005C090000}"/>
    <cellStyle name="Comma 4 3 2 4 2 2 2" xfId="15615" xr:uid="{A737C642-E575-4DF7-A659-A2513EF3B20A}"/>
    <cellStyle name="Comma 4 3 2 4 2 3" xfId="11397" xr:uid="{72FEA19A-0CB0-400E-B800-29C118FD0602}"/>
    <cellStyle name="Comma 4 3 2 4 3" xfId="5031" xr:uid="{00000000-0005-0000-0000-00005D090000}"/>
    <cellStyle name="Comma 4 3 2 4 3 2" xfId="13470" xr:uid="{C60AC44E-5E28-4F16-9258-C7FAFC595FA6}"/>
    <cellStyle name="Comma 4 3 2 4 4" xfId="9252" xr:uid="{D6999AEB-454D-4F3F-A7E7-E048161C53C7}"/>
    <cellStyle name="Comma 4 3 2 5" xfId="1135" xr:uid="{00000000-0005-0000-0000-00005E090000}"/>
    <cellStyle name="Comma 4 3 2 5 2" xfId="3366" xr:uid="{00000000-0005-0000-0000-00005F090000}"/>
    <cellStyle name="Comma 4 3 2 5 2 2" xfId="7589" xr:uid="{00000000-0005-0000-0000-000060090000}"/>
    <cellStyle name="Comma 4 3 2 5 2 2 2" xfId="16028" xr:uid="{986B5522-A698-4093-9A3B-7EA287116D79}"/>
    <cellStyle name="Comma 4 3 2 5 2 3" xfId="11810" xr:uid="{2BBE9E05-25FB-4747-83D0-E1AD7E3F0151}"/>
    <cellStyle name="Comma 4 3 2 5 3" xfId="5444" xr:uid="{00000000-0005-0000-0000-000061090000}"/>
    <cellStyle name="Comma 4 3 2 5 3 2" xfId="13883" xr:uid="{DA0DB3EB-914A-4C8C-9E01-3FA44610D098}"/>
    <cellStyle name="Comma 4 3 2 5 4" xfId="9665" xr:uid="{53690A6B-5720-4ABC-AD2F-1A1654FF92BC}"/>
    <cellStyle name="Comma 4 3 2 6" xfId="1549" xr:uid="{00000000-0005-0000-0000-000062090000}"/>
    <cellStyle name="Comma 4 3 2 6 2" xfId="3779" xr:uid="{00000000-0005-0000-0000-000063090000}"/>
    <cellStyle name="Comma 4 3 2 6 2 2" xfId="8002" xr:uid="{00000000-0005-0000-0000-000064090000}"/>
    <cellStyle name="Comma 4 3 2 6 2 2 2" xfId="16441" xr:uid="{828CD54B-06A3-41BA-A6EF-56867F60459F}"/>
    <cellStyle name="Comma 4 3 2 6 2 3" xfId="12223" xr:uid="{60EC4843-E6E5-4F07-8D50-C5B948A9FA68}"/>
    <cellStyle name="Comma 4 3 2 6 3" xfId="5857" xr:uid="{00000000-0005-0000-0000-000065090000}"/>
    <cellStyle name="Comma 4 3 2 6 3 2" xfId="14296" xr:uid="{A136B514-D62C-43E7-907A-BABE96903C25}"/>
    <cellStyle name="Comma 4 3 2 6 4" xfId="10078" xr:uid="{687DCA6B-D485-41F9-858A-9E5BC1DCFF0C}"/>
    <cellStyle name="Comma 4 3 2 7" xfId="1963" xr:uid="{00000000-0005-0000-0000-000066090000}"/>
    <cellStyle name="Comma 4 3 2 7 2" xfId="4192" xr:uid="{00000000-0005-0000-0000-000067090000}"/>
    <cellStyle name="Comma 4 3 2 7 2 2" xfId="8415" xr:uid="{00000000-0005-0000-0000-000068090000}"/>
    <cellStyle name="Comma 4 3 2 7 2 2 2" xfId="16854" xr:uid="{BCF279EF-78FD-4C97-A5FD-A1000AF9B349}"/>
    <cellStyle name="Comma 4 3 2 7 2 3" xfId="12636" xr:uid="{F5EC4D59-21BE-43B5-A3E0-B37AD39C2BC4}"/>
    <cellStyle name="Comma 4 3 2 7 3" xfId="6270" xr:uid="{00000000-0005-0000-0000-000069090000}"/>
    <cellStyle name="Comma 4 3 2 7 3 2" xfId="14709" xr:uid="{814C93C9-83E4-491B-97F3-DDBFD3B83FB6}"/>
    <cellStyle name="Comma 4 3 2 7 4" xfId="10491" xr:uid="{B536929D-7CF5-45A2-B344-1C9C5DD24B64}"/>
    <cellStyle name="Comma 4 3 2 8" xfId="2398" xr:uid="{00000000-0005-0000-0000-00006A090000}"/>
    <cellStyle name="Comma 4 3 2 8 2" xfId="6683" xr:uid="{00000000-0005-0000-0000-00006B090000}"/>
    <cellStyle name="Comma 4 3 2 8 2 2" xfId="15122" xr:uid="{4FB43DA4-509E-4A2D-AE55-15EA1A5BC016}"/>
    <cellStyle name="Comma 4 3 2 8 3" xfId="10904" xr:uid="{FE603B99-2758-4DBA-915E-82A2F7FD5362}"/>
    <cellStyle name="Comma 4 3 2 9" xfId="2365" xr:uid="{00000000-0005-0000-0000-00006C090000}"/>
    <cellStyle name="Comma 4 3 3" xfId="149" xr:uid="{00000000-0005-0000-0000-00006D090000}"/>
    <cellStyle name="Comma 4 3 3 10" xfId="4621" xr:uid="{00000000-0005-0000-0000-00006E090000}"/>
    <cellStyle name="Comma 4 3 3 10 2" xfId="13060" xr:uid="{E5FDA47F-A77C-4FFA-BDD5-F55906F7522D}"/>
    <cellStyle name="Comma 4 3 3 11" xfId="8842" xr:uid="{F9E956DB-5663-483D-843A-0B1403D504D0}"/>
    <cellStyle name="Comma 4 3 3 2" xfId="150" xr:uid="{00000000-0005-0000-0000-00006F090000}"/>
    <cellStyle name="Comma 4 3 3 2 10" xfId="8843" xr:uid="{EFB7E440-7BC2-4C91-9341-50E352D0AC77}"/>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20" xr:uid="{29704FC3-707B-461B-8D40-E9E5CFFEDBCD}"/>
    <cellStyle name="Comma 4 3 3 2 2 2 3" xfId="11402" xr:uid="{4521F37A-9E9C-43DC-9402-C07E8254A196}"/>
    <cellStyle name="Comma 4 3 3 2 2 3" xfId="5036" xr:uid="{00000000-0005-0000-0000-000073090000}"/>
    <cellStyle name="Comma 4 3 3 2 2 3 2" xfId="13475" xr:uid="{CAC036F3-3632-4CA6-BC8A-8841B41C620B}"/>
    <cellStyle name="Comma 4 3 3 2 2 4" xfId="9257" xr:uid="{C9C59931-C114-40C6-BC63-1C9BF7ACCCD5}"/>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3" xr:uid="{637C7A1D-CB82-4C84-8E1C-5DB696E6B463}"/>
    <cellStyle name="Comma 4 3 3 2 3 2 3" xfId="11815" xr:uid="{57B3B5B7-7E2C-4DB5-8FC9-55937667716E}"/>
    <cellStyle name="Comma 4 3 3 2 3 3" xfId="5449" xr:uid="{00000000-0005-0000-0000-000077090000}"/>
    <cellStyle name="Comma 4 3 3 2 3 3 2" xfId="13888" xr:uid="{10879E9D-47CD-4667-B37A-216079382429}"/>
    <cellStyle name="Comma 4 3 3 2 3 4" xfId="9670" xr:uid="{A8EAFB5B-14FC-4BF6-B523-174167256D57}"/>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6" xr:uid="{BC13F730-2AA9-417D-870D-008AAD6FFA0F}"/>
    <cellStyle name="Comma 4 3 3 2 4 2 3" xfId="12228" xr:uid="{390B458F-ECFB-43E8-AAB1-0B905075F9DF}"/>
    <cellStyle name="Comma 4 3 3 2 4 3" xfId="5862" xr:uid="{00000000-0005-0000-0000-00007B090000}"/>
    <cellStyle name="Comma 4 3 3 2 4 3 2" xfId="14301" xr:uid="{67413C50-88A9-4512-B291-44C41A895BE2}"/>
    <cellStyle name="Comma 4 3 3 2 4 4" xfId="10083" xr:uid="{E66084C9-D707-4461-86DE-303E01C8F778}"/>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59" xr:uid="{4F5015BB-4443-43DC-9B48-B735EE78CBCF}"/>
    <cellStyle name="Comma 4 3 3 2 5 2 3" xfId="12641" xr:uid="{EE19DB35-D18D-45B8-B6DD-C23421A3E536}"/>
    <cellStyle name="Comma 4 3 3 2 5 3" xfId="6275" xr:uid="{00000000-0005-0000-0000-00007F090000}"/>
    <cellStyle name="Comma 4 3 3 2 5 3 2" xfId="14714" xr:uid="{BAA3D234-869F-4622-99CE-D5090BC363B5}"/>
    <cellStyle name="Comma 4 3 3 2 5 4" xfId="10496" xr:uid="{95D25DFB-28B6-402C-AE06-858278AFA401}"/>
    <cellStyle name="Comma 4 3 3 2 6" xfId="2403" xr:uid="{00000000-0005-0000-0000-000080090000}"/>
    <cellStyle name="Comma 4 3 3 2 6 2" xfId="6688" xr:uid="{00000000-0005-0000-0000-000081090000}"/>
    <cellStyle name="Comma 4 3 3 2 6 2 2" xfId="15127" xr:uid="{B6AF585F-54ED-43A9-8F6C-0FA04C65D172}"/>
    <cellStyle name="Comma 4 3 3 2 6 3" xfId="10909" xr:uid="{3E47D551-E27F-4B34-9465-79C45E96A7B1}"/>
    <cellStyle name="Comma 4 3 3 2 7" xfId="2360" xr:uid="{00000000-0005-0000-0000-000082090000}"/>
    <cellStyle name="Comma 4 3 3 2 8" xfId="2781" xr:uid="{00000000-0005-0000-0000-000083090000}"/>
    <cellStyle name="Comma 4 3 3 2 8 2" xfId="7005" xr:uid="{00000000-0005-0000-0000-000084090000}"/>
    <cellStyle name="Comma 4 3 3 2 8 2 2" xfId="15444" xr:uid="{95B0E167-2302-4756-B319-D78B5AA4C2FE}"/>
    <cellStyle name="Comma 4 3 3 2 8 3" xfId="11226" xr:uid="{F6D57DEE-F756-4135-9254-AC8B97E97AC2}"/>
    <cellStyle name="Comma 4 3 3 2 9" xfId="4622" xr:uid="{00000000-0005-0000-0000-000085090000}"/>
    <cellStyle name="Comma 4 3 3 2 9 2" xfId="13061" xr:uid="{C9B84395-390D-4A79-ACB6-61F2ECB12E03}"/>
    <cellStyle name="Comma 4 3 3 3" xfId="686" xr:uid="{00000000-0005-0000-0000-000086090000}"/>
    <cellStyle name="Comma 4 3 3 3 2" xfId="2957" xr:uid="{00000000-0005-0000-0000-000087090000}"/>
    <cellStyle name="Comma 4 3 3 3 2 2" xfId="7180" xr:uid="{00000000-0005-0000-0000-000088090000}"/>
    <cellStyle name="Comma 4 3 3 3 2 2 2" xfId="15619" xr:uid="{DED79671-2559-4E8C-B8A0-D0857BDB0975}"/>
    <cellStyle name="Comma 4 3 3 3 2 3" xfId="11401" xr:uid="{A5CE5A55-549E-4FD3-91A2-9AF3E917694C}"/>
    <cellStyle name="Comma 4 3 3 3 3" xfId="5035" xr:uid="{00000000-0005-0000-0000-000089090000}"/>
    <cellStyle name="Comma 4 3 3 3 3 2" xfId="13474" xr:uid="{538FC53F-639E-4B2E-BBBB-CDAEB23DD917}"/>
    <cellStyle name="Comma 4 3 3 3 4" xfId="9256" xr:uid="{2DAAD284-1B52-421F-AEB5-7727704B5386}"/>
    <cellStyle name="Comma 4 3 3 4" xfId="1139" xr:uid="{00000000-0005-0000-0000-00008A090000}"/>
    <cellStyle name="Comma 4 3 3 4 2" xfId="3370" xr:uid="{00000000-0005-0000-0000-00008B090000}"/>
    <cellStyle name="Comma 4 3 3 4 2 2" xfId="7593" xr:uid="{00000000-0005-0000-0000-00008C090000}"/>
    <cellStyle name="Comma 4 3 3 4 2 2 2" xfId="16032" xr:uid="{41290D67-31D5-4760-AE53-3E2982E08682}"/>
    <cellStyle name="Comma 4 3 3 4 2 3" xfId="11814" xr:uid="{7DC7DB36-0BCE-4762-BCA1-47C625714A22}"/>
    <cellStyle name="Comma 4 3 3 4 3" xfId="5448" xr:uid="{00000000-0005-0000-0000-00008D090000}"/>
    <cellStyle name="Comma 4 3 3 4 3 2" xfId="13887" xr:uid="{43400AF4-86A5-4DD6-B4A8-8DFCAAE4494E}"/>
    <cellStyle name="Comma 4 3 3 4 4" xfId="9669" xr:uid="{C9C78760-4A82-4340-AE15-F1F6B7E02451}"/>
    <cellStyle name="Comma 4 3 3 5" xfId="1553" xr:uid="{00000000-0005-0000-0000-00008E090000}"/>
    <cellStyle name="Comma 4 3 3 5 2" xfId="3783" xr:uid="{00000000-0005-0000-0000-00008F090000}"/>
    <cellStyle name="Comma 4 3 3 5 2 2" xfId="8006" xr:uid="{00000000-0005-0000-0000-000090090000}"/>
    <cellStyle name="Comma 4 3 3 5 2 2 2" xfId="16445" xr:uid="{18A9F8F7-30F7-4CFB-9081-F3113B755D26}"/>
    <cellStyle name="Comma 4 3 3 5 2 3" xfId="12227" xr:uid="{00AAAC7D-726F-4771-8A23-EAFC0000B126}"/>
    <cellStyle name="Comma 4 3 3 5 3" xfId="5861" xr:uid="{00000000-0005-0000-0000-000091090000}"/>
    <cellStyle name="Comma 4 3 3 5 3 2" xfId="14300" xr:uid="{A77FE3E9-C2B3-48C2-AA52-EB5E27FB7454}"/>
    <cellStyle name="Comma 4 3 3 5 4" xfId="10082" xr:uid="{B69FE63F-BFA9-440D-BB3F-E05228A63EC5}"/>
    <cellStyle name="Comma 4 3 3 6" xfId="1967" xr:uid="{00000000-0005-0000-0000-000092090000}"/>
    <cellStyle name="Comma 4 3 3 6 2" xfId="4196" xr:uid="{00000000-0005-0000-0000-000093090000}"/>
    <cellStyle name="Comma 4 3 3 6 2 2" xfId="8419" xr:uid="{00000000-0005-0000-0000-000094090000}"/>
    <cellStyle name="Comma 4 3 3 6 2 2 2" xfId="16858" xr:uid="{9C1A225C-9775-4C12-A699-355FC1EC3A7C}"/>
    <cellStyle name="Comma 4 3 3 6 2 3" xfId="12640" xr:uid="{50851B3E-662D-44C4-B0B7-3D992DB0FB3E}"/>
    <cellStyle name="Comma 4 3 3 6 3" xfId="6274" xr:uid="{00000000-0005-0000-0000-000095090000}"/>
    <cellStyle name="Comma 4 3 3 6 3 2" xfId="14713" xr:uid="{FC39B9A6-00E4-49AD-BF0B-F9A0BA3185BC}"/>
    <cellStyle name="Comma 4 3 3 6 4" xfId="10495" xr:uid="{AF52A5B5-F532-42DD-BADA-6F885B7CBB30}"/>
    <cellStyle name="Comma 4 3 3 7" xfId="2402" xr:uid="{00000000-0005-0000-0000-000096090000}"/>
    <cellStyle name="Comma 4 3 3 7 2" xfId="6687" xr:uid="{00000000-0005-0000-0000-000097090000}"/>
    <cellStyle name="Comma 4 3 3 7 2 2" xfId="15126" xr:uid="{060DF654-BF32-414B-8ACF-912EB7CF5F3C}"/>
    <cellStyle name="Comma 4 3 3 7 3" xfId="10908" xr:uid="{218C8BB2-8232-4279-88D9-FF09F9D18BD8}"/>
    <cellStyle name="Comma 4 3 3 8" xfId="2361" xr:uid="{00000000-0005-0000-0000-000098090000}"/>
    <cellStyle name="Comma 4 3 3 9" xfId="2780" xr:uid="{00000000-0005-0000-0000-000099090000}"/>
    <cellStyle name="Comma 4 3 3 9 2" xfId="7004" xr:uid="{00000000-0005-0000-0000-00009A090000}"/>
    <cellStyle name="Comma 4 3 3 9 2 2" xfId="15443" xr:uid="{3F614E3F-5EA5-43A8-B740-022E6F022272}"/>
    <cellStyle name="Comma 4 3 3 9 3" xfId="11225" xr:uid="{0D7A0E22-1D09-4BD9-BB34-1E6CECA2195C}"/>
    <cellStyle name="Comma 4 3 4" xfId="151" xr:uid="{00000000-0005-0000-0000-00009B090000}"/>
    <cellStyle name="Comma 4 3 4 10" xfId="8844" xr:uid="{9F83742B-3C3A-47EB-B262-20C7C06AC6C2}"/>
    <cellStyle name="Comma 4 3 4 2" xfId="688" xr:uid="{00000000-0005-0000-0000-00009C090000}"/>
    <cellStyle name="Comma 4 3 4 2 2" xfId="2959" xr:uid="{00000000-0005-0000-0000-00009D090000}"/>
    <cellStyle name="Comma 4 3 4 2 2 2" xfId="7182" xr:uid="{00000000-0005-0000-0000-00009E090000}"/>
    <cellStyle name="Comma 4 3 4 2 2 2 2" xfId="15621" xr:uid="{D0031D2C-5DB0-4FA3-A2C1-D8F2787B2C80}"/>
    <cellStyle name="Comma 4 3 4 2 2 3" xfId="11403" xr:uid="{6C9727DD-665D-4DFD-B832-E8F0F91DC7FA}"/>
    <cellStyle name="Comma 4 3 4 2 3" xfId="5037" xr:uid="{00000000-0005-0000-0000-00009F090000}"/>
    <cellStyle name="Comma 4 3 4 2 3 2" xfId="13476" xr:uid="{1BB98FAD-B067-457B-B423-92FF1C76C014}"/>
    <cellStyle name="Comma 4 3 4 2 4" xfId="9258" xr:uid="{D429C219-1C8D-4F7F-9E8D-23273E7DCDA6}"/>
    <cellStyle name="Comma 4 3 4 3" xfId="1141" xr:uid="{00000000-0005-0000-0000-0000A0090000}"/>
    <cellStyle name="Comma 4 3 4 3 2" xfId="3372" xr:uid="{00000000-0005-0000-0000-0000A1090000}"/>
    <cellStyle name="Comma 4 3 4 3 2 2" xfId="7595" xr:uid="{00000000-0005-0000-0000-0000A2090000}"/>
    <cellStyle name="Comma 4 3 4 3 2 2 2" xfId="16034" xr:uid="{6B71AE90-FC6C-43BE-B505-19F40642A941}"/>
    <cellStyle name="Comma 4 3 4 3 2 3" xfId="11816" xr:uid="{D52CEAC7-958E-48BD-B727-7D67AA2DC644}"/>
    <cellStyle name="Comma 4 3 4 3 3" xfId="5450" xr:uid="{00000000-0005-0000-0000-0000A3090000}"/>
    <cellStyle name="Comma 4 3 4 3 3 2" xfId="13889" xr:uid="{4307D404-2BFF-46C5-92D3-64A5C672CFD2}"/>
    <cellStyle name="Comma 4 3 4 3 4" xfId="9671" xr:uid="{3F4F390C-8E9C-4BF8-9B5C-F7FBDEA7BF91}"/>
    <cellStyle name="Comma 4 3 4 4" xfId="1555" xr:uid="{00000000-0005-0000-0000-0000A4090000}"/>
    <cellStyle name="Comma 4 3 4 4 2" xfId="3785" xr:uid="{00000000-0005-0000-0000-0000A5090000}"/>
    <cellStyle name="Comma 4 3 4 4 2 2" xfId="8008" xr:uid="{00000000-0005-0000-0000-0000A6090000}"/>
    <cellStyle name="Comma 4 3 4 4 2 2 2" xfId="16447" xr:uid="{59BF8299-19DB-400E-93CA-B178F14E4165}"/>
    <cellStyle name="Comma 4 3 4 4 2 3" xfId="12229" xr:uid="{46252F33-7861-4109-8D9D-6F01B59D0BEF}"/>
    <cellStyle name="Comma 4 3 4 4 3" xfId="5863" xr:uid="{00000000-0005-0000-0000-0000A7090000}"/>
    <cellStyle name="Comma 4 3 4 4 3 2" xfId="14302" xr:uid="{FD6B9498-6C85-4D09-ACB4-3ACB747641AA}"/>
    <cellStyle name="Comma 4 3 4 4 4" xfId="10084" xr:uid="{3C3EFB18-A6A4-4904-B6D5-30322B1C48DE}"/>
    <cellStyle name="Comma 4 3 4 5" xfId="1969" xr:uid="{00000000-0005-0000-0000-0000A8090000}"/>
    <cellStyle name="Comma 4 3 4 5 2" xfId="4198" xr:uid="{00000000-0005-0000-0000-0000A9090000}"/>
    <cellStyle name="Comma 4 3 4 5 2 2" xfId="8421" xr:uid="{00000000-0005-0000-0000-0000AA090000}"/>
    <cellStyle name="Comma 4 3 4 5 2 2 2" xfId="16860" xr:uid="{06C79B20-9F9B-4275-89CB-47F9013B3796}"/>
    <cellStyle name="Comma 4 3 4 5 2 3" xfId="12642" xr:uid="{4D8C559C-3BE2-4150-BB55-79025B555437}"/>
    <cellStyle name="Comma 4 3 4 5 3" xfId="6276" xr:uid="{00000000-0005-0000-0000-0000AB090000}"/>
    <cellStyle name="Comma 4 3 4 5 3 2" xfId="14715" xr:uid="{80D2A845-EBB3-4DE4-8703-119E96774929}"/>
    <cellStyle name="Comma 4 3 4 5 4" xfId="10497" xr:uid="{14EC3641-AE9A-4E1F-8D21-CF1D41B3AF36}"/>
    <cellStyle name="Comma 4 3 4 6" xfId="2404" xr:uid="{00000000-0005-0000-0000-0000AC090000}"/>
    <cellStyle name="Comma 4 3 4 6 2" xfId="6689" xr:uid="{00000000-0005-0000-0000-0000AD090000}"/>
    <cellStyle name="Comma 4 3 4 6 2 2" xfId="15128" xr:uid="{E89CDBAA-BFF7-4BC7-853B-9105B6B939FF}"/>
    <cellStyle name="Comma 4 3 4 6 3" xfId="10910" xr:uid="{C4390F78-BDB7-463C-B821-9B7650A1F74C}"/>
    <cellStyle name="Comma 4 3 4 7" xfId="2700" xr:uid="{00000000-0005-0000-0000-0000AE090000}"/>
    <cellStyle name="Comma 4 3 4 8" xfId="2782" xr:uid="{00000000-0005-0000-0000-0000AF090000}"/>
    <cellStyle name="Comma 4 3 4 8 2" xfId="7006" xr:uid="{00000000-0005-0000-0000-0000B0090000}"/>
    <cellStyle name="Comma 4 3 4 8 2 2" xfId="15445" xr:uid="{D06269B2-3B05-44B9-B2CD-1288393DC416}"/>
    <cellStyle name="Comma 4 3 4 8 3" xfId="11227" xr:uid="{DD2DE297-4E66-433A-A8A4-2BAE22FF4E32}"/>
    <cellStyle name="Comma 4 3 4 9" xfId="4623" xr:uid="{00000000-0005-0000-0000-0000B1090000}"/>
    <cellStyle name="Comma 4 3 4 9 2" xfId="13062" xr:uid="{C06ABB34-BC0A-43BF-BBCB-B0AEB3ADB85B}"/>
    <cellStyle name="Comma 4 3 5" xfId="152" xr:uid="{00000000-0005-0000-0000-0000B2090000}"/>
    <cellStyle name="Comma 4 3 5 10" xfId="8845" xr:uid="{98E3F7D1-B1D5-4F12-A653-9C4AD79532B7}"/>
    <cellStyle name="Comma 4 3 5 2" xfId="689" xr:uid="{00000000-0005-0000-0000-0000B3090000}"/>
    <cellStyle name="Comma 4 3 5 2 2" xfId="2960" xr:uid="{00000000-0005-0000-0000-0000B4090000}"/>
    <cellStyle name="Comma 4 3 5 2 2 2" xfId="7183" xr:uid="{00000000-0005-0000-0000-0000B5090000}"/>
    <cellStyle name="Comma 4 3 5 2 2 2 2" xfId="15622" xr:uid="{1984D7C5-A67F-4742-8126-2F9CA69AA5D9}"/>
    <cellStyle name="Comma 4 3 5 2 2 3" xfId="11404" xr:uid="{1816BA0C-A035-4269-AAD4-48C64C3328EF}"/>
    <cellStyle name="Comma 4 3 5 2 3" xfId="5038" xr:uid="{00000000-0005-0000-0000-0000B6090000}"/>
    <cellStyle name="Comma 4 3 5 2 3 2" xfId="13477" xr:uid="{3A6CCF47-E36C-4EFC-8204-2AD7BEDE8AA4}"/>
    <cellStyle name="Comma 4 3 5 2 4" xfId="9259" xr:uid="{93597443-9D1C-4B7C-9DDC-82B9305B9926}"/>
    <cellStyle name="Comma 4 3 5 3" xfId="1142" xr:uid="{00000000-0005-0000-0000-0000B7090000}"/>
    <cellStyle name="Comma 4 3 5 3 2" xfId="3373" xr:uid="{00000000-0005-0000-0000-0000B8090000}"/>
    <cellStyle name="Comma 4 3 5 3 2 2" xfId="7596" xr:uid="{00000000-0005-0000-0000-0000B9090000}"/>
    <cellStyle name="Comma 4 3 5 3 2 2 2" xfId="16035" xr:uid="{E012A469-49B1-4A72-9BA4-A4416E5CB796}"/>
    <cellStyle name="Comma 4 3 5 3 2 3" xfId="11817" xr:uid="{D93D407B-C8CA-40C8-9A58-2D6C8863B204}"/>
    <cellStyle name="Comma 4 3 5 3 3" xfId="5451" xr:uid="{00000000-0005-0000-0000-0000BA090000}"/>
    <cellStyle name="Comma 4 3 5 3 3 2" xfId="13890" xr:uid="{51E7FF13-9262-425E-AD8C-D1E145A950C8}"/>
    <cellStyle name="Comma 4 3 5 3 4" xfId="9672" xr:uid="{317570BA-F703-4AD5-9275-38231B10A0AF}"/>
    <cellStyle name="Comma 4 3 5 4" xfId="1556" xr:uid="{00000000-0005-0000-0000-0000BB090000}"/>
    <cellStyle name="Comma 4 3 5 4 2" xfId="3786" xr:uid="{00000000-0005-0000-0000-0000BC090000}"/>
    <cellStyle name="Comma 4 3 5 4 2 2" xfId="8009" xr:uid="{00000000-0005-0000-0000-0000BD090000}"/>
    <cellStyle name="Comma 4 3 5 4 2 2 2" xfId="16448" xr:uid="{82BA148E-46DF-40EA-B5A8-034A258652E5}"/>
    <cellStyle name="Comma 4 3 5 4 2 3" xfId="12230" xr:uid="{4A85CC11-39F2-4B40-8562-6DD6981EFFAA}"/>
    <cellStyle name="Comma 4 3 5 4 3" xfId="5864" xr:uid="{00000000-0005-0000-0000-0000BE090000}"/>
    <cellStyle name="Comma 4 3 5 4 3 2" xfId="14303" xr:uid="{B0F7E17D-8469-46DE-9CB3-FA434B7BC1F2}"/>
    <cellStyle name="Comma 4 3 5 4 4" xfId="10085" xr:uid="{84CA8421-37ED-4C61-B5F4-889E01BBB700}"/>
    <cellStyle name="Comma 4 3 5 5" xfId="1970" xr:uid="{00000000-0005-0000-0000-0000BF090000}"/>
    <cellStyle name="Comma 4 3 5 5 2" xfId="4199" xr:uid="{00000000-0005-0000-0000-0000C0090000}"/>
    <cellStyle name="Comma 4 3 5 5 2 2" xfId="8422" xr:uid="{00000000-0005-0000-0000-0000C1090000}"/>
    <cellStyle name="Comma 4 3 5 5 2 2 2" xfId="16861" xr:uid="{EA0EC496-238A-4304-9CCF-52F8CC0AAB1D}"/>
    <cellStyle name="Comma 4 3 5 5 2 3" xfId="12643" xr:uid="{A9DE274A-5542-412B-BC5C-0DD1EA7BD111}"/>
    <cellStyle name="Comma 4 3 5 5 3" xfId="6277" xr:uid="{00000000-0005-0000-0000-0000C2090000}"/>
    <cellStyle name="Comma 4 3 5 5 3 2" xfId="14716" xr:uid="{8CA8324F-F285-4E46-81C3-EC3E338B7B2B}"/>
    <cellStyle name="Comma 4 3 5 5 4" xfId="10498" xr:uid="{167AC35F-A24E-435A-836E-1E6EC6712C05}"/>
    <cellStyle name="Comma 4 3 5 6" xfId="2405" xr:uid="{00000000-0005-0000-0000-0000C3090000}"/>
    <cellStyle name="Comma 4 3 5 6 2" xfId="6690" xr:uid="{00000000-0005-0000-0000-0000C4090000}"/>
    <cellStyle name="Comma 4 3 5 6 2 2" xfId="15129" xr:uid="{EDE896AE-4849-4D10-A21B-4049F72BE889}"/>
    <cellStyle name="Comma 4 3 5 6 3" xfId="10911" xr:uid="{7A3CB3B2-7F52-42C6-8456-6CC5888BACF4}"/>
    <cellStyle name="Comma 4 3 5 7" xfId="2701" xr:uid="{00000000-0005-0000-0000-0000C5090000}"/>
    <cellStyle name="Comma 4 3 5 8" xfId="2783" xr:uid="{00000000-0005-0000-0000-0000C6090000}"/>
    <cellStyle name="Comma 4 3 5 8 2" xfId="7007" xr:uid="{00000000-0005-0000-0000-0000C7090000}"/>
    <cellStyle name="Comma 4 3 5 8 2 2" xfId="15446" xr:uid="{003C49B7-0A0D-4FAA-B230-702BD9E70A3F}"/>
    <cellStyle name="Comma 4 3 5 8 3" xfId="11228" xr:uid="{1D487607-C367-4E46-A524-F0C69EF99A05}"/>
    <cellStyle name="Comma 4 3 5 9" xfId="4624" xr:uid="{00000000-0005-0000-0000-0000C8090000}"/>
    <cellStyle name="Comma 4 3 5 9 2" xfId="13063" xr:uid="{A24FD050-FC3B-403E-A271-89FA95611EFF}"/>
    <cellStyle name="Comma 4 4" xfId="153" xr:uid="{00000000-0005-0000-0000-0000C9090000}"/>
    <cellStyle name="Comma 4 4 10" xfId="2784" xr:uid="{00000000-0005-0000-0000-0000CA090000}"/>
    <cellStyle name="Comma 4 4 10 2" xfId="7008" xr:uid="{00000000-0005-0000-0000-0000CB090000}"/>
    <cellStyle name="Comma 4 4 10 2 2" xfId="15447" xr:uid="{D7815351-C0B3-4EA6-B54D-7ACE16F704CC}"/>
    <cellStyle name="Comma 4 4 10 3" xfId="11229" xr:uid="{5E529C1B-4435-4731-823C-80FFE70E0052}"/>
    <cellStyle name="Comma 4 4 11" xfId="4625" xr:uid="{00000000-0005-0000-0000-0000CC090000}"/>
    <cellStyle name="Comma 4 4 11 2" xfId="13064" xr:uid="{1B1BDA80-7E2E-412B-89C7-45C671B131BF}"/>
    <cellStyle name="Comma 4 4 12" xfId="8846" xr:uid="{0EDDF1DC-0581-46B2-B0E5-270F6DCBB113}"/>
    <cellStyle name="Comma 4 4 2" xfId="154" xr:uid="{00000000-0005-0000-0000-0000CD090000}"/>
    <cellStyle name="Comma 4 4 2 10" xfId="4626" xr:uid="{00000000-0005-0000-0000-0000CE090000}"/>
    <cellStyle name="Comma 4 4 2 10 2" xfId="13065" xr:uid="{AD5877DE-5D13-41F6-8B37-55C0513CDDAB}"/>
    <cellStyle name="Comma 4 4 2 11" xfId="8847" xr:uid="{0B25C240-B5FC-422F-B122-A9711C5654F6}"/>
    <cellStyle name="Comma 4 4 2 2" xfId="155" xr:uid="{00000000-0005-0000-0000-0000CF090000}"/>
    <cellStyle name="Comma 4 4 2 2 10" xfId="8848" xr:uid="{969AFA84-701F-453A-B85A-8500D7A7C8BA}"/>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5" xr:uid="{F189922B-9EF8-49D0-A6A2-1C52E85B369E}"/>
    <cellStyle name="Comma 4 4 2 2 2 2 3" xfId="11407" xr:uid="{331ABAE5-7DD6-4A32-9B29-6582706EE8D2}"/>
    <cellStyle name="Comma 4 4 2 2 2 3" xfId="5041" xr:uid="{00000000-0005-0000-0000-0000D3090000}"/>
    <cellStyle name="Comma 4 4 2 2 2 3 2" xfId="13480" xr:uid="{11CB5A7E-395C-4AAA-9B2A-4898DDC80CC0}"/>
    <cellStyle name="Comma 4 4 2 2 2 4" xfId="9262" xr:uid="{2810E7A6-E90C-402F-B5C0-802619E02508}"/>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38" xr:uid="{E3380D1F-8BBD-47F0-A977-077E32FE09BB}"/>
    <cellStyle name="Comma 4 4 2 2 3 2 3" xfId="11820" xr:uid="{4865E8A8-BD79-4E37-A481-B5FD79709C7A}"/>
    <cellStyle name="Comma 4 4 2 2 3 3" xfId="5454" xr:uid="{00000000-0005-0000-0000-0000D7090000}"/>
    <cellStyle name="Comma 4 4 2 2 3 3 2" xfId="13893" xr:uid="{4DDB511F-9EBF-4D27-9249-21E74697B9AC}"/>
    <cellStyle name="Comma 4 4 2 2 3 4" xfId="9675" xr:uid="{23D0785F-405C-410E-AE03-CA37BFEA0B9C}"/>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51" xr:uid="{80549395-CB12-4BD4-A3BD-18CDC7AB5ED0}"/>
    <cellStyle name="Comma 4 4 2 2 4 2 3" xfId="12233" xr:uid="{CD2FD8C5-4ECD-4751-AC08-BDD81BFF1153}"/>
    <cellStyle name="Comma 4 4 2 2 4 3" xfId="5867" xr:uid="{00000000-0005-0000-0000-0000DB090000}"/>
    <cellStyle name="Comma 4 4 2 2 4 3 2" xfId="14306" xr:uid="{4EDA79C6-929C-4ADB-AEAE-71BC94E188DF}"/>
    <cellStyle name="Comma 4 4 2 2 4 4" xfId="10088" xr:uid="{8BC66C10-00A1-447F-B2C7-77A5C7978F5C}"/>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4" xr:uid="{9551F18C-6760-4688-AF47-C748CEE84312}"/>
    <cellStyle name="Comma 4 4 2 2 5 2 3" xfId="12646" xr:uid="{E1463344-1863-400B-8A7B-2CF72B9439E6}"/>
    <cellStyle name="Comma 4 4 2 2 5 3" xfId="6280" xr:uid="{00000000-0005-0000-0000-0000DF090000}"/>
    <cellStyle name="Comma 4 4 2 2 5 3 2" xfId="14719" xr:uid="{5D751888-C6AD-4855-9F06-B21DC3C617F0}"/>
    <cellStyle name="Comma 4 4 2 2 5 4" xfId="10501" xr:uid="{3B3205CD-77BB-443D-B173-661840CC9F0E}"/>
    <cellStyle name="Comma 4 4 2 2 6" xfId="2408" xr:uid="{00000000-0005-0000-0000-0000E0090000}"/>
    <cellStyle name="Comma 4 4 2 2 6 2" xfId="6693" xr:uid="{00000000-0005-0000-0000-0000E1090000}"/>
    <cellStyle name="Comma 4 4 2 2 6 2 2" xfId="15132" xr:uid="{B3932EAD-4065-4E74-BBF2-E78E09A53775}"/>
    <cellStyle name="Comma 4 4 2 2 6 3" xfId="10914" xr:uid="{32FB8844-0515-4396-8310-64611B9774A6}"/>
    <cellStyle name="Comma 4 4 2 2 7" xfId="2704" xr:uid="{00000000-0005-0000-0000-0000E2090000}"/>
    <cellStyle name="Comma 4 4 2 2 8" xfId="2786" xr:uid="{00000000-0005-0000-0000-0000E3090000}"/>
    <cellStyle name="Comma 4 4 2 2 8 2" xfId="7010" xr:uid="{00000000-0005-0000-0000-0000E4090000}"/>
    <cellStyle name="Comma 4 4 2 2 8 2 2" xfId="15449" xr:uid="{F0174E78-462C-4236-B26D-7363C9FDB6F5}"/>
    <cellStyle name="Comma 4 4 2 2 8 3" xfId="11231" xr:uid="{68691449-D4A1-4544-BBE4-423622FC55B4}"/>
    <cellStyle name="Comma 4 4 2 2 9" xfId="4627" xr:uid="{00000000-0005-0000-0000-0000E5090000}"/>
    <cellStyle name="Comma 4 4 2 2 9 2" xfId="13066" xr:uid="{88609142-E0B7-4371-84A8-9E6206D264BF}"/>
    <cellStyle name="Comma 4 4 2 3" xfId="691" xr:uid="{00000000-0005-0000-0000-0000E6090000}"/>
    <cellStyle name="Comma 4 4 2 3 2" xfId="2962" xr:uid="{00000000-0005-0000-0000-0000E7090000}"/>
    <cellStyle name="Comma 4 4 2 3 2 2" xfId="7185" xr:uid="{00000000-0005-0000-0000-0000E8090000}"/>
    <cellStyle name="Comma 4 4 2 3 2 2 2" xfId="15624" xr:uid="{F7164900-AFDB-443E-8477-2EF481552850}"/>
    <cellStyle name="Comma 4 4 2 3 2 3" xfId="11406" xr:uid="{C7E87CE4-7DBB-4CB2-B23F-CB2BC7AAB94C}"/>
    <cellStyle name="Comma 4 4 2 3 3" xfId="5040" xr:uid="{00000000-0005-0000-0000-0000E9090000}"/>
    <cellStyle name="Comma 4 4 2 3 3 2" xfId="13479" xr:uid="{C6F14EA8-3B9F-4717-9FAF-E5AFB24B23C8}"/>
    <cellStyle name="Comma 4 4 2 3 4" xfId="9261" xr:uid="{00A64F8E-7243-403F-8165-F78C892415E4}"/>
    <cellStyle name="Comma 4 4 2 4" xfId="1144" xr:uid="{00000000-0005-0000-0000-0000EA090000}"/>
    <cellStyle name="Comma 4 4 2 4 2" xfId="3375" xr:uid="{00000000-0005-0000-0000-0000EB090000}"/>
    <cellStyle name="Comma 4 4 2 4 2 2" xfId="7598" xr:uid="{00000000-0005-0000-0000-0000EC090000}"/>
    <cellStyle name="Comma 4 4 2 4 2 2 2" xfId="16037" xr:uid="{E2AEFA57-6A66-4862-A4A2-E66818FA8A9B}"/>
    <cellStyle name="Comma 4 4 2 4 2 3" xfId="11819" xr:uid="{2EB675DE-6AAF-46D1-B1B0-43FBC9566857}"/>
    <cellStyle name="Comma 4 4 2 4 3" xfId="5453" xr:uid="{00000000-0005-0000-0000-0000ED090000}"/>
    <cellStyle name="Comma 4 4 2 4 3 2" xfId="13892" xr:uid="{131BC947-B44D-446F-AD3B-CE7AA21D2EE2}"/>
    <cellStyle name="Comma 4 4 2 4 4" xfId="9674" xr:uid="{B236F9DE-DEDC-4D6B-AC11-28DEB019510D}"/>
    <cellStyle name="Comma 4 4 2 5" xfId="1558" xr:uid="{00000000-0005-0000-0000-0000EE090000}"/>
    <cellStyle name="Comma 4 4 2 5 2" xfId="3788" xr:uid="{00000000-0005-0000-0000-0000EF090000}"/>
    <cellStyle name="Comma 4 4 2 5 2 2" xfId="8011" xr:uid="{00000000-0005-0000-0000-0000F0090000}"/>
    <cellStyle name="Comma 4 4 2 5 2 2 2" xfId="16450" xr:uid="{26CF00AC-E60D-410C-AF77-1BEE3C01C8A0}"/>
    <cellStyle name="Comma 4 4 2 5 2 3" xfId="12232" xr:uid="{8E13E53E-2C2F-494C-A768-5F84EEB4862E}"/>
    <cellStyle name="Comma 4 4 2 5 3" xfId="5866" xr:uid="{00000000-0005-0000-0000-0000F1090000}"/>
    <cellStyle name="Comma 4 4 2 5 3 2" xfId="14305" xr:uid="{049B45DA-EA6B-4232-9F76-8DE443EEA28D}"/>
    <cellStyle name="Comma 4 4 2 5 4" xfId="10087" xr:uid="{D152C77B-CC78-4976-AA7A-6AC439A764DF}"/>
    <cellStyle name="Comma 4 4 2 6" xfId="1972" xr:uid="{00000000-0005-0000-0000-0000F2090000}"/>
    <cellStyle name="Comma 4 4 2 6 2" xfId="4201" xr:uid="{00000000-0005-0000-0000-0000F3090000}"/>
    <cellStyle name="Comma 4 4 2 6 2 2" xfId="8424" xr:uid="{00000000-0005-0000-0000-0000F4090000}"/>
    <cellStyle name="Comma 4 4 2 6 2 2 2" xfId="16863" xr:uid="{3C77A4DE-7468-4E03-8D22-3F43282D83B5}"/>
    <cellStyle name="Comma 4 4 2 6 2 3" xfId="12645" xr:uid="{66A5E8D7-96CA-4F3C-A84E-5494F8423326}"/>
    <cellStyle name="Comma 4 4 2 6 3" xfId="6279" xr:uid="{00000000-0005-0000-0000-0000F5090000}"/>
    <cellStyle name="Comma 4 4 2 6 3 2" xfId="14718" xr:uid="{A5E3B62E-DFC0-4AF3-934A-D956C21B94B7}"/>
    <cellStyle name="Comma 4 4 2 6 4" xfId="10500" xr:uid="{A372528D-8A16-423F-9E8B-77C6DA755283}"/>
    <cellStyle name="Comma 4 4 2 7" xfId="2407" xr:uid="{00000000-0005-0000-0000-0000F6090000}"/>
    <cellStyle name="Comma 4 4 2 7 2" xfId="6692" xr:uid="{00000000-0005-0000-0000-0000F7090000}"/>
    <cellStyle name="Comma 4 4 2 7 2 2" xfId="15131" xr:uid="{B44F0FBC-15F3-4137-87D8-CA7D078B08D4}"/>
    <cellStyle name="Comma 4 4 2 7 3" xfId="10913" xr:uid="{0FFFC33F-A12C-42D3-84EA-080C7508FDAA}"/>
    <cellStyle name="Comma 4 4 2 8" xfId="2703" xr:uid="{00000000-0005-0000-0000-0000F8090000}"/>
    <cellStyle name="Comma 4 4 2 9" xfId="2785" xr:uid="{00000000-0005-0000-0000-0000F9090000}"/>
    <cellStyle name="Comma 4 4 2 9 2" xfId="7009" xr:uid="{00000000-0005-0000-0000-0000FA090000}"/>
    <cellStyle name="Comma 4 4 2 9 2 2" xfId="15448" xr:uid="{8F079D18-242B-4434-A6BE-AAB64935D963}"/>
    <cellStyle name="Comma 4 4 2 9 3" xfId="11230" xr:uid="{07537127-2A8F-42A3-A833-7BE70655217A}"/>
    <cellStyle name="Comma 4 4 3" xfId="156" xr:uid="{00000000-0005-0000-0000-0000FB090000}"/>
    <cellStyle name="Comma 4 4 3 10" xfId="8849" xr:uid="{38CEBCBC-6DDB-4B18-96EF-9E8685F25B49}"/>
    <cellStyle name="Comma 4 4 3 2" xfId="693" xr:uid="{00000000-0005-0000-0000-0000FC090000}"/>
    <cellStyle name="Comma 4 4 3 2 2" xfId="2964" xr:uid="{00000000-0005-0000-0000-0000FD090000}"/>
    <cellStyle name="Comma 4 4 3 2 2 2" xfId="7187" xr:uid="{00000000-0005-0000-0000-0000FE090000}"/>
    <cellStyle name="Comma 4 4 3 2 2 2 2" xfId="15626" xr:uid="{42C71AD9-E9E9-4AB4-A2E4-29CD1A9B239A}"/>
    <cellStyle name="Comma 4 4 3 2 2 3" xfId="11408" xr:uid="{5CED2890-F00B-4F62-B359-17FEAF22F531}"/>
    <cellStyle name="Comma 4 4 3 2 3" xfId="5042" xr:uid="{00000000-0005-0000-0000-0000FF090000}"/>
    <cellStyle name="Comma 4 4 3 2 3 2" xfId="13481" xr:uid="{064C92E6-43CA-49C5-973F-642860E3F3CB}"/>
    <cellStyle name="Comma 4 4 3 2 4" xfId="9263" xr:uid="{DFEF8E18-3E2F-4C52-AEBB-0740E345E26A}"/>
    <cellStyle name="Comma 4 4 3 3" xfId="1146" xr:uid="{00000000-0005-0000-0000-0000000A0000}"/>
    <cellStyle name="Comma 4 4 3 3 2" xfId="3377" xr:uid="{00000000-0005-0000-0000-0000010A0000}"/>
    <cellStyle name="Comma 4 4 3 3 2 2" xfId="7600" xr:uid="{00000000-0005-0000-0000-0000020A0000}"/>
    <cellStyle name="Comma 4 4 3 3 2 2 2" xfId="16039" xr:uid="{91B6F5E2-DCD1-4B96-B942-F59C68E78B40}"/>
    <cellStyle name="Comma 4 4 3 3 2 3" xfId="11821" xr:uid="{005E1277-8FCF-410D-9B57-358EBE655877}"/>
    <cellStyle name="Comma 4 4 3 3 3" xfId="5455" xr:uid="{00000000-0005-0000-0000-0000030A0000}"/>
    <cellStyle name="Comma 4 4 3 3 3 2" xfId="13894" xr:uid="{F2EF8720-4C69-43C5-92BA-885FB3AACB7A}"/>
    <cellStyle name="Comma 4 4 3 3 4" xfId="9676" xr:uid="{A3C353FD-24F3-4C50-A1CA-60CA7BEFC30A}"/>
    <cellStyle name="Comma 4 4 3 4" xfId="1560" xr:uid="{00000000-0005-0000-0000-0000040A0000}"/>
    <cellStyle name="Comma 4 4 3 4 2" xfId="3790" xr:uid="{00000000-0005-0000-0000-0000050A0000}"/>
    <cellStyle name="Comma 4 4 3 4 2 2" xfId="8013" xr:uid="{00000000-0005-0000-0000-0000060A0000}"/>
    <cellStyle name="Comma 4 4 3 4 2 2 2" xfId="16452" xr:uid="{9729C3DA-2B6A-4670-8857-B610C4DB39CA}"/>
    <cellStyle name="Comma 4 4 3 4 2 3" xfId="12234" xr:uid="{C146C554-7B7F-48A6-A175-AA9541527FC8}"/>
    <cellStyle name="Comma 4 4 3 4 3" xfId="5868" xr:uid="{00000000-0005-0000-0000-0000070A0000}"/>
    <cellStyle name="Comma 4 4 3 4 3 2" xfId="14307" xr:uid="{51EDA4AE-8F30-47FE-B52C-DB7854DDAB02}"/>
    <cellStyle name="Comma 4 4 3 4 4" xfId="10089" xr:uid="{E18EBF2D-E11F-49DD-91A9-FE6544116A66}"/>
    <cellStyle name="Comma 4 4 3 5" xfId="1974" xr:uid="{00000000-0005-0000-0000-0000080A0000}"/>
    <cellStyle name="Comma 4 4 3 5 2" xfId="4203" xr:uid="{00000000-0005-0000-0000-0000090A0000}"/>
    <cellStyle name="Comma 4 4 3 5 2 2" xfId="8426" xr:uid="{00000000-0005-0000-0000-00000A0A0000}"/>
    <cellStyle name="Comma 4 4 3 5 2 2 2" xfId="16865" xr:uid="{1C326E66-FB45-44B3-BA72-DED06B7E0379}"/>
    <cellStyle name="Comma 4 4 3 5 2 3" xfId="12647" xr:uid="{464C7290-A3B0-464E-ABF6-1F71E464BA37}"/>
    <cellStyle name="Comma 4 4 3 5 3" xfId="6281" xr:uid="{00000000-0005-0000-0000-00000B0A0000}"/>
    <cellStyle name="Comma 4 4 3 5 3 2" xfId="14720" xr:uid="{254EBF1E-05D2-423C-94DD-164F481BE521}"/>
    <cellStyle name="Comma 4 4 3 5 4" xfId="10502" xr:uid="{353B69AC-68E7-4523-88A3-371F12FCE77C}"/>
    <cellStyle name="Comma 4 4 3 6" xfId="2409" xr:uid="{00000000-0005-0000-0000-00000C0A0000}"/>
    <cellStyle name="Comma 4 4 3 6 2" xfId="6694" xr:uid="{00000000-0005-0000-0000-00000D0A0000}"/>
    <cellStyle name="Comma 4 4 3 6 2 2" xfId="15133" xr:uid="{B4BC523F-A8EB-49DA-889B-2141C0B29A03}"/>
    <cellStyle name="Comma 4 4 3 6 3" xfId="10915" xr:uid="{2FACEED9-4C89-4A67-BCF1-575054247282}"/>
    <cellStyle name="Comma 4 4 3 7" xfId="2705" xr:uid="{00000000-0005-0000-0000-00000E0A0000}"/>
    <cellStyle name="Comma 4 4 3 8" xfId="2787" xr:uid="{00000000-0005-0000-0000-00000F0A0000}"/>
    <cellStyle name="Comma 4 4 3 8 2" xfId="7011" xr:uid="{00000000-0005-0000-0000-0000100A0000}"/>
    <cellStyle name="Comma 4 4 3 8 2 2" xfId="15450" xr:uid="{E6DAA046-704C-46B6-98CC-A241AD0A3F77}"/>
    <cellStyle name="Comma 4 4 3 8 3" xfId="11232" xr:uid="{82FCE519-AE6D-494D-A895-7AAED3E10858}"/>
    <cellStyle name="Comma 4 4 3 9" xfId="4628" xr:uid="{00000000-0005-0000-0000-0000110A0000}"/>
    <cellStyle name="Comma 4 4 3 9 2" xfId="13067" xr:uid="{1DC85BBA-DAC1-4AA6-8FAB-E8FC03EF7AA5}"/>
    <cellStyle name="Comma 4 4 4" xfId="690" xr:uid="{00000000-0005-0000-0000-0000120A0000}"/>
    <cellStyle name="Comma 4 4 4 2" xfId="2961" xr:uid="{00000000-0005-0000-0000-0000130A0000}"/>
    <cellStyle name="Comma 4 4 4 2 2" xfId="7184" xr:uid="{00000000-0005-0000-0000-0000140A0000}"/>
    <cellStyle name="Comma 4 4 4 2 2 2" xfId="15623" xr:uid="{E74E727B-2E4B-4BB7-BF8B-1666B314B416}"/>
    <cellStyle name="Comma 4 4 4 2 3" xfId="11405" xr:uid="{D7C540E5-C252-4B88-8836-40A8B61498B0}"/>
    <cellStyle name="Comma 4 4 4 3" xfId="5039" xr:uid="{00000000-0005-0000-0000-0000150A0000}"/>
    <cellStyle name="Comma 4 4 4 3 2" xfId="13478" xr:uid="{D497F348-418F-412B-A015-585AFE8D3422}"/>
    <cellStyle name="Comma 4 4 4 4" xfId="9260" xr:uid="{4FA765C5-66DF-4897-B65E-4E831AE51572}"/>
    <cellStyle name="Comma 4 4 5" xfId="1143" xr:uid="{00000000-0005-0000-0000-0000160A0000}"/>
    <cellStyle name="Comma 4 4 5 2" xfId="3374" xr:uid="{00000000-0005-0000-0000-0000170A0000}"/>
    <cellStyle name="Comma 4 4 5 2 2" xfId="7597" xr:uid="{00000000-0005-0000-0000-0000180A0000}"/>
    <cellStyle name="Comma 4 4 5 2 2 2" xfId="16036" xr:uid="{1CA9C3AB-4CA1-4B26-A49F-0EFF8058E539}"/>
    <cellStyle name="Comma 4 4 5 2 3" xfId="11818" xr:uid="{8E0DCFF3-96FC-4EF9-96F7-BAA30C7AAD4E}"/>
    <cellStyle name="Comma 4 4 5 3" xfId="5452" xr:uid="{00000000-0005-0000-0000-0000190A0000}"/>
    <cellStyle name="Comma 4 4 5 3 2" xfId="13891" xr:uid="{BADE93D9-0997-480F-ACF8-58308FA59C4C}"/>
    <cellStyle name="Comma 4 4 5 4" xfId="9673" xr:uid="{81AC7ADF-A2A9-42D1-AB1B-E9841AC2C47A}"/>
    <cellStyle name="Comma 4 4 6" xfId="1557" xr:uid="{00000000-0005-0000-0000-00001A0A0000}"/>
    <cellStyle name="Comma 4 4 6 2" xfId="3787" xr:uid="{00000000-0005-0000-0000-00001B0A0000}"/>
    <cellStyle name="Comma 4 4 6 2 2" xfId="8010" xr:uid="{00000000-0005-0000-0000-00001C0A0000}"/>
    <cellStyle name="Comma 4 4 6 2 2 2" xfId="16449" xr:uid="{8603FB58-6D9D-43AC-9408-4A02B76B90BD}"/>
    <cellStyle name="Comma 4 4 6 2 3" xfId="12231" xr:uid="{236CBAC7-7602-4E15-9A12-31D5CA96401F}"/>
    <cellStyle name="Comma 4 4 6 3" xfId="5865" xr:uid="{00000000-0005-0000-0000-00001D0A0000}"/>
    <cellStyle name="Comma 4 4 6 3 2" xfId="14304" xr:uid="{DF3795C4-4A19-4DC0-AC70-1F03A671766D}"/>
    <cellStyle name="Comma 4 4 6 4" xfId="10086" xr:uid="{03050EBB-4736-482A-8BAE-1A61D6F398B7}"/>
    <cellStyle name="Comma 4 4 7" xfId="1971" xr:uid="{00000000-0005-0000-0000-00001E0A0000}"/>
    <cellStyle name="Comma 4 4 7 2" xfId="4200" xr:uid="{00000000-0005-0000-0000-00001F0A0000}"/>
    <cellStyle name="Comma 4 4 7 2 2" xfId="8423" xr:uid="{00000000-0005-0000-0000-0000200A0000}"/>
    <cellStyle name="Comma 4 4 7 2 2 2" xfId="16862" xr:uid="{014BA0AB-B719-437C-A2E6-B7C09A3011D6}"/>
    <cellStyle name="Comma 4 4 7 2 3" xfId="12644" xr:uid="{85E41FFC-BF39-481F-AB54-2E8284E17E56}"/>
    <cellStyle name="Comma 4 4 7 3" xfId="6278" xr:uid="{00000000-0005-0000-0000-0000210A0000}"/>
    <cellStyle name="Comma 4 4 7 3 2" xfId="14717" xr:uid="{49FD73C4-93A3-4CEC-A686-B3895144B933}"/>
    <cellStyle name="Comma 4 4 7 4" xfId="10499" xr:uid="{BC1F7335-1DFE-448D-885D-65461559A539}"/>
    <cellStyle name="Comma 4 4 8" xfId="2406" xr:uid="{00000000-0005-0000-0000-0000220A0000}"/>
    <cellStyle name="Comma 4 4 8 2" xfId="6691" xr:uid="{00000000-0005-0000-0000-0000230A0000}"/>
    <cellStyle name="Comma 4 4 8 2 2" xfId="15130" xr:uid="{89909FC3-0DDD-4782-BA18-488BA151DF4B}"/>
    <cellStyle name="Comma 4 4 8 3" xfId="10912" xr:uid="{B1B4D777-E227-48D7-B2E8-4B6CC684C54C}"/>
    <cellStyle name="Comma 4 4 9" xfId="2702" xr:uid="{00000000-0005-0000-0000-0000240A0000}"/>
    <cellStyle name="Comma 4 5" xfId="157" xr:uid="{00000000-0005-0000-0000-0000250A0000}"/>
    <cellStyle name="Comma 4 5 10" xfId="4629" xr:uid="{00000000-0005-0000-0000-0000260A0000}"/>
    <cellStyle name="Comma 4 5 10 2" xfId="13068" xr:uid="{1170E65D-CEB3-4A3B-ADBD-C5C153EB2A79}"/>
    <cellStyle name="Comma 4 5 11" xfId="8850" xr:uid="{01AA2AD1-F73A-4190-AB11-622226AB490F}"/>
    <cellStyle name="Comma 4 5 2" xfId="158" xr:uid="{00000000-0005-0000-0000-0000270A0000}"/>
    <cellStyle name="Comma 4 5 2 10" xfId="8851" xr:uid="{1F8CC823-F2B5-4DF7-A929-C58AD4E6BFB6}"/>
    <cellStyle name="Comma 4 5 2 2" xfId="695" xr:uid="{00000000-0005-0000-0000-0000280A0000}"/>
    <cellStyle name="Comma 4 5 2 2 2" xfId="2966" xr:uid="{00000000-0005-0000-0000-0000290A0000}"/>
    <cellStyle name="Comma 4 5 2 2 2 2" xfId="7189" xr:uid="{00000000-0005-0000-0000-00002A0A0000}"/>
    <cellStyle name="Comma 4 5 2 2 2 2 2" xfId="15628" xr:uid="{6B4DBDF8-5364-40AA-9ABF-F0DD90AA8039}"/>
    <cellStyle name="Comma 4 5 2 2 2 3" xfId="11410" xr:uid="{697DC38D-0F87-459B-A4BC-1BF48C4AB2E8}"/>
    <cellStyle name="Comma 4 5 2 2 3" xfId="5044" xr:uid="{00000000-0005-0000-0000-00002B0A0000}"/>
    <cellStyle name="Comma 4 5 2 2 3 2" xfId="13483" xr:uid="{4B3D3F0F-5DF9-443C-9DB5-C50E0B02C84C}"/>
    <cellStyle name="Comma 4 5 2 2 4" xfId="9265" xr:uid="{63B8CB58-AFB4-4241-A21B-573868609706}"/>
    <cellStyle name="Comma 4 5 2 3" xfId="1148" xr:uid="{00000000-0005-0000-0000-00002C0A0000}"/>
    <cellStyle name="Comma 4 5 2 3 2" xfId="3379" xr:uid="{00000000-0005-0000-0000-00002D0A0000}"/>
    <cellStyle name="Comma 4 5 2 3 2 2" xfId="7602" xr:uid="{00000000-0005-0000-0000-00002E0A0000}"/>
    <cellStyle name="Comma 4 5 2 3 2 2 2" xfId="16041" xr:uid="{934C0BE4-5792-46E2-A4D2-9BCA86828041}"/>
    <cellStyle name="Comma 4 5 2 3 2 3" xfId="11823" xr:uid="{B7B73F43-2D20-4E8B-A3E4-9FF828919E6F}"/>
    <cellStyle name="Comma 4 5 2 3 3" xfId="5457" xr:uid="{00000000-0005-0000-0000-00002F0A0000}"/>
    <cellStyle name="Comma 4 5 2 3 3 2" xfId="13896" xr:uid="{CB867FE5-A47F-479F-934F-6C47822EFAD5}"/>
    <cellStyle name="Comma 4 5 2 3 4" xfId="9678" xr:uid="{FCC7794F-8F36-4912-BB91-2D0E20733BFD}"/>
    <cellStyle name="Comma 4 5 2 4" xfId="1562" xr:uid="{00000000-0005-0000-0000-0000300A0000}"/>
    <cellStyle name="Comma 4 5 2 4 2" xfId="3792" xr:uid="{00000000-0005-0000-0000-0000310A0000}"/>
    <cellStyle name="Comma 4 5 2 4 2 2" xfId="8015" xr:uid="{00000000-0005-0000-0000-0000320A0000}"/>
    <cellStyle name="Comma 4 5 2 4 2 2 2" xfId="16454" xr:uid="{1FF16F4D-013B-47EA-BF47-64CA3F33B49F}"/>
    <cellStyle name="Comma 4 5 2 4 2 3" xfId="12236" xr:uid="{8A2AA1B2-8B4D-4C2F-A847-C78BC9EE817C}"/>
    <cellStyle name="Comma 4 5 2 4 3" xfId="5870" xr:uid="{00000000-0005-0000-0000-0000330A0000}"/>
    <cellStyle name="Comma 4 5 2 4 3 2" xfId="14309" xr:uid="{D855E8C9-EF96-425D-B564-63FA4CF668D1}"/>
    <cellStyle name="Comma 4 5 2 4 4" xfId="10091" xr:uid="{A9F0FD4F-FD87-4E82-9D50-B3913EA31E1D}"/>
    <cellStyle name="Comma 4 5 2 5" xfId="1976" xr:uid="{00000000-0005-0000-0000-0000340A0000}"/>
    <cellStyle name="Comma 4 5 2 5 2" xfId="4205" xr:uid="{00000000-0005-0000-0000-0000350A0000}"/>
    <cellStyle name="Comma 4 5 2 5 2 2" xfId="8428" xr:uid="{00000000-0005-0000-0000-0000360A0000}"/>
    <cellStyle name="Comma 4 5 2 5 2 2 2" xfId="16867" xr:uid="{DCC35F5D-8E70-4B1D-9B9B-1A335195233D}"/>
    <cellStyle name="Comma 4 5 2 5 2 3" xfId="12649" xr:uid="{371E76DE-B8A1-426C-9050-98D9AC937993}"/>
    <cellStyle name="Comma 4 5 2 5 3" xfId="6283" xr:uid="{00000000-0005-0000-0000-0000370A0000}"/>
    <cellStyle name="Comma 4 5 2 5 3 2" xfId="14722" xr:uid="{B6444B17-713D-4065-AB8B-F8161340AAD6}"/>
    <cellStyle name="Comma 4 5 2 5 4" xfId="10504" xr:uid="{87AA264E-F05C-4249-BAAE-CB24EF664DA8}"/>
    <cellStyle name="Comma 4 5 2 6" xfId="2411" xr:uid="{00000000-0005-0000-0000-0000380A0000}"/>
    <cellStyle name="Comma 4 5 2 6 2" xfId="6696" xr:uid="{00000000-0005-0000-0000-0000390A0000}"/>
    <cellStyle name="Comma 4 5 2 6 2 2" xfId="15135" xr:uid="{0F0742FA-0329-4AFC-A6C5-AF99B025CD16}"/>
    <cellStyle name="Comma 4 5 2 6 3" xfId="10917" xr:uid="{36537E66-D683-4F51-97D7-BBC7B0338DC3}"/>
    <cellStyle name="Comma 4 5 2 7" xfId="2707" xr:uid="{00000000-0005-0000-0000-00003A0A0000}"/>
    <cellStyle name="Comma 4 5 2 8" xfId="2789" xr:uid="{00000000-0005-0000-0000-00003B0A0000}"/>
    <cellStyle name="Comma 4 5 2 8 2" xfId="7013" xr:uid="{00000000-0005-0000-0000-00003C0A0000}"/>
    <cellStyle name="Comma 4 5 2 8 2 2" xfId="15452" xr:uid="{1F4986AA-4E3C-43B2-A9BB-AAA587DAD3FC}"/>
    <cellStyle name="Comma 4 5 2 8 3" xfId="11234" xr:uid="{9A0BDB98-3B20-44C8-9301-CBBF158D09F7}"/>
    <cellStyle name="Comma 4 5 2 9" xfId="4630" xr:uid="{00000000-0005-0000-0000-00003D0A0000}"/>
    <cellStyle name="Comma 4 5 2 9 2" xfId="13069" xr:uid="{DB23D78E-C5C8-46F1-A1EF-861A0254AD72}"/>
    <cellStyle name="Comma 4 5 3" xfId="694" xr:uid="{00000000-0005-0000-0000-00003E0A0000}"/>
    <cellStyle name="Comma 4 5 3 2" xfId="2965" xr:uid="{00000000-0005-0000-0000-00003F0A0000}"/>
    <cellStyle name="Comma 4 5 3 2 2" xfId="7188" xr:uid="{00000000-0005-0000-0000-0000400A0000}"/>
    <cellStyle name="Comma 4 5 3 2 2 2" xfId="15627" xr:uid="{1A1A3609-1527-4469-9C10-F0F2B7EE25B3}"/>
    <cellStyle name="Comma 4 5 3 2 3" xfId="11409" xr:uid="{6F93F137-86BD-4B2C-A63E-CED4D13DB393}"/>
    <cellStyle name="Comma 4 5 3 3" xfId="5043" xr:uid="{00000000-0005-0000-0000-0000410A0000}"/>
    <cellStyle name="Comma 4 5 3 3 2" xfId="13482" xr:uid="{AB5A3442-E356-479A-B562-967D33A9A9C2}"/>
    <cellStyle name="Comma 4 5 3 4" xfId="9264" xr:uid="{C17F6DA9-13CF-4010-91CA-23EDA1F74F26}"/>
    <cellStyle name="Comma 4 5 4" xfId="1147" xr:uid="{00000000-0005-0000-0000-0000420A0000}"/>
    <cellStyle name="Comma 4 5 4 2" xfId="3378" xr:uid="{00000000-0005-0000-0000-0000430A0000}"/>
    <cellStyle name="Comma 4 5 4 2 2" xfId="7601" xr:uid="{00000000-0005-0000-0000-0000440A0000}"/>
    <cellStyle name="Comma 4 5 4 2 2 2" xfId="16040" xr:uid="{31430F3E-AFC6-4EAA-A507-D72388C8BAB9}"/>
    <cellStyle name="Comma 4 5 4 2 3" xfId="11822" xr:uid="{E618FEAC-6818-43EC-BD42-44D653F97070}"/>
    <cellStyle name="Comma 4 5 4 3" xfId="5456" xr:uid="{00000000-0005-0000-0000-0000450A0000}"/>
    <cellStyle name="Comma 4 5 4 3 2" xfId="13895" xr:uid="{963DE42B-7086-4835-873D-833527BBD0A3}"/>
    <cellStyle name="Comma 4 5 4 4" xfId="9677" xr:uid="{3F8151A8-CF2A-4406-83CC-25033B2DF91E}"/>
    <cellStyle name="Comma 4 5 5" xfId="1561" xr:uid="{00000000-0005-0000-0000-0000460A0000}"/>
    <cellStyle name="Comma 4 5 5 2" xfId="3791" xr:uid="{00000000-0005-0000-0000-0000470A0000}"/>
    <cellStyle name="Comma 4 5 5 2 2" xfId="8014" xr:uid="{00000000-0005-0000-0000-0000480A0000}"/>
    <cellStyle name="Comma 4 5 5 2 2 2" xfId="16453" xr:uid="{BDE79565-D1A6-4C4B-9729-F705670CCE0E}"/>
    <cellStyle name="Comma 4 5 5 2 3" xfId="12235" xr:uid="{D97AF7DA-ACC8-4FB7-A559-F657692427F8}"/>
    <cellStyle name="Comma 4 5 5 3" xfId="5869" xr:uid="{00000000-0005-0000-0000-0000490A0000}"/>
    <cellStyle name="Comma 4 5 5 3 2" xfId="14308" xr:uid="{C23DEC9D-CC3A-4361-BD6B-476886C0EA6E}"/>
    <cellStyle name="Comma 4 5 5 4" xfId="10090" xr:uid="{3C39E16F-3126-46BB-8367-A3A68300E5EE}"/>
    <cellStyle name="Comma 4 5 6" xfId="1975" xr:uid="{00000000-0005-0000-0000-00004A0A0000}"/>
    <cellStyle name="Comma 4 5 6 2" xfId="4204" xr:uid="{00000000-0005-0000-0000-00004B0A0000}"/>
    <cellStyle name="Comma 4 5 6 2 2" xfId="8427" xr:uid="{00000000-0005-0000-0000-00004C0A0000}"/>
    <cellStyle name="Comma 4 5 6 2 2 2" xfId="16866" xr:uid="{743ADEE6-844A-4DA5-BD5B-2AF15DFA7083}"/>
    <cellStyle name="Comma 4 5 6 2 3" xfId="12648" xr:uid="{6466478C-BF30-41E1-80DE-73181DC3F015}"/>
    <cellStyle name="Comma 4 5 6 3" xfId="6282" xr:uid="{00000000-0005-0000-0000-00004D0A0000}"/>
    <cellStyle name="Comma 4 5 6 3 2" xfId="14721" xr:uid="{CB131E35-A055-419E-8DB1-6385A0D54B07}"/>
    <cellStyle name="Comma 4 5 6 4" xfId="10503" xr:uid="{57CBC2DF-E886-428D-B6EA-734D0DDF4649}"/>
    <cellStyle name="Comma 4 5 7" xfId="2410" xr:uid="{00000000-0005-0000-0000-00004E0A0000}"/>
    <cellStyle name="Comma 4 5 7 2" xfId="6695" xr:uid="{00000000-0005-0000-0000-00004F0A0000}"/>
    <cellStyle name="Comma 4 5 7 2 2" xfId="15134" xr:uid="{461F3DF1-0076-4513-8A2C-078107DC86A7}"/>
    <cellStyle name="Comma 4 5 7 3" xfId="10916" xr:uid="{02506E6E-A021-4BC0-8EBA-468BBDB460B7}"/>
    <cellStyle name="Comma 4 5 8" xfId="2706" xr:uid="{00000000-0005-0000-0000-0000500A0000}"/>
    <cellStyle name="Comma 4 5 9" xfId="2788" xr:uid="{00000000-0005-0000-0000-0000510A0000}"/>
    <cellStyle name="Comma 4 5 9 2" xfId="7012" xr:uid="{00000000-0005-0000-0000-0000520A0000}"/>
    <cellStyle name="Comma 4 5 9 2 2" xfId="15451" xr:uid="{F287D18E-0D26-4FBC-B890-D7DB1BDB07B2}"/>
    <cellStyle name="Comma 4 5 9 3" xfId="11233" xr:uid="{243B0B0A-DE07-458C-9B11-E990EA506F7A}"/>
    <cellStyle name="Comma 4 6" xfId="159" xr:uid="{00000000-0005-0000-0000-0000530A0000}"/>
    <cellStyle name="Comma 4 6 10" xfId="8852" xr:uid="{7C4320DE-2717-49AD-A44A-9E02457120A7}"/>
    <cellStyle name="Comma 4 6 2" xfId="696" xr:uid="{00000000-0005-0000-0000-0000540A0000}"/>
    <cellStyle name="Comma 4 6 2 2" xfId="2967" xr:uid="{00000000-0005-0000-0000-0000550A0000}"/>
    <cellStyle name="Comma 4 6 2 2 2" xfId="7190" xr:uid="{00000000-0005-0000-0000-0000560A0000}"/>
    <cellStyle name="Comma 4 6 2 2 2 2" xfId="15629" xr:uid="{5903EF44-893C-4A77-9D0E-5A1EF74130A5}"/>
    <cellStyle name="Comma 4 6 2 2 3" xfId="11411" xr:uid="{D049290B-F77C-4FB6-8222-B1002363423F}"/>
    <cellStyle name="Comma 4 6 2 3" xfId="5045" xr:uid="{00000000-0005-0000-0000-0000570A0000}"/>
    <cellStyle name="Comma 4 6 2 3 2" xfId="13484" xr:uid="{F6873398-5BA5-4C43-80D3-7715496D9688}"/>
    <cellStyle name="Comma 4 6 2 4" xfId="9266" xr:uid="{F922FB0B-A6CC-4952-87E8-0570B1DB58F4}"/>
    <cellStyle name="Comma 4 6 3" xfId="1149" xr:uid="{00000000-0005-0000-0000-0000580A0000}"/>
    <cellStyle name="Comma 4 6 3 2" xfId="3380" xr:uid="{00000000-0005-0000-0000-0000590A0000}"/>
    <cellStyle name="Comma 4 6 3 2 2" xfId="7603" xr:uid="{00000000-0005-0000-0000-00005A0A0000}"/>
    <cellStyle name="Comma 4 6 3 2 2 2" xfId="16042" xr:uid="{7121C74B-2350-4D04-9F25-8ECF9B33D791}"/>
    <cellStyle name="Comma 4 6 3 2 3" xfId="11824" xr:uid="{C1897F44-7022-4D9C-A4FE-1EFB9C5466A1}"/>
    <cellStyle name="Comma 4 6 3 3" xfId="5458" xr:uid="{00000000-0005-0000-0000-00005B0A0000}"/>
    <cellStyle name="Comma 4 6 3 3 2" xfId="13897" xr:uid="{D0A499BE-60A0-4E20-B61E-C91C18AF31CA}"/>
    <cellStyle name="Comma 4 6 3 4" xfId="9679" xr:uid="{812B59B4-BB99-4D53-B0DA-25452A0D4D3B}"/>
    <cellStyle name="Comma 4 6 4" xfId="1563" xr:uid="{00000000-0005-0000-0000-00005C0A0000}"/>
    <cellStyle name="Comma 4 6 4 2" xfId="3793" xr:uid="{00000000-0005-0000-0000-00005D0A0000}"/>
    <cellStyle name="Comma 4 6 4 2 2" xfId="8016" xr:uid="{00000000-0005-0000-0000-00005E0A0000}"/>
    <cellStyle name="Comma 4 6 4 2 2 2" xfId="16455" xr:uid="{A7A41A3C-FA14-45BE-97D8-3AB25D9446FA}"/>
    <cellStyle name="Comma 4 6 4 2 3" xfId="12237" xr:uid="{CEF633D2-7085-4552-92C3-65E195CA8647}"/>
    <cellStyle name="Comma 4 6 4 3" xfId="5871" xr:uid="{00000000-0005-0000-0000-00005F0A0000}"/>
    <cellStyle name="Comma 4 6 4 3 2" xfId="14310" xr:uid="{73ADFE37-48C7-48BA-91F1-049E45E07C51}"/>
    <cellStyle name="Comma 4 6 4 4" xfId="10092" xr:uid="{E39A268E-B02C-40E9-8BCE-21E73FF6CF68}"/>
    <cellStyle name="Comma 4 6 5" xfId="1977" xr:uid="{00000000-0005-0000-0000-0000600A0000}"/>
    <cellStyle name="Comma 4 6 5 2" xfId="4206" xr:uid="{00000000-0005-0000-0000-0000610A0000}"/>
    <cellStyle name="Comma 4 6 5 2 2" xfId="8429" xr:uid="{00000000-0005-0000-0000-0000620A0000}"/>
    <cellStyle name="Comma 4 6 5 2 2 2" xfId="16868" xr:uid="{2C843D18-6029-4541-AFB4-9132C43022B3}"/>
    <cellStyle name="Comma 4 6 5 2 3" xfId="12650" xr:uid="{A860161A-6D96-4D05-9063-A3FBBEA085EB}"/>
    <cellStyle name="Comma 4 6 5 3" xfId="6284" xr:uid="{00000000-0005-0000-0000-0000630A0000}"/>
    <cellStyle name="Comma 4 6 5 3 2" xfId="14723" xr:uid="{831B387E-CAF2-4C51-81DE-0A8BAA52884D}"/>
    <cellStyle name="Comma 4 6 5 4" xfId="10505" xr:uid="{C5879249-1774-4D27-95DB-25BD3C98E04E}"/>
    <cellStyle name="Comma 4 6 6" xfId="2412" xr:uid="{00000000-0005-0000-0000-0000640A0000}"/>
    <cellStyle name="Comma 4 6 6 2" xfId="6697" xr:uid="{00000000-0005-0000-0000-0000650A0000}"/>
    <cellStyle name="Comma 4 6 6 2 2" xfId="15136" xr:uid="{32142573-6F44-49A2-AD11-82DB55303A1C}"/>
    <cellStyle name="Comma 4 6 6 3" xfId="10918" xr:uid="{57A1BA13-0A40-4F30-A245-48901D59DDF2}"/>
    <cellStyle name="Comma 4 6 7" xfId="2708" xr:uid="{00000000-0005-0000-0000-0000660A0000}"/>
    <cellStyle name="Comma 4 6 8" xfId="2790" xr:uid="{00000000-0005-0000-0000-0000670A0000}"/>
    <cellStyle name="Comma 4 6 8 2" xfId="7014" xr:uid="{00000000-0005-0000-0000-0000680A0000}"/>
    <cellStyle name="Comma 4 6 8 2 2" xfId="15453" xr:uid="{1878BE83-6B99-442D-99E9-EF017C827867}"/>
    <cellStyle name="Comma 4 6 8 3" xfId="11235" xr:uid="{4F7B5BFE-F5B1-4F61-90D5-10C70D7EFFD2}"/>
    <cellStyle name="Comma 4 6 9" xfId="4631" xr:uid="{00000000-0005-0000-0000-0000690A0000}"/>
    <cellStyle name="Comma 4 6 9 2" xfId="13070" xr:uid="{89D69A49-7367-4EEE-901E-1AEED5B4D1FB}"/>
    <cellStyle name="Comma 4 7" xfId="160" xr:uid="{00000000-0005-0000-0000-00006A0A0000}"/>
    <cellStyle name="Comma 4 7 10" xfId="8853" xr:uid="{DD133CC5-42DF-4970-AD98-58C664307A98}"/>
    <cellStyle name="Comma 4 7 2" xfId="697" xr:uid="{00000000-0005-0000-0000-00006B0A0000}"/>
    <cellStyle name="Comma 4 7 2 2" xfId="2968" xr:uid="{00000000-0005-0000-0000-00006C0A0000}"/>
    <cellStyle name="Comma 4 7 2 2 2" xfId="7191" xr:uid="{00000000-0005-0000-0000-00006D0A0000}"/>
    <cellStyle name="Comma 4 7 2 2 2 2" xfId="15630" xr:uid="{F0D36558-AB3E-4411-B0B0-E2B1907FF2F5}"/>
    <cellStyle name="Comma 4 7 2 2 3" xfId="11412" xr:uid="{89861ABB-DCB7-4D7E-AEC9-DE8B2F34ABD1}"/>
    <cellStyle name="Comma 4 7 2 3" xfId="5046" xr:uid="{00000000-0005-0000-0000-00006E0A0000}"/>
    <cellStyle name="Comma 4 7 2 3 2" xfId="13485" xr:uid="{3E54C219-D8B3-498F-9738-9160E876DEA6}"/>
    <cellStyle name="Comma 4 7 2 4" xfId="9267" xr:uid="{6093FD3E-959F-4F1F-ABB6-17E50DCD5B48}"/>
    <cellStyle name="Comma 4 7 3" xfId="1150" xr:uid="{00000000-0005-0000-0000-00006F0A0000}"/>
    <cellStyle name="Comma 4 7 3 2" xfId="3381" xr:uid="{00000000-0005-0000-0000-0000700A0000}"/>
    <cellStyle name="Comma 4 7 3 2 2" xfId="7604" xr:uid="{00000000-0005-0000-0000-0000710A0000}"/>
    <cellStyle name="Comma 4 7 3 2 2 2" xfId="16043" xr:uid="{193C5774-0B6A-4E5F-ACA1-B732B6FE4052}"/>
    <cellStyle name="Comma 4 7 3 2 3" xfId="11825" xr:uid="{8541F295-F3CC-4836-A1D6-AE2C7A6E8006}"/>
    <cellStyle name="Comma 4 7 3 3" xfId="5459" xr:uid="{00000000-0005-0000-0000-0000720A0000}"/>
    <cellStyle name="Comma 4 7 3 3 2" xfId="13898" xr:uid="{B5CE8CBD-1BF8-4482-95F7-27406E886A8F}"/>
    <cellStyle name="Comma 4 7 3 4" xfId="9680" xr:uid="{D9B1E7D5-956E-4280-8B53-11EAF8177E66}"/>
    <cellStyle name="Comma 4 7 4" xfId="1564" xr:uid="{00000000-0005-0000-0000-0000730A0000}"/>
    <cellStyle name="Comma 4 7 4 2" xfId="3794" xr:uid="{00000000-0005-0000-0000-0000740A0000}"/>
    <cellStyle name="Comma 4 7 4 2 2" xfId="8017" xr:uid="{00000000-0005-0000-0000-0000750A0000}"/>
    <cellStyle name="Comma 4 7 4 2 2 2" xfId="16456" xr:uid="{58912E1F-E50D-4D78-827F-EFCAAD5DC014}"/>
    <cellStyle name="Comma 4 7 4 2 3" xfId="12238" xr:uid="{EADEBA27-A6BC-4642-B102-EE00A8E177A1}"/>
    <cellStyle name="Comma 4 7 4 3" xfId="5872" xr:uid="{00000000-0005-0000-0000-0000760A0000}"/>
    <cellStyle name="Comma 4 7 4 3 2" xfId="14311" xr:uid="{40918ACB-FB2F-437F-BD18-5215D196AF58}"/>
    <cellStyle name="Comma 4 7 4 4" xfId="10093" xr:uid="{AC5AFBEB-0B94-4418-B036-810956D9B441}"/>
    <cellStyle name="Comma 4 7 5" xfId="1978" xr:uid="{00000000-0005-0000-0000-0000770A0000}"/>
    <cellStyle name="Comma 4 7 5 2" xfId="4207" xr:uid="{00000000-0005-0000-0000-0000780A0000}"/>
    <cellStyle name="Comma 4 7 5 2 2" xfId="8430" xr:uid="{00000000-0005-0000-0000-0000790A0000}"/>
    <cellStyle name="Comma 4 7 5 2 2 2" xfId="16869" xr:uid="{CF76734C-773E-4269-A576-E28E971FA4EC}"/>
    <cellStyle name="Comma 4 7 5 2 3" xfId="12651" xr:uid="{678CFBE0-CFC1-4664-9C2D-788AB547361A}"/>
    <cellStyle name="Comma 4 7 5 3" xfId="6285" xr:uid="{00000000-0005-0000-0000-00007A0A0000}"/>
    <cellStyle name="Comma 4 7 5 3 2" xfId="14724" xr:uid="{E06B04D2-5D21-4B65-B4AE-E749B88FDEFF}"/>
    <cellStyle name="Comma 4 7 5 4" xfId="10506" xr:uid="{FA811163-F047-4208-846B-654C119742B7}"/>
    <cellStyle name="Comma 4 7 6" xfId="2413" xr:uid="{00000000-0005-0000-0000-00007B0A0000}"/>
    <cellStyle name="Comma 4 7 6 2" xfId="6698" xr:uid="{00000000-0005-0000-0000-00007C0A0000}"/>
    <cellStyle name="Comma 4 7 6 2 2" xfId="15137" xr:uid="{BEA1073A-9F26-4CB4-86AA-2A4302F7D1D5}"/>
    <cellStyle name="Comma 4 7 6 3" xfId="10919" xr:uid="{678A33EB-C906-479E-8827-A7494CD7DA80}"/>
    <cellStyle name="Comma 4 7 7" xfId="2709" xr:uid="{00000000-0005-0000-0000-00007D0A0000}"/>
    <cellStyle name="Comma 4 7 8" xfId="2791" xr:uid="{00000000-0005-0000-0000-00007E0A0000}"/>
    <cellStyle name="Comma 4 7 8 2" xfId="7015" xr:uid="{00000000-0005-0000-0000-00007F0A0000}"/>
    <cellStyle name="Comma 4 7 8 2 2" xfId="15454" xr:uid="{82D47E5F-2442-4035-A874-09A3F606B4F1}"/>
    <cellStyle name="Comma 4 7 8 3" xfId="11236" xr:uid="{43EEE1A2-E431-46B3-AA51-66C2BBF6B75A}"/>
    <cellStyle name="Comma 4 7 9" xfId="4632" xr:uid="{00000000-0005-0000-0000-0000800A0000}"/>
    <cellStyle name="Comma 4 7 9 2" xfId="13071" xr:uid="{DF35665D-2957-417F-B080-12897F48B88E}"/>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39" xr:uid="{EE0E7937-97CC-416F-83F7-8BDC110B9F6D}"/>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17156" xr:uid="{14FCD171-D7AA-4BBD-8FC7-39CCEFA3A129}"/>
    <cellStyle name="Currency 14 3" xfId="8720" xr:uid="{729B09A7-2394-4D7C-912C-1471FB3455A3}"/>
    <cellStyle name="Currency 14 3 2" xfId="8724" xr:uid="{1945FB0F-31EC-4D98-B64C-BAFBADA341A1}"/>
    <cellStyle name="Currency 14 3 3" xfId="17159" xr:uid="{9ABD336A-5CD1-4FBF-9B8F-3A9337EE326B}"/>
    <cellStyle name="Currency 14 4" xfId="12942" xr:uid="{492111BF-0ED5-4540-B8F5-F7FCAABC635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5" xr:uid="{0BA6817F-71B2-45B6-BA5F-E6D277DFB857}"/>
    <cellStyle name="Currency 3 2 2 10 3" xfId="11237" xr:uid="{CF88B92F-E2DC-4638-8EF0-D41442B3F10E}"/>
    <cellStyle name="Currency 3 2 2 11" xfId="4633" xr:uid="{00000000-0005-0000-0000-0000A50A0000}"/>
    <cellStyle name="Currency 3 2 2 11 2" xfId="13072" xr:uid="{D3562A23-1846-401C-A7B5-2B785A026200}"/>
    <cellStyle name="Currency 3 2 2 12" xfId="8854" xr:uid="{148F6CDE-36F6-448E-A634-22B0565494AF}"/>
    <cellStyle name="Currency 3 2 2 2" xfId="179" xr:uid="{00000000-0005-0000-0000-0000A60A0000}"/>
    <cellStyle name="Currency 3 2 2 2 10" xfId="4634" xr:uid="{00000000-0005-0000-0000-0000A70A0000}"/>
    <cellStyle name="Currency 3 2 2 2 10 2" xfId="13073" xr:uid="{94614B53-5972-4F20-AACF-95980CA62DEB}"/>
    <cellStyle name="Currency 3 2 2 2 11" xfId="8855" xr:uid="{D423EF02-481B-4B1D-B473-1BF5CA5CBA82}"/>
    <cellStyle name="Currency 3 2 2 2 2" xfId="180" xr:uid="{00000000-0005-0000-0000-0000A80A0000}"/>
    <cellStyle name="Currency 3 2 2 2 2 10" xfId="8856" xr:uid="{B1C1FF30-CCCD-4B5A-8F82-D86ABFEA122A}"/>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3" xr:uid="{25EFBCC7-122B-4420-82C6-DF1398E26A1E}"/>
    <cellStyle name="Currency 3 2 2 2 2 2 2 3" xfId="11415" xr:uid="{AE18EDA0-5F05-4B48-9714-4CBB5EA13068}"/>
    <cellStyle name="Currency 3 2 2 2 2 2 3" xfId="5049" xr:uid="{00000000-0005-0000-0000-0000AC0A0000}"/>
    <cellStyle name="Currency 3 2 2 2 2 2 3 2" xfId="13488" xr:uid="{25E8FA31-0117-4AB4-9209-EB90ACA9CD73}"/>
    <cellStyle name="Currency 3 2 2 2 2 2 4" xfId="9270" xr:uid="{5483F740-2A3F-495F-BDAB-47C26387933E}"/>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6" xr:uid="{D4576832-2B88-4BDA-8F7D-EBF626C00D46}"/>
    <cellStyle name="Currency 3 2 2 2 2 3 2 3" xfId="11828" xr:uid="{A7B913E2-ABA3-4EC7-B87B-48D5F84FD5C0}"/>
    <cellStyle name="Currency 3 2 2 2 2 3 3" xfId="5462" xr:uid="{00000000-0005-0000-0000-0000B00A0000}"/>
    <cellStyle name="Currency 3 2 2 2 2 3 3 2" xfId="13901" xr:uid="{AC1D8523-2751-4037-897D-8B62F75B39EC}"/>
    <cellStyle name="Currency 3 2 2 2 2 3 4" xfId="9683" xr:uid="{34AB3761-63DD-4A90-AC6B-C8E3DC2D1A56}"/>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59" xr:uid="{2D4C9D8F-1F4A-498D-8576-CE778E90D57E}"/>
    <cellStyle name="Currency 3 2 2 2 2 4 2 3" xfId="12241" xr:uid="{C04A9B64-1304-46C8-A167-F681F869C159}"/>
    <cellStyle name="Currency 3 2 2 2 2 4 3" xfId="5875" xr:uid="{00000000-0005-0000-0000-0000B40A0000}"/>
    <cellStyle name="Currency 3 2 2 2 2 4 3 2" xfId="14314" xr:uid="{31F8D0D8-4A7F-4B35-A484-E0DAB7ACAC3A}"/>
    <cellStyle name="Currency 3 2 2 2 2 4 4" xfId="10096" xr:uid="{8E31E95C-800E-403F-A79E-9906201F296D}"/>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72" xr:uid="{AAEB2341-3EF2-4AA2-833D-83582C64CBA0}"/>
    <cellStyle name="Currency 3 2 2 2 2 5 2 3" xfId="12654" xr:uid="{83A91AD0-594E-495C-A1CF-01955E2676FB}"/>
    <cellStyle name="Currency 3 2 2 2 2 5 3" xfId="6288" xr:uid="{00000000-0005-0000-0000-0000B80A0000}"/>
    <cellStyle name="Currency 3 2 2 2 2 5 3 2" xfId="14727" xr:uid="{578D9C4D-BFFD-440F-9D87-8892803FF8D9}"/>
    <cellStyle name="Currency 3 2 2 2 2 5 4" xfId="10509" xr:uid="{C3038698-DAF4-493B-BD52-5E51C2DF2129}"/>
    <cellStyle name="Currency 3 2 2 2 2 6" xfId="2416" xr:uid="{00000000-0005-0000-0000-0000B90A0000}"/>
    <cellStyle name="Currency 3 2 2 2 2 6 2" xfId="6701" xr:uid="{00000000-0005-0000-0000-0000BA0A0000}"/>
    <cellStyle name="Currency 3 2 2 2 2 6 2 2" xfId="15140" xr:uid="{3614F037-E637-48FB-BF32-0BC08FBD9808}"/>
    <cellStyle name="Currency 3 2 2 2 2 6 3" xfId="10922" xr:uid="{33B24505-0D3F-4DB3-81E5-B43A1B3190B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57" xr:uid="{58CCCB0E-E26A-48CE-8447-9EA664808FAE}"/>
    <cellStyle name="Currency 3 2 2 2 2 8 3" xfId="11239" xr:uid="{0BC7A201-47D1-4EB3-9FB4-19C8CFAD3C64}"/>
    <cellStyle name="Currency 3 2 2 2 2 9" xfId="4635" xr:uid="{00000000-0005-0000-0000-0000BE0A0000}"/>
    <cellStyle name="Currency 3 2 2 2 2 9 2" xfId="13074" xr:uid="{270A459E-6F8E-4E92-9777-2FA56A40ED9B}"/>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32" xr:uid="{A6F4BF05-15AB-4170-B415-5ABA43C715FA}"/>
    <cellStyle name="Currency 3 2 2 2 3 2 3" xfId="11414" xr:uid="{8325D6BA-69EB-4E8A-B3F1-0FA09535997F}"/>
    <cellStyle name="Currency 3 2 2 2 3 3" xfId="5048" xr:uid="{00000000-0005-0000-0000-0000C20A0000}"/>
    <cellStyle name="Currency 3 2 2 2 3 3 2" xfId="13487" xr:uid="{EDE7891C-3306-4770-9C94-6EBBD62644E8}"/>
    <cellStyle name="Currency 3 2 2 2 3 4" xfId="9269" xr:uid="{D37CAB35-EDE7-4B0E-88D5-A0CEB5211603}"/>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5" xr:uid="{D7BE741F-E788-4604-A55C-679F6DBC16AC}"/>
    <cellStyle name="Currency 3 2 2 2 4 2 3" xfId="11827" xr:uid="{88BD948E-5ABD-4385-BA6F-E8A68ED892E6}"/>
    <cellStyle name="Currency 3 2 2 2 4 3" xfId="5461" xr:uid="{00000000-0005-0000-0000-0000C60A0000}"/>
    <cellStyle name="Currency 3 2 2 2 4 3 2" xfId="13900" xr:uid="{428AB13A-98DC-4F8A-ACD4-AFF03C5DA821}"/>
    <cellStyle name="Currency 3 2 2 2 4 4" xfId="9682" xr:uid="{10C19497-768C-4EFB-A790-C610A9B0848E}"/>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58" xr:uid="{7E19BC94-A901-47A7-8C72-58DE2329846C}"/>
    <cellStyle name="Currency 3 2 2 2 5 2 3" xfId="12240" xr:uid="{C2FD3681-9DD5-4060-B504-9A12AEAB88AC}"/>
    <cellStyle name="Currency 3 2 2 2 5 3" xfId="5874" xr:uid="{00000000-0005-0000-0000-0000CA0A0000}"/>
    <cellStyle name="Currency 3 2 2 2 5 3 2" xfId="14313" xr:uid="{36C02FA7-7530-4093-ABA5-0DE036498B6A}"/>
    <cellStyle name="Currency 3 2 2 2 5 4" xfId="10095" xr:uid="{6DE0BCF5-79C0-428B-A264-C8493C077249}"/>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71" xr:uid="{AB4ABE93-C354-4B21-95FC-00AC281C72F0}"/>
    <cellStyle name="Currency 3 2 2 2 6 2 3" xfId="12653" xr:uid="{E00AB472-83DD-49E8-8EB4-B6D63C116FBD}"/>
    <cellStyle name="Currency 3 2 2 2 6 3" xfId="6287" xr:uid="{00000000-0005-0000-0000-0000CE0A0000}"/>
    <cellStyle name="Currency 3 2 2 2 6 3 2" xfId="14726" xr:uid="{BB0A006A-2969-48E3-88F7-FAE7CB4F70F5}"/>
    <cellStyle name="Currency 3 2 2 2 6 4" xfId="10508" xr:uid="{AB108957-4739-4146-84F0-9EE913C59EF6}"/>
    <cellStyle name="Currency 3 2 2 2 7" xfId="2415" xr:uid="{00000000-0005-0000-0000-0000CF0A0000}"/>
    <cellStyle name="Currency 3 2 2 2 7 2" xfId="6700" xr:uid="{00000000-0005-0000-0000-0000D00A0000}"/>
    <cellStyle name="Currency 3 2 2 2 7 2 2" xfId="15139" xr:uid="{244042F0-5AAC-40BB-927C-AAFC26586E70}"/>
    <cellStyle name="Currency 3 2 2 2 7 3" xfId="10921" xr:uid="{9B727E26-DA92-42A1-BD2F-ADC334E3B2FA}"/>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6" xr:uid="{E0E7C3FA-2C5D-430B-B8FB-282599D8FBD6}"/>
    <cellStyle name="Currency 3 2 2 2 9 3" xfId="11238" xr:uid="{BD7D1032-54CC-44F2-AE57-4BFB8CED3B20}"/>
    <cellStyle name="Currency 3 2 2 3" xfId="181" xr:uid="{00000000-0005-0000-0000-0000D40A0000}"/>
    <cellStyle name="Currency 3 2 2 3 10" xfId="8857" xr:uid="{D5FD41FD-14AA-41D3-88A3-8EB2C6875A2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4" xr:uid="{2CE2357E-9066-4873-9FA9-5794E5DE4111}"/>
    <cellStyle name="Currency 3 2 2 3 2 2 3" xfId="11416" xr:uid="{88369DF2-F494-4DCF-ABB3-7B48E544854A}"/>
    <cellStyle name="Currency 3 2 2 3 2 3" xfId="5050" xr:uid="{00000000-0005-0000-0000-0000D80A0000}"/>
    <cellStyle name="Currency 3 2 2 3 2 3 2" xfId="13489" xr:uid="{754BA4DD-826A-41A8-93BB-FC8FF695562F}"/>
    <cellStyle name="Currency 3 2 2 3 2 4" xfId="9271" xr:uid="{CD541273-7315-4397-8262-DE197C0D684F}"/>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47" xr:uid="{278EAA50-1409-4798-A5F0-A004F7027C29}"/>
    <cellStyle name="Currency 3 2 2 3 3 2 3" xfId="11829" xr:uid="{E3026211-5E28-4509-BA83-97E53569CBF7}"/>
    <cellStyle name="Currency 3 2 2 3 3 3" xfId="5463" xr:uid="{00000000-0005-0000-0000-0000DC0A0000}"/>
    <cellStyle name="Currency 3 2 2 3 3 3 2" xfId="13902" xr:uid="{9F9E9C79-76A9-4BE1-8B38-776EFAD40CBB}"/>
    <cellStyle name="Currency 3 2 2 3 3 4" xfId="9684" xr:uid="{09DF2014-9645-4770-8D85-9F57612138EE}"/>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60" xr:uid="{2A8ADF03-18AA-4D27-A224-A78184B219E6}"/>
    <cellStyle name="Currency 3 2 2 3 4 2 3" xfId="12242" xr:uid="{94C1DB54-F9F9-47D8-9BED-179DBA328668}"/>
    <cellStyle name="Currency 3 2 2 3 4 3" xfId="5876" xr:uid="{00000000-0005-0000-0000-0000E00A0000}"/>
    <cellStyle name="Currency 3 2 2 3 4 3 2" xfId="14315" xr:uid="{A141D959-4C94-466B-A9BF-B88EBAF1CD06}"/>
    <cellStyle name="Currency 3 2 2 3 4 4" xfId="10097" xr:uid="{907936C8-1AA4-43D0-B1F2-CF7B404D7C9D}"/>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3" xr:uid="{0B9FF33C-11F4-4452-B817-723D540928AB}"/>
    <cellStyle name="Currency 3 2 2 3 5 2 3" xfId="12655" xr:uid="{B985F19A-DF4D-498C-BF17-27926F4C3F8C}"/>
    <cellStyle name="Currency 3 2 2 3 5 3" xfId="6289" xr:uid="{00000000-0005-0000-0000-0000E40A0000}"/>
    <cellStyle name="Currency 3 2 2 3 5 3 2" xfId="14728" xr:uid="{024FDAA5-6C8D-4AE6-BCEE-531329591401}"/>
    <cellStyle name="Currency 3 2 2 3 5 4" xfId="10510" xr:uid="{109EE018-5DDA-41EE-AEEF-FA125F6DF42E}"/>
    <cellStyle name="Currency 3 2 2 3 6" xfId="2417" xr:uid="{00000000-0005-0000-0000-0000E50A0000}"/>
    <cellStyle name="Currency 3 2 2 3 6 2" xfId="6702" xr:uid="{00000000-0005-0000-0000-0000E60A0000}"/>
    <cellStyle name="Currency 3 2 2 3 6 2 2" xfId="15141" xr:uid="{BFB2C3B7-9BED-4C45-AA67-FB46861D3C18}"/>
    <cellStyle name="Currency 3 2 2 3 6 3" xfId="10923" xr:uid="{C6447E14-E0AA-41D2-B9FC-047C1C5C02A2}"/>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58" xr:uid="{06C3EBE7-C01F-4EDB-B497-21BBB3EB8046}"/>
    <cellStyle name="Currency 3 2 2 3 8 3" xfId="11240" xr:uid="{73C7DA26-8354-405E-834A-1C5B4E3B1196}"/>
    <cellStyle name="Currency 3 2 2 3 9" xfId="4636" xr:uid="{00000000-0005-0000-0000-0000EA0A0000}"/>
    <cellStyle name="Currency 3 2 2 3 9 2" xfId="13075" xr:uid="{901737DE-9594-40B4-B00E-4FFE1CA56900}"/>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31" xr:uid="{44D0A153-8393-4F64-8577-9E0AD5EF847B}"/>
    <cellStyle name="Currency 3 2 2 4 2 3" xfId="11413" xr:uid="{0D336C82-62CA-4349-91F9-E23B38AA737D}"/>
    <cellStyle name="Currency 3 2 2 4 3" xfId="5047" xr:uid="{00000000-0005-0000-0000-0000EE0A0000}"/>
    <cellStyle name="Currency 3 2 2 4 3 2" xfId="13486" xr:uid="{9A64208E-C267-49F4-951E-E10349CA48E8}"/>
    <cellStyle name="Currency 3 2 2 4 4" xfId="9268" xr:uid="{0F950441-CCE4-44CB-94C2-B3D809B4238E}"/>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4" xr:uid="{5C91BE0F-8164-497C-A8CF-915BD24B233F}"/>
    <cellStyle name="Currency 3 2 2 5 2 3" xfId="11826" xr:uid="{118FD967-4BC5-43D4-A31B-CA8A7647A834}"/>
    <cellStyle name="Currency 3 2 2 5 3" xfId="5460" xr:uid="{00000000-0005-0000-0000-0000F20A0000}"/>
    <cellStyle name="Currency 3 2 2 5 3 2" xfId="13899" xr:uid="{8613DC4D-92C1-492C-BFCF-D0B81D299994}"/>
    <cellStyle name="Currency 3 2 2 5 4" xfId="9681" xr:uid="{048B1004-B7FA-457F-AC62-AABFF898F0C8}"/>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57" xr:uid="{7877D4CD-0AA2-40FC-9E3D-9102AC363B2E}"/>
    <cellStyle name="Currency 3 2 2 6 2 3" xfId="12239" xr:uid="{448AA565-85A6-43AC-8F9E-5BCFE519F169}"/>
    <cellStyle name="Currency 3 2 2 6 3" xfId="5873" xr:uid="{00000000-0005-0000-0000-0000F60A0000}"/>
    <cellStyle name="Currency 3 2 2 6 3 2" xfId="14312" xr:uid="{0FBB57F7-2B0A-4115-87D7-2E61E25B497A}"/>
    <cellStyle name="Currency 3 2 2 6 4" xfId="10094" xr:uid="{97997A3B-63BA-45E9-842A-67CD9EA0FADE}"/>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70" xr:uid="{63BA0B3E-6749-4DF2-9D5F-8437741E72C4}"/>
    <cellStyle name="Currency 3 2 2 7 2 3" xfId="12652" xr:uid="{8738D219-F17C-4B6E-A31B-492FA17D4A68}"/>
    <cellStyle name="Currency 3 2 2 7 3" xfId="6286" xr:uid="{00000000-0005-0000-0000-0000FA0A0000}"/>
    <cellStyle name="Currency 3 2 2 7 3 2" xfId="14725" xr:uid="{C33CDC6F-DDB9-416C-90C1-F2DE320C7093}"/>
    <cellStyle name="Currency 3 2 2 7 4" xfId="10507" xr:uid="{431A9AB8-A619-4852-852C-E6B2DC21C64E}"/>
    <cellStyle name="Currency 3 2 2 8" xfId="2414" xr:uid="{00000000-0005-0000-0000-0000FB0A0000}"/>
    <cellStyle name="Currency 3 2 2 8 2" xfId="6699" xr:uid="{00000000-0005-0000-0000-0000FC0A0000}"/>
    <cellStyle name="Currency 3 2 2 8 2 2" xfId="15138" xr:uid="{5C3AF708-6E7C-4B92-8155-6789414E5DF8}"/>
    <cellStyle name="Currency 3 2 2 8 3" xfId="10920" xr:uid="{9EF4F649-43EA-4898-9FA6-5032FB936C6A}"/>
    <cellStyle name="Currency 3 2 2 9" xfId="2711" xr:uid="{00000000-0005-0000-0000-0000FD0A0000}"/>
    <cellStyle name="Currency 3 2 3" xfId="182" xr:uid="{00000000-0005-0000-0000-0000FE0A0000}"/>
    <cellStyle name="Currency 3 2 3 10" xfId="4637" xr:uid="{00000000-0005-0000-0000-0000FF0A0000}"/>
    <cellStyle name="Currency 3 2 3 10 2" xfId="13076" xr:uid="{58C26122-7FCD-4023-ADDB-86A78E67DA35}"/>
    <cellStyle name="Currency 3 2 3 11" xfId="8858" xr:uid="{799DDB8C-A8BE-466A-8DBA-9BB68148E881}"/>
    <cellStyle name="Currency 3 2 3 2" xfId="183" xr:uid="{00000000-0005-0000-0000-0000000B0000}"/>
    <cellStyle name="Currency 3 2 3 2 10" xfId="8859" xr:uid="{23A92E3D-4FA6-4207-89B9-566B87CC1181}"/>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6" xr:uid="{BECFB758-A851-4F82-A8F2-2C1F9A0237DB}"/>
    <cellStyle name="Currency 3 2 3 2 2 2 3" xfId="11418" xr:uid="{8AFF626A-16BA-401E-B5CD-8DC12A06C28B}"/>
    <cellStyle name="Currency 3 2 3 2 2 3" xfId="5052" xr:uid="{00000000-0005-0000-0000-0000040B0000}"/>
    <cellStyle name="Currency 3 2 3 2 2 3 2" xfId="13491" xr:uid="{462D3257-B489-4129-A772-3009A9EF4233}"/>
    <cellStyle name="Currency 3 2 3 2 2 4" xfId="9273" xr:uid="{9836B704-00E1-4087-8BDE-008E85E18635}"/>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49" xr:uid="{47DA1E16-909A-4BA4-9F8F-E41DF5ABD608}"/>
    <cellStyle name="Currency 3 2 3 2 3 2 3" xfId="11831" xr:uid="{9C2AD501-C428-4C32-96EB-5E16467124BA}"/>
    <cellStyle name="Currency 3 2 3 2 3 3" xfId="5465" xr:uid="{00000000-0005-0000-0000-0000080B0000}"/>
    <cellStyle name="Currency 3 2 3 2 3 3 2" xfId="13904" xr:uid="{5BA53262-384F-4B2A-9BEE-989969CEDF4C}"/>
    <cellStyle name="Currency 3 2 3 2 3 4" xfId="9686" xr:uid="{F76FC71A-E320-4DC7-9980-2F3504135022}"/>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62" xr:uid="{1E57BD69-91A0-4091-A4B6-77F8E6AD99A3}"/>
    <cellStyle name="Currency 3 2 3 2 4 2 3" xfId="12244" xr:uid="{71FE655F-A283-4054-9F8F-20133D4D7DFE}"/>
    <cellStyle name="Currency 3 2 3 2 4 3" xfId="5878" xr:uid="{00000000-0005-0000-0000-00000C0B0000}"/>
    <cellStyle name="Currency 3 2 3 2 4 3 2" xfId="14317" xr:uid="{6C2B1B7D-101A-4C96-BF6A-24CC1B71D862}"/>
    <cellStyle name="Currency 3 2 3 2 4 4" xfId="10099" xr:uid="{C2E39B6B-1743-469D-BAC2-CFF8E03E4613}"/>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5" xr:uid="{AB2811AA-3F23-4239-A367-EEC1D17CD175}"/>
    <cellStyle name="Currency 3 2 3 2 5 2 3" xfId="12657" xr:uid="{917383FC-5437-417C-8D80-FABD37BDDE26}"/>
    <cellStyle name="Currency 3 2 3 2 5 3" xfId="6291" xr:uid="{00000000-0005-0000-0000-0000100B0000}"/>
    <cellStyle name="Currency 3 2 3 2 5 3 2" xfId="14730" xr:uid="{1D27272C-6FB8-427D-AD5C-0CE78D19304F}"/>
    <cellStyle name="Currency 3 2 3 2 5 4" xfId="10512" xr:uid="{9CFC8800-7F63-4264-A55D-C1286BB7B929}"/>
    <cellStyle name="Currency 3 2 3 2 6" xfId="2419" xr:uid="{00000000-0005-0000-0000-0000110B0000}"/>
    <cellStyle name="Currency 3 2 3 2 6 2" xfId="6704" xr:uid="{00000000-0005-0000-0000-0000120B0000}"/>
    <cellStyle name="Currency 3 2 3 2 6 2 2" xfId="15143" xr:uid="{C9564089-4545-4EF2-9699-BA58AC99D7B8}"/>
    <cellStyle name="Currency 3 2 3 2 6 3" xfId="10925" xr:uid="{D2545437-0C9A-4442-B20F-41F7D2D242E2}"/>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60" xr:uid="{CBC45A05-ED27-423B-A56D-13D8748FAC69}"/>
    <cellStyle name="Currency 3 2 3 2 8 3" xfId="11242" xr:uid="{346E0A7D-95A6-43D5-AA31-13A79537FF04}"/>
    <cellStyle name="Currency 3 2 3 2 9" xfId="4638" xr:uid="{00000000-0005-0000-0000-0000160B0000}"/>
    <cellStyle name="Currency 3 2 3 2 9 2" xfId="13077" xr:uid="{D6000E16-EF0C-4A53-BFCB-FA86724F40D0}"/>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5" xr:uid="{084EC8B0-F3BB-487A-95D6-E13F09BDEF20}"/>
    <cellStyle name="Currency 3 2 3 3 2 3" xfId="11417" xr:uid="{0D1264F2-5F30-47E4-BDD4-47629F3FED2A}"/>
    <cellStyle name="Currency 3 2 3 3 3" xfId="5051" xr:uid="{00000000-0005-0000-0000-00001A0B0000}"/>
    <cellStyle name="Currency 3 2 3 3 3 2" xfId="13490" xr:uid="{4096F6A1-2F47-415A-93AB-9A5BB256977D}"/>
    <cellStyle name="Currency 3 2 3 3 4" xfId="9272" xr:uid="{4645ECB5-7988-4F47-850F-7CFBA977F7AD}"/>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48" xr:uid="{BBB14C63-921C-48F7-8237-0949370B2A37}"/>
    <cellStyle name="Currency 3 2 3 4 2 3" xfId="11830" xr:uid="{ACDBB8F1-F109-4F57-A958-E1CBB8B85B7C}"/>
    <cellStyle name="Currency 3 2 3 4 3" xfId="5464" xr:uid="{00000000-0005-0000-0000-00001E0B0000}"/>
    <cellStyle name="Currency 3 2 3 4 3 2" xfId="13903" xr:uid="{DF57BD97-609C-4357-84B9-4769F3A7C44D}"/>
    <cellStyle name="Currency 3 2 3 4 4" xfId="9685" xr:uid="{8D6649A0-3CF7-4D73-8F27-682E6D0C7919}"/>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61" xr:uid="{AB9EB0B9-8C67-4113-94A0-38C538920B5A}"/>
    <cellStyle name="Currency 3 2 3 5 2 3" xfId="12243" xr:uid="{2BBF0D13-695D-4084-8C2F-632597D0B59C}"/>
    <cellStyle name="Currency 3 2 3 5 3" xfId="5877" xr:uid="{00000000-0005-0000-0000-0000220B0000}"/>
    <cellStyle name="Currency 3 2 3 5 3 2" xfId="14316" xr:uid="{183D5990-BA60-4725-8782-DEAF9FE3060A}"/>
    <cellStyle name="Currency 3 2 3 5 4" xfId="10098" xr:uid="{29DB8CE7-2A21-4177-858D-65F9EE4CC44C}"/>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4" xr:uid="{A60F2579-C117-421D-9ED0-792A13BD24AE}"/>
    <cellStyle name="Currency 3 2 3 6 2 3" xfId="12656" xr:uid="{58F02095-7D0D-4646-B433-C6025D2F3109}"/>
    <cellStyle name="Currency 3 2 3 6 3" xfId="6290" xr:uid="{00000000-0005-0000-0000-0000260B0000}"/>
    <cellStyle name="Currency 3 2 3 6 3 2" xfId="14729" xr:uid="{909068E4-02FB-4C20-A7D3-1115151C5A04}"/>
    <cellStyle name="Currency 3 2 3 6 4" xfId="10511" xr:uid="{CF497E3A-C2CA-44CB-9F80-4BA017E9C687}"/>
    <cellStyle name="Currency 3 2 3 7" xfId="2418" xr:uid="{00000000-0005-0000-0000-0000270B0000}"/>
    <cellStyle name="Currency 3 2 3 7 2" xfId="6703" xr:uid="{00000000-0005-0000-0000-0000280B0000}"/>
    <cellStyle name="Currency 3 2 3 7 2 2" xfId="15142" xr:uid="{7574867D-4B29-4D65-A130-53C9181C4894}"/>
    <cellStyle name="Currency 3 2 3 7 3" xfId="10924" xr:uid="{2F5F45A3-2FC6-43FE-B18A-C5115E73CD1D}"/>
    <cellStyle name="Currency 3 2 3 8" xfId="2715" xr:uid="{00000000-0005-0000-0000-0000290B0000}"/>
    <cellStyle name="Currency 3 2 3 9" xfId="2796" xr:uid="{00000000-0005-0000-0000-00002A0B0000}"/>
    <cellStyle name="Currency 3 2 3 9 2" xfId="7020" xr:uid="{00000000-0005-0000-0000-00002B0B0000}"/>
    <cellStyle name="Currency 3 2 3 9 2 2" xfId="15459" xr:uid="{ADEF76B5-DDA8-4D2F-8C6B-8821FFA37208}"/>
    <cellStyle name="Currency 3 2 3 9 3" xfId="11241" xr:uid="{F2850241-4B34-4F8D-9CE6-8FCBCA9D8753}"/>
    <cellStyle name="Currency 3 2 4" xfId="184" xr:uid="{00000000-0005-0000-0000-00002C0B0000}"/>
    <cellStyle name="Currency 3 2 4 10" xfId="8860" xr:uid="{E37C1A53-DB3D-480C-968B-FBDDB237C481}"/>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37" xr:uid="{A135EB98-D7E6-4BFB-A80E-7B0F4ACCCC49}"/>
    <cellStyle name="Currency 3 2 4 2 2 3" xfId="11419" xr:uid="{811E850C-40AF-4707-A6C2-9858CAE8E7D7}"/>
    <cellStyle name="Currency 3 2 4 2 3" xfId="5053" xr:uid="{00000000-0005-0000-0000-0000300B0000}"/>
    <cellStyle name="Currency 3 2 4 2 3 2" xfId="13492" xr:uid="{58939E74-E568-4C9A-8EFA-65AB8CE2042E}"/>
    <cellStyle name="Currency 3 2 4 2 4" xfId="9274" xr:uid="{502A79DF-AAAF-436B-A477-1309BFF34CF8}"/>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50" xr:uid="{FA41D1D6-6D6D-40CB-A0BA-3E14376CCA7C}"/>
    <cellStyle name="Currency 3 2 4 3 2 3" xfId="11832" xr:uid="{81A83C1B-58F3-4A9A-AFC1-018BF077FDE2}"/>
    <cellStyle name="Currency 3 2 4 3 3" xfId="5466" xr:uid="{00000000-0005-0000-0000-0000340B0000}"/>
    <cellStyle name="Currency 3 2 4 3 3 2" xfId="13905" xr:uid="{E86FA567-1101-4D9B-980C-4F1CDF1AB154}"/>
    <cellStyle name="Currency 3 2 4 3 4" xfId="9687" xr:uid="{2CF1630C-C56C-4EF9-99C3-CF332EC7F592}"/>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3" xr:uid="{E2984CA5-D7F3-4D6E-9D3D-D286D806208D}"/>
    <cellStyle name="Currency 3 2 4 4 2 3" xfId="12245" xr:uid="{708E3625-391B-445F-A62C-F0CB44C582A6}"/>
    <cellStyle name="Currency 3 2 4 4 3" xfId="5879" xr:uid="{00000000-0005-0000-0000-0000380B0000}"/>
    <cellStyle name="Currency 3 2 4 4 3 2" xfId="14318" xr:uid="{2C535534-0267-4533-A72F-85F15240221F}"/>
    <cellStyle name="Currency 3 2 4 4 4" xfId="10100" xr:uid="{1F8507DB-CEA8-4ADB-88BA-3CF28A1D71E6}"/>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6" xr:uid="{E8DCFA0D-E78B-45C1-A933-69B15DE8C8ED}"/>
    <cellStyle name="Currency 3 2 4 5 2 3" xfId="12658" xr:uid="{84619269-730E-4B03-8DD0-4F23604BAEC5}"/>
    <cellStyle name="Currency 3 2 4 5 3" xfId="6292" xr:uid="{00000000-0005-0000-0000-00003C0B0000}"/>
    <cellStyle name="Currency 3 2 4 5 3 2" xfId="14731" xr:uid="{96F0640D-3A28-4A22-8072-7E17A53F2D40}"/>
    <cellStyle name="Currency 3 2 4 5 4" xfId="10513" xr:uid="{224A4C8F-486D-4CC4-B275-1EAE1EDF2250}"/>
    <cellStyle name="Currency 3 2 4 6" xfId="2420" xr:uid="{00000000-0005-0000-0000-00003D0B0000}"/>
    <cellStyle name="Currency 3 2 4 6 2" xfId="6705" xr:uid="{00000000-0005-0000-0000-00003E0B0000}"/>
    <cellStyle name="Currency 3 2 4 6 2 2" xfId="15144" xr:uid="{0FD9642B-97FF-4B71-B70E-98F05FBB520C}"/>
    <cellStyle name="Currency 3 2 4 6 3" xfId="10926" xr:uid="{226BDE90-5867-4333-8F7E-F7127D6D2999}"/>
    <cellStyle name="Currency 3 2 4 7" xfId="2717" xr:uid="{00000000-0005-0000-0000-00003F0B0000}"/>
    <cellStyle name="Currency 3 2 4 8" xfId="2798" xr:uid="{00000000-0005-0000-0000-0000400B0000}"/>
    <cellStyle name="Currency 3 2 4 8 2" xfId="7022" xr:uid="{00000000-0005-0000-0000-0000410B0000}"/>
    <cellStyle name="Currency 3 2 4 8 2 2" xfId="15461" xr:uid="{0676E1D8-12DB-4439-9287-5C05B026BB08}"/>
    <cellStyle name="Currency 3 2 4 8 3" xfId="11243" xr:uid="{CA754F79-2B45-49C4-A2A5-65C4F40799D6}"/>
    <cellStyle name="Currency 3 2 4 9" xfId="4639" xr:uid="{00000000-0005-0000-0000-0000420B0000}"/>
    <cellStyle name="Currency 3 2 4 9 2" xfId="13078" xr:uid="{826774A2-C95B-4CC7-8B70-420A2661618D}"/>
    <cellStyle name="Currency 3 2 5" xfId="185" xr:uid="{00000000-0005-0000-0000-0000430B0000}"/>
    <cellStyle name="Currency 3 2 5 10" xfId="8861" xr:uid="{DE0C0915-77A6-40E4-9BBE-B6AB9BCC1EA8}"/>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38" xr:uid="{C7197A3F-2950-4C07-A90B-9989F373C01C}"/>
    <cellStyle name="Currency 3 2 5 2 2 3" xfId="11420" xr:uid="{1464B40A-9F80-420F-B4BA-9702A5C5C248}"/>
    <cellStyle name="Currency 3 2 5 2 3" xfId="5054" xr:uid="{00000000-0005-0000-0000-0000470B0000}"/>
    <cellStyle name="Currency 3 2 5 2 3 2" xfId="13493" xr:uid="{416CB0A0-590D-444B-9E55-91D9D38DB5B2}"/>
    <cellStyle name="Currency 3 2 5 2 4" xfId="9275" xr:uid="{D314CD76-5C7F-416F-9679-7E86011C549F}"/>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51" xr:uid="{62562103-203A-4E7F-9272-8856BA0B0635}"/>
    <cellStyle name="Currency 3 2 5 3 2 3" xfId="11833" xr:uid="{E0491AFA-8E88-41B7-9404-C2DD19AEABB0}"/>
    <cellStyle name="Currency 3 2 5 3 3" xfId="5467" xr:uid="{00000000-0005-0000-0000-00004B0B0000}"/>
    <cellStyle name="Currency 3 2 5 3 3 2" xfId="13906" xr:uid="{BBCA5847-C961-4487-92CC-057814D7DD5C}"/>
    <cellStyle name="Currency 3 2 5 3 4" xfId="9688" xr:uid="{D422E6C4-D8F1-4D5D-8FC9-A9B3A8CAEF2C}"/>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4" xr:uid="{98E0A06C-C1E1-4554-9760-D10B0A0B8BAC}"/>
    <cellStyle name="Currency 3 2 5 4 2 3" xfId="12246" xr:uid="{A79EB4B2-8471-4193-9387-8A8072B6FEF6}"/>
    <cellStyle name="Currency 3 2 5 4 3" xfId="5880" xr:uid="{00000000-0005-0000-0000-00004F0B0000}"/>
    <cellStyle name="Currency 3 2 5 4 3 2" xfId="14319" xr:uid="{C9858EC4-034A-4730-93C7-D6D4BDA5AD1A}"/>
    <cellStyle name="Currency 3 2 5 4 4" xfId="10101" xr:uid="{8F1D8C49-95D6-4179-9FCC-7CF85173CF53}"/>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77" xr:uid="{796E257A-E37F-438B-B599-591F673A08E1}"/>
    <cellStyle name="Currency 3 2 5 5 2 3" xfId="12659" xr:uid="{E450A6C1-5EC3-4E21-A356-0F92BD4EA0EC}"/>
    <cellStyle name="Currency 3 2 5 5 3" xfId="6293" xr:uid="{00000000-0005-0000-0000-0000530B0000}"/>
    <cellStyle name="Currency 3 2 5 5 3 2" xfId="14732" xr:uid="{3FCA5CAC-1836-4E4E-AFF4-E0315A5E974C}"/>
    <cellStyle name="Currency 3 2 5 5 4" xfId="10514" xr:uid="{8C5EE780-9D53-47A7-825F-06BE98F8ACB1}"/>
    <cellStyle name="Currency 3 2 5 6" xfId="2421" xr:uid="{00000000-0005-0000-0000-0000540B0000}"/>
    <cellStyle name="Currency 3 2 5 6 2" xfId="6706" xr:uid="{00000000-0005-0000-0000-0000550B0000}"/>
    <cellStyle name="Currency 3 2 5 6 2 2" xfId="15145" xr:uid="{7D77696F-8100-4017-B465-97673D05B5C0}"/>
    <cellStyle name="Currency 3 2 5 6 3" xfId="10927" xr:uid="{C4BD16AA-8F98-4AC9-9E60-A142A3C6C09C}"/>
    <cellStyle name="Currency 3 2 5 7" xfId="2718" xr:uid="{00000000-0005-0000-0000-0000560B0000}"/>
    <cellStyle name="Currency 3 2 5 8" xfId="2799" xr:uid="{00000000-0005-0000-0000-0000570B0000}"/>
    <cellStyle name="Currency 3 2 5 8 2" xfId="7023" xr:uid="{00000000-0005-0000-0000-0000580B0000}"/>
    <cellStyle name="Currency 3 2 5 8 2 2" xfId="15462" xr:uid="{90C9699D-4E87-4E61-B703-8FA0ADCBDCBE}"/>
    <cellStyle name="Currency 3 2 5 8 3" xfId="11244" xr:uid="{ED117B69-2C9B-4743-89B3-37A0AD0446B9}"/>
    <cellStyle name="Currency 3 2 5 9" xfId="4640" xr:uid="{00000000-0005-0000-0000-0000590B0000}"/>
    <cellStyle name="Currency 3 2 5 9 2" xfId="13079" xr:uid="{EF50CE96-9A36-4C58-A712-76D919C2C3BF}"/>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3" xr:uid="{82CC758A-5520-44F8-B827-6841C0D3FF90}"/>
    <cellStyle name="Currency 5 2 2 2 10 3" xfId="11245" xr:uid="{4EB9A416-7264-4F12-AF4C-FC225EB4915A}"/>
    <cellStyle name="Currency 5 2 2 2 11" xfId="4641" xr:uid="{00000000-0005-0000-0000-00006C0B0000}"/>
    <cellStyle name="Currency 5 2 2 2 11 2" xfId="13080" xr:uid="{8EEDEF8E-A7F6-4284-BFED-D194854E1091}"/>
    <cellStyle name="Currency 5 2 2 2 12" xfId="8862" xr:uid="{E1E0C2E4-881F-43C8-8C77-F7BB18DFBA0A}"/>
    <cellStyle name="Currency 5 2 2 2 2" xfId="197" xr:uid="{00000000-0005-0000-0000-00006D0B0000}"/>
    <cellStyle name="Currency 5 2 2 2 2 10" xfId="4642" xr:uid="{00000000-0005-0000-0000-00006E0B0000}"/>
    <cellStyle name="Currency 5 2 2 2 2 10 2" xfId="13081" xr:uid="{590F7C74-34F7-4639-B57C-843D826C5CCF}"/>
    <cellStyle name="Currency 5 2 2 2 2 11" xfId="8863" xr:uid="{9CBB181C-B10B-4E1A-A1B9-28E92E0FD0D5}"/>
    <cellStyle name="Currency 5 2 2 2 2 2" xfId="198" xr:uid="{00000000-0005-0000-0000-00006F0B0000}"/>
    <cellStyle name="Currency 5 2 2 2 2 2 10" xfId="8864" xr:uid="{2629EB7F-B83F-4FE2-9457-5103D290ECEB}"/>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41" xr:uid="{2D4CDAD4-830A-4CBB-A4A3-27A912D8419A}"/>
    <cellStyle name="Currency 5 2 2 2 2 2 2 2 3" xfId="11423" xr:uid="{C963F727-34A6-4577-9D2B-6BED106DB1D3}"/>
    <cellStyle name="Currency 5 2 2 2 2 2 2 3" xfId="5057" xr:uid="{00000000-0005-0000-0000-0000730B0000}"/>
    <cellStyle name="Currency 5 2 2 2 2 2 2 3 2" xfId="13496" xr:uid="{D2392948-EEBF-4960-BDDE-D81E6695620D}"/>
    <cellStyle name="Currency 5 2 2 2 2 2 2 4" xfId="9278" xr:uid="{A78E2736-F317-4F3E-886A-3ECEACD766FD}"/>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4" xr:uid="{55EB893E-125E-434B-BC4E-29C18DA9CD0C}"/>
    <cellStyle name="Currency 5 2 2 2 2 2 3 2 3" xfId="11836" xr:uid="{18F8B00C-D855-446F-99A2-46B493F06523}"/>
    <cellStyle name="Currency 5 2 2 2 2 2 3 3" xfId="5470" xr:uid="{00000000-0005-0000-0000-0000770B0000}"/>
    <cellStyle name="Currency 5 2 2 2 2 2 3 3 2" xfId="13909" xr:uid="{214CFC8E-AA4B-47CB-82FA-803E32F1DC35}"/>
    <cellStyle name="Currency 5 2 2 2 2 2 3 4" xfId="9691" xr:uid="{15F01A30-EBA4-4343-9181-4272B067201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67" xr:uid="{7158FC98-E370-4C28-884F-FEB7C1A04B85}"/>
    <cellStyle name="Currency 5 2 2 2 2 2 4 2 3" xfId="12249" xr:uid="{3BAD25FC-3878-4F71-B49B-55513FAEF81B}"/>
    <cellStyle name="Currency 5 2 2 2 2 2 4 3" xfId="5883" xr:uid="{00000000-0005-0000-0000-00007B0B0000}"/>
    <cellStyle name="Currency 5 2 2 2 2 2 4 3 2" xfId="14322" xr:uid="{BF7EDBAF-AFCC-4E99-A613-69C0E4DA238C}"/>
    <cellStyle name="Currency 5 2 2 2 2 2 4 4" xfId="10104" xr:uid="{1A14F417-A4F3-4AFF-ADD5-FBB06A480E08}"/>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80" xr:uid="{71A6D0CB-0E22-4412-9B47-EBC053F495E8}"/>
    <cellStyle name="Currency 5 2 2 2 2 2 5 2 3" xfId="12662" xr:uid="{A6155726-98FD-4800-94D7-460B6144A2DD}"/>
    <cellStyle name="Currency 5 2 2 2 2 2 5 3" xfId="6296" xr:uid="{00000000-0005-0000-0000-00007F0B0000}"/>
    <cellStyle name="Currency 5 2 2 2 2 2 5 3 2" xfId="14735" xr:uid="{D8C5A4BB-9A61-409B-A880-2873658FD3AA}"/>
    <cellStyle name="Currency 5 2 2 2 2 2 5 4" xfId="10517" xr:uid="{7DE48ABD-C06C-4333-83FB-F70B424EC163}"/>
    <cellStyle name="Currency 5 2 2 2 2 2 6" xfId="2424" xr:uid="{00000000-0005-0000-0000-0000800B0000}"/>
    <cellStyle name="Currency 5 2 2 2 2 2 6 2" xfId="6709" xr:uid="{00000000-0005-0000-0000-0000810B0000}"/>
    <cellStyle name="Currency 5 2 2 2 2 2 6 2 2" xfId="15148" xr:uid="{3D715609-2792-4D70-A43F-929E1607C85F}"/>
    <cellStyle name="Currency 5 2 2 2 2 2 6 3" xfId="10930" xr:uid="{BB6EA038-6352-4923-9830-BB53A889F28C}"/>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5" xr:uid="{37E51823-8870-4BF1-B773-6E58B906B8EB}"/>
    <cellStyle name="Currency 5 2 2 2 2 2 8 3" xfId="11247" xr:uid="{BFF3C66E-6DC9-44DF-9EFC-C04FFB552F3F}"/>
    <cellStyle name="Currency 5 2 2 2 2 2 9" xfId="4643" xr:uid="{00000000-0005-0000-0000-0000850B0000}"/>
    <cellStyle name="Currency 5 2 2 2 2 2 9 2" xfId="13082" xr:uid="{740A60EF-F65C-404D-90E7-BB6924887A9C}"/>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40" xr:uid="{D707B837-A9A5-4CD2-8C1F-DF1BA056A8B4}"/>
    <cellStyle name="Currency 5 2 2 2 2 3 2 3" xfId="11422" xr:uid="{74917353-1F57-412D-B787-BFDF1ED95A2D}"/>
    <cellStyle name="Currency 5 2 2 2 2 3 3" xfId="5056" xr:uid="{00000000-0005-0000-0000-0000890B0000}"/>
    <cellStyle name="Currency 5 2 2 2 2 3 3 2" xfId="13495" xr:uid="{C97DD831-B3DF-40EF-BC42-DC1123C6E26F}"/>
    <cellStyle name="Currency 5 2 2 2 2 3 4" xfId="9277" xr:uid="{A1834DEE-F3C4-415D-8EE2-9236EBE48603}"/>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3" xr:uid="{CC51C763-3360-4C23-9FCF-0066F5002E5C}"/>
    <cellStyle name="Currency 5 2 2 2 2 4 2 3" xfId="11835" xr:uid="{9B7AB6BE-E0E1-485E-AC64-ADB5E73F58E5}"/>
    <cellStyle name="Currency 5 2 2 2 2 4 3" xfId="5469" xr:uid="{00000000-0005-0000-0000-00008D0B0000}"/>
    <cellStyle name="Currency 5 2 2 2 2 4 3 2" xfId="13908" xr:uid="{FFFBC315-8943-4F06-807E-6C278B547231}"/>
    <cellStyle name="Currency 5 2 2 2 2 4 4" xfId="9690" xr:uid="{AD8126FA-DDC5-4D71-9138-A37227F3D489}"/>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6" xr:uid="{D8FD7885-67E1-4DC1-AC2E-EA24D63705FB}"/>
    <cellStyle name="Currency 5 2 2 2 2 5 2 3" xfId="12248" xr:uid="{C6F78843-221D-434F-9A2C-A6D4E302423D}"/>
    <cellStyle name="Currency 5 2 2 2 2 5 3" xfId="5882" xr:uid="{00000000-0005-0000-0000-0000910B0000}"/>
    <cellStyle name="Currency 5 2 2 2 2 5 3 2" xfId="14321" xr:uid="{C84B3818-2DBA-412E-8138-81B9D788C5C8}"/>
    <cellStyle name="Currency 5 2 2 2 2 5 4" xfId="10103" xr:uid="{319BA466-C6F7-4E78-864B-F5F3812C1B7A}"/>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79" xr:uid="{CE3629E2-CCD3-4152-8703-7EEC6BECEA8C}"/>
    <cellStyle name="Currency 5 2 2 2 2 6 2 3" xfId="12661" xr:uid="{B874061F-DAFC-472C-8B9E-A5B89BC9494D}"/>
    <cellStyle name="Currency 5 2 2 2 2 6 3" xfId="6295" xr:uid="{00000000-0005-0000-0000-0000950B0000}"/>
    <cellStyle name="Currency 5 2 2 2 2 6 3 2" xfId="14734" xr:uid="{95892A5F-F001-49CE-9A91-1D50658A3EC1}"/>
    <cellStyle name="Currency 5 2 2 2 2 6 4" xfId="10516" xr:uid="{F5EFE587-112E-4F81-9E37-CA2F8FC24DF1}"/>
    <cellStyle name="Currency 5 2 2 2 2 7" xfId="2423" xr:uid="{00000000-0005-0000-0000-0000960B0000}"/>
    <cellStyle name="Currency 5 2 2 2 2 7 2" xfId="6708" xr:uid="{00000000-0005-0000-0000-0000970B0000}"/>
    <cellStyle name="Currency 5 2 2 2 2 7 2 2" xfId="15147" xr:uid="{619D8A09-CD58-4765-9E78-93513D659FD7}"/>
    <cellStyle name="Currency 5 2 2 2 2 7 3" xfId="10929" xr:uid="{0668D32B-7883-49FD-B1B3-63360D10966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4" xr:uid="{68915C2F-0B90-4D92-941C-66DE4F10F09A}"/>
    <cellStyle name="Currency 5 2 2 2 2 9 3" xfId="11246" xr:uid="{2416A712-9D9F-4B2D-A48F-A85FA390C71C}"/>
    <cellStyle name="Currency 5 2 2 2 3" xfId="199" xr:uid="{00000000-0005-0000-0000-00009B0B0000}"/>
    <cellStyle name="Currency 5 2 2 2 3 10" xfId="8865" xr:uid="{5E22FF8E-C73D-4D0F-B20A-C7057E134B0A}"/>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42" xr:uid="{39C6AA78-C41E-4692-A6F5-16539DCCBABD}"/>
    <cellStyle name="Currency 5 2 2 2 3 2 2 3" xfId="11424" xr:uid="{41A91FB1-BBAD-46DC-A982-BE55915E2B4A}"/>
    <cellStyle name="Currency 5 2 2 2 3 2 3" xfId="5058" xr:uid="{00000000-0005-0000-0000-00009F0B0000}"/>
    <cellStyle name="Currency 5 2 2 2 3 2 3 2" xfId="13497" xr:uid="{EDA21947-9B48-4B7D-9068-D7A09BD4DDB8}"/>
    <cellStyle name="Currency 5 2 2 2 3 2 4" xfId="9279" xr:uid="{1945FDF0-F985-4285-8893-C9F061C98252}"/>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5" xr:uid="{2ED5F5E2-8EDF-4CD4-86F4-C420F6CF9CA2}"/>
    <cellStyle name="Currency 5 2 2 2 3 3 2 3" xfId="11837" xr:uid="{FA2A50C1-3122-4B02-BCA4-0DF00351BF6B}"/>
    <cellStyle name="Currency 5 2 2 2 3 3 3" xfId="5471" xr:uid="{00000000-0005-0000-0000-0000A30B0000}"/>
    <cellStyle name="Currency 5 2 2 2 3 3 3 2" xfId="13910" xr:uid="{8BDDCEF6-328A-4B01-862C-7D457ED74042}"/>
    <cellStyle name="Currency 5 2 2 2 3 3 4" xfId="9692" xr:uid="{3362694B-7448-48F6-A11E-4DB6F7B5D5B1}"/>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68" xr:uid="{A7BB316F-154C-41FD-BE74-D99CC392009E}"/>
    <cellStyle name="Currency 5 2 2 2 3 4 2 3" xfId="12250" xr:uid="{B2F7BECE-C28A-4C1F-A3E3-F42269887F49}"/>
    <cellStyle name="Currency 5 2 2 2 3 4 3" xfId="5884" xr:uid="{00000000-0005-0000-0000-0000A70B0000}"/>
    <cellStyle name="Currency 5 2 2 2 3 4 3 2" xfId="14323" xr:uid="{BB0B955F-1D82-4CE5-B49C-35A3956FC0A6}"/>
    <cellStyle name="Currency 5 2 2 2 3 4 4" xfId="10105" xr:uid="{262C5B0F-981E-4335-B509-58019CD43772}"/>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81" xr:uid="{DAFF4789-0AC5-45DA-A55B-58E945253B14}"/>
    <cellStyle name="Currency 5 2 2 2 3 5 2 3" xfId="12663" xr:uid="{34B7F7ED-2BC7-414F-B69C-164597EA4D9C}"/>
    <cellStyle name="Currency 5 2 2 2 3 5 3" xfId="6297" xr:uid="{00000000-0005-0000-0000-0000AB0B0000}"/>
    <cellStyle name="Currency 5 2 2 2 3 5 3 2" xfId="14736" xr:uid="{3500B436-6118-4C7D-B2A1-626F88BDCACA}"/>
    <cellStyle name="Currency 5 2 2 2 3 5 4" xfId="10518" xr:uid="{7403FB4C-C174-41F4-B966-67A1317FF3CF}"/>
    <cellStyle name="Currency 5 2 2 2 3 6" xfId="2425" xr:uid="{00000000-0005-0000-0000-0000AC0B0000}"/>
    <cellStyle name="Currency 5 2 2 2 3 6 2" xfId="6710" xr:uid="{00000000-0005-0000-0000-0000AD0B0000}"/>
    <cellStyle name="Currency 5 2 2 2 3 6 2 2" xfId="15149" xr:uid="{066426AF-6E33-48E0-8855-1F19D7D31659}"/>
    <cellStyle name="Currency 5 2 2 2 3 6 3" xfId="10931" xr:uid="{311BAE4C-BD30-49EA-BE32-83E1B8417B96}"/>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6" xr:uid="{26B29A4C-B431-4E38-8DC0-5477B411F919}"/>
    <cellStyle name="Currency 5 2 2 2 3 8 3" xfId="11248" xr:uid="{371A38A6-9E4A-4332-BB04-6917DA61FBE5}"/>
    <cellStyle name="Currency 5 2 2 2 3 9" xfId="4644" xr:uid="{00000000-0005-0000-0000-0000B10B0000}"/>
    <cellStyle name="Currency 5 2 2 2 3 9 2" xfId="13083" xr:uid="{859D5FAF-5AD5-4C72-84F7-C9E0E8CA468B}"/>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39" xr:uid="{F7AF38FF-E8AB-4659-BEDC-0E0DBF12077F}"/>
    <cellStyle name="Currency 5 2 2 2 4 2 3" xfId="11421" xr:uid="{F7625E60-E067-4EDC-90C3-908526715C20}"/>
    <cellStyle name="Currency 5 2 2 2 4 3" xfId="5055" xr:uid="{00000000-0005-0000-0000-0000B50B0000}"/>
    <cellStyle name="Currency 5 2 2 2 4 3 2" xfId="13494" xr:uid="{A97A2190-2DAA-46A5-99D1-9A4C39EC3175}"/>
    <cellStyle name="Currency 5 2 2 2 4 4" xfId="9276" xr:uid="{99FD4FC2-7D20-42C8-912B-134FF4B824F2}"/>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52" xr:uid="{E5E97C0D-4586-4F83-822C-0129FBC98063}"/>
    <cellStyle name="Currency 5 2 2 2 5 2 3" xfId="11834" xr:uid="{EAC904ED-272E-4D56-AF22-1100AC7A81FE}"/>
    <cellStyle name="Currency 5 2 2 2 5 3" xfId="5468" xr:uid="{00000000-0005-0000-0000-0000B90B0000}"/>
    <cellStyle name="Currency 5 2 2 2 5 3 2" xfId="13907" xr:uid="{42B3CE4F-A046-4431-BDDE-24045778B186}"/>
    <cellStyle name="Currency 5 2 2 2 5 4" xfId="9689" xr:uid="{2BD20E0E-E16D-49B2-80DD-6B87B3A76808}"/>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5" xr:uid="{EC202BD3-6690-4F82-83B9-358AA0D9F8AB}"/>
    <cellStyle name="Currency 5 2 2 2 6 2 3" xfId="12247" xr:uid="{15E140CD-9DA1-437E-9A18-F636328211B5}"/>
    <cellStyle name="Currency 5 2 2 2 6 3" xfId="5881" xr:uid="{00000000-0005-0000-0000-0000BD0B0000}"/>
    <cellStyle name="Currency 5 2 2 2 6 3 2" xfId="14320" xr:uid="{B8686620-F56B-473E-A9DD-F436B5F72A81}"/>
    <cellStyle name="Currency 5 2 2 2 6 4" xfId="10102" xr:uid="{D83A249B-7D46-4CCD-9021-A0ED10BDAA69}"/>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78" xr:uid="{AA33B7BD-A029-4E69-B167-6B7B366592D1}"/>
    <cellStyle name="Currency 5 2 2 2 7 2 3" xfId="12660" xr:uid="{F0EFA0FF-D71B-4E22-A825-45117C2219BB}"/>
    <cellStyle name="Currency 5 2 2 2 7 3" xfId="6294" xr:uid="{00000000-0005-0000-0000-0000C10B0000}"/>
    <cellStyle name="Currency 5 2 2 2 7 3 2" xfId="14733" xr:uid="{F642A0B5-A9DC-4400-A237-BB70BD2D5BD1}"/>
    <cellStyle name="Currency 5 2 2 2 7 4" xfId="10515" xr:uid="{52EA07F4-AB0F-48A0-A5DE-3C75FB98B7FC}"/>
    <cellStyle name="Currency 5 2 2 2 8" xfId="2422" xr:uid="{00000000-0005-0000-0000-0000C20B0000}"/>
    <cellStyle name="Currency 5 2 2 2 8 2" xfId="6707" xr:uid="{00000000-0005-0000-0000-0000C30B0000}"/>
    <cellStyle name="Currency 5 2 2 2 8 2 2" xfId="15146" xr:uid="{794DD244-7831-4C24-9265-3B4B07328F1A}"/>
    <cellStyle name="Currency 5 2 2 2 8 3" xfId="10928" xr:uid="{35C7D6D0-BD3D-45F4-9EDF-8B1C67527809}"/>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4" xr:uid="{0E032274-5B7B-4D0E-A81B-47282D6EBF8A}"/>
    <cellStyle name="Currency 5 2 2 3 11" xfId="8866" xr:uid="{B32D17C9-1C08-4EE6-9C1D-E0570A272E91}"/>
    <cellStyle name="Currency 5 2 2 3 2" xfId="201" xr:uid="{00000000-0005-0000-0000-0000C70B0000}"/>
    <cellStyle name="Currency 5 2 2 3 2 10" xfId="8867" xr:uid="{CF64CC38-9D8B-4F69-A81C-A6B894FF0B84}"/>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4" xr:uid="{1525D9C2-00F2-4B66-B931-81218D9F7B54}"/>
    <cellStyle name="Currency 5 2 2 3 2 2 2 3" xfId="11426" xr:uid="{E77BC6CC-2E79-4DD8-8060-021BF9C7D1A2}"/>
    <cellStyle name="Currency 5 2 2 3 2 2 3" xfId="5060" xr:uid="{00000000-0005-0000-0000-0000CB0B0000}"/>
    <cellStyle name="Currency 5 2 2 3 2 2 3 2" xfId="13499" xr:uid="{4C8FE566-A880-4023-AE0C-9AA37880D6C8}"/>
    <cellStyle name="Currency 5 2 2 3 2 2 4" xfId="9281" xr:uid="{A2D4AC0E-EF38-4FD0-8F49-34A88FD1158D}"/>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57" xr:uid="{F2F1A2B6-193C-4058-9518-8801E920B356}"/>
    <cellStyle name="Currency 5 2 2 3 2 3 2 3" xfId="11839" xr:uid="{BED0E8E2-3DC1-4938-9954-79C087006210}"/>
    <cellStyle name="Currency 5 2 2 3 2 3 3" xfId="5473" xr:uid="{00000000-0005-0000-0000-0000CF0B0000}"/>
    <cellStyle name="Currency 5 2 2 3 2 3 3 2" xfId="13912" xr:uid="{C75301F0-25E3-40C1-9664-4B8BB1628BE0}"/>
    <cellStyle name="Currency 5 2 2 3 2 3 4" xfId="9694" xr:uid="{79E5D2DA-C0B8-4601-91A0-42F4F5FD523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70" xr:uid="{3A773D4F-9B29-4F88-9EE9-0B185E2FCE70}"/>
    <cellStyle name="Currency 5 2 2 3 2 4 2 3" xfId="12252" xr:uid="{321B9BA0-8627-41D3-9DDB-8521052E6BA0}"/>
    <cellStyle name="Currency 5 2 2 3 2 4 3" xfId="5886" xr:uid="{00000000-0005-0000-0000-0000D30B0000}"/>
    <cellStyle name="Currency 5 2 2 3 2 4 3 2" xfId="14325" xr:uid="{24562308-8872-4149-9AD1-6A388832BFD3}"/>
    <cellStyle name="Currency 5 2 2 3 2 4 4" xfId="10107" xr:uid="{73213ADD-0115-4F29-8D9B-299E669356ED}"/>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3" xr:uid="{071AA540-CCD4-42D5-83CA-874E1C665456}"/>
    <cellStyle name="Currency 5 2 2 3 2 5 2 3" xfId="12665" xr:uid="{224C2369-6010-4CA6-A57F-16AFF7BF745E}"/>
    <cellStyle name="Currency 5 2 2 3 2 5 3" xfId="6299" xr:uid="{00000000-0005-0000-0000-0000D70B0000}"/>
    <cellStyle name="Currency 5 2 2 3 2 5 3 2" xfId="14738" xr:uid="{25B97ABD-2460-4ED1-B1BF-88CC237511DB}"/>
    <cellStyle name="Currency 5 2 2 3 2 5 4" xfId="10520" xr:uid="{2D7233B7-609C-483D-910D-320F9D2D23D3}"/>
    <cellStyle name="Currency 5 2 2 3 2 6" xfId="2427" xr:uid="{00000000-0005-0000-0000-0000D80B0000}"/>
    <cellStyle name="Currency 5 2 2 3 2 6 2" xfId="6712" xr:uid="{00000000-0005-0000-0000-0000D90B0000}"/>
    <cellStyle name="Currency 5 2 2 3 2 6 2 2" xfId="15151" xr:uid="{92497D98-27F3-4C1D-9834-7B0DA44010E7}"/>
    <cellStyle name="Currency 5 2 2 3 2 6 3" xfId="10933" xr:uid="{F26F7F53-4C6D-4872-94E0-D84CB438C376}"/>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68" xr:uid="{D7B8ACD9-1F09-4B19-A7EA-8F6F6090A715}"/>
    <cellStyle name="Currency 5 2 2 3 2 8 3" xfId="11250" xr:uid="{5FC1B42A-FC78-403A-8B04-450AD534F2CB}"/>
    <cellStyle name="Currency 5 2 2 3 2 9" xfId="4646" xr:uid="{00000000-0005-0000-0000-0000DD0B0000}"/>
    <cellStyle name="Currency 5 2 2 3 2 9 2" xfId="13085" xr:uid="{FE712BAB-6F79-4599-9D98-C55E22B1B8D8}"/>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3" xr:uid="{EE22FC34-897E-4297-8A35-F4BD39073467}"/>
    <cellStyle name="Currency 5 2 2 3 3 2 3" xfId="11425" xr:uid="{C9CC04D0-E7C5-401B-9474-202D43C0ED97}"/>
    <cellStyle name="Currency 5 2 2 3 3 3" xfId="5059" xr:uid="{00000000-0005-0000-0000-0000E10B0000}"/>
    <cellStyle name="Currency 5 2 2 3 3 3 2" xfId="13498" xr:uid="{99355C23-675D-462F-883F-C7CBB91A1939}"/>
    <cellStyle name="Currency 5 2 2 3 3 4" xfId="9280" xr:uid="{A0B6426A-1041-4F9E-9017-015C21BC31AE}"/>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6" xr:uid="{A3E52600-0A92-4C54-BB82-CAB18BF33CC8}"/>
    <cellStyle name="Currency 5 2 2 3 4 2 3" xfId="11838" xr:uid="{8A17DF62-E87D-42F9-BC18-CDD4E4E68C39}"/>
    <cellStyle name="Currency 5 2 2 3 4 3" xfId="5472" xr:uid="{00000000-0005-0000-0000-0000E50B0000}"/>
    <cellStyle name="Currency 5 2 2 3 4 3 2" xfId="13911" xr:uid="{AFE5959A-8DCC-4C37-A255-FDF6205F1257}"/>
    <cellStyle name="Currency 5 2 2 3 4 4" xfId="9693" xr:uid="{5F7F1D9F-3167-475C-84D9-509DC4E356C2}"/>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69" xr:uid="{42259C3F-133D-42D7-85FE-775C47743A83}"/>
    <cellStyle name="Currency 5 2 2 3 5 2 3" xfId="12251" xr:uid="{F40DE805-F3EC-4240-B429-F66E6297A8F9}"/>
    <cellStyle name="Currency 5 2 2 3 5 3" xfId="5885" xr:uid="{00000000-0005-0000-0000-0000E90B0000}"/>
    <cellStyle name="Currency 5 2 2 3 5 3 2" xfId="14324" xr:uid="{A286B15E-2DD8-4E5D-B737-D2590916778E}"/>
    <cellStyle name="Currency 5 2 2 3 5 4" xfId="10106" xr:uid="{B66D52B1-34F9-4321-8513-B651BB4E9CF4}"/>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82" xr:uid="{F39BCE36-9984-44C9-B2E2-E8176F6E60D2}"/>
    <cellStyle name="Currency 5 2 2 3 6 2 3" xfId="12664" xr:uid="{D1B8D020-DBAC-4C05-92D5-17B1C466E6B7}"/>
    <cellStyle name="Currency 5 2 2 3 6 3" xfId="6298" xr:uid="{00000000-0005-0000-0000-0000ED0B0000}"/>
    <cellStyle name="Currency 5 2 2 3 6 3 2" xfId="14737" xr:uid="{E6777493-ED54-422C-9891-7609675FBCEF}"/>
    <cellStyle name="Currency 5 2 2 3 6 4" xfId="10519" xr:uid="{7D19EE1E-1CBB-42EE-9726-1151B1A88F7B}"/>
    <cellStyle name="Currency 5 2 2 3 7" xfId="2426" xr:uid="{00000000-0005-0000-0000-0000EE0B0000}"/>
    <cellStyle name="Currency 5 2 2 3 7 2" xfId="6711" xr:uid="{00000000-0005-0000-0000-0000EF0B0000}"/>
    <cellStyle name="Currency 5 2 2 3 7 2 2" xfId="15150" xr:uid="{F15AAE3C-0A1B-4187-B92C-E3A0C6CBFDFA}"/>
    <cellStyle name="Currency 5 2 2 3 7 3" xfId="10932" xr:uid="{BC5DB2FB-994D-4060-9A20-6F3D402D2F9B}"/>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67" xr:uid="{B61A15CF-3B54-45E1-99EF-21B449FBBA2C}"/>
    <cellStyle name="Currency 5 2 2 3 9 3" xfId="11249" xr:uid="{186BF2CA-A345-4BAE-AFDB-34395F4A94CC}"/>
    <cellStyle name="Currency 5 2 2 4" xfId="202" xr:uid="{00000000-0005-0000-0000-0000F30B0000}"/>
    <cellStyle name="Currency 5 2 2 4 10" xfId="8868" xr:uid="{32B093C5-397B-4133-A148-C4881920D29A}"/>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5" xr:uid="{DB827D00-15DE-4723-B522-4986AC3F4DEF}"/>
    <cellStyle name="Currency 5 2 2 4 2 2 3" xfId="11427" xr:uid="{F0355820-8998-4A53-BC61-E285122FEEE2}"/>
    <cellStyle name="Currency 5 2 2 4 2 3" xfId="5061" xr:uid="{00000000-0005-0000-0000-0000F70B0000}"/>
    <cellStyle name="Currency 5 2 2 4 2 3 2" xfId="13500" xr:uid="{CE2A7651-A885-429B-822D-B9B55ADE8790}"/>
    <cellStyle name="Currency 5 2 2 4 2 4" xfId="9282" xr:uid="{AC4F54AE-A930-42EF-95B9-89A3F33300F1}"/>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58" xr:uid="{76E1EAF8-5ACD-42EE-916B-A8FF65F40542}"/>
    <cellStyle name="Currency 5 2 2 4 3 2 3" xfId="11840" xr:uid="{41F761EC-65F6-4080-8F49-6A6F9BB83F23}"/>
    <cellStyle name="Currency 5 2 2 4 3 3" xfId="5474" xr:uid="{00000000-0005-0000-0000-0000FB0B0000}"/>
    <cellStyle name="Currency 5 2 2 4 3 3 2" xfId="13913" xr:uid="{7450EE9C-347A-4F1C-B740-2F48B9070659}"/>
    <cellStyle name="Currency 5 2 2 4 3 4" xfId="9695" xr:uid="{F8796981-8C2C-4ECF-9222-67CFB702C1FC}"/>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71" xr:uid="{7BA579E1-88F9-4521-AC42-403D4D411651}"/>
    <cellStyle name="Currency 5 2 2 4 4 2 3" xfId="12253" xr:uid="{6E7E70DE-A8E9-4B17-AAC1-766D0700423C}"/>
    <cellStyle name="Currency 5 2 2 4 4 3" xfId="5887" xr:uid="{00000000-0005-0000-0000-0000FF0B0000}"/>
    <cellStyle name="Currency 5 2 2 4 4 3 2" xfId="14326" xr:uid="{EC581E38-BF01-4917-ABC8-274B1A0BD8E8}"/>
    <cellStyle name="Currency 5 2 2 4 4 4" xfId="10108" xr:uid="{4AB97040-9659-4B89-96EE-F16608D17631}"/>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4" xr:uid="{6BC075FD-9E93-4D54-B6BE-5634AE6B1E0F}"/>
    <cellStyle name="Currency 5 2 2 4 5 2 3" xfId="12666" xr:uid="{5CD93F7B-BBF5-4937-95C3-EA2801BA0E08}"/>
    <cellStyle name="Currency 5 2 2 4 5 3" xfId="6300" xr:uid="{00000000-0005-0000-0000-0000030C0000}"/>
    <cellStyle name="Currency 5 2 2 4 5 3 2" xfId="14739" xr:uid="{D82F4611-1C45-41B2-AD61-2D4684F48347}"/>
    <cellStyle name="Currency 5 2 2 4 5 4" xfId="10521" xr:uid="{FC9F2A7F-C80E-403A-989A-DEA5B1DA752D}"/>
    <cellStyle name="Currency 5 2 2 4 6" xfId="2428" xr:uid="{00000000-0005-0000-0000-0000040C0000}"/>
    <cellStyle name="Currency 5 2 2 4 6 2" xfId="6713" xr:uid="{00000000-0005-0000-0000-0000050C0000}"/>
    <cellStyle name="Currency 5 2 2 4 6 2 2" xfId="15152" xr:uid="{E18177DA-8CEF-4B53-8077-4351A8EB1FCD}"/>
    <cellStyle name="Currency 5 2 2 4 6 3" xfId="10934" xr:uid="{33744949-D9D6-4A98-92BF-DF12C41526AC}"/>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69" xr:uid="{6C4FFAB5-D7B3-4655-8E58-F6D45BFA07BD}"/>
    <cellStyle name="Currency 5 2 2 4 8 3" xfId="11251" xr:uid="{21937DE4-C3DB-4472-9B75-B2CD58787C5C}"/>
    <cellStyle name="Currency 5 2 2 4 9" xfId="4647" xr:uid="{00000000-0005-0000-0000-0000090C0000}"/>
    <cellStyle name="Currency 5 2 2 4 9 2" xfId="13086" xr:uid="{54773F86-4ADB-4910-9C34-01CED1189E9C}"/>
    <cellStyle name="Currency 5 2 2 5" xfId="203" xr:uid="{00000000-0005-0000-0000-00000A0C0000}"/>
    <cellStyle name="Currency 5 2 2 5 10" xfId="8869" xr:uid="{88799322-6FC2-4C04-90AE-7ADD9C820FE4}"/>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6" xr:uid="{D731F01F-484A-427B-8DC6-074CA2F491C5}"/>
    <cellStyle name="Currency 5 2 2 5 2 2 3" xfId="11428" xr:uid="{B1994C7F-0570-4786-89EB-33975EE830ED}"/>
    <cellStyle name="Currency 5 2 2 5 2 3" xfId="5062" xr:uid="{00000000-0005-0000-0000-00000E0C0000}"/>
    <cellStyle name="Currency 5 2 2 5 2 3 2" xfId="13501" xr:uid="{CC917972-DC4A-4524-A41A-CDA93D1509A5}"/>
    <cellStyle name="Currency 5 2 2 5 2 4" xfId="9283" xr:uid="{B77B58C4-A011-4F63-B6C1-3FBCC117B84C}"/>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59" xr:uid="{8FD8164F-DDE2-42F7-B68C-F70C0503A8B0}"/>
    <cellStyle name="Currency 5 2 2 5 3 2 3" xfId="11841" xr:uid="{3F3094D5-90DB-451D-A8B1-64EF405460F2}"/>
    <cellStyle name="Currency 5 2 2 5 3 3" xfId="5475" xr:uid="{00000000-0005-0000-0000-0000120C0000}"/>
    <cellStyle name="Currency 5 2 2 5 3 3 2" xfId="13914" xr:uid="{E509B613-E7AD-4224-BDBA-7A396427C36B}"/>
    <cellStyle name="Currency 5 2 2 5 3 4" xfId="9696" xr:uid="{41AB2607-C556-4F13-AA96-D643F3C3B299}"/>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72" xr:uid="{C6834239-9605-4AD9-B0B9-E87D411C84B0}"/>
    <cellStyle name="Currency 5 2 2 5 4 2 3" xfId="12254" xr:uid="{DDDBCDB7-85D0-48EC-8769-69E3F8C75F3E}"/>
    <cellStyle name="Currency 5 2 2 5 4 3" xfId="5888" xr:uid="{00000000-0005-0000-0000-0000160C0000}"/>
    <cellStyle name="Currency 5 2 2 5 4 3 2" xfId="14327" xr:uid="{8121FD8E-874E-4FA0-8612-F20932D4A6D8}"/>
    <cellStyle name="Currency 5 2 2 5 4 4" xfId="10109" xr:uid="{79816A14-A3B8-45EA-A18E-9199A0B6B4C8}"/>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5" xr:uid="{13764EE5-9BA2-4779-8614-FA15BADB387F}"/>
    <cellStyle name="Currency 5 2 2 5 5 2 3" xfId="12667" xr:uid="{B0261463-2785-4631-993C-CA442B2E13E7}"/>
    <cellStyle name="Currency 5 2 2 5 5 3" xfId="6301" xr:uid="{00000000-0005-0000-0000-00001A0C0000}"/>
    <cellStyle name="Currency 5 2 2 5 5 3 2" xfId="14740" xr:uid="{FE85EA19-420B-467D-995F-5D0B20BFA857}"/>
    <cellStyle name="Currency 5 2 2 5 5 4" xfId="10522" xr:uid="{618889F0-6780-4234-99C3-3051A2A2B2F5}"/>
    <cellStyle name="Currency 5 2 2 5 6" xfId="2429" xr:uid="{00000000-0005-0000-0000-00001B0C0000}"/>
    <cellStyle name="Currency 5 2 2 5 6 2" xfId="6714" xr:uid="{00000000-0005-0000-0000-00001C0C0000}"/>
    <cellStyle name="Currency 5 2 2 5 6 2 2" xfId="15153" xr:uid="{C3135A3A-0E48-4A4E-8AA0-EC36B1DB94E0}"/>
    <cellStyle name="Currency 5 2 2 5 6 3" xfId="10935" xr:uid="{A02B2D0B-9CC6-4210-91DE-CABBE46B93AD}"/>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70" xr:uid="{90EAB4F6-7655-481B-B9EC-E15C9F610923}"/>
    <cellStyle name="Currency 5 2 2 5 8 3" xfId="11252" xr:uid="{011AFD0D-ADBE-46FE-8DC7-2328C1632505}"/>
    <cellStyle name="Currency 5 2 2 5 9" xfId="4648" xr:uid="{00000000-0005-0000-0000-0000200C0000}"/>
    <cellStyle name="Currency 5 2 2 5 9 2" xfId="13087" xr:uid="{03B7D136-0FDE-4590-9C00-DFB6DFE8BA24}"/>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88" xr:uid="{B4924645-10DA-4CF5-8F80-B3BBAC1B3010}"/>
    <cellStyle name="Currency 5 2 4 11" xfId="8870" xr:uid="{B39AA477-7BD2-4B4B-AF28-814BE7FF03B4}"/>
    <cellStyle name="Currency 5 2 4 2" xfId="206" xr:uid="{00000000-0005-0000-0000-0000250C0000}"/>
    <cellStyle name="Currency 5 2 4 2 10" xfId="8871" xr:uid="{23E2403D-64AF-4097-BCBA-E604CBA8116F}"/>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48" xr:uid="{9519E2AA-E1E2-4732-A112-509272C6FB9B}"/>
    <cellStyle name="Currency 5 2 4 2 2 2 3" xfId="11430" xr:uid="{D619948B-C0AA-45D8-8D0A-5381EECA62A4}"/>
    <cellStyle name="Currency 5 2 4 2 2 3" xfId="5064" xr:uid="{00000000-0005-0000-0000-0000290C0000}"/>
    <cellStyle name="Currency 5 2 4 2 2 3 2" xfId="13503" xr:uid="{C400EEC5-68FA-49F2-AC8B-E35DC3C215BD}"/>
    <cellStyle name="Currency 5 2 4 2 2 4" xfId="9285" xr:uid="{E2B575AA-FB7A-4C60-916D-3581BBE5D52F}"/>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61" xr:uid="{82F71AAB-E620-4B57-AB09-679E02C19DFC}"/>
    <cellStyle name="Currency 5 2 4 2 3 2 3" xfId="11843" xr:uid="{F499F3D4-ABD4-4B06-B7C3-0F4B46534EE8}"/>
    <cellStyle name="Currency 5 2 4 2 3 3" xfId="5477" xr:uid="{00000000-0005-0000-0000-00002D0C0000}"/>
    <cellStyle name="Currency 5 2 4 2 3 3 2" xfId="13916" xr:uid="{2B0A7754-5EBC-4A1A-B36D-11777F6BFC00}"/>
    <cellStyle name="Currency 5 2 4 2 3 4" xfId="9698" xr:uid="{434BA427-DE16-4181-9188-46104DFD445C}"/>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4" xr:uid="{C7A36F78-F444-4258-8826-B5CDEE04050C}"/>
    <cellStyle name="Currency 5 2 4 2 4 2 3" xfId="12256" xr:uid="{E1BB7806-8A49-47E2-9007-B2EE15D1D1BE}"/>
    <cellStyle name="Currency 5 2 4 2 4 3" xfId="5890" xr:uid="{00000000-0005-0000-0000-0000310C0000}"/>
    <cellStyle name="Currency 5 2 4 2 4 3 2" xfId="14329" xr:uid="{C57BCE74-0EE8-4AF3-9A16-EF9CD0159F8B}"/>
    <cellStyle name="Currency 5 2 4 2 4 4" xfId="10111" xr:uid="{376EA603-6389-4DF3-9F50-9710DDBE8BD8}"/>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87" xr:uid="{85180236-3D98-4C49-AEA1-CE4B25EED063}"/>
    <cellStyle name="Currency 5 2 4 2 5 2 3" xfId="12669" xr:uid="{030F4B9B-A6F0-4C32-B561-2875739A43ED}"/>
    <cellStyle name="Currency 5 2 4 2 5 3" xfId="6303" xr:uid="{00000000-0005-0000-0000-0000350C0000}"/>
    <cellStyle name="Currency 5 2 4 2 5 3 2" xfId="14742" xr:uid="{05E38DA2-2E6F-43FF-BA3E-C9F51E07F4C5}"/>
    <cellStyle name="Currency 5 2 4 2 5 4" xfId="10524" xr:uid="{968A48B8-A79B-4948-B190-99C61DB0B096}"/>
    <cellStyle name="Currency 5 2 4 2 6" xfId="2431" xr:uid="{00000000-0005-0000-0000-0000360C0000}"/>
    <cellStyle name="Currency 5 2 4 2 6 2" xfId="6716" xr:uid="{00000000-0005-0000-0000-0000370C0000}"/>
    <cellStyle name="Currency 5 2 4 2 6 2 2" xfId="15155" xr:uid="{5B2D28A9-34B7-407B-9122-704D0F64E525}"/>
    <cellStyle name="Currency 5 2 4 2 6 3" xfId="10937" xr:uid="{00565E77-C3F0-401C-8707-5EE665D76A03}"/>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72" xr:uid="{F5E66011-CAB3-4E05-944F-2D670D31B344}"/>
    <cellStyle name="Currency 5 2 4 2 8 3" xfId="11254" xr:uid="{23416020-CB01-4C2E-B1A6-DCF96CF39B89}"/>
    <cellStyle name="Currency 5 2 4 2 9" xfId="4650" xr:uid="{00000000-0005-0000-0000-00003B0C0000}"/>
    <cellStyle name="Currency 5 2 4 2 9 2" xfId="13089" xr:uid="{E561EA8D-D7F3-4AB8-AF72-8D1F8E36EAF7}"/>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47" xr:uid="{B348946B-53AF-4F6C-8DE3-174C13FF38E4}"/>
    <cellStyle name="Currency 5 2 4 3 2 3" xfId="11429" xr:uid="{BD4000D8-44A7-4D8B-A12F-53E22473A1DB}"/>
    <cellStyle name="Currency 5 2 4 3 3" xfId="5063" xr:uid="{00000000-0005-0000-0000-00003F0C0000}"/>
    <cellStyle name="Currency 5 2 4 3 3 2" xfId="13502" xr:uid="{FA585A61-AE04-42D8-B12F-E0A1C76F7FFA}"/>
    <cellStyle name="Currency 5 2 4 3 4" xfId="9284" xr:uid="{AA78CA01-1606-4726-A390-0B1174D4B0B7}"/>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60" xr:uid="{662338C4-7E95-4EB1-BE0C-F8A0A055D41F}"/>
    <cellStyle name="Currency 5 2 4 4 2 3" xfId="11842" xr:uid="{0B0044BB-DA1E-47B1-A187-D91ACC4C1382}"/>
    <cellStyle name="Currency 5 2 4 4 3" xfId="5476" xr:uid="{00000000-0005-0000-0000-0000430C0000}"/>
    <cellStyle name="Currency 5 2 4 4 3 2" xfId="13915" xr:uid="{7E37B697-7BA4-4511-87B8-20A0090B3AB8}"/>
    <cellStyle name="Currency 5 2 4 4 4" xfId="9697" xr:uid="{0AABFCE7-709A-4C26-88BB-F7C1AD061682}"/>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3" xr:uid="{3411B300-1917-45CF-A35F-B19ED91A22D4}"/>
    <cellStyle name="Currency 5 2 4 5 2 3" xfId="12255" xr:uid="{3EDA1C4A-DB77-4312-896B-9ED827E51E69}"/>
    <cellStyle name="Currency 5 2 4 5 3" xfId="5889" xr:uid="{00000000-0005-0000-0000-0000470C0000}"/>
    <cellStyle name="Currency 5 2 4 5 3 2" xfId="14328" xr:uid="{8ED28DB0-7B38-4F22-AD3A-BAFF1C7859E3}"/>
    <cellStyle name="Currency 5 2 4 5 4" xfId="10110" xr:uid="{153100CB-8D23-4263-A7BD-A9252108811A}"/>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6" xr:uid="{2014F1D0-B88B-45E4-8859-7379A0D8BC7E}"/>
    <cellStyle name="Currency 5 2 4 6 2 3" xfId="12668" xr:uid="{A30C3E6B-D5F2-49C6-BD68-6D3F295E2370}"/>
    <cellStyle name="Currency 5 2 4 6 3" xfId="6302" xr:uid="{00000000-0005-0000-0000-00004B0C0000}"/>
    <cellStyle name="Currency 5 2 4 6 3 2" xfId="14741" xr:uid="{0DFEFC63-5229-4649-88D8-10E183A7D462}"/>
    <cellStyle name="Currency 5 2 4 6 4" xfId="10523" xr:uid="{9A7FAC5A-606D-46D7-B5C4-2124B782D8E7}"/>
    <cellStyle name="Currency 5 2 4 7" xfId="2430" xr:uid="{00000000-0005-0000-0000-00004C0C0000}"/>
    <cellStyle name="Currency 5 2 4 7 2" xfId="6715" xr:uid="{00000000-0005-0000-0000-00004D0C0000}"/>
    <cellStyle name="Currency 5 2 4 7 2 2" xfId="15154" xr:uid="{668547FD-9BA1-451B-9F38-25FC806CF8D3}"/>
    <cellStyle name="Currency 5 2 4 7 3" xfId="10936" xr:uid="{D432CC21-3FDC-4F39-82FF-6EF76184FDDD}"/>
    <cellStyle name="Currency 5 2 4 8" xfId="2727" xr:uid="{00000000-0005-0000-0000-00004E0C0000}"/>
    <cellStyle name="Currency 5 2 4 9" xfId="2808" xr:uid="{00000000-0005-0000-0000-00004F0C0000}"/>
    <cellStyle name="Currency 5 2 4 9 2" xfId="7032" xr:uid="{00000000-0005-0000-0000-0000500C0000}"/>
    <cellStyle name="Currency 5 2 4 9 2 2" xfId="15471" xr:uid="{7C586137-79B6-4C71-BD94-A9471F5CC712}"/>
    <cellStyle name="Currency 5 2 4 9 3" xfId="11253" xr:uid="{EA8671EA-6F07-4EA3-ADF2-4B77B60CDA71}"/>
    <cellStyle name="Currency 5 2 5" xfId="207" xr:uid="{00000000-0005-0000-0000-0000510C0000}"/>
    <cellStyle name="Currency 5 2 5 10" xfId="8872" xr:uid="{7CD2718E-5B66-4827-8E7E-A065AEC6573E}"/>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49" xr:uid="{7BFAA49C-6906-41FC-8AD2-DB1C2BE254B4}"/>
    <cellStyle name="Currency 5 2 5 2 2 3" xfId="11431" xr:uid="{FC376DB6-1429-4B1D-807B-9C2EADFBE7DA}"/>
    <cellStyle name="Currency 5 2 5 2 3" xfId="5065" xr:uid="{00000000-0005-0000-0000-0000550C0000}"/>
    <cellStyle name="Currency 5 2 5 2 3 2" xfId="13504" xr:uid="{4DAEB20E-9660-4834-A741-C70D6C90AF50}"/>
    <cellStyle name="Currency 5 2 5 2 4" xfId="9286" xr:uid="{7CE9B8FF-F281-48AA-9A66-024011822DEE}"/>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62" xr:uid="{60D08E78-C021-4529-B577-EFED3D14509E}"/>
    <cellStyle name="Currency 5 2 5 3 2 3" xfId="11844" xr:uid="{5B8E2314-8441-4246-A698-E60F021DD70C}"/>
    <cellStyle name="Currency 5 2 5 3 3" xfId="5478" xr:uid="{00000000-0005-0000-0000-0000590C0000}"/>
    <cellStyle name="Currency 5 2 5 3 3 2" xfId="13917" xr:uid="{A7683151-D3C6-4502-9D1D-5E79D75AD6EB}"/>
    <cellStyle name="Currency 5 2 5 3 4" xfId="9699" xr:uid="{6B836BBF-B0C7-4BFD-ABCF-A59FB3CA45A0}"/>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5" xr:uid="{97548E2A-0086-4D10-9BF8-9F071DEF78CF}"/>
    <cellStyle name="Currency 5 2 5 4 2 3" xfId="12257" xr:uid="{65C95B38-E91B-4057-9A32-02539DF6A990}"/>
    <cellStyle name="Currency 5 2 5 4 3" xfId="5891" xr:uid="{00000000-0005-0000-0000-00005D0C0000}"/>
    <cellStyle name="Currency 5 2 5 4 3 2" xfId="14330" xr:uid="{B341938A-B50E-43B6-A5B4-58808DE29EBE}"/>
    <cellStyle name="Currency 5 2 5 4 4" xfId="10112" xr:uid="{65F4DA24-8CD8-4B4B-9CF7-42677765598C}"/>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88" xr:uid="{AD919C00-01BA-46CF-8C15-2C48F3672DD1}"/>
    <cellStyle name="Currency 5 2 5 5 2 3" xfId="12670" xr:uid="{CDC51493-326C-4184-B77E-485951E1F1D0}"/>
    <cellStyle name="Currency 5 2 5 5 3" xfId="6304" xr:uid="{00000000-0005-0000-0000-0000610C0000}"/>
    <cellStyle name="Currency 5 2 5 5 3 2" xfId="14743" xr:uid="{FF6CC3FE-6B6E-4EC0-A53C-01FEA2857145}"/>
    <cellStyle name="Currency 5 2 5 5 4" xfId="10525" xr:uid="{B977801A-1AB6-468A-8C67-19E5092514DA}"/>
    <cellStyle name="Currency 5 2 5 6" xfId="2432" xr:uid="{00000000-0005-0000-0000-0000620C0000}"/>
    <cellStyle name="Currency 5 2 5 6 2" xfId="6717" xr:uid="{00000000-0005-0000-0000-0000630C0000}"/>
    <cellStyle name="Currency 5 2 5 6 2 2" xfId="15156" xr:uid="{820FEC5E-BB92-4E52-91B7-11F46A557C04}"/>
    <cellStyle name="Currency 5 2 5 6 3" xfId="10938" xr:uid="{029E9AD2-076C-4585-99FE-B952B3B5F0DD}"/>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3" xr:uid="{A658513C-69FE-4962-9296-D98FD32EB3B5}"/>
    <cellStyle name="Currency 5 2 5 8 3" xfId="11255" xr:uid="{DEF81685-F4E8-42B0-89CE-AF45D8793AFF}"/>
    <cellStyle name="Currency 5 2 5 9" xfId="4651" xr:uid="{00000000-0005-0000-0000-0000670C0000}"/>
    <cellStyle name="Currency 5 2 5 9 2" xfId="13090" xr:uid="{8D7F298A-8CC7-4CC2-B9FB-F0F17B14338C}"/>
    <cellStyle name="Currency 5 2 6" xfId="208" xr:uid="{00000000-0005-0000-0000-0000680C0000}"/>
    <cellStyle name="Currency 5 2 6 10" xfId="8873" xr:uid="{BDEBF759-719A-425E-9CEB-F3CD489F5ECE}"/>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50" xr:uid="{5FF57C3B-D186-4E5B-B6B7-45BAD330A43B}"/>
    <cellStyle name="Currency 5 2 6 2 2 3" xfId="11432" xr:uid="{96D55F86-483E-4790-AD5D-87BC72C011EE}"/>
    <cellStyle name="Currency 5 2 6 2 3" xfId="5066" xr:uid="{00000000-0005-0000-0000-00006C0C0000}"/>
    <cellStyle name="Currency 5 2 6 2 3 2" xfId="13505" xr:uid="{22BCD325-89BD-4DF8-A665-0CE5E7F1F1C3}"/>
    <cellStyle name="Currency 5 2 6 2 4" xfId="9287" xr:uid="{F23D54AA-DACD-42DD-9548-40F8F6B1EB99}"/>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3" xr:uid="{D4C89C45-FF34-49B0-9367-176C60FECE06}"/>
    <cellStyle name="Currency 5 2 6 3 2 3" xfId="11845" xr:uid="{22D36978-6D43-4FDC-8202-08AC64680D40}"/>
    <cellStyle name="Currency 5 2 6 3 3" xfId="5479" xr:uid="{00000000-0005-0000-0000-0000700C0000}"/>
    <cellStyle name="Currency 5 2 6 3 3 2" xfId="13918" xr:uid="{40025E6E-EEF4-40F0-B4ED-06ED1F5D0A79}"/>
    <cellStyle name="Currency 5 2 6 3 4" xfId="9700" xr:uid="{A750E89C-36AD-4C5F-97AC-B5F63EBDC8B7}"/>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6" xr:uid="{57EF689A-AAD9-4763-AA8B-CD4E740C11BC}"/>
    <cellStyle name="Currency 5 2 6 4 2 3" xfId="12258" xr:uid="{23E6FA9D-3076-4348-855E-C5CE9CFC5F90}"/>
    <cellStyle name="Currency 5 2 6 4 3" xfId="5892" xr:uid="{00000000-0005-0000-0000-0000740C0000}"/>
    <cellStyle name="Currency 5 2 6 4 3 2" xfId="14331" xr:uid="{7622E3C3-C77E-4322-A3D0-5DB3E21385AA}"/>
    <cellStyle name="Currency 5 2 6 4 4" xfId="10113" xr:uid="{E31DE2CF-A570-4FF5-A3B9-B9F7A2773C3B}"/>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89" xr:uid="{B0364F6D-9815-454B-B4C2-5A7EBEB9CE10}"/>
    <cellStyle name="Currency 5 2 6 5 2 3" xfId="12671" xr:uid="{06B3781D-7588-4113-A108-6D94B63C325E}"/>
    <cellStyle name="Currency 5 2 6 5 3" xfId="6305" xr:uid="{00000000-0005-0000-0000-0000780C0000}"/>
    <cellStyle name="Currency 5 2 6 5 3 2" xfId="14744" xr:uid="{0C932D14-6445-4399-8821-63E164EF4EB3}"/>
    <cellStyle name="Currency 5 2 6 5 4" xfId="10526" xr:uid="{8870BE4A-4428-4663-92B1-74851C879B28}"/>
    <cellStyle name="Currency 5 2 6 6" xfId="2433" xr:uid="{00000000-0005-0000-0000-0000790C0000}"/>
    <cellStyle name="Currency 5 2 6 6 2" xfId="6718" xr:uid="{00000000-0005-0000-0000-00007A0C0000}"/>
    <cellStyle name="Currency 5 2 6 6 2 2" xfId="15157" xr:uid="{1AD6E70B-8AFA-4507-AF71-ADC88D76BE84}"/>
    <cellStyle name="Currency 5 2 6 6 3" xfId="10939" xr:uid="{9F125269-E507-4B6E-B72A-E47B43EFBBB1}"/>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4" xr:uid="{9979E061-4FD6-4122-81F4-3B449AA73D72}"/>
    <cellStyle name="Currency 5 2 6 8 3" xfId="11256" xr:uid="{71451E78-B4DB-4789-8369-233335D6FF22}"/>
    <cellStyle name="Currency 5 2 6 9" xfId="4652" xr:uid="{00000000-0005-0000-0000-00007E0C0000}"/>
    <cellStyle name="Currency 5 2 6 9 2" xfId="13091" xr:uid="{492DF110-4441-4448-9CD1-DFC4AC712BAC}"/>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5" xr:uid="{8DA8A4FC-8352-4E86-BB20-93E4439779D6}"/>
    <cellStyle name="Currency 5 3 2 10 3" xfId="11257" xr:uid="{94577263-70FA-4C89-987E-9BC047FA6FF4}"/>
    <cellStyle name="Currency 5 3 2 11" xfId="4653" xr:uid="{00000000-0005-0000-0000-0000840C0000}"/>
    <cellStyle name="Currency 5 3 2 11 2" xfId="13092" xr:uid="{605D5CF1-E6FE-4422-B40F-B4ECFBF79A1F}"/>
    <cellStyle name="Currency 5 3 2 12" xfId="8874" xr:uid="{D739B4F5-2E22-4103-BE78-D82F3AF4BFE2}"/>
    <cellStyle name="Currency 5 3 2 2" xfId="211" xr:uid="{00000000-0005-0000-0000-0000850C0000}"/>
    <cellStyle name="Currency 5 3 2 2 10" xfId="4654" xr:uid="{00000000-0005-0000-0000-0000860C0000}"/>
    <cellStyle name="Currency 5 3 2 2 10 2" xfId="13093" xr:uid="{8FE317E6-F4B9-4ECA-86BE-40EE9D552FD1}"/>
    <cellStyle name="Currency 5 3 2 2 11" xfId="8875" xr:uid="{7EF8C01A-5623-4467-B8E7-D309EE661311}"/>
    <cellStyle name="Currency 5 3 2 2 2" xfId="212" xr:uid="{00000000-0005-0000-0000-0000870C0000}"/>
    <cellStyle name="Currency 5 3 2 2 2 10" xfId="8876" xr:uid="{80C08634-F350-42FE-9F19-F87FD083638D}"/>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3" xr:uid="{AD95A248-E0A7-402C-88AC-48762DC60354}"/>
    <cellStyle name="Currency 5 3 2 2 2 2 2 3" xfId="11435" xr:uid="{13949B9E-84B8-42C2-8E4D-847D7E010FCA}"/>
    <cellStyle name="Currency 5 3 2 2 2 2 3" xfId="5069" xr:uid="{00000000-0005-0000-0000-00008B0C0000}"/>
    <cellStyle name="Currency 5 3 2 2 2 2 3 2" xfId="13508" xr:uid="{D00D744F-AF2C-4F5F-A138-C0F43A02D38A}"/>
    <cellStyle name="Currency 5 3 2 2 2 2 4" xfId="9290" xr:uid="{BD2D96F3-1996-40AB-8003-01BB134E20C1}"/>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6" xr:uid="{5F685320-4E0C-4CFF-851A-D6BE94B87071}"/>
    <cellStyle name="Currency 5 3 2 2 2 3 2 3" xfId="11848" xr:uid="{41AF0022-B237-45CD-9511-371DB1CB999D}"/>
    <cellStyle name="Currency 5 3 2 2 2 3 3" xfId="5482" xr:uid="{00000000-0005-0000-0000-00008F0C0000}"/>
    <cellStyle name="Currency 5 3 2 2 2 3 3 2" xfId="13921" xr:uid="{1522BDAA-E60D-43F1-8D32-BE44C284D9F3}"/>
    <cellStyle name="Currency 5 3 2 2 2 3 4" xfId="9703" xr:uid="{68D25C70-C68B-4670-9554-B9B2F4048741}"/>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79" xr:uid="{55B9C577-D367-4C7E-A400-97E3A60CCE5B}"/>
    <cellStyle name="Currency 5 3 2 2 2 4 2 3" xfId="12261" xr:uid="{E0503C75-5E60-4CDB-B4BC-803F3EC40369}"/>
    <cellStyle name="Currency 5 3 2 2 2 4 3" xfId="5895" xr:uid="{00000000-0005-0000-0000-0000930C0000}"/>
    <cellStyle name="Currency 5 3 2 2 2 4 3 2" xfId="14334" xr:uid="{4777132E-DE88-47D8-9534-5C9A04B52D27}"/>
    <cellStyle name="Currency 5 3 2 2 2 4 4" xfId="10116" xr:uid="{8ACC84C4-57A3-4002-B1A7-3858B44234DF}"/>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92" xr:uid="{A6536E1E-824D-4515-9490-8ACAF41353A1}"/>
    <cellStyle name="Currency 5 3 2 2 2 5 2 3" xfId="12674" xr:uid="{779AC3E2-3ACC-4AAF-8626-C9E410BE0F84}"/>
    <cellStyle name="Currency 5 3 2 2 2 5 3" xfId="6308" xr:uid="{00000000-0005-0000-0000-0000970C0000}"/>
    <cellStyle name="Currency 5 3 2 2 2 5 3 2" xfId="14747" xr:uid="{BF3255B4-8BAD-4833-AF8E-7112B139BCBB}"/>
    <cellStyle name="Currency 5 3 2 2 2 5 4" xfId="10529" xr:uid="{7354BE08-01F7-4330-8879-E862D9012B32}"/>
    <cellStyle name="Currency 5 3 2 2 2 6" xfId="2436" xr:uid="{00000000-0005-0000-0000-0000980C0000}"/>
    <cellStyle name="Currency 5 3 2 2 2 6 2" xfId="6721" xr:uid="{00000000-0005-0000-0000-0000990C0000}"/>
    <cellStyle name="Currency 5 3 2 2 2 6 2 2" xfId="15160" xr:uid="{EA3E3043-A1BC-4630-98FB-1A681B25C783}"/>
    <cellStyle name="Currency 5 3 2 2 2 6 3" xfId="10942" xr:uid="{1A172C9C-786A-48B6-8C7A-4C2357390567}"/>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77" xr:uid="{CD06459C-3F83-4205-92AF-EEF513355C8C}"/>
    <cellStyle name="Currency 5 3 2 2 2 8 3" xfId="11259" xr:uid="{BC8CFCFA-22F9-48D9-8D39-035C4CF582F5}"/>
    <cellStyle name="Currency 5 3 2 2 2 9" xfId="4655" xr:uid="{00000000-0005-0000-0000-00009D0C0000}"/>
    <cellStyle name="Currency 5 3 2 2 2 9 2" xfId="13094" xr:uid="{AB36A872-C621-4083-8DF5-B941F4F2218B}"/>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52" xr:uid="{87E9E478-1B35-4585-BA0D-3CCE8E7E714D}"/>
    <cellStyle name="Currency 5 3 2 2 3 2 3" xfId="11434" xr:uid="{5F5E2CD7-2AF0-4EE5-BC0C-5C1C8D99C8F0}"/>
    <cellStyle name="Currency 5 3 2 2 3 3" xfId="5068" xr:uid="{00000000-0005-0000-0000-0000A10C0000}"/>
    <cellStyle name="Currency 5 3 2 2 3 3 2" xfId="13507" xr:uid="{87A38F76-2D21-4E24-8985-84B777FFD4B2}"/>
    <cellStyle name="Currency 5 3 2 2 3 4" xfId="9289" xr:uid="{2B9EF211-D6D0-41ED-BEBB-AC7E3979A3D8}"/>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5" xr:uid="{9C6EB07E-A413-42A8-80D9-FF5DFB7345A4}"/>
    <cellStyle name="Currency 5 3 2 2 4 2 3" xfId="11847" xr:uid="{E07695D9-F8D9-47EE-85B5-9712E78133A8}"/>
    <cellStyle name="Currency 5 3 2 2 4 3" xfId="5481" xr:uid="{00000000-0005-0000-0000-0000A50C0000}"/>
    <cellStyle name="Currency 5 3 2 2 4 3 2" xfId="13920" xr:uid="{7276C2BB-3DC3-4907-B2CB-52D53925DCC1}"/>
    <cellStyle name="Currency 5 3 2 2 4 4" xfId="9702" xr:uid="{2028B0CA-9176-4FAF-B7F7-3FF8FDE7B5AC}"/>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78" xr:uid="{8724C567-FDB1-45C2-BCA2-AC4B36C38E65}"/>
    <cellStyle name="Currency 5 3 2 2 5 2 3" xfId="12260" xr:uid="{5E837231-A909-4F65-AF52-290083AC9251}"/>
    <cellStyle name="Currency 5 3 2 2 5 3" xfId="5894" xr:uid="{00000000-0005-0000-0000-0000A90C0000}"/>
    <cellStyle name="Currency 5 3 2 2 5 3 2" xfId="14333" xr:uid="{D1F8F956-9CF5-421B-AB15-3309189A9F1C}"/>
    <cellStyle name="Currency 5 3 2 2 5 4" xfId="10115" xr:uid="{3926A522-52E2-4E68-872F-3D296590A1AC}"/>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91" xr:uid="{A47E156D-5BBD-4C14-8884-16884AB640F5}"/>
    <cellStyle name="Currency 5 3 2 2 6 2 3" xfId="12673" xr:uid="{D3FBEFC5-087B-4F1B-8D16-26C124E6220E}"/>
    <cellStyle name="Currency 5 3 2 2 6 3" xfId="6307" xr:uid="{00000000-0005-0000-0000-0000AD0C0000}"/>
    <cellStyle name="Currency 5 3 2 2 6 3 2" xfId="14746" xr:uid="{0539F98B-F46E-45CB-8729-9B6A2BF96284}"/>
    <cellStyle name="Currency 5 3 2 2 6 4" xfId="10528" xr:uid="{43B5A9AD-879A-49C3-B5C9-3E864F93B977}"/>
    <cellStyle name="Currency 5 3 2 2 7" xfId="2435" xr:uid="{00000000-0005-0000-0000-0000AE0C0000}"/>
    <cellStyle name="Currency 5 3 2 2 7 2" xfId="6720" xr:uid="{00000000-0005-0000-0000-0000AF0C0000}"/>
    <cellStyle name="Currency 5 3 2 2 7 2 2" xfId="15159" xr:uid="{27341E0E-749E-4300-871E-58D0E8F3D8E9}"/>
    <cellStyle name="Currency 5 3 2 2 7 3" xfId="10941" xr:uid="{3607BF37-085E-4C43-A543-C2144AB26AA0}"/>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6" xr:uid="{54177055-105F-4599-A00D-A34554208349}"/>
    <cellStyle name="Currency 5 3 2 2 9 3" xfId="11258" xr:uid="{82FE19DD-D148-47D0-950A-2FF28104C4D7}"/>
    <cellStyle name="Currency 5 3 2 3" xfId="213" xr:uid="{00000000-0005-0000-0000-0000B30C0000}"/>
    <cellStyle name="Currency 5 3 2 3 10" xfId="8877" xr:uid="{4010CF49-A637-4D0F-8768-4A25EB4B6E7B}"/>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4" xr:uid="{E7EA5C09-9F5A-4C3C-9A7D-39B0BF71CD12}"/>
    <cellStyle name="Currency 5 3 2 3 2 2 3" xfId="11436" xr:uid="{F0E55407-F092-4024-857C-C66EC6C1C10E}"/>
    <cellStyle name="Currency 5 3 2 3 2 3" xfId="5070" xr:uid="{00000000-0005-0000-0000-0000B70C0000}"/>
    <cellStyle name="Currency 5 3 2 3 2 3 2" xfId="13509" xr:uid="{AB9BAF35-AC33-4E56-B26B-380D127A62AA}"/>
    <cellStyle name="Currency 5 3 2 3 2 4" xfId="9291" xr:uid="{1A133C83-D54D-4B6C-9F6E-A9B13E732B0C}"/>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67" xr:uid="{E666513E-35BB-4913-AA5C-F21BFD319700}"/>
    <cellStyle name="Currency 5 3 2 3 3 2 3" xfId="11849" xr:uid="{11374BA8-7A10-4E4D-BCA0-4BC25C120D79}"/>
    <cellStyle name="Currency 5 3 2 3 3 3" xfId="5483" xr:uid="{00000000-0005-0000-0000-0000BB0C0000}"/>
    <cellStyle name="Currency 5 3 2 3 3 3 2" xfId="13922" xr:uid="{771C1774-EFBB-4CE3-AB38-8233F07E34BE}"/>
    <cellStyle name="Currency 5 3 2 3 3 4" xfId="9704" xr:uid="{1CACB329-03F8-4BE4-9212-E3C2EECFF7B2}"/>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80" xr:uid="{094AE08B-7F56-4D75-9D87-BD3F082F10A4}"/>
    <cellStyle name="Currency 5 3 2 3 4 2 3" xfId="12262" xr:uid="{C4A63CC0-5C2F-4E0A-99D1-3B844713640E}"/>
    <cellStyle name="Currency 5 3 2 3 4 3" xfId="5896" xr:uid="{00000000-0005-0000-0000-0000BF0C0000}"/>
    <cellStyle name="Currency 5 3 2 3 4 3 2" xfId="14335" xr:uid="{EFBFF810-BA35-4497-B744-3FAF49E398DC}"/>
    <cellStyle name="Currency 5 3 2 3 4 4" xfId="10117" xr:uid="{BF6CD3F9-A839-4CB6-A556-92F6E2EEE5F6}"/>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3" xr:uid="{85AD5AED-C58C-4CC9-954E-55756F300D84}"/>
    <cellStyle name="Currency 5 3 2 3 5 2 3" xfId="12675" xr:uid="{3DAB1E9A-A961-4CAB-9737-6AFDDB55E32E}"/>
    <cellStyle name="Currency 5 3 2 3 5 3" xfId="6309" xr:uid="{00000000-0005-0000-0000-0000C30C0000}"/>
    <cellStyle name="Currency 5 3 2 3 5 3 2" xfId="14748" xr:uid="{3DF61FF2-6678-4F18-8520-E8DACB11FDBF}"/>
    <cellStyle name="Currency 5 3 2 3 5 4" xfId="10530" xr:uid="{7511587D-43A9-471B-8683-3F96345AECC7}"/>
    <cellStyle name="Currency 5 3 2 3 6" xfId="2437" xr:uid="{00000000-0005-0000-0000-0000C40C0000}"/>
    <cellStyle name="Currency 5 3 2 3 6 2" xfId="6722" xr:uid="{00000000-0005-0000-0000-0000C50C0000}"/>
    <cellStyle name="Currency 5 3 2 3 6 2 2" xfId="15161" xr:uid="{635F5D7D-1E81-46A4-A4C5-DD3F5CD69A99}"/>
    <cellStyle name="Currency 5 3 2 3 6 3" xfId="10943" xr:uid="{4DFF4AA6-70B6-453C-986C-8B14BE26C128}"/>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78" xr:uid="{B002B792-75EA-4D02-9977-2EB64C511136}"/>
    <cellStyle name="Currency 5 3 2 3 8 3" xfId="11260" xr:uid="{E56982DC-E91C-48C9-9F42-51FCE5415AAB}"/>
    <cellStyle name="Currency 5 3 2 3 9" xfId="4656" xr:uid="{00000000-0005-0000-0000-0000C90C0000}"/>
    <cellStyle name="Currency 5 3 2 3 9 2" xfId="13095" xr:uid="{D9FDD0AA-FB82-4E2C-9518-BB01EF32E8FB}"/>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51" xr:uid="{1A56E459-70DB-4E90-A6BB-78C8926174EC}"/>
    <cellStyle name="Currency 5 3 2 4 2 3" xfId="11433" xr:uid="{426650F2-5C9F-4F31-BD9D-AC667EF4E443}"/>
    <cellStyle name="Currency 5 3 2 4 3" xfId="5067" xr:uid="{00000000-0005-0000-0000-0000CD0C0000}"/>
    <cellStyle name="Currency 5 3 2 4 3 2" xfId="13506" xr:uid="{7BF7B7AF-E97A-419A-9D97-A44B85396610}"/>
    <cellStyle name="Currency 5 3 2 4 4" xfId="9288" xr:uid="{480BF73E-303A-4FB7-969A-24739A35A775}"/>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4" xr:uid="{F234A240-2252-49C3-8DDD-E4ED43850933}"/>
    <cellStyle name="Currency 5 3 2 5 2 3" xfId="11846" xr:uid="{9DF29F21-42BF-41CF-8988-9FEC7D34D4C6}"/>
    <cellStyle name="Currency 5 3 2 5 3" xfId="5480" xr:uid="{00000000-0005-0000-0000-0000D10C0000}"/>
    <cellStyle name="Currency 5 3 2 5 3 2" xfId="13919" xr:uid="{6BC0B834-0975-4B11-8B87-185D96085684}"/>
    <cellStyle name="Currency 5 3 2 5 4" xfId="9701" xr:uid="{9841DC3B-0AB2-40BC-8F21-C81271F65156}"/>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77" xr:uid="{4B0F91B1-F340-4641-8D41-7E0C109C39F6}"/>
    <cellStyle name="Currency 5 3 2 6 2 3" xfId="12259" xr:uid="{2C884896-6567-4125-B853-5A019CC60F79}"/>
    <cellStyle name="Currency 5 3 2 6 3" xfId="5893" xr:uid="{00000000-0005-0000-0000-0000D50C0000}"/>
    <cellStyle name="Currency 5 3 2 6 3 2" xfId="14332" xr:uid="{F3C97278-DD42-4F66-81C1-1C1DFF9ADBE3}"/>
    <cellStyle name="Currency 5 3 2 6 4" xfId="10114" xr:uid="{3EBB1975-D3A3-4705-937D-4D47ACBC28F4}"/>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90" xr:uid="{4CD215F1-525A-4CD4-B447-94263146EC54}"/>
    <cellStyle name="Currency 5 3 2 7 2 3" xfId="12672" xr:uid="{7432FDB8-AC21-4319-9927-0EA0ABD9AE6E}"/>
    <cellStyle name="Currency 5 3 2 7 3" xfId="6306" xr:uid="{00000000-0005-0000-0000-0000D90C0000}"/>
    <cellStyle name="Currency 5 3 2 7 3 2" xfId="14745" xr:uid="{3B0B1FA6-556E-4207-B11B-D6E2233AB0B7}"/>
    <cellStyle name="Currency 5 3 2 7 4" xfId="10527" xr:uid="{4DF55167-9BFA-4058-B36A-FDCDD99512B8}"/>
    <cellStyle name="Currency 5 3 2 8" xfId="2434" xr:uid="{00000000-0005-0000-0000-0000DA0C0000}"/>
    <cellStyle name="Currency 5 3 2 8 2" xfId="6719" xr:uid="{00000000-0005-0000-0000-0000DB0C0000}"/>
    <cellStyle name="Currency 5 3 2 8 2 2" xfId="15158" xr:uid="{1A195EC4-309F-4193-B67E-D66B88D445E3}"/>
    <cellStyle name="Currency 5 3 2 8 3" xfId="10940" xr:uid="{31413B1C-541F-4C45-8197-456F449DC666}"/>
    <cellStyle name="Currency 5 3 2 9" xfId="2731" xr:uid="{00000000-0005-0000-0000-0000DC0C0000}"/>
    <cellStyle name="Currency 5 3 3" xfId="214" xr:uid="{00000000-0005-0000-0000-0000DD0C0000}"/>
    <cellStyle name="Currency 5 3 3 10" xfId="4657" xr:uid="{00000000-0005-0000-0000-0000DE0C0000}"/>
    <cellStyle name="Currency 5 3 3 10 2" xfId="13096" xr:uid="{CA8956D2-4638-4297-AED9-BE435F6BE40A}"/>
    <cellStyle name="Currency 5 3 3 11" xfId="8878" xr:uid="{680FDD06-7B04-4EC1-B2EF-2119C3450881}"/>
    <cellStyle name="Currency 5 3 3 2" xfId="215" xr:uid="{00000000-0005-0000-0000-0000DF0C0000}"/>
    <cellStyle name="Currency 5 3 3 2 10" xfId="8879" xr:uid="{DAFA452A-2ABF-47B4-9E2A-DD8B59425086}"/>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6" xr:uid="{FD84A143-A1E6-407E-A669-BA231696DDE5}"/>
    <cellStyle name="Currency 5 3 3 2 2 2 3" xfId="11438" xr:uid="{EFF86100-2066-48FF-B600-40BB84084612}"/>
    <cellStyle name="Currency 5 3 3 2 2 3" xfId="5072" xr:uid="{00000000-0005-0000-0000-0000E30C0000}"/>
    <cellStyle name="Currency 5 3 3 2 2 3 2" xfId="13511" xr:uid="{E21D4BF7-8914-4447-A233-22CC5B2BC681}"/>
    <cellStyle name="Currency 5 3 3 2 2 4" xfId="9293" xr:uid="{047D2567-4623-4A6E-A115-6B55D400212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69" xr:uid="{CB9966F8-42BA-4A90-B9DF-0FBDFA574DC6}"/>
    <cellStyle name="Currency 5 3 3 2 3 2 3" xfId="11851" xr:uid="{97B5FAB5-AEC8-4DAB-9BD8-1D92F92671E6}"/>
    <cellStyle name="Currency 5 3 3 2 3 3" xfId="5485" xr:uid="{00000000-0005-0000-0000-0000E70C0000}"/>
    <cellStyle name="Currency 5 3 3 2 3 3 2" xfId="13924" xr:uid="{2E0A5403-D45F-4DBC-8D1F-F769D1ADAE8D}"/>
    <cellStyle name="Currency 5 3 3 2 3 4" xfId="9706" xr:uid="{F86117B1-175B-415B-B67B-C0015A264C65}"/>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82" xr:uid="{3A57724E-16B9-45E6-9CEC-0C03A1D7A503}"/>
    <cellStyle name="Currency 5 3 3 2 4 2 3" xfId="12264" xr:uid="{1C2DEF74-C2F4-47A5-96B8-291EE75E1866}"/>
    <cellStyle name="Currency 5 3 3 2 4 3" xfId="5898" xr:uid="{00000000-0005-0000-0000-0000EB0C0000}"/>
    <cellStyle name="Currency 5 3 3 2 4 3 2" xfId="14337" xr:uid="{7B3448E8-1A01-4F06-A769-1C19FAEF07F0}"/>
    <cellStyle name="Currency 5 3 3 2 4 4" xfId="10119" xr:uid="{7214CDDE-3A82-4E2D-A04C-314AE486B0C5}"/>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5" xr:uid="{A669B5CF-276E-488E-93DE-1296A599C8B7}"/>
    <cellStyle name="Currency 5 3 3 2 5 2 3" xfId="12677" xr:uid="{E559289F-773D-49DB-9567-3961B137C4F8}"/>
    <cellStyle name="Currency 5 3 3 2 5 3" xfId="6311" xr:uid="{00000000-0005-0000-0000-0000EF0C0000}"/>
    <cellStyle name="Currency 5 3 3 2 5 3 2" xfId="14750" xr:uid="{4FA222A4-3DE4-4A76-A65F-F3F6FFB22F36}"/>
    <cellStyle name="Currency 5 3 3 2 5 4" xfId="10532" xr:uid="{211522F0-3684-4CD8-A9E2-9CA85B348F8A}"/>
    <cellStyle name="Currency 5 3 3 2 6" xfId="2439" xr:uid="{00000000-0005-0000-0000-0000F00C0000}"/>
    <cellStyle name="Currency 5 3 3 2 6 2" xfId="6724" xr:uid="{00000000-0005-0000-0000-0000F10C0000}"/>
    <cellStyle name="Currency 5 3 3 2 6 2 2" xfId="15163" xr:uid="{AF45CEC4-56C5-48B9-A65C-69FDDDFCF711}"/>
    <cellStyle name="Currency 5 3 3 2 6 3" xfId="10945" xr:uid="{E9BCB644-25E4-4F1B-B5F9-F39E76193229}"/>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80" xr:uid="{A6E5E0B3-59AA-4728-B6B7-232FAF6180A2}"/>
    <cellStyle name="Currency 5 3 3 2 8 3" xfId="11262" xr:uid="{7C4D428A-6CB7-4916-AEE8-3F2A43497162}"/>
    <cellStyle name="Currency 5 3 3 2 9" xfId="4658" xr:uid="{00000000-0005-0000-0000-0000F50C0000}"/>
    <cellStyle name="Currency 5 3 3 2 9 2" xfId="13097" xr:uid="{FBD56F61-BFCB-451D-897C-18331020214F}"/>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5" xr:uid="{EE50D935-5E89-4652-B20D-3C75EBB12B31}"/>
    <cellStyle name="Currency 5 3 3 3 2 3" xfId="11437" xr:uid="{00C42DA0-4DF8-48B8-919E-731AF69E8FA7}"/>
    <cellStyle name="Currency 5 3 3 3 3" xfId="5071" xr:uid="{00000000-0005-0000-0000-0000F90C0000}"/>
    <cellStyle name="Currency 5 3 3 3 3 2" xfId="13510" xr:uid="{BE4F0CE2-4E9D-49C8-938E-D5B580417266}"/>
    <cellStyle name="Currency 5 3 3 3 4" xfId="9292" xr:uid="{992362A2-A537-4F3B-9F0C-04A13FF60CB8}"/>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68" xr:uid="{C97DE49A-F7D3-4B08-A7B9-807F5C4B88A9}"/>
    <cellStyle name="Currency 5 3 3 4 2 3" xfId="11850" xr:uid="{DC87D72F-DB06-4D12-AF6D-A767F4A647FE}"/>
    <cellStyle name="Currency 5 3 3 4 3" xfId="5484" xr:uid="{00000000-0005-0000-0000-0000FD0C0000}"/>
    <cellStyle name="Currency 5 3 3 4 3 2" xfId="13923" xr:uid="{866E431B-516C-4A74-B5DB-48B806363428}"/>
    <cellStyle name="Currency 5 3 3 4 4" xfId="9705" xr:uid="{A961D5FF-3F69-42AA-8EC3-AEDFB5D940BA}"/>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81" xr:uid="{F2EF9EB7-FDF9-4CB2-89A8-8AEA357DD62A}"/>
    <cellStyle name="Currency 5 3 3 5 2 3" xfId="12263" xr:uid="{BF821AB6-467E-47AA-8606-6F66113DDDE8}"/>
    <cellStyle name="Currency 5 3 3 5 3" xfId="5897" xr:uid="{00000000-0005-0000-0000-0000010D0000}"/>
    <cellStyle name="Currency 5 3 3 5 3 2" xfId="14336" xr:uid="{289A341B-02C9-4BDB-AA1F-201BFD60D57B}"/>
    <cellStyle name="Currency 5 3 3 5 4" xfId="10118" xr:uid="{22700951-B917-49A5-8826-6AFF74E35097}"/>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4" xr:uid="{4D6443C5-14DB-46DF-BAA0-5731D9E0B671}"/>
    <cellStyle name="Currency 5 3 3 6 2 3" xfId="12676" xr:uid="{12B88EA9-D99F-4657-B3E8-17C5044AFE17}"/>
    <cellStyle name="Currency 5 3 3 6 3" xfId="6310" xr:uid="{00000000-0005-0000-0000-0000050D0000}"/>
    <cellStyle name="Currency 5 3 3 6 3 2" xfId="14749" xr:uid="{FC269836-78B8-47C3-A574-806623C1A6D4}"/>
    <cellStyle name="Currency 5 3 3 6 4" xfId="10531" xr:uid="{DACFCBB3-75E1-4308-8D5B-B3B2D5FF0430}"/>
    <cellStyle name="Currency 5 3 3 7" xfId="2438" xr:uid="{00000000-0005-0000-0000-0000060D0000}"/>
    <cellStyle name="Currency 5 3 3 7 2" xfId="6723" xr:uid="{00000000-0005-0000-0000-0000070D0000}"/>
    <cellStyle name="Currency 5 3 3 7 2 2" xfId="15162" xr:uid="{53EBE60A-1A5C-4813-8182-7FC930D6F9B4}"/>
    <cellStyle name="Currency 5 3 3 7 3" xfId="10944" xr:uid="{5BFA3F59-93DA-4E62-952D-0D2A978FA2E5}"/>
    <cellStyle name="Currency 5 3 3 8" xfId="2735" xr:uid="{00000000-0005-0000-0000-0000080D0000}"/>
    <cellStyle name="Currency 5 3 3 9" xfId="2816" xr:uid="{00000000-0005-0000-0000-0000090D0000}"/>
    <cellStyle name="Currency 5 3 3 9 2" xfId="7040" xr:uid="{00000000-0005-0000-0000-00000A0D0000}"/>
    <cellStyle name="Currency 5 3 3 9 2 2" xfId="15479" xr:uid="{37186821-5384-4280-BE2B-7E71579212E3}"/>
    <cellStyle name="Currency 5 3 3 9 3" xfId="11261" xr:uid="{629A5832-93CE-4B9A-B161-25C6CBB8C957}"/>
    <cellStyle name="Currency 5 3 4" xfId="216" xr:uid="{00000000-0005-0000-0000-00000B0D0000}"/>
    <cellStyle name="Currency 5 3 4 10" xfId="8880" xr:uid="{25EA2614-360A-4D3D-9EE1-39D8AB6DBA02}"/>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57" xr:uid="{99865F54-D64E-45DC-8A31-8DF04E84B586}"/>
    <cellStyle name="Currency 5 3 4 2 2 3" xfId="11439" xr:uid="{13B0B9F4-E7DF-4173-97B0-1271FBAD3A82}"/>
    <cellStyle name="Currency 5 3 4 2 3" xfId="5073" xr:uid="{00000000-0005-0000-0000-00000F0D0000}"/>
    <cellStyle name="Currency 5 3 4 2 3 2" xfId="13512" xr:uid="{80F51C92-D4FD-49BD-ABE8-40309F49295F}"/>
    <cellStyle name="Currency 5 3 4 2 4" xfId="9294" xr:uid="{0DB0F4E8-A7E1-4BB1-9F7E-71E803DA209A}"/>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70" xr:uid="{9745CA76-C416-49A5-B064-F4083D2936B7}"/>
    <cellStyle name="Currency 5 3 4 3 2 3" xfId="11852" xr:uid="{7A8B58AC-12B4-4A15-9B56-4CB32888A24C}"/>
    <cellStyle name="Currency 5 3 4 3 3" xfId="5486" xr:uid="{00000000-0005-0000-0000-0000130D0000}"/>
    <cellStyle name="Currency 5 3 4 3 3 2" xfId="13925" xr:uid="{52EF5294-E1EF-469F-82D8-9D7E9B38427A}"/>
    <cellStyle name="Currency 5 3 4 3 4" xfId="9707" xr:uid="{67A23552-3274-4EF1-9C53-319193C4306E}"/>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3" xr:uid="{4AC342A9-B9A6-44F3-A5F5-335B6293FBD8}"/>
    <cellStyle name="Currency 5 3 4 4 2 3" xfId="12265" xr:uid="{B8CA96CD-28AE-4834-B38A-E51CC7210D88}"/>
    <cellStyle name="Currency 5 3 4 4 3" xfId="5899" xr:uid="{00000000-0005-0000-0000-0000170D0000}"/>
    <cellStyle name="Currency 5 3 4 4 3 2" xfId="14338" xr:uid="{168FAB64-54F4-4B70-BE8B-6BB549846C5F}"/>
    <cellStyle name="Currency 5 3 4 4 4" xfId="10120" xr:uid="{521A15C4-B671-4302-99AF-8E25FC0A4AD7}"/>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6" xr:uid="{A1AEFA9B-49F3-4F0B-B97E-4DFE159ECA00}"/>
    <cellStyle name="Currency 5 3 4 5 2 3" xfId="12678" xr:uid="{1434CB94-F629-4F4D-B6DE-E78A24A11B82}"/>
    <cellStyle name="Currency 5 3 4 5 3" xfId="6312" xr:uid="{00000000-0005-0000-0000-00001B0D0000}"/>
    <cellStyle name="Currency 5 3 4 5 3 2" xfId="14751" xr:uid="{DA664102-A052-49AD-BE94-E0A974C809AE}"/>
    <cellStyle name="Currency 5 3 4 5 4" xfId="10533" xr:uid="{0E95D388-854D-4ADB-9DDF-436334A83516}"/>
    <cellStyle name="Currency 5 3 4 6" xfId="2440" xr:uid="{00000000-0005-0000-0000-00001C0D0000}"/>
    <cellStyle name="Currency 5 3 4 6 2" xfId="6725" xr:uid="{00000000-0005-0000-0000-00001D0D0000}"/>
    <cellStyle name="Currency 5 3 4 6 2 2" xfId="15164" xr:uid="{68301C6C-3D11-43A1-92AF-3445C40620D0}"/>
    <cellStyle name="Currency 5 3 4 6 3" xfId="10946" xr:uid="{D5872D4A-1C25-4201-8483-0BAA56D874D6}"/>
    <cellStyle name="Currency 5 3 4 7" xfId="2737" xr:uid="{00000000-0005-0000-0000-00001E0D0000}"/>
    <cellStyle name="Currency 5 3 4 8" xfId="2818" xr:uid="{00000000-0005-0000-0000-00001F0D0000}"/>
    <cellStyle name="Currency 5 3 4 8 2" xfId="7042" xr:uid="{00000000-0005-0000-0000-0000200D0000}"/>
    <cellStyle name="Currency 5 3 4 8 2 2" xfId="15481" xr:uid="{EB78E274-665F-495C-94FA-D3490F733199}"/>
    <cellStyle name="Currency 5 3 4 8 3" xfId="11263" xr:uid="{309FE83F-E825-4614-8C94-C278CE226241}"/>
    <cellStyle name="Currency 5 3 4 9" xfId="4659" xr:uid="{00000000-0005-0000-0000-0000210D0000}"/>
    <cellStyle name="Currency 5 3 4 9 2" xfId="13098" xr:uid="{2ECF4543-21B4-4A0E-A75F-34022CF2BDB2}"/>
    <cellStyle name="Currency 5 3 5" xfId="217" xr:uid="{00000000-0005-0000-0000-0000220D0000}"/>
    <cellStyle name="Currency 5 3 5 10" xfId="8881" xr:uid="{E0D4F9E1-4760-4AEA-95F4-E14D2F52739C}"/>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58" xr:uid="{3AD28486-0921-4908-B2B7-5C24DB9F4E14}"/>
    <cellStyle name="Currency 5 3 5 2 2 3" xfId="11440" xr:uid="{AE8F76C0-B771-49E5-82C5-6C056ECEDF7C}"/>
    <cellStyle name="Currency 5 3 5 2 3" xfId="5074" xr:uid="{00000000-0005-0000-0000-0000260D0000}"/>
    <cellStyle name="Currency 5 3 5 2 3 2" xfId="13513" xr:uid="{D5A18E41-73BB-4B30-BB51-1B9F7B17DE1E}"/>
    <cellStyle name="Currency 5 3 5 2 4" xfId="9295" xr:uid="{73CA1DDC-C9EA-4CC2-8C29-4C854F4F0D3F}"/>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71" xr:uid="{3C497483-5B79-473C-9405-90025B4A2163}"/>
    <cellStyle name="Currency 5 3 5 3 2 3" xfId="11853" xr:uid="{999F8275-5FC8-4741-B2B7-72573D6EA458}"/>
    <cellStyle name="Currency 5 3 5 3 3" xfId="5487" xr:uid="{00000000-0005-0000-0000-00002A0D0000}"/>
    <cellStyle name="Currency 5 3 5 3 3 2" xfId="13926" xr:uid="{40A0E28B-EB81-4E8B-A970-E57CFBD00C18}"/>
    <cellStyle name="Currency 5 3 5 3 4" xfId="9708" xr:uid="{38E9CA3F-333A-4568-81CC-1984B379777B}"/>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4" xr:uid="{59750107-551A-4FFB-B7B5-A74F1BA2D8FD}"/>
    <cellStyle name="Currency 5 3 5 4 2 3" xfId="12266" xr:uid="{8A3B07F0-7F84-4C34-97D7-10F4433E130A}"/>
    <cellStyle name="Currency 5 3 5 4 3" xfId="5900" xr:uid="{00000000-0005-0000-0000-00002E0D0000}"/>
    <cellStyle name="Currency 5 3 5 4 3 2" xfId="14339" xr:uid="{566733EE-8822-48D7-B52C-09834F8FECDB}"/>
    <cellStyle name="Currency 5 3 5 4 4" xfId="10121" xr:uid="{C3B1359E-55F1-4930-94FC-D58C3A24D864}"/>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897" xr:uid="{666AC049-4FCC-4D19-ADCE-7FC00FD7548A}"/>
    <cellStyle name="Currency 5 3 5 5 2 3" xfId="12679" xr:uid="{B4F4174B-2026-445E-B989-5D4517FDC8F5}"/>
    <cellStyle name="Currency 5 3 5 5 3" xfId="6313" xr:uid="{00000000-0005-0000-0000-0000320D0000}"/>
    <cellStyle name="Currency 5 3 5 5 3 2" xfId="14752" xr:uid="{01A21495-8807-4AEE-B4C8-343768E4DA60}"/>
    <cellStyle name="Currency 5 3 5 5 4" xfId="10534" xr:uid="{DF998674-BFFF-4A92-9658-669F3E6B41AD}"/>
    <cellStyle name="Currency 5 3 5 6" xfId="2441" xr:uid="{00000000-0005-0000-0000-0000330D0000}"/>
    <cellStyle name="Currency 5 3 5 6 2" xfId="6726" xr:uid="{00000000-0005-0000-0000-0000340D0000}"/>
    <cellStyle name="Currency 5 3 5 6 2 2" xfId="15165" xr:uid="{3053AA19-B8E7-40EE-AB87-FFE607EAF16E}"/>
    <cellStyle name="Currency 5 3 5 6 3" xfId="10947" xr:uid="{9F7C4933-999A-4580-82A4-9B362894BF7A}"/>
    <cellStyle name="Currency 5 3 5 7" xfId="2738" xr:uid="{00000000-0005-0000-0000-0000350D0000}"/>
    <cellStyle name="Currency 5 3 5 8" xfId="2819" xr:uid="{00000000-0005-0000-0000-0000360D0000}"/>
    <cellStyle name="Currency 5 3 5 8 2" xfId="7043" xr:uid="{00000000-0005-0000-0000-0000370D0000}"/>
    <cellStyle name="Currency 5 3 5 8 2 2" xfId="15482" xr:uid="{B729382F-58EA-41AD-ABBC-9A15D53CF69C}"/>
    <cellStyle name="Currency 5 3 5 8 3" xfId="11264" xr:uid="{8AE2ADFB-E45F-4DFB-B111-6BB3D5FE8CA8}"/>
    <cellStyle name="Currency 5 3 5 9" xfId="4660" xr:uid="{00000000-0005-0000-0000-0000380D0000}"/>
    <cellStyle name="Currency 5 3 5 9 2" xfId="13099" xr:uid="{7AA41E08-AC71-415B-B537-96423A9EC7A1}"/>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100" xr:uid="{82C4A7AB-CA0B-4A5F-9D74-EDFC918958F4}"/>
    <cellStyle name="Currency 5 5 11" xfId="8882" xr:uid="{E9B51D87-6901-4650-B5FE-0382212B6161}"/>
    <cellStyle name="Currency 5 5 2" xfId="220" xr:uid="{00000000-0005-0000-0000-00003D0D0000}"/>
    <cellStyle name="Currency 5 5 2 10" xfId="8883" xr:uid="{97E6F94F-CD5B-42D5-8683-AE3E073464F9}"/>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60" xr:uid="{26B72BC1-EFBA-4736-8BD8-140AFD9D756F}"/>
    <cellStyle name="Currency 5 5 2 2 2 3" xfId="11442" xr:uid="{B8521C72-9AD2-4D7E-B3FE-CC7517BA19FF}"/>
    <cellStyle name="Currency 5 5 2 2 3" xfId="5076" xr:uid="{00000000-0005-0000-0000-0000410D0000}"/>
    <cellStyle name="Currency 5 5 2 2 3 2" xfId="13515" xr:uid="{FEF11455-415D-4FF7-BF53-38CC67354CD8}"/>
    <cellStyle name="Currency 5 5 2 2 4" xfId="9297" xr:uid="{8E8A0EBD-3F14-487A-9864-115BF6417344}"/>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3" xr:uid="{EE6C5263-2E42-4271-A145-E0889E994326}"/>
    <cellStyle name="Currency 5 5 2 3 2 3" xfId="11855" xr:uid="{14FEB789-9CB9-4E20-9DE4-D3C1B5E33852}"/>
    <cellStyle name="Currency 5 5 2 3 3" xfId="5489" xr:uid="{00000000-0005-0000-0000-0000450D0000}"/>
    <cellStyle name="Currency 5 5 2 3 3 2" xfId="13928" xr:uid="{27563693-9C6C-40BB-9E06-E39F4B05B7F0}"/>
    <cellStyle name="Currency 5 5 2 3 4" xfId="9710" xr:uid="{C5051526-770B-4685-B76E-C4505434370E}"/>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6" xr:uid="{3F32DBDA-D6E5-49F9-AAAB-671AA09CE7F8}"/>
    <cellStyle name="Currency 5 5 2 4 2 3" xfId="12268" xr:uid="{CAB5D15C-2A17-4893-BB68-390D96B06A89}"/>
    <cellStyle name="Currency 5 5 2 4 3" xfId="5902" xr:uid="{00000000-0005-0000-0000-0000490D0000}"/>
    <cellStyle name="Currency 5 5 2 4 3 2" xfId="14341" xr:uid="{09FF1131-A4F3-4397-9796-449EC0F7A564}"/>
    <cellStyle name="Currency 5 5 2 4 4" xfId="10123" xr:uid="{5CD136B7-CF05-4062-883E-ECE02C8B8904}"/>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899" xr:uid="{0B02D3CB-7746-43A8-98AB-B2F75E07B817}"/>
    <cellStyle name="Currency 5 5 2 5 2 3" xfId="12681" xr:uid="{D24C606C-8FE6-4F63-A1E1-81D70AF83A83}"/>
    <cellStyle name="Currency 5 5 2 5 3" xfId="6315" xr:uid="{00000000-0005-0000-0000-00004D0D0000}"/>
    <cellStyle name="Currency 5 5 2 5 3 2" xfId="14754" xr:uid="{4A1CBE94-DFD9-4236-8C60-DF5DE896D2C9}"/>
    <cellStyle name="Currency 5 5 2 5 4" xfId="10536" xr:uid="{987857C0-F31B-4775-8320-5F13034D2BA6}"/>
    <cellStyle name="Currency 5 5 2 6" xfId="2443" xr:uid="{00000000-0005-0000-0000-00004E0D0000}"/>
    <cellStyle name="Currency 5 5 2 6 2" xfId="6728" xr:uid="{00000000-0005-0000-0000-00004F0D0000}"/>
    <cellStyle name="Currency 5 5 2 6 2 2" xfId="15167" xr:uid="{7EE81036-732B-4660-A3B2-EBE7BD2B33FD}"/>
    <cellStyle name="Currency 5 5 2 6 3" xfId="10949" xr:uid="{695F573B-0D9C-45FB-B3DC-6AAA7EA2B143}"/>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4" xr:uid="{74B9B703-B2A2-4481-8054-EBD847C96F6A}"/>
    <cellStyle name="Currency 5 5 2 8 3" xfId="11266" xr:uid="{40D3C6F4-2200-4935-BBA9-511C60130BEF}"/>
    <cellStyle name="Currency 5 5 2 9" xfId="4662" xr:uid="{00000000-0005-0000-0000-0000530D0000}"/>
    <cellStyle name="Currency 5 5 2 9 2" xfId="13101" xr:uid="{6D2E5AF5-DB0B-4CEA-B57B-2994053BDCE5}"/>
    <cellStyle name="Currency 5 5 3" xfId="745" xr:uid="{00000000-0005-0000-0000-0000540D0000}"/>
    <cellStyle name="Currency 5 5 3 2" xfId="2997" xr:uid="{00000000-0005-0000-0000-0000550D0000}"/>
    <cellStyle name="Currency 5 5 3 2 2" xfId="7220" xr:uid="{00000000-0005-0000-0000-0000560D0000}"/>
    <cellStyle name="Currency 5 5 3 2 2 2" xfId="15659" xr:uid="{386E6B78-0FB3-4E43-A83E-E6CE3067421E}"/>
    <cellStyle name="Currency 5 5 3 2 3" xfId="11441" xr:uid="{37ED5874-39AD-4919-9CF3-7ACE63BC53A3}"/>
    <cellStyle name="Currency 5 5 3 3" xfId="5075" xr:uid="{00000000-0005-0000-0000-0000570D0000}"/>
    <cellStyle name="Currency 5 5 3 3 2" xfId="13514" xr:uid="{A0FF7148-F09E-419F-807C-B587FA252A0F}"/>
    <cellStyle name="Currency 5 5 3 4" xfId="9296" xr:uid="{8CF8FA4F-2C90-42D2-84ED-4BE1921DE422}"/>
    <cellStyle name="Currency 5 5 4" xfId="1179" xr:uid="{00000000-0005-0000-0000-0000580D0000}"/>
    <cellStyle name="Currency 5 5 4 2" xfId="3410" xr:uid="{00000000-0005-0000-0000-0000590D0000}"/>
    <cellStyle name="Currency 5 5 4 2 2" xfId="7633" xr:uid="{00000000-0005-0000-0000-00005A0D0000}"/>
    <cellStyle name="Currency 5 5 4 2 2 2" xfId="16072" xr:uid="{07EE6635-8C9C-4131-999C-B6863A7CA849}"/>
    <cellStyle name="Currency 5 5 4 2 3" xfId="11854" xr:uid="{6FAB0B2D-D9CA-4245-9011-97F19439E11D}"/>
    <cellStyle name="Currency 5 5 4 3" xfId="5488" xr:uid="{00000000-0005-0000-0000-00005B0D0000}"/>
    <cellStyle name="Currency 5 5 4 3 2" xfId="13927" xr:uid="{E4C75399-8E53-4841-BA82-121778E2C329}"/>
    <cellStyle name="Currency 5 5 4 4" xfId="9709" xr:uid="{BE584268-54E6-484B-99D9-38C8B32E841A}"/>
    <cellStyle name="Currency 5 5 5" xfId="1593" xr:uid="{00000000-0005-0000-0000-00005C0D0000}"/>
    <cellStyle name="Currency 5 5 5 2" xfId="3823" xr:uid="{00000000-0005-0000-0000-00005D0D0000}"/>
    <cellStyle name="Currency 5 5 5 2 2" xfId="8046" xr:uid="{00000000-0005-0000-0000-00005E0D0000}"/>
    <cellStyle name="Currency 5 5 5 2 2 2" xfId="16485" xr:uid="{998BE48D-66C4-4DDE-BFB3-0954720AA33C}"/>
    <cellStyle name="Currency 5 5 5 2 3" xfId="12267" xr:uid="{E1E5F4AE-88B9-4554-AB30-A2165DD682B2}"/>
    <cellStyle name="Currency 5 5 5 3" xfId="5901" xr:uid="{00000000-0005-0000-0000-00005F0D0000}"/>
    <cellStyle name="Currency 5 5 5 3 2" xfId="14340" xr:uid="{A41AF3FB-DEE0-4F8C-8913-CD7A28C326E1}"/>
    <cellStyle name="Currency 5 5 5 4" xfId="10122" xr:uid="{0BF5B378-0C9B-4A4F-9042-DA647B003BD7}"/>
    <cellStyle name="Currency 5 5 6" xfId="2007" xr:uid="{00000000-0005-0000-0000-0000600D0000}"/>
    <cellStyle name="Currency 5 5 6 2" xfId="4236" xr:uid="{00000000-0005-0000-0000-0000610D0000}"/>
    <cellStyle name="Currency 5 5 6 2 2" xfId="8459" xr:uid="{00000000-0005-0000-0000-0000620D0000}"/>
    <cellStyle name="Currency 5 5 6 2 2 2" xfId="16898" xr:uid="{3431006E-893F-415D-ABF6-4B1850FC705E}"/>
    <cellStyle name="Currency 5 5 6 2 3" xfId="12680" xr:uid="{86001FF9-2F6E-4424-B205-AFFCF3E45DB8}"/>
    <cellStyle name="Currency 5 5 6 3" xfId="6314" xr:uid="{00000000-0005-0000-0000-0000630D0000}"/>
    <cellStyle name="Currency 5 5 6 3 2" xfId="14753" xr:uid="{6CCBE276-A1AF-4DB5-8D7B-8ECC1107A7E1}"/>
    <cellStyle name="Currency 5 5 6 4" xfId="10535" xr:uid="{9562361B-4954-4F8E-B252-491B8CC48BA0}"/>
    <cellStyle name="Currency 5 5 7" xfId="2442" xr:uid="{00000000-0005-0000-0000-0000640D0000}"/>
    <cellStyle name="Currency 5 5 7 2" xfId="6727" xr:uid="{00000000-0005-0000-0000-0000650D0000}"/>
    <cellStyle name="Currency 5 5 7 2 2" xfId="15166" xr:uid="{3D49C63F-A4C8-40DE-9DE5-617682A37549}"/>
    <cellStyle name="Currency 5 5 7 3" xfId="10948" xr:uid="{799B79BC-7540-46E7-BD0A-6ED41E621044}"/>
    <cellStyle name="Currency 5 5 8" xfId="2739" xr:uid="{00000000-0005-0000-0000-0000660D0000}"/>
    <cellStyle name="Currency 5 5 9" xfId="2820" xr:uid="{00000000-0005-0000-0000-0000670D0000}"/>
    <cellStyle name="Currency 5 5 9 2" xfId="7044" xr:uid="{00000000-0005-0000-0000-0000680D0000}"/>
    <cellStyle name="Currency 5 5 9 2 2" xfId="15483" xr:uid="{61B340D4-4CAA-4851-8ADE-873DA0AE3196}"/>
    <cellStyle name="Currency 5 5 9 3" xfId="11265" xr:uid="{3BB9356C-B6B0-4F23-B238-DB02D979AE51}"/>
    <cellStyle name="Currency 5 6" xfId="221" xr:uid="{00000000-0005-0000-0000-0000690D0000}"/>
    <cellStyle name="Currency 5 6 10" xfId="8884" xr:uid="{E9344EB1-D599-4EAD-B160-120741E44A75}"/>
    <cellStyle name="Currency 5 6 2" xfId="747" xr:uid="{00000000-0005-0000-0000-00006A0D0000}"/>
    <cellStyle name="Currency 5 6 2 2" xfId="2999" xr:uid="{00000000-0005-0000-0000-00006B0D0000}"/>
    <cellStyle name="Currency 5 6 2 2 2" xfId="7222" xr:uid="{00000000-0005-0000-0000-00006C0D0000}"/>
    <cellStyle name="Currency 5 6 2 2 2 2" xfId="15661" xr:uid="{6D728A51-B4CE-415A-9091-047A4DDA69B4}"/>
    <cellStyle name="Currency 5 6 2 2 3" xfId="11443" xr:uid="{AB37FC7A-BF0B-4DAE-BB94-4C0FD1F255E1}"/>
    <cellStyle name="Currency 5 6 2 3" xfId="5077" xr:uid="{00000000-0005-0000-0000-00006D0D0000}"/>
    <cellStyle name="Currency 5 6 2 3 2" xfId="13516" xr:uid="{BC76016B-4653-4ECC-BEF6-4D8A43CF3AFE}"/>
    <cellStyle name="Currency 5 6 2 4" xfId="9298" xr:uid="{60FE4E8F-8423-4D53-9503-AE3221041815}"/>
    <cellStyle name="Currency 5 6 3" xfId="1181" xr:uid="{00000000-0005-0000-0000-00006E0D0000}"/>
    <cellStyle name="Currency 5 6 3 2" xfId="3412" xr:uid="{00000000-0005-0000-0000-00006F0D0000}"/>
    <cellStyle name="Currency 5 6 3 2 2" xfId="7635" xr:uid="{00000000-0005-0000-0000-0000700D0000}"/>
    <cellStyle name="Currency 5 6 3 2 2 2" xfId="16074" xr:uid="{947D9CB7-3A5B-4FFE-B555-4717F7756B2E}"/>
    <cellStyle name="Currency 5 6 3 2 3" xfId="11856" xr:uid="{F089FDF1-6FCF-4AD3-8213-548FC8A3451E}"/>
    <cellStyle name="Currency 5 6 3 3" xfId="5490" xr:uid="{00000000-0005-0000-0000-0000710D0000}"/>
    <cellStyle name="Currency 5 6 3 3 2" xfId="13929" xr:uid="{972FD32B-5293-41C0-AE85-09E25D8E0137}"/>
    <cellStyle name="Currency 5 6 3 4" xfId="9711" xr:uid="{FAB034AF-3ACB-4E95-8880-E421F12BCE36}"/>
    <cellStyle name="Currency 5 6 4" xfId="1595" xr:uid="{00000000-0005-0000-0000-0000720D0000}"/>
    <cellStyle name="Currency 5 6 4 2" xfId="3825" xr:uid="{00000000-0005-0000-0000-0000730D0000}"/>
    <cellStyle name="Currency 5 6 4 2 2" xfId="8048" xr:uid="{00000000-0005-0000-0000-0000740D0000}"/>
    <cellStyle name="Currency 5 6 4 2 2 2" xfId="16487" xr:uid="{2645412D-09CA-4440-9289-F4095BB998E4}"/>
    <cellStyle name="Currency 5 6 4 2 3" xfId="12269" xr:uid="{BABB2AD6-CCA7-4218-B748-9D91CFCDDFBC}"/>
    <cellStyle name="Currency 5 6 4 3" xfId="5903" xr:uid="{00000000-0005-0000-0000-0000750D0000}"/>
    <cellStyle name="Currency 5 6 4 3 2" xfId="14342" xr:uid="{82F5B038-A2A6-4A94-9D70-943E83D7D867}"/>
    <cellStyle name="Currency 5 6 4 4" xfId="10124" xr:uid="{1286C17E-B292-4A44-AAD5-ADFF449E5A7A}"/>
    <cellStyle name="Currency 5 6 5" xfId="2009" xr:uid="{00000000-0005-0000-0000-0000760D0000}"/>
    <cellStyle name="Currency 5 6 5 2" xfId="4238" xr:uid="{00000000-0005-0000-0000-0000770D0000}"/>
    <cellStyle name="Currency 5 6 5 2 2" xfId="8461" xr:uid="{00000000-0005-0000-0000-0000780D0000}"/>
    <cellStyle name="Currency 5 6 5 2 2 2" xfId="16900" xr:uid="{37B0E8AC-B3A6-4E17-AF4B-5E6AB60CD934}"/>
    <cellStyle name="Currency 5 6 5 2 3" xfId="12682" xr:uid="{D4D14BD0-EC59-43EF-8C7C-B9E2063B895B}"/>
    <cellStyle name="Currency 5 6 5 3" xfId="6316" xr:uid="{00000000-0005-0000-0000-0000790D0000}"/>
    <cellStyle name="Currency 5 6 5 3 2" xfId="14755" xr:uid="{336B2897-AF89-4225-A3AE-3D08BC036760}"/>
    <cellStyle name="Currency 5 6 5 4" xfId="10537" xr:uid="{FCBAF163-0240-45A9-9AA9-D4C82107100E}"/>
    <cellStyle name="Currency 5 6 6" xfId="2444" xr:uid="{00000000-0005-0000-0000-00007A0D0000}"/>
    <cellStyle name="Currency 5 6 6 2" xfId="6729" xr:uid="{00000000-0005-0000-0000-00007B0D0000}"/>
    <cellStyle name="Currency 5 6 6 2 2" xfId="15168" xr:uid="{F11150A2-1BD5-4057-9E32-21932991D2CE}"/>
    <cellStyle name="Currency 5 6 6 3" xfId="10950" xr:uid="{B482785B-9749-4273-B83A-98D2F168B03E}"/>
    <cellStyle name="Currency 5 6 7" xfId="2741" xr:uid="{00000000-0005-0000-0000-00007C0D0000}"/>
    <cellStyle name="Currency 5 6 8" xfId="2822" xr:uid="{00000000-0005-0000-0000-00007D0D0000}"/>
    <cellStyle name="Currency 5 6 8 2" xfId="7046" xr:uid="{00000000-0005-0000-0000-00007E0D0000}"/>
    <cellStyle name="Currency 5 6 8 2 2" xfId="15485" xr:uid="{40984446-A218-44FA-A28C-954613760842}"/>
    <cellStyle name="Currency 5 6 8 3" xfId="11267" xr:uid="{F6B5F605-13C1-49A6-A25D-6345D5CAE8F0}"/>
    <cellStyle name="Currency 5 6 9" xfId="4663" xr:uid="{00000000-0005-0000-0000-00007F0D0000}"/>
    <cellStyle name="Currency 5 6 9 2" xfId="13102" xr:uid="{10CC21C4-8EEA-4B46-9657-8BDE7598D70D}"/>
    <cellStyle name="Currency 5 7" xfId="222" xr:uid="{00000000-0005-0000-0000-0000800D0000}"/>
    <cellStyle name="Currency 5 7 10" xfId="8885" xr:uid="{644422BE-8671-4146-8714-CE438A251E26}"/>
    <cellStyle name="Currency 5 7 2" xfId="748" xr:uid="{00000000-0005-0000-0000-0000810D0000}"/>
    <cellStyle name="Currency 5 7 2 2" xfId="3000" xr:uid="{00000000-0005-0000-0000-0000820D0000}"/>
    <cellStyle name="Currency 5 7 2 2 2" xfId="7223" xr:uid="{00000000-0005-0000-0000-0000830D0000}"/>
    <cellStyle name="Currency 5 7 2 2 2 2" xfId="15662" xr:uid="{D09F2C65-9141-497F-B541-E19AB83BE4DB}"/>
    <cellStyle name="Currency 5 7 2 2 3" xfId="11444" xr:uid="{44A4ED2B-71FD-4794-8678-CA575C767B0D}"/>
    <cellStyle name="Currency 5 7 2 3" xfId="5078" xr:uid="{00000000-0005-0000-0000-0000840D0000}"/>
    <cellStyle name="Currency 5 7 2 3 2" xfId="13517" xr:uid="{4300B5C2-7575-4D4D-A489-1E715296BDCE}"/>
    <cellStyle name="Currency 5 7 2 4" xfId="9299" xr:uid="{075E7FA2-6172-4BDF-9046-257D2EC64886}"/>
    <cellStyle name="Currency 5 7 3" xfId="1182" xr:uid="{00000000-0005-0000-0000-0000850D0000}"/>
    <cellStyle name="Currency 5 7 3 2" xfId="3413" xr:uid="{00000000-0005-0000-0000-0000860D0000}"/>
    <cellStyle name="Currency 5 7 3 2 2" xfId="7636" xr:uid="{00000000-0005-0000-0000-0000870D0000}"/>
    <cellStyle name="Currency 5 7 3 2 2 2" xfId="16075" xr:uid="{C11E0F03-B835-4FAE-B352-8B2844720911}"/>
    <cellStyle name="Currency 5 7 3 2 3" xfId="11857" xr:uid="{2E0923F6-61B6-48AC-86D5-FF7755E0F480}"/>
    <cellStyle name="Currency 5 7 3 3" xfId="5491" xr:uid="{00000000-0005-0000-0000-0000880D0000}"/>
    <cellStyle name="Currency 5 7 3 3 2" xfId="13930" xr:uid="{4EA81441-6BED-4834-86FA-FFB054AD3B9B}"/>
    <cellStyle name="Currency 5 7 3 4" xfId="9712" xr:uid="{5250CF90-E075-4541-9667-CD3D3EC0C065}"/>
    <cellStyle name="Currency 5 7 4" xfId="1596" xr:uid="{00000000-0005-0000-0000-0000890D0000}"/>
    <cellStyle name="Currency 5 7 4 2" xfId="3826" xr:uid="{00000000-0005-0000-0000-00008A0D0000}"/>
    <cellStyle name="Currency 5 7 4 2 2" xfId="8049" xr:uid="{00000000-0005-0000-0000-00008B0D0000}"/>
    <cellStyle name="Currency 5 7 4 2 2 2" xfId="16488" xr:uid="{52CBC312-DC90-47A3-B2AE-11652BC3B3E4}"/>
    <cellStyle name="Currency 5 7 4 2 3" xfId="12270" xr:uid="{DDADBE75-BC63-42E5-B0F0-439E11ADAA9E}"/>
    <cellStyle name="Currency 5 7 4 3" xfId="5904" xr:uid="{00000000-0005-0000-0000-00008C0D0000}"/>
    <cellStyle name="Currency 5 7 4 3 2" xfId="14343" xr:uid="{BB935618-079A-43B8-903A-31801FA387EF}"/>
    <cellStyle name="Currency 5 7 4 4" xfId="10125" xr:uid="{B1ACF616-C9A8-4470-AFD6-216608E0240C}"/>
    <cellStyle name="Currency 5 7 5" xfId="2010" xr:uid="{00000000-0005-0000-0000-00008D0D0000}"/>
    <cellStyle name="Currency 5 7 5 2" xfId="4239" xr:uid="{00000000-0005-0000-0000-00008E0D0000}"/>
    <cellStyle name="Currency 5 7 5 2 2" xfId="8462" xr:uid="{00000000-0005-0000-0000-00008F0D0000}"/>
    <cellStyle name="Currency 5 7 5 2 2 2" xfId="16901" xr:uid="{42D5C176-0FB8-4A69-B119-4F74E6474027}"/>
    <cellStyle name="Currency 5 7 5 2 3" xfId="12683" xr:uid="{8FE50927-8854-4FF9-8168-AB409AB6F6B3}"/>
    <cellStyle name="Currency 5 7 5 3" xfId="6317" xr:uid="{00000000-0005-0000-0000-0000900D0000}"/>
    <cellStyle name="Currency 5 7 5 3 2" xfId="14756" xr:uid="{79462D7D-A787-4A9B-A8E6-5C159A8C35D4}"/>
    <cellStyle name="Currency 5 7 5 4" xfId="10538" xr:uid="{AB1523AB-C85B-49FC-97FC-660801F9AF9B}"/>
    <cellStyle name="Currency 5 7 6" xfId="2445" xr:uid="{00000000-0005-0000-0000-0000910D0000}"/>
    <cellStyle name="Currency 5 7 6 2" xfId="6730" xr:uid="{00000000-0005-0000-0000-0000920D0000}"/>
    <cellStyle name="Currency 5 7 6 2 2" xfId="15169" xr:uid="{D1AEDA0E-D742-4897-909F-9A76FE7CFB3C}"/>
    <cellStyle name="Currency 5 7 6 3" xfId="10951" xr:uid="{ACF541C8-9DAC-4EFF-9143-2F651EC3F08A}"/>
    <cellStyle name="Currency 5 7 7" xfId="2742" xr:uid="{00000000-0005-0000-0000-0000930D0000}"/>
    <cellStyle name="Currency 5 7 8" xfId="2823" xr:uid="{00000000-0005-0000-0000-0000940D0000}"/>
    <cellStyle name="Currency 5 7 8 2" xfId="7047" xr:uid="{00000000-0005-0000-0000-0000950D0000}"/>
    <cellStyle name="Currency 5 7 8 2 2" xfId="15486" xr:uid="{007D8C82-791E-4FA7-98E6-0D14EC22B782}"/>
    <cellStyle name="Currency 5 7 8 3" xfId="11268" xr:uid="{9EDD4D22-DCCC-4E4D-94C9-905B0B3F0CDD}"/>
    <cellStyle name="Currency 5 7 9" xfId="4664" xr:uid="{00000000-0005-0000-0000-0000960D0000}"/>
    <cellStyle name="Currency 5 7 9 2" xfId="13103" xr:uid="{D094517C-0BBB-4A91-9F8E-8AF064C047EE}"/>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15170" xr:uid="{B20E30DF-4D78-4EB7-B9BF-62A4EBD61B00}"/>
    <cellStyle name="Normal 12 10 3" xfId="10952" xr:uid="{8F74CEA7-C221-4867-8D9E-770C0A3B6A27}"/>
    <cellStyle name="Normal 12 11" xfId="4665" xr:uid="{00000000-0005-0000-0000-0000CC0D0000}"/>
    <cellStyle name="Normal 12 11 2" xfId="13104" xr:uid="{9FB8B536-1CAC-4719-B7DC-67057C2B60AD}"/>
    <cellStyle name="Normal 12 12" xfId="8886" xr:uid="{C0B245E1-2182-470D-834A-D0A6F4543EC3}"/>
    <cellStyle name="Normal 12 2" xfId="260" xr:uid="{00000000-0005-0000-0000-0000CD0D0000}"/>
    <cellStyle name="Normal 12 2 10" xfId="8887" xr:uid="{CBE94828-89E1-4E3A-98DC-9825802E7CDC}"/>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6" xr:uid="{5E246FCC-03CD-4EA2-87E4-697972994737}"/>
    <cellStyle name="Normal 12 2 2 2 2 2 3" xfId="11448" xr:uid="{33383E8F-C6B1-4F82-BF34-BDA5D7544E91}"/>
    <cellStyle name="Normal 12 2 2 2 2 3" xfId="5082" xr:uid="{00000000-0005-0000-0000-0000D30D0000}"/>
    <cellStyle name="Normal 12 2 2 2 2 3 2" xfId="13521" xr:uid="{DE89CA02-C2CB-4F58-814D-C2EEC1FCA205}"/>
    <cellStyle name="Normal 12 2 2 2 2 4" xfId="9303" xr:uid="{3B227230-3EA6-4F4D-984D-2D535F8C5D30}"/>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79" xr:uid="{E2982354-E2D1-4C5D-AEBC-BB8EDECA3E70}"/>
    <cellStyle name="Normal 12 2 2 2 3 2 3" xfId="11861" xr:uid="{2D38F95A-61A1-4446-8109-954146B24F0C}"/>
    <cellStyle name="Normal 12 2 2 2 3 3" xfId="5495" xr:uid="{00000000-0005-0000-0000-0000D70D0000}"/>
    <cellStyle name="Normal 12 2 2 2 3 3 2" xfId="13934" xr:uid="{B810F149-643F-48AA-BC32-53D8DF7F2E24}"/>
    <cellStyle name="Normal 12 2 2 2 3 4" xfId="9716" xr:uid="{823FE87F-05D7-4231-AD9F-53C13BCB34E3}"/>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92" xr:uid="{0799E682-B433-4FA2-B3AC-70F973122173}"/>
    <cellStyle name="Normal 12 2 2 2 4 2 3" xfId="12274" xr:uid="{62C88B62-32D2-48D2-B770-6DC51BEC9CF6}"/>
    <cellStyle name="Normal 12 2 2 2 4 3" xfId="5908" xr:uid="{00000000-0005-0000-0000-0000DB0D0000}"/>
    <cellStyle name="Normal 12 2 2 2 4 3 2" xfId="14347" xr:uid="{24C964B6-90C4-45E5-A9CB-16D72745545D}"/>
    <cellStyle name="Normal 12 2 2 2 4 4" xfId="10129" xr:uid="{D69C5436-3B12-4C81-AAF4-D2ECADEBEC29}"/>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5" xr:uid="{91B17B6F-A96D-473E-8736-2DD13D8E19AE}"/>
    <cellStyle name="Normal 12 2 2 2 5 2 3" xfId="12687" xr:uid="{E074DBAE-3EE4-4955-A71A-D9F62B1D7E28}"/>
    <cellStyle name="Normal 12 2 2 2 5 3" xfId="6321" xr:uid="{00000000-0005-0000-0000-0000DF0D0000}"/>
    <cellStyle name="Normal 12 2 2 2 5 3 2" xfId="14760" xr:uid="{5D0FA929-E318-42A8-BD2D-1AA303C5D495}"/>
    <cellStyle name="Normal 12 2 2 2 5 4" xfId="10542" xr:uid="{A1EA28A3-E725-465C-B6ED-61330C4300CF}"/>
    <cellStyle name="Normal 12 2 2 2 6" xfId="2450" xr:uid="{00000000-0005-0000-0000-0000E00D0000}"/>
    <cellStyle name="Normal 12 2 2 2 6 2" xfId="6734" xr:uid="{00000000-0005-0000-0000-0000E10D0000}"/>
    <cellStyle name="Normal 12 2 2 2 6 2 2" xfId="15173" xr:uid="{5B2C8345-A447-4D09-97C8-D7E3F8CED4F8}"/>
    <cellStyle name="Normal 12 2 2 2 6 3" xfId="10955" xr:uid="{7D91D272-A0B9-4459-92F8-9D4ED9F8E7B2}"/>
    <cellStyle name="Normal 12 2 2 2 7" xfId="4668" xr:uid="{00000000-0005-0000-0000-0000E20D0000}"/>
    <cellStyle name="Normal 12 2 2 2 7 2" xfId="13107" xr:uid="{8E9694DE-F9F4-446D-A4DF-FD2122EB6829}"/>
    <cellStyle name="Normal 12 2 2 2 8" xfId="8889" xr:uid="{ED42E088-25A1-425F-B3DD-E5121BB24C8C}"/>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5" xr:uid="{8F03D193-C0C8-4141-BAA0-82D2A413D780}"/>
    <cellStyle name="Normal 12 2 2 3 2 3" xfId="11447" xr:uid="{FCBCE565-A6A1-429F-809F-64473C5CA10B}"/>
    <cellStyle name="Normal 12 2 2 3 3" xfId="5081" xr:uid="{00000000-0005-0000-0000-0000E60D0000}"/>
    <cellStyle name="Normal 12 2 2 3 3 2" xfId="13520" xr:uid="{90D7754D-E3B1-4FC0-9E3C-558A69D5AD63}"/>
    <cellStyle name="Normal 12 2 2 3 4" xfId="9302" xr:uid="{2C6B46A9-8E3D-4410-A23D-7B03159575D8}"/>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78" xr:uid="{F68AB112-720B-4169-AD6E-A5AD0851F6BE}"/>
    <cellStyle name="Normal 12 2 2 4 2 3" xfId="11860" xr:uid="{361F6D34-8E3F-4AB5-B89E-2584AC197175}"/>
    <cellStyle name="Normal 12 2 2 4 3" xfId="5494" xr:uid="{00000000-0005-0000-0000-0000EA0D0000}"/>
    <cellStyle name="Normal 12 2 2 4 3 2" xfId="13933" xr:uid="{5E903D7E-35D8-4C67-8196-F19C7621D76A}"/>
    <cellStyle name="Normal 12 2 2 4 4" xfId="9715" xr:uid="{1225EA19-2A25-4A32-A8EA-C5CFEB62EA99}"/>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91" xr:uid="{A8B34FB5-58E4-40DF-9DB0-044383BFB09B}"/>
    <cellStyle name="Normal 12 2 2 5 2 3" xfId="12273" xr:uid="{D5AADD2C-A1A0-4CF5-9581-A987B09949C9}"/>
    <cellStyle name="Normal 12 2 2 5 3" xfId="5907" xr:uid="{00000000-0005-0000-0000-0000EE0D0000}"/>
    <cellStyle name="Normal 12 2 2 5 3 2" xfId="14346" xr:uid="{08098C72-9847-4CD1-A6A0-2A55FC97AF3E}"/>
    <cellStyle name="Normal 12 2 2 5 4" xfId="10128" xr:uid="{F339EDD6-76ED-40F1-82F7-869346ECE62A}"/>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4" xr:uid="{A850CB06-DEDC-4551-BB1E-D7DADE6BDD69}"/>
    <cellStyle name="Normal 12 2 2 6 2 3" xfId="12686" xr:uid="{8D0C332D-34B4-4C6E-BB99-2293DF320C30}"/>
    <cellStyle name="Normal 12 2 2 6 3" xfId="6320" xr:uid="{00000000-0005-0000-0000-0000F20D0000}"/>
    <cellStyle name="Normal 12 2 2 6 3 2" xfId="14759" xr:uid="{80AD17D9-6D16-4FDB-B1BE-6292C2ACDE4B}"/>
    <cellStyle name="Normal 12 2 2 6 4" xfId="10541" xr:uid="{FE38D244-DA75-4E0C-A9C5-C67410CF72C7}"/>
    <cellStyle name="Normal 12 2 2 7" xfId="2449" xr:uid="{00000000-0005-0000-0000-0000F30D0000}"/>
    <cellStyle name="Normal 12 2 2 7 2" xfId="6733" xr:uid="{00000000-0005-0000-0000-0000F40D0000}"/>
    <cellStyle name="Normal 12 2 2 7 2 2" xfId="15172" xr:uid="{E0911B52-6624-46EF-B563-9C6080F035B7}"/>
    <cellStyle name="Normal 12 2 2 7 3" xfId="10954" xr:uid="{0C87F4C1-A01E-4A78-A2A3-FA779C415E62}"/>
    <cellStyle name="Normal 12 2 2 8" xfId="4667" xr:uid="{00000000-0005-0000-0000-0000F50D0000}"/>
    <cellStyle name="Normal 12 2 2 8 2" xfId="13106" xr:uid="{7F62B4DF-576E-4974-92E6-986AB666F424}"/>
    <cellStyle name="Normal 12 2 2 9" xfId="8888" xr:uid="{7E411488-8ECF-4BF3-B023-A1D7C3B9A2DD}"/>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67" xr:uid="{658E0E73-DE2B-4644-9FCD-134FA68AA9F0}"/>
    <cellStyle name="Normal 12 2 3 2 2 3" xfId="11449" xr:uid="{B80AED08-EB9A-4535-87E1-62FC94CF9B80}"/>
    <cellStyle name="Normal 12 2 3 2 3" xfId="5083" xr:uid="{00000000-0005-0000-0000-0000FA0D0000}"/>
    <cellStyle name="Normal 12 2 3 2 3 2" xfId="13522" xr:uid="{F4A716CF-6D4E-4058-9964-4FBFEDE9B8CD}"/>
    <cellStyle name="Normal 12 2 3 2 4" xfId="9304" xr:uid="{5E41BC47-FFF2-4DD2-861E-F9AFB69A8460}"/>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80" xr:uid="{EC80E959-DC45-4300-BFBD-EC502A16B249}"/>
    <cellStyle name="Normal 12 2 3 3 2 3" xfId="11862" xr:uid="{B9DD6865-B39E-4D74-9FBA-81D572B9E0A2}"/>
    <cellStyle name="Normal 12 2 3 3 3" xfId="5496" xr:uid="{00000000-0005-0000-0000-0000FE0D0000}"/>
    <cellStyle name="Normal 12 2 3 3 3 2" xfId="13935" xr:uid="{094284FE-3100-46DC-9C90-32335696D947}"/>
    <cellStyle name="Normal 12 2 3 3 4" xfId="9717" xr:uid="{93CE05C0-993F-4C24-AED8-6CD2E16BFB8C}"/>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3" xr:uid="{227C2082-58B6-4813-BAD3-EB69876E8AD7}"/>
    <cellStyle name="Normal 12 2 3 4 2 3" xfId="12275" xr:uid="{1F9699F2-BFB4-45C5-9F5C-93D04C04BD34}"/>
    <cellStyle name="Normal 12 2 3 4 3" xfId="5909" xr:uid="{00000000-0005-0000-0000-0000020E0000}"/>
    <cellStyle name="Normal 12 2 3 4 3 2" xfId="14348" xr:uid="{83386BE9-3D47-41CF-950F-09F4EB1FEC08}"/>
    <cellStyle name="Normal 12 2 3 4 4" xfId="10130" xr:uid="{6FC3C911-CCFA-4CE9-8D41-5AF81579BE67}"/>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6" xr:uid="{996032DE-46A8-4D2B-BD0C-E5DFF8626637}"/>
    <cellStyle name="Normal 12 2 3 5 2 3" xfId="12688" xr:uid="{5BF481DE-BC33-4E31-9A87-AC9F8D14F9C8}"/>
    <cellStyle name="Normal 12 2 3 5 3" xfId="6322" xr:uid="{00000000-0005-0000-0000-0000060E0000}"/>
    <cellStyle name="Normal 12 2 3 5 3 2" xfId="14761" xr:uid="{1A9199B4-8FE6-47B2-8C24-73260F25FDD2}"/>
    <cellStyle name="Normal 12 2 3 5 4" xfId="10543" xr:uid="{6BEDB99D-99A1-45C5-92A7-3D1BBAE59F93}"/>
    <cellStyle name="Normal 12 2 3 6" xfId="2451" xr:uid="{00000000-0005-0000-0000-0000070E0000}"/>
    <cellStyle name="Normal 12 2 3 6 2" xfId="6735" xr:uid="{00000000-0005-0000-0000-0000080E0000}"/>
    <cellStyle name="Normal 12 2 3 6 2 2" xfId="15174" xr:uid="{5B569328-B7AB-4E0B-BCBA-046A5C4969A6}"/>
    <cellStyle name="Normal 12 2 3 6 3" xfId="10956" xr:uid="{431FC89E-14A0-4916-91DD-9F54B53F72A8}"/>
    <cellStyle name="Normal 12 2 3 7" xfId="4669" xr:uid="{00000000-0005-0000-0000-0000090E0000}"/>
    <cellStyle name="Normal 12 2 3 7 2" xfId="13108" xr:uid="{9D7C3BD1-AB8D-4A98-BF4E-E2EE5923CA4F}"/>
    <cellStyle name="Normal 12 2 3 8" xfId="8890" xr:uid="{ABE83DAD-1094-46D8-BD2B-E9D82E220047}"/>
    <cellStyle name="Normal 12 2 4" xfId="761" xr:uid="{00000000-0005-0000-0000-00000A0E0000}"/>
    <cellStyle name="Normal 12 2 4 2" xfId="3002" xr:uid="{00000000-0005-0000-0000-00000B0E0000}"/>
    <cellStyle name="Normal 12 2 4 2 2" xfId="7225" xr:uid="{00000000-0005-0000-0000-00000C0E0000}"/>
    <cellStyle name="Normal 12 2 4 2 2 2" xfId="15664" xr:uid="{8BAE3FAC-B6B8-4319-BCB5-8EE87E86454E}"/>
    <cellStyle name="Normal 12 2 4 2 3" xfId="11446" xr:uid="{4BAFEA7D-1AFC-4BB0-B173-851E61A5449D}"/>
    <cellStyle name="Normal 12 2 4 3" xfId="5080" xr:uid="{00000000-0005-0000-0000-00000D0E0000}"/>
    <cellStyle name="Normal 12 2 4 3 2" xfId="13519" xr:uid="{804108AE-FDE0-48CC-8C05-94D3E915B01E}"/>
    <cellStyle name="Normal 12 2 4 4" xfId="9301" xr:uid="{2B241311-B8C3-4FE3-B50F-F99B180BA422}"/>
    <cellStyle name="Normal 12 2 5" xfId="1184" xr:uid="{00000000-0005-0000-0000-00000E0E0000}"/>
    <cellStyle name="Normal 12 2 5 2" xfId="3415" xr:uid="{00000000-0005-0000-0000-00000F0E0000}"/>
    <cellStyle name="Normal 12 2 5 2 2" xfId="7638" xr:uid="{00000000-0005-0000-0000-0000100E0000}"/>
    <cellStyle name="Normal 12 2 5 2 2 2" xfId="16077" xr:uid="{EAC8C9F5-0D04-4DA9-932D-D5C2AFA62634}"/>
    <cellStyle name="Normal 12 2 5 2 3" xfId="11859" xr:uid="{16B6848B-5E72-4BD5-A83C-BD85B6CF7F61}"/>
    <cellStyle name="Normal 12 2 5 3" xfId="5493" xr:uid="{00000000-0005-0000-0000-0000110E0000}"/>
    <cellStyle name="Normal 12 2 5 3 2" xfId="13932" xr:uid="{798CB2E5-9147-4AE8-95C3-46A9B56EE504}"/>
    <cellStyle name="Normal 12 2 5 4" xfId="9714" xr:uid="{F034937E-6624-406F-A015-3D9EABE2DE27}"/>
    <cellStyle name="Normal 12 2 6" xfId="1598" xr:uid="{00000000-0005-0000-0000-0000120E0000}"/>
    <cellStyle name="Normal 12 2 6 2" xfId="3828" xr:uid="{00000000-0005-0000-0000-0000130E0000}"/>
    <cellStyle name="Normal 12 2 6 2 2" xfId="8051" xr:uid="{00000000-0005-0000-0000-0000140E0000}"/>
    <cellStyle name="Normal 12 2 6 2 2 2" xfId="16490" xr:uid="{10E70231-A901-4EBC-91F7-8A4DAC641BF2}"/>
    <cellStyle name="Normal 12 2 6 2 3" xfId="12272" xr:uid="{A1DA1436-1A38-49F7-83C6-64D2934F2AA6}"/>
    <cellStyle name="Normal 12 2 6 3" xfId="5906" xr:uid="{00000000-0005-0000-0000-0000150E0000}"/>
    <cellStyle name="Normal 12 2 6 3 2" xfId="14345" xr:uid="{9BFB7D94-140E-4394-9BC8-15BA86E25495}"/>
    <cellStyle name="Normal 12 2 6 4" xfId="10127" xr:uid="{8BF6BB0C-7734-48B4-B279-BFA97947BF4C}"/>
    <cellStyle name="Normal 12 2 7" xfId="2012" xr:uid="{00000000-0005-0000-0000-0000160E0000}"/>
    <cellStyle name="Normal 12 2 7 2" xfId="4241" xr:uid="{00000000-0005-0000-0000-0000170E0000}"/>
    <cellStyle name="Normal 12 2 7 2 2" xfId="8464" xr:uid="{00000000-0005-0000-0000-0000180E0000}"/>
    <cellStyle name="Normal 12 2 7 2 2 2" xfId="16903" xr:uid="{9BD54EB8-67F8-4CC0-B1F2-7C6B418C3184}"/>
    <cellStyle name="Normal 12 2 7 2 3" xfId="12685" xr:uid="{0FC652EF-620D-443B-BCE3-1D3846EE6602}"/>
    <cellStyle name="Normal 12 2 7 3" xfId="6319" xr:uid="{00000000-0005-0000-0000-0000190E0000}"/>
    <cellStyle name="Normal 12 2 7 3 2" xfId="14758" xr:uid="{7D75BABC-5F71-40FC-8B33-408C23CAFD1F}"/>
    <cellStyle name="Normal 12 2 7 4" xfId="10540" xr:uid="{FCE15F0C-5396-418B-AD9D-BC930FCB2085}"/>
    <cellStyle name="Normal 12 2 8" xfId="2448" xr:uid="{00000000-0005-0000-0000-00001A0E0000}"/>
    <cellStyle name="Normal 12 2 8 2" xfId="6732" xr:uid="{00000000-0005-0000-0000-00001B0E0000}"/>
    <cellStyle name="Normal 12 2 8 2 2" xfId="15171" xr:uid="{7B121186-280E-4A15-96F5-51BB4EEED441}"/>
    <cellStyle name="Normal 12 2 8 3" xfId="10953" xr:uid="{3ED609AB-73A1-4451-A3E7-7C888DB4A722}"/>
    <cellStyle name="Normal 12 2 9" xfId="4666" xr:uid="{00000000-0005-0000-0000-00001C0E0000}"/>
    <cellStyle name="Normal 12 2 9 2" xfId="13105" xr:uid="{442F7472-1F1E-49DC-9B02-69E6116102B2}"/>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69" xr:uid="{BAAF45D6-F1B8-4A7F-8535-63B5F60F0FF5}"/>
    <cellStyle name="Normal 12 3 2 2 2 3" xfId="11451" xr:uid="{0472B1E8-22D9-4258-B1FB-87648D5ACCE4}"/>
    <cellStyle name="Normal 12 3 2 2 3" xfId="5085" xr:uid="{00000000-0005-0000-0000-0000220E0000}"/>
    <cellStyle name="Normal 12 3 2 2 3 2" xfId="13524" xr:uid="{1BA9D682-23EF-4E2B-ABDA-0304E6F54C2E}"/>
    <cellStyle name="Normal 12 3 2 2 4" xfId="9306" xr:uid="{B8230418-D494-4647-9FF6-2562B35F1AA4}"/>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82" xr:uid="{88BA3C53-A30D-4D48-9D2E-71550D5C5CFD}"/>
    <cellStyle name="Normal 12 3 2 3 2 3" xfId="11864" xr:uid="{A714A92A-D4D5-462F-BDC7-82CBEA300714}"/>
    <cellStyle name="Normal 12 3 2 3 3" xfId="5498" xr:uid="{00000000-0005-0000-0000-0000260E0000}"/>
    <cellStyle name="Normal 12 3 2 3 3 2" xfId="13937" xr:uid="{9E5AB316-4D98-430C-9713-7F4D90215E5A}"/>
    <cellStyle name="Normal 12 3 2 3 4" xfId="9719" xr:uid="{3540F2E7-4DDA-4B57-BF57-38DEDB1CC7A2}"/>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5" xr:uid="{48A6C898-2158-409C-AD6E-7278BEC48FE1}"/>
    <cellStyle name="Normal 12 3 2 4 2 3" xfId="12277" xr:uid="{3E56E918-7430-414E-BA47-20AA99D1345E}"/>
    <cellStyle name="Normal 12 3 2 4 3" xfId="5911" xr:uid="{00000000-0005-0000-0000-00002A0E0000}"/>
    <cellStyle name="Normal 12 3 2 4 3 2" xfId="14350" xr:uid="{20451FC1-64DC-4FD5-AEEB-E9E3C50B3AD9}"/>
    <cellStyle name="Normal 12 3 2 4 4" xfId="10132" xr:uid="{ABFBBF50-E33B-47FC-ACDF-BA3251856942}"/>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08" xr:uid="{5B715B40-8930-476F-B8C0-5CB0E085F54C}"/>
    <cellStyle name="Normal 12 3 2 5 2 3" xfId="12690" xr:uid="{03FCC434-136C-450A-A1BB-3ABCE3722AC3}"/>
    <cellStyle name="Normal 12 3 2 5 3" xfId="6324" xr:uid="{00000000-0005-0000-0000-00002E0E0000}"/>
    <cellStyle name="Normal 12 3 2 5 3 2" xfId="14763" xr:uid="{B824620E-5617-4506-9DCC-F798C5EC22EE}"/>
    <cellStyle name="Normal 12 3 2 5 4" xfId="10545" xr:uid="{3A32DF21-9BF0-41D6-84DE-7A83EC2F9E9E}"/>
    <cellStyle name="Normal 12 3 2 6" xfId="2453" xr:uid="{00000000-0005-0000-0000-00002F0E0000}"/>
    <cellStyle name="Normal 12 3 2 6 2" xfId="6737" xr:uid="{00000000-0005-0000-0000-0000300E0000}"/>
    <cellStyle name="Normal 12 3 2 6 2 2" xfId="15176" xr:uid="{8AB1CCC5-AC7F-4BBC-AA0C-4EA736FD72A6}"/>
    <cellStyle name="Normal 12 3 2 6 3" xfId="10958" xr:uid="{AF7B6D5E-20AA-4347-8C77-368893E8421E}"/>
    <cellStyle name="Normal 12 3 2 7" xfId="4671" xr:uid="{00000000-0005-0000-0000-0000310E0000}"/>
    <cellStyle name="Normal 12 3 2 7 2" xfId="13110" xr:uid="{38D5BE50-074F-4FFC-92C5-E5EBA5AFE398}"/>
    <cellStyle name="Normal 12 3 2 8" xfId="8892" xr:uid="{3D95508D-2B23-4836-B9B7-FB1E6A0B50B9}"/>
    <cellStyle name="Normal 12 3 3" xfId="765" xr:uid="{00000000-0005-0000-0000-0000320E0000}"/>
    <cellStyle name="Normal 12 3 3 2" xfId="3006" xr:uid="{00000000-0005-0000-0000-0000330E0000}"/>
    <cellStyle name="Normal 12 3 3 2 2" xfId="7229" xr:uid="{00000000-0005-0000-0000-0000340E0000}"/>
    <cellStyle name="Normal 12 3 3 2 2 2" xfId="15668" xr:uid="{A8589EE6-22E8-4E38-8EB0-B0B8C7ED3601}"/>
    <cellStyle name="Normal 12 3 3 2 3" xfId="11450" xr:uid="{5055025A-E9A0-433A-9ED9-029B0A1AA4F5}"/>
    <cellStyle name="Normal 12 3 3 3" xfId="5084" xr:uid="{00000000-0005-0000-0000-0000350E0000}"/>
    <cellStyle name="Normal 12 3 3 3 2" xfId="13523" xr:uid="{ED7A9CEC-9B4D-4651-B6FE-E2D7E3FD53D2}"/>
    <cellStyle name="Normal 12 3 3 4" xfId="9305" xr:uid="{7C7A766D-FBDD-47EE-A068-EC62C5ED9392}"/>
    <cellStyle name="Normal 12 3 4" xfId="1188" xr:uid="{00000000-0005-0000-0000-0000360E0000}"/>
    <cellStyle name="Normal 12 3 4 2" xfId="3419" xr:uid="{00000000-0005-0000-0000-0000370E0000}"/>
    <cellStyle name="Normal 12 3 4 2 2" xfId="7642" xr:uid="{00000000-0005-0000-0000-0000380E0000}"/>
    <cellStyle name="Normal 12 3 4 2 2 2" xfId="16081" xr:uid="{E9F9BDE4-AC5B-4206-AA74-327197E9E03A}"/>
    <cellStyle name="Normal 12 3 4 2 3" xfId="11863" xr:uid="{056F8D94-8EFC-492F-8892-A0AA798DEE79}"/>
    <cellStyle name="Normal 12 3 4 3" xfId="5497" xr:uid="{00000000-0005-0000-0000-0000390E0000}"/>
    <cellStyle name="Normal 12 3 4 3 2" xfId="13936" xr:uid="{56AE6C83-B069-4F99-86D1-DE13EFB51F10}"/>
    <cellStyle name="Normal 12 3 4 4" xfId="9718" xr:uid="{141A6495-C8C4-4C17-99F0-6BAACE9D4614}"/>
    <cellStyle name="Normal 12 3 5" xfId="1602" xr:uid="{00000000-0005-0000-0000-00003A0E0000}"/>
    <cellStyle name="Normal 12 3 5 2" xfId="3832" xr:uid="{00000000-0005-0000-0000-00003B0E0000}"/>
    <cellStyle name="Normal 12 3 5 2 2" xfId="8055" xr:uid="{00000000-0005-0000-0000-00003C0E0000}"/>
    <cellStyle name="Normal 12 3 5 2 2 2" xfId="16494" xr:uid="{7A3EA8B1-1145-4A82-AF46-25F61E36707D}"/>
    <cellStyle name="Normal 12 3 5 2 3" xfId="12276" xr:uid="{06F16500-3321-4F5C-89C5-A9CFDDE9D7CE}"/>
    <cellStyle name="Normal 12 3 5 3" xfId="5910" xr:uid="{00000000-0005-0000-0000-00003D0E0000}"/>
    <cellStyle name="Normal 12 3 5 3 2" xfId="14349" xr:uid="{EEDC6442-BE73-46ED-923D-6CE0E7AE9941}"/>
    <cellStyle name="Normal 12 3 5 4" xfId="10131" xr:uid="{927C31FE-2554-46BC-81CA-E8D8EE25FDEE}"/>
    <cellStyle name="Normal 12 3 6" xfId="2016" xr:uid="{00000000-0005-0000-0000-00003E0E0000}"/>
    <cellStyle name="Normal 12 3 6 2" xfId="4245" xr:uid="{00000000-0005-0000-0000-00003F0E0000}"/>
    <cellStyle name="Normal 12 3 6 2 2" xfId="8468" xr:uid="{00000000-0005-0000-0000-0000400E0000}"/>
    <cellStyle name="Normal 12 3 6 2 2 2" xfId="16907" xr:uid="{1A245F36-7685-4F95-B4E8-7DF50ECB8BD0}"/>
    <cellStyle name="Normal 12 3 6 2 3" xfId="12689" xr:uid="{4B47BF64-D006-40DB-8608-E2868C19E501}"/>
    <cellStyle name="Normal 12 3 6 3" xfId="6323" xr:uid="{00000000-0005-0000-0000-0000410E0000}"/>
    <cellStyle name="Normal 12 3 6 3 2" xfId="14762" xr:uid="{AD3F3E26-EC6D-4A52-91B7-38A8B7CF0EC2}"/>
    <cellStyle name="Normal 12 3 6 4" xfId="10544" xr:uid="{C11A72F7-3807-45D5-A8B3-05FA30869B31}"/>
    <cellStyle name="Normal 12 3 7" xfId="2452" xr:uid="{00000000-0005-0000-0000-0000420E0000}"/>
    <cellStyle name="Normal 12 3 7 2" xfId="6736" xr:uid="{00000000-0005-0000-0000-0000430E0000}"/>
    <cellStyle name="Normal 12 3 7 2 2" xfId="15175" xr:uid="{F863D1E0-383D-404E-AF82-658B060CF00F}"/>
    <cellStyle name="Normal 12 3 7 3" xfId="10957" xr:uid="{D551A459-A36D-44A3-BFF8-77C0ABD8614D}"/>
    <cellStyle name="Normal 12 3 8" xfId="4670" xr:uid="{00000000-0005-0000-0000-0000440E0000}"/>
    <cellStyle name="Normal 12 3 8 2" xfId="13109" xr:uid="{8128EBA0-CCB0-460D-ACC1-BC2FED893C4E}"/>
    <cellStyle name="Normal 12 3 9" xfId="8891" xr:uid="{5280A6E3-4003-4EA7-BAAD-B3149BF00B9C}"/>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5670" xr:uid="{E3594E5D-56B9-470A-A644-7223CA1EC156}"/>
    <cellStyle name="Normal 12 4 2 2 3" xfId="11452" xr:uid="{5E811C39-FAFC-4185-892B-5EB29175B57A}"/>
    <cellStyle name="Normal 12 4 2 3" xfId="5086" xr:uid="{00000000-0005-0000-0000-0000490E0000}"/>
    <cellStyle name="Normal 12 4 2 3 2" xfId="13525" xr:uid="{70191A17-8AD6-4952-A796-F8A3C0ADE9D9}"/>
    <cellStyle name="Normal 12 4 2 4" xfId="9307" xr:uid="{AE3A3E1A-194C-4D28-B044-77CB5C67B6CF}"/>
    <cellStyle name="Normal 12 4 3" xfId="1190" xr:uid="{00000000-0005-0000-0000-00004A0E0000}"/>
    <cellStyle name="Normal 12 4 3 2" xfId="3421" xr:uid="{00000000-0005-0000-0000-00004B0E0000}"/>
    <cellStyle name="Normal 12 4 3 2 2" xfId="7644" xr:uid="{00000000-0005-0000-0000-00004C0E0000}"/>
    <cellStyle name="Normal 12 4 3 2 2 2" xfId="16083" xr:uid="{90A350D9-5217-4FF8-9489-8FA4391F901E}"/>
    <cellStyle name="Normal 12 4 3 2 3" xfId="11865" xr:uid="{994280D5-2AEC-48D6-968D-A44EF6FAA615}"/>
    <cellStyle name="Normal 12 4 3 3" xfId="5499" xr:uid="{00000000-0005-0000-0000-00004D0E0000}"/>
    <cellStyle name="Normal 12 4 3 3 2" xfId="13938" xr:uid="{73BD3B02-B1CB-4039-A4CF-EC90FCCB3F8E}"/>
    <cellStyle name="Normal 12 4 3 4" xfId="9720" xr:uid="{F586F88A-C867-4F53-BCDE-BC426A22BB3F}"/>
    <cellStyle name="Normal 12 4 4" xfId="1604" xr:uid="{00000000-0005-0000-0000-00004E0E0000}"/>
    <cellStyle name="Normal 12 4 4 2" xfId="3834" xr:uid="{00000000-0005-0000-0000-00004F0E0000}"/>
    <cellStyle name="Normal 12 4 4 2 2" xfId="8057" xr:uid="{00000000-0005-0000-0000-0000500E0000}"/>
    <cellStyle name="Normal 12 4 4 2 2 2" xfId="16496" xr:uid="{610985E4-9CF0-499A-9004-39C51B369744}"/>
    <cellStyle name="Normal 12 4 4 2 3" xfId="12278" xr:uid="{DF3CB927-5F30-4C45-8054-A1B39D5B18BB}"/>
    <cellStyle name="Normal 12 4 4 3" xfId="5912" xr:uid="{00000000-0005-0000-0000-0000510E0000}"/>
    <cellStyle name="Normal 12 4 4 3 2" xfId="14351" xr:uid="{17434F59-AACF-4155-8907-18EB495B5710}"/>
    <cellStyle name="Normal 12 4 4 4" xfId="10133" xr:uid="{6B4995E1-D059-4B00-8D8F-A853E4B3A079}"/>
    <cellStyle name="Normal 12 4 5" xfId="2018" xr:uid="{00000000-0005-0000-0000-0000520E0000}"/>
    <cellStyle name="Normal 12 4 5 2" xfId="4247" xr:uid="{00000000-0005-0000-0000-0000530E0000}"/>
    <cellStyle name="Normal 12 4 5 2 2" xfId="8470" xr:uid="{00000000-0005-0000-0000-0000540E0000}"/>
    <cellStyle name="Normal 12 4 5 2 2 2" xfId="16909" xr:uid="{505BD16D-AD4F-4CD5-989A-39FF3F365A37}"/>
    <cellStyle name="Normal 12 4 5 2 3" xfId="12691" xr:uid="{9EDF1BA3-0E40-461C-8E0B-FB3C87A56299}"/>
    <cellStyle name="Normal 12 4 5 3" xfId="6325" xr:uid="{00000000-0005-0000-0000-0000550E0000}"/>
    <cellStyle name="Normal 12 4 5 3 2" xfId="14764" xr:uid="{83CDDB3F-1228-4FC0-824F-7158B267FD92}"/>
    <cellStyle name="Normal 12 4 5 4" xfId="10546" xr:uid="{E7B1CD5D-466A-41BE-A8BE-1A0BA9468A26}"/>
    <cellStyle name="Normal 12 4 6" xfId="2454" xr:uid="{00000000-0005-0000-0000-0000560E0000}"/>
    <cellStyle name="Normal 12 4 6 2" xfId="6738" xr:uid="{00000000-0005-0000-0000-0000570E0000}"/>
    <cellStyle name="Normal 12 4 6 2 2" xfId="15177" xr:uid="{45D1D0A2-59E6-4BBC-BE5B-4D8D13D4A431}"/>
    <cellStyle name="Normal 12 4 6 3" xfId="10959" xr:uid="{AC3A9D9B-C7BC-424B-A06B-15C9FEB8C7B3}"/>
    <cellStyle name="Normal 12 4 7" xfId="4672" xr:uid="{00000000-0005-0000-0000-0000580E0000}"/>
    <cellStyle name="Normal 12 4 7 2" xfId="13111" xr:uid="{57BFB826-A3E1-4D7C-98AB-8CD8139FA7E6}"/>
    <cellStyle name="Normal 12 4 8" xfId="8893" xr:uid="{B311B60D-2E05-4218-891B-AA9D4BB39066}"/>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3" xr:uid="{01D1BF88-F71C-4096-918B-E8F7A2D4EBD6}"/>
    <cellStyle name="Normal 12 6 2 3" xfId="11445" xr:uid="{DB1BA848-5D94-436E-AEC9-6AF75AAE632E}"/>
    <cellStyle name="Normal 12 6 3" xfId="5079" xr:uid="{00000000-0005-0000-0000-00005D0E0000}"/>
    <cellStyle name="Normal 12 6 3 2" xfId="13518" xr:uid="{6CA24199-0CDD-441F-8B4D-970E8D7AFBD0}"/>
    <cellStyle name="Normal 12 6 4" xfId="9300" xr:uid="{696C5A79-594C-493B-9344-032AB6387541}"/>
    <cellStyle name="Normal 12 7" xfId="1183" xr:uid="{00000000-0005-0000-0000-00005E0E0000}"/>
    <cellStyle name="Normal 12 7 2" xfId="3414" xr:uid="{00000000-0005-0000-0000-00005F0E0000}"/>
    <cellStyle name="Normal 12 7 2 2" xfId="7637" xr:uid="{00000000-0005-0000-0000-0000600E0000}"/>
    <cellStyle name="Normal 12 7 2 2 2" xfId="16076" xr:uid="{A431B4FB-A789-463E-A6E0-C8E19CE12AAD}"/>
    <cellStyle name="Normal 12 7 2 3" xfId="11858" xr:uid="{211EFCCD-F2A5-4CDD-9102-337F6D2570DB}"/>
    <cellStyle name="Normal 12 7 3" xfId="5492" xr:uid="{00000000-0005-0000-0000-0000610E0000}"/>
    <cellStyle name="Normal 12 7 3 2" xfId="13931" xr:uid="{0172C664-9E97-4F8C-9A52-FE4FB726B9BE}"/>
    <cellStyle name="Normal 12 7 4" xfId="9713" xr:uid="{A8E4249A-FE7B-495F-B8E2-543F01E89BC8}"/>
    <cellStyle name="Normal 12 8" xfId="1597" xr:uid="{00000000-0005-0000-0000-0000620E0000}"/>
    <cellStyle name="Normal 12 8 2" xfId="3827" xr:uid="{00000000-0005-0000-0000-0000630E0000}"/>
    <cellStyle name="Normal 12 8 2 2" xfId="8050" xr:uid="{00000000-0005-0000-0000-0000640E0000}"/>
    <cellStyle name="Normal 12 8 2 2 2" xfId="16489" xr:uid="{AA60F74B-A2D6-474E-AFF1-48F0C4F32943}"/>
    <cellStyle name="Normal 12 8 2 3" xfId="12271" xr:uid="{8A23A323-82B3-4721-8D8E-BB5A7B5BADAB}"/>
    <cellStyle name="Normal 12 8 3" xfId="5905" xr:uid="{00000000-0005-0000-0000-0000650E0000}"/>
    <cellStyle name="Normal 12 8 3 2" xfId="14344" xr:uid="{1C23406C-4323-4122-9518-22B83B5F9719}"/>
    <cellStyle name="Normal 12 8 4" xfId="10126" xr:uid="{DD927231-6475-4CED-B856-26C00B461A09}"/>
    <cellStyle name="Normal 12 9" xfId="2011" xr:uid="{00000000-0005-0000-0000-0000660E0000}"/>
    <cellStyle name="Normal 12 9 2" xfId="4240" xr:uid="{00000000-0005-0000-0000-0000670E0000}"/>
    <cellStyle name="Normal 12 9 2 2" xfId="8463" xr:uid="{00000000-0005-0000-0000-0000680E0000}"/>
    <cellStyle name="Normal 12 9 2 2 2" xfId="16902" xr:uid="{D9F9DE37-2F75-4771-AE5B-27551AD4BC90}"/>
    <cellStyle name="Normal 12 9 2 3" xfId="12684" xr:uid="{29BC8616-C845-43DA-9464-F9F96E2C3A27}"/>
    <cellStyle name="Normal 12 9 3" xfId="6318" xr:uid="{00000000-0005-0000-0000-0000690E0000}"/>
    <cellStyle name="Normal 12 9 3 2" xfId="14757" xr:uid="{54BAF41E-85B5-4C5B-A92C-6B99CBC86CA2}"/>
    <cellStyle name="Normal 12 9 4" xfId="10539" xr:uid="{A1DDC8CA-0870-4C73-9B4E-73BF40628DA3}"/>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15671" xr:uid="{CEC39CDE-7EE9-4A32-8AD6-600DD837EDF3}"/>
    <cellStyle name="Normal 14 2 2 3" xfId="11453" xr:uid="{07599266-935E-4DAE-BB92-42E763647B46}"/>
    <cellStyle name="Normal 14 2 3" xfId="5087" xr:uid="{00000000-0005-0000-0000-0000700E0000}"/>
    <cellStyle name="Normal 14 2 3 2" xfId="13526" xr:uid="{7046506D-5636-402D-B10E-DF68D59E2655}"/>
    <cellStyle name="Normal 14 2 4" xfId="9308" xr:uid="{11A3D3AB-4D28-42FF-8969-A1FE3E15C00F}"/>
    <cellStyle name="Normal 14 3" xfId="1191" xr:uid="{00000000-0005-0000-0000-0000710E0000}"/>
    <cellStyle name="Normal 14 3 2" xfId="3422" xr:uid="{00000000-0005-0000-0000-0000720E0000}"/>
    <cellStyle name="Normal 14 3 2 2" xfId="7645" xr:uid="{00000000-0005-0000-0000-0000730E0000}"/>
    <cellStyle name="Normal 14 3 2 2 2" xfId="16084" xr:uid="{EA00EBE1-4E64-46A6-909D-7D9CF17D2731}"/>
    <cellStyle name="Normal 14 3 2 3" xfId="11866" xr:uid="{0AC0DCA2-E0EA-4FAF-9B22-AEF4EBA20833}"/>
    <cellStyle name="Normal 14 3 3" xfId="5500" xr:uid="{00000000-0005-0000-0000-0000740E0000}"/>
    <cellStyle name="Normal 14 3 3 2" xfId="13939" xr:uid="{FE415ECD-6D14-40C9-BAC9-8175067B569F}"/>
    <cellStyle name="Normal 14 3 4" xfId="9721" xr:uid="{A9F1719B-A19C-48BF-89CD-476E95865D2B}"/>
    <cellStyle name="Normal 14 4" xfId="1605" xr:uid="{00000000-0005-0000-0000-0000750E0000}"/>
    <cellStyle name="Normal 14 4 2" xfId="3835" xr:uid="{00000000-0005-0000-0000-0000760E0000}"/>
    <cellStyle name="Normal 14 4 2 2" xfId="8058" xr:uid="{00000000-0005-0000-0000-0000770E0000}"/>
    <cellStyle name="Normal 14 4 2 2 2" xfId="16497" xr:uid="{46C6A816-1892-45D2-99A8-BD6A5453D55F}"/>
    <cellStyle name="Normal 14 4 2 3" xfId="12279" xr:uid="{9DF0B840-147F-4E4D-A228-1DD301272B63}"/>
    <cellStyle name="Normal 14 4 3" xfId="5913" xr:uid="{00000000-0005-0000-0000-0000780E0000}"/>
    <cellStyle name="Normal 14 4 3 2" xfId="14352" xr:uid="{6CFC1F14-59C4-4EDF-B138-4EF04325ACF6}"/>
    <cellStyle name="Normal 14 4 4" xfId="10134" xr:uid="{3772AA54-E170-4421-BA5E-98921C75DA79}"/>
    <cellStyle name="Normal 14 5" xfId="2019" xr:uid="{00000000-0005-0000-0000-0000790E0000}"/>
    <cellStyle name="Normal 14 5 2" xfId="4248" xr:uid="{00000000-0005-0000-0000-00007A0E0000}"/>
    <cellStyle name="Normal 14 5 2 2" xfId="8471" xr:uid="{00000000-0005-0000-0000-00007B0E0000}"/>
    <cellStyle name="Normal 14 5 2 2 2" xfId="16910" xr:uid="{5EBDD03E-32FD-4633-BB36-2931971B0B6E}"/>
    <cellStyle name="Normal 14 5 2 3" xfId="12692" xr:uid="{DD7201C8-7995-4002-BA79-993B6341B9D9}"/>
    <cellStyle name="Normal 14 5 3" xfId="6326" xr:uid="{00000000-0005-0000-0000-00007C0E0000}"/>
    <cellStyle name="Normal 14 5 3 2" xfId="14765" xr:uid="{6734C753-4C10-411D-AE82-17E9EEC23D33}"/>
    <cellStyle name="Normal 14 5 4" xfId="10547" xr:uid="{5ADDCAEF-6BDF-4BFF-9CC9-7CEECB682916}"/>
    <cellStyle name="Normal 14 6" xfId="2455" xr:uid="{00000000-0005-0000-0000-00007D0E0000}"/>
    <cellStyle name="Normal 14 6 2" xfId="6739" xr:uid="{00000000-0005-0000-0000-00007E0E0000}"/>
    <cellStyle name="Normal 14 6 2 2" xfId="15178" xr:uid="{4B7621B1-3B46-44E5-A743-5E0E48225570}"/>
    <cellStyle name="Normal 14 6 3" xfId="10960" xr:uid="{CCD7B2AE-7233-4F51-A5FF-DDFACAB3E9E5}"/>
    <cellStyle name="Normal 14 7" xfId="4673" xr:uid="{00000000-0005-0000-0000-00007F0E0000}"/>
    <cellStyle name="Normal 14 7 2" xfId="13112" xr:uid="{627CB7E8-04BF-40BE-B04C-C51FD51D8B1E}"/>
    <cellStyle name="Normal 14 8" xfId="8894" xr:uid="{BBF0CFD9-FE72-4501-B52B-8765F9DC98BC}"/>
    <cellStyle name="Normal 15" xfId="4496" xr:uid="{00000000-0005-0000-0000-0000800E0000}"/>
    <cellStyle name="Normal 15 2" xfId="12938" xr:uid="{D98AAD77-D340-4BED-946F-1BCAF60F67E0}"/>
    <cellStyle name="Normal 16" xfId="4500" xr:uid="{00000000-0005-0000-0000-0000810E0000}"/>
    <cellStyle name="Normal 16 2" xfId="8716" xr:uid="{00000000-0005-0000-0000-0000820E0000}"/>
    <cellStyle name="Normal 16 2 2" xfId="17155" xr:uid="{05301245-92B7-495C-9925-40406FDBF7E0}"/>
    <cellStyle name="Normal 16 3" xfId="8719" xr:uid="{3DE1BEEB-61FA-4094-B10F-9E0444F68763}"/>
    <cellStyle name="Normal 16 3 2" xfId="8723" xr:uid="{FE0BC069-4698-40B2-814D-8E09719245E9}"/>
    <cellStyle name="Normal 16 3 3" xfId="17158" xr:uid="{EFEC9E14-0F9C-4625-AAE1-4C849C3C4808}"/>
    <cellStyle name="Normal 16 4" xfId="12941" xr:uid="{61A76F2D-4E2A-4036-A582-C290EE6AAD65}"/>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11" xr:uid="{3958D128-84EF-4A6D-A7D2-FEC775A8D290}"/>
    <cellStyle name="Normal 2 4 2 10 2 3" xfId="12693" xr:uid="{22E847DD-8170-4377-B3E9-3FDB96308030}"/>
    <cellStyle name="Normal 2 4 2 10 3" xfId="6327" xr:uid="{00000000-0005-0000-0000-0000910E0000}"/>
    <cellStyle name="Normal 2 4 2 10 3 2" xfId="14766" xr:uid="{83FE9419-E352-4419-9EA9-5E6EE8B1B991}"/>
    <cellStyle name="Normal 2 4 2 10 4" xfId="10548" xr:uid="{16C76DDF-726A-4625-AC71-91C50ED648B3}"/>
    <cellStyle name="Normal 2 4 2 11" xfId="2456" xr:uid="{00000000-0005-0000-0000-0000920E0000}"/>
    <cellStyle name="Normal 2 4 2 11 2" xfId="6740" xr:uid="{00000000-0005-0000-0000-0000930E0000}"/>
    <cellStyle name="Normal 2 4 2 11 2 2" xfId="15179" xr:uid="{62DBEA5C-C501-42C4-81F9-2B500A906E99}"/>
    <cellStyle name="Normal 2 4 2 11 3" xfId="10961" xr:uid="{B0A3FBC2-9654-4213-8E2E-37C7677F657B}"/>
    <cellStyle name="Normal 2 4 2 12" xfId="4674" xr:uid="{00000000-0005-0000-0000-0000940E0000}"/>
    <cellStyle name="Normal 2 4 2 12 2" xfId="13113" xr:uid="{ED48C8B8-F483-44D1-9B1E-D61E2AB4699C}"/>
    <cellStyle name="Normal 2 4 2 13" xfId="8895" xr:uid="{2D0989C2-BC28-4F48-BBED-E5E27754916A}"/>
    <cellStyle name="Normal 2 4 2 2" xfId="280" xr:uid="{00000000-0005-0000-0000-0000950E0000}"/>
    <cellStyle name="Normal 2 4 2 3" xfId="281" xr:uid="{00000000-0005-0000-0000-0000960E0000}"/>
    <cellStyle name="Normal 2 4 2 3 10" xfId="4675" xr:uid="{00000000-0005-0000-0000-0000970E0000}"/>
    <cellStyle name="Normal 2 4 2 3 10 2" xfId="13114" xr:uid="{1C56F571-9596-49A1-AD11-50E4A284E8B6}"/>
    <cellStyle name="Normal 2 4 2 3 11" xfId="8896" xr:uid="{120BB8A6-9D8C-40A4-AC7A-6E96D0D88225}"/>
    <cellStyle name="Normal 2 4 2 3 2" xfId="282" xr:uid="{00000000-0005-0000-0000-0000980E0000}"/>
    <cellStyle name="Normal 2 4 2 3 2 10" xfId="8897" xr:uid="{18BB3D04-1CA2-4BB0-B2DB-AC65E72F2D0D}"/>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6" xr:uid="{09E4DC57-73F7-43C7-831A-3EA9ACC006E2}"/>
    <cellStyle name="Normal 2 4 2 3 2 2 2 2 2 3" xfId="11458" xr:uid="{75C84341-2927-441D-A677-7D058A7EA352}"/>
    <cellStyle name="Normal 2 4 2 3 2 2 2 2 3" xfId="5092" xr:uid="{00000000-0005-0000-0000-00009E0E0000}"/>
    <cellStyle name="Normal 2 4 2 3 2 2 2 2 3 2" xfId="13531" xr:uid="{B6EB1CCA-2A2F-4ED2-AA95-FF7ABDF0083E}"/>
    <cellStyle name="Normal 2 4 2 3 2 2 2 2 4" xfId="9313" xr:uid="{604660AE-A022-43FF-AB1B-393DF7A96FBB}"/>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89" xr:uid="{E617602C-34BC-4100-92AD-82153C93BCE9}"/>
    <cellStyle name="Normal 2 4 2 3 2 2 2 3 2 3" xfId="11871" xr:uid="{13A3C124-B7F0-4CE6-A7BD-B031310E9878}"/>
    <cellStyle name="Normal 2 4 2 3 2 2 2 3 3" xfId="5505" xr:uid="{00000000-0005-0000-0000-0000A20E0000}"/>
    <cellStyle name="Normal 2 4 2 3 2 2 2 3 3 2" xfId="13944" xr:uid="{E3164EB7-0AA8-49D2-A9A4-E2392FD6215C}"/>
    <cellStyle name="Normal 2 4 2 3 2 2 2 3 4" xfId="9726" xr:uid="{82EB304C-8EF7-4D41-B58C-D78261631F3D}"/>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502" xr:uid="{EF6D1190-9E70-48AD-8672-C34E977C54C2}"/>
    <cellStyle name="Normal 2 4 2 3 2 2 2 4 2 3" xfId="12284" xr:uid="{706FCD49-16B7-4643-A1B6-3DBD400EE8CF}"/>
    <cellStyle name="Normal 2 4 2 3 2 2 2 4 3" xfId="5918" xr:uid="{00000000-0005-0000-0000-0000A60E0000}"/>
    <cellStyle name="Normal 2 4 2 3 2 2 2 4 3 2" xfId="14357" xr:uid="{0F3D9462-0BD8-41F4-A6C4-F797490EABE6}"/>
    <cellStyle name="Normal 2 4 2 3 2 2 2 4 4" xfId="10139" xr:uid="{C06EFED1-DC09-4714-ADB7-66D00A18BF18}"/>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5" xr:uid="{04771A27-7610-42DE-A07F-BAE69276773E}"/>
    <cellStyle name="Normal 2 4 2 3 2 2 2 5 2 3" xfId="12697" xr:uid="{1D63A678-BDF9-44E4-90C4-6EBC54E371E8}"/>
    <cellStyle name="Normal 2 4 2 3 2 2 2 5 3" xfId="6331" xr:uid="{00000000-0005-0000-0000-0000AA0E0000}"/>
    <cellStyle name="Normal 2 4 2 3 2 2 2 5 3 2" xfId="14770" xr:uid="{9AA0E223-201A-49F9-A842-E1CDB5808094}"/>
    <cellStyle name="Normal 2 4 2 3 2 2 2 5 4" xfId="10552" xr:uid="{181B2100-A656-4F92-80DE-5349F3F2801A}"/>
    <cellStyle name="Normal 2 4 2 3 2 2 2 6" xfId="2460" xr:uid="{00000000-0005-0000-0000-0000AB0E0000}"/>
    <cellStyle name="Normal 2 4 2 3 2 2 2 6 2" xfId="6744" xr:uid="{00000000-0005-0000-0000-0000AC0E0000}"/>
    <cellStyle name="Normal 2 4 2 3 2 2 2 6 2 2" xfId="15183" xr:uid="{EF770030-3535-4486-A892-2338CE4D2428}"/>
    <cellStyle name="Normal 2 4 2 3 2 2 2 6 3" xfId="10965" xr:uid="{0303D7A5-F9E7-40AF-9CEF-61382E53F4F0}"/>
    <cellStyle name="Normal 2 4 2 3 2 2 2 7" xfId="4678" xr:uid="{00000000-0005-0000-0000-0000AD0E0000}"/>
    <cellStyle name="Normal 2 4 2 3 2 2 2 7 2" xfId="13117" xr:uid="{CD6452DC-4E7C-48FB-8E0C-543281301501}"/>
    <cellStyle name="Normal 2 4 2 3 2 2 2 8" xfId="8899" xr:uid="{746FFFFE-82D4-4098-BD5B-1242900C88DE}"/>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5" xr:uid="{D4DD6E8E-E00D-4155-9F6F-D18103DC50ED}"/>
    <cellStyle name="Normal 2 4 2 3 2 2 3 2 3" xfId="11457" xr:uid="{481BB500-A47A-4800-B628-701FC06D9DC2}"/>
    <cellStyle name="Normal 2 4 2 3 2 2 3 3" xfId="5091" xr:uid="{00000000-0005-0000-0000-0000B10E0000}"/>
    <cellStyle name="Normal 2 4 2 3 2 2 3 3 2" xfId="13530" xr:uid="{9CB36095-40C0-4BB6-AFDB-67A0C2DBAEC8}"/>
    <cellStyle name="Normal 2 4 2 3 2 2 3 4" xfId="9312" xr:uid="{2F689886-AD6A-406A-BF43-072555D22515}"/>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88" xr:uid="{14D4997F-5ABD-402E-8A0E-4AE7C93E54B6}"/>
    <cellStyle name="Normal 2 4 2 3 2 2 4 2 3" xfId="11870" xr:uid="{239D711A-17AF-48A3-A592-4E7DC0FE3CC0}"/>
    <cellStyle name="Normal 2 4 2 3 2 2 4 3" xfId="5504" xr:uid="{00000000-0005-0000-0000-0000B50E0000}"/>
    <cellStyle name="Normal 2 4 2 3 2 2 4 3 2" xfId="13943" xr:uid="{B18BCF84-58A0-4EC7-9A96-74E7A5C2EB35}"/>
    <cellStyle name="Normal 2 4 2 3 2 2 4 4" xfId="9725" xr:uid="{167A9DE0-3E2D-4EBC-AF13-3071CB626463}"/>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501" xr:uid="{22671552-2838-4C6C-88AE-4E7A94A707EF}"/>
    <cellStyle name="Normal 2 4 2 3 2 2 5 2 3" xfId="12283" xr:uid="{DB79F49E-85B3-40DF-98D8-A2E67AAEFBB5}"/>
    <cellStyle name="Normal 2 4 2 3 2 2 5 3" xfId="5917" xr:uid="{00000000-0005-0000-0000-0000B90E0000}"/>
    <cellStyle name="Normal 2 4 2 3 2 2 5 3 2" xfId="14356" xr:uid="{26601533-7D65-4A77-9DB1-9AA345361711}"/>
    <cellStyle name="Normal 2 4 2 3 2 2 5 4" xfId="10138" xr:uid="{55B723F9-0270-419F-BB49-D01CFF6A909C}"/>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4" xr:uid="{E421D012-0F06-4185-BBE9-87839FA06302}"/>
    <cellStyle name="Normal 2 4 2 3 2 2 6 2 3" xfId="12696" xr:uid="{5F808EE8-63C7-45C6-BD60-4959C49BA473}"/>
    <cellStyle name="Normal 2 4 2 3 2 2 6 3" xfId="6330" xr:uid="{00000000-0005-0000-0000-0000BD0E0000}"/>
    <cellStyle name="Normal 2 4 2 3 2 2 6 3 2" xfId="14769" xr:uid="{22BFEF0E-85D8-41C7-9348-2020EA890764}"/>
    <cellStyle name="Normal 2 4 2 3 2 2 6 4" xfId="10551" xr:uid="{51E8BFF4-FA2D-4700-AA8F-50B2356D80FB}"/>
    <cellStyle name="Normal 2 4 2 3 2 2 7" xfId="2459" xr:uid="{00000000-0005-0000-0000-0000BE0E0000}"/>
    <cellStyle name="Normal 2 4 2 3 2 2 7 2" xfId="6743" xr:uid="{00000000-0005-0000-0000-0000BF0E0000}"/>
    <cellStyle name="Normal 2 4 2 3 2 2 7 2 2" xfId="15182" xr:uid="{7C649A08-6BF5-4ED1-8A4B-6FDE4D56AFC6}"/>
    <cellStyle name="Normal 2 4 2 3 2 2 7 3" xfId="10964" xr:uid="{27075AF8-77D8-4423-8662-D9643EEC94D3}"/>
    <cellStyle name="Normal 2 4 2 3 2 2 8" xfId="4677" xr:uid="{00000000-0005-0000-0000-0000C00E0000}"/>
    <cellStyle name="Normal 2 4 2 3 2 2 8 2" xfId="13116" xr:uid="{9D1DEBC7-4FCA-4AE3-A36D-45FA3D428693}"/>
    <cellStyle name="Normal 2 4 2 3 2 2 9" xfId="8898" xr:uid="{DE75B349-FF9F-4673-80AE-88C0BF33163C}"/>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77" xr:uid="{DB95C806-6BAC-4625-A674-2F20522F071F}"/>
    <cellStyle name="Normal 2 4 2 3 2 3 2 2 3" xfId="11459" xr:uid="{9CDBDA2E-369A-4A4A-B606-7EBC26596035}"/>
    <cellStyle name="Normal 2 4 2 3 2 3 2 3" xfId="5093" xr:uid="{00000000-0005-0000-0000-0000C50E0000}"/>
    <cellStyle name="Normal 2 4 2 3 2 3 2 3 2" xfId="13532" xr:uid="{7273D644-6788-4C4C-B597-F696009B69AC}"/>
    <cellStyle name="Normal 2 4 2 3 2 3 2 4" xfId="9314" xr:uid="{68B107BA-09BE-4B83-A260-B5B857900D51}"/>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90" xr:uid="{898FC31B-281D-401E-B38D-06ABF3883E1B}"/>
    <cellStyle name="Normal 2 4 2 3 2 3 3 2 3" xfId="11872" xr:uid="{0D81BEA6-3616-436B-95AE-EF6B5920FEA7}"/>
    <cellStyle name="Normal 2 4 2 3 2 3 3 3" xfId="5506" xr:uid="{00000000-0005-0000-0000-0000C90E0000}"/>
    <cellStyle name="Normal 2 4 2 3 2 3 3 3 2" xfId="13945" xr:uid="{5349D53B-732A-4D8B-95E7-540CFAFF83EC}"/>
    <cellStyle name="Normal 2 4 2 3 2 3 3 4" xfId="9727" xr:uid="{D8FD8EB5-D711-4BFF-A3C2-886DBC255B1A}"/>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3" xr:uid="{C227565B-39E5-4529-B693-CE1FF3925075}"/>
    <cellStyle name="Normal 2 4 2 3 2 3 4 2 3" xfId="12285" xr:uid="{82ED2BEB-1ABB-40A8-835D-0778E40BBD66}"/>
    <cellStyle name="Normal 2 4 2 3 2 3 4 3" xfId="5919" xr:uid="{00000000-0005-0000-0000-0000CD0E0000}"/>
    <cellStyle name="Normal 2 4 2 3 2 3 4 3 2" xfId="14358" xr:uid="{F770E15D-D009-4D2A-B233-5FA400ED4AEF}"/>
    <cellStyle name="Normal 2 4 2 3 2 3 4 4" xfId="10140" xr:uid="{192C393D-F836-4552-9057-65868779F39F}"/>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6" xr:uid="{95630DB4-CD64-4B77-B53D-E7EA3BE8D8A4}"/>
    <cellStyle name="Normal 2 4 2 3 2 3 5 2 3" xfId="12698" xr:uid="{AEC12AC1-9131-4D8D-AA6D-66444E4EBB0E}"/>
    <cellStyle name="Normal 2 4 2 3 2 3 5 3" xfId="6332" xr:uid="{00000000-0005-0000-0000-0000D10E0000}"/>
    <cellStyle name="Normal 2 4 2 3 2 3 5 3 2" xfId="14771" xr:uid="{0786BCF7-9DE5-410F-B7F3-2C655B3CD211}"/>
    <cellStyle name="Normal 2 4 2 3 2 3 5 4" xfId="10553" xr:uid="{B34FCB33-67FD-44E3-BAD0-AAE3F13CEB6F}"/>
    <cellStyle name="Normal 2 4 2 3 2 3 6" xfId="2461" xr:uid="{00000000-0005-0000-0000-0000D20E0000}"/>
    <cellStyle name="Normal 2 4 2 3 2 3 6 2" xfId="6745" xr:uid="{00000000-0005-0000-0000-0000D30E0000}"/>
    <cellStyle name="Normal 2 4 2 3 2 3 6 2 2" xfId="15184" xr:uid="{E25D1BB7-62BA-4A18-ACE8-D057F2A5E606}"/>
    <cellStyle name="Normal 2 4 2 3 2 3 6 3" xfId="10966" xr:uid="{B1F47164-F97E-4DC7-8908-0B98CFCECAB5}"/>
    <cellStyle name="Normal 2 4 2 3 2 3 7" xfId="4679" xr:uid="{00000000-0005-0000-0000-0000D40E0000}"/>
    <cellStyle name="Normal 2 4 2 3 2 3 7 2" xfId="13118" xr:uid="{2E3F1AE6-22C8-4C00-8E9C-AD64FBAF4F51}"/>
    <cellStyle name="Normal 2 4 2 3 2 3 8" xfId="8900" xr:uid="{AE615811-1D59-4641-B216-1A09314F2B59}"/>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4" xr:uid="{39EEDD07-37D8-401B-A147-4C8C48BE03F4}"/>
    <cellStyle name="Normal 2 4 2 3 2 4 2 3" xfId="11456" xr:uid="{80939960-7088-46BA-AAA7-D64B11062556}"/>
    <cellStyle name="Normal 2 4 2 3 2 4 3" xfId="5090" xr:uid="{00000000-0005-0000-0000-0000D80E0000}"/>
    <cellStyle name="Normal 2 4 2 3 2 4 3 2" xfId="13529" xr:uid="{B72D00CA-F8B4-499C-8344-612C4DD10D6D}"/>
    <cellStyle name="Normal 2 4 2 3 2 4 4" xfId="9311" xr:uid="{CFEFBA35-02CD-4FB9-9446-00512F81643F}"/>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87" xr:uid="{1C06EEAB-6EF4-4B96-A846-3CA409BA55E6}"/>
    <cellStyle name="Normal 2 4 2 3 2 5 2 3" xfId="11869" xr:uid="{53CA78D6-E376-4614-BCC0-A06436402569}"/>
    <cellStyle name="Normal 2 4 2 3 2 5 3" xfId="5503" xr:uid="{00000000-0005-0000-0000-0000DC0E0000}"/>
    <cellStyle name="Normal 2 4 2 3 2 5 3 2" xfId="13942" xr:uid="{E149BCB7-23B7-4B4F-AC21-78FE3E92E8D7}"/>
    <cellStyle name="Normal 2 4 2 3 2 5 4" xfId="9724" xr:uid="{CA3D65F9-0EE1-49BD-A43E-D78DBF377C75}"/>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500" xr:uid="{5CBFAB86-9151-4D9D-AAA6-BAB11ABAE867}"/>
    <cellStyle name="Normal 2 4 2 3 2 6 2 3" xfId="12282" xr:uid="{EE1F3AC3-D7AB-4CD7-A9CB-C29668FCAF56}"/>
    <cellStyle name="Normal 2 4 2 3 2 6 3" xfId="5916" xr:uid="{00000000-0005-0000-0000-0000E00E0000}"/>
    <cellStyle name="Normal 2 4 2 3 2 6 3 2" xfId="14355" xr:uid="{EE17B28A-9BF4-42B0-A308-06F658430B3D}"/>
    <cellStyle name="Normal 2 4 2 3 2 6 4" xfId="10137" xr:uid="{BC2CF655-3F6B-49CE-B52B-D06C2702D78C}"/>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3" xr:uid="{389A2439-60CF-4D5F-8993-18AD2BCECB06}"/>
    <cellStyle name="Normal 2 4 2 3 2 7 2 3" xfId="12695" xr:uid="{5EB8AD0C-4E02-4953-84B2-72611306A8DB}"/>
    <cellStyle name="Normal 2 4 2 3 2 7 3" xfId="6329" xr:uid="{00000000-0005-0000-0000-0000E40E0000}"/>
    <cellStyle name="Normal 2 4 2 3 2 7 3 2" xfId="14768" xr:uid="{46948AB5-45B0-4B14-8B0B-8950A6A3198C}"/>
    <cellStyle name="Normal 2 4 2 3 2 7 4" xfId="10550" xr:uid="{7B08F6AD-6AA4-4D85-B261-6EDDE602C571}"/>
    <cellStyle name="Normal 2 4 2 3 2 8" xfId="2458" xr:uid="{00000000-0005-0000-0000-0000E50E0000}"/>
    <cellStyle name="Normal 2 4 2 3 2 8 2" xfId="6742" xr:uid="{00000000-0005-0000-0000-0000E60E0000}"/>
    <cellStyle name="Normal 2 4 2 3 2 8 2 2" xfId="15181" xr:uid="{7A691676-C713-448F-AC60-E75801A5A5D9}"/>
    <cellStyle name="Normal 2 4 2 3 2 8 3" xfId="10963" xr:uid="{04E067B1-53EA-4887-973B-753FDA38C1AF}"/>
    <cellStyle name="Normal 2 4 2 3 2 9" xfId="4676" xr:uid="{00000000-0005-0000-0000-0000E70E0000}"/>
    <cellStyle name="Normal 2 4 2 3 2 9 2" xfId="13115" xr:uid="{6368E7FF-AB55-4E95-94D5-613412E772EE}"/>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79" xr:uid="{FF991CF8-C16A-4F40-94E9-E1C08664BC9A}"/>
    <cellStyle name="Normal 2 4 2 3 3 2 2 2 3" xfId="11461" xr:uid="{C02B28C3-268D-446A-84AE-FFB970BE1A37}"/>
    <cellStyle name="Normal 2 4 2 3 3 2 2 3" xfId="5095" xr:uid="{00000000-0005-0000-0000-0000ED0E0000}"/>
    <cellStyle name="Normal 2 4 2 3 3 2 2 3 2" xfId="13534" xr:uid="{4CA18D5B-3790-43FA-BE6E-F5AD81BB5D9E}"/>
    <cellStyle name="Normal 2 4 2 3 3 2 2 4" xfId="9316" xr:uid="{940C49B5-515C-4453-8227-5AB24FFDF59F}"/>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92" xr:uid="{40583D1B-B468-41A7-A5A5-594696832B02}"/>
    <cellStyle name="Normal 2 4 2 3 3 2 3 2 3" xfId="11874" xr:uid="{036A69C0-ED4C-4DCE-BF9C-0C124C2B2CCD}"/>
    <cellStyle name="Normal 2 4 2 3 3 2 3 3" xfId="5508" xr:uid="{00000000-0005-0000-0000-0000F10E0000}"/>
    <cellStyle name="Normal 2 4 2 3 3 2 3 3 2" xfId="13947" xr:uid="{6A22B749-5BD0-445D-9AE4-039D8D829E97}"/>
    <cellStyle name="Normal 2 4 2 3 3 2 3 4" xfId="9729" xr:uid="{C682B0D4-83A5-4DE2-8C0E-54DD5637BF6F}"/>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5" xr:uid="{D2265A52-2733-4F9D-B861-FFCBF5589582}"/>
    <cellStyle name="Normal 2 4 2 3 3 2 4 2 3" xfId="12287" xr:uid="{23CC8816-01EC-4B7D-9636-C22CF7F9FC82}"/>
    <cellStyle name="Normal 2 4 2 3 3 2 4 3" xfId="5921" xr:uid="{00000000-0005-0000-0000-0000F50E0000}"/>
    <cellStyle name="Normal 2 4 2 3 3 2 4 3 2" xfId="14360" xr:uid="{003272ED-7F7A-41F9-90D1-64CB66901566}"/>
    <cellStyle name="Normal 2 4 2 3 3 2 4 4" xfId="10142" xr:uid="{0A5EB4F8-106C-46EB-A506-9B9CDDC6EA72}"/>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18" xr:uid="{B553868E-6151-4B75-8BCA-EDABB88A5EA7}"/>
    <cellStyle name="Normal 2 4 2 3 3 2 5 2 3" xfId="12700" xr:uid="{CE024978-6AF2-4AF1-85D7-261051D180BF}"/>
    <cellStyle name="Normal 2 4 2 3 3 2 5 3" xfId="6334" xr:uid="{00000000-0005-0000-0000-0000F90E0000}"/>
    <cellStyle name="Normal 2 4 2 3 3 2 5 3 2" xfId="14773" xr:uid="{551A8B0C-78C3-4862-9AF4-65BDE1029D87}"/>
    <cellStyle name="Normal 2 4 2 3 3 2 5 4" xfId="10555" xr:uid="{ECD37081-4AAE-48C9-BAFC-040DE3F2B6A0}"/>
    <cellStyle name="Normal 2 4 2 3 3 2 6" xfId="2463" xr:uid="{00000000-0005-0000-0000-0000FA0E0000}"/>
    <cellStyle name="Normal 2 4 2 3 3 2 6 2" xfId="6747" xr:uid="{00000000-0005-0000-0000-0000FB0E0000}"/>
    <cellStyle name="Normal 2 4 2 3 3 2 6 2 2" xfId="15186" xr:uid="{67CFE518-C9A7-445A-B7EC-D0C836D9A2E1}"/>
    <cellStyle name="Normal 2 4 2 3 3 2 6 3" xfId="10968" xr:uid="{140CE39D-987D-4996-B380-F1EDC5614BFB}"/>
    <cellStyle name="Normal 2 4 2 3 3 2 7" xfId="4681" xr:uid="{00000000-0005-0000-0000-0000FC0E0000}"/>
    <cellStyle name="Normal 2 4 2 3 3 2 7 2" xfId="13120" xr:uid="{F65BE4EA-979A-4115-A81D-87A1B791AAC6}"/>
    <cellStyle name="Normal 2 4 2 3 3 2 8" xfId="8902" xr:uid="{32F649DA-6D90-448B-A826-EE0E443238C6}"/>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78" xr:uid="{3F472DE7-E3EA-4A4D-B5AC-7C92937EA918}"/>
    <cellStyle name="Normal 2 4 2 3 3 3 2 3" xfId="11460" xr:uid="{4FE612D4-B648-4182-9CDC-1FA785CE8254}"/>
    <cellStyle name="Normal 2 4 2 3 3 3 3" xfId="5094" xr:uid="{00000000-0005-0000-0000-0000000F0000}"/>
    <cellStyle name="Normal 2 4 2 3 3 3 3 2" xfId="13533" xr:uid="{23F2A823-2C96-4723-A3BB-3908848B1A00}"/>
    <cellStyle name="Normal 2 4 2 3 3 3 4" xfId="9315" xr:uid="{81DA5A37-5D2F-4DFA-AE00-6ABFCEF1D81D}"/>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91" xr:uid="{7583C210-DECC-4649-9047-D4A82C33EA13}"/>
    <cellStyle name="Normal 2 4 2 3 3 4 2 3" xfId="11873" xr:uid="{17A5E97C-5C0D-4673-8C5A-907CFF462E0B}"/>
    <cellStyle name="Normal 2 4 2 3 3 4 3" xfId="5507" xr:uid="{00000000-0005-0000-0000-0000040F0000}"/>
    <cellStyle name="Normal 2 4 2 3 3 4 3 2" xfId="13946" xr:uid="{7C840467-C5BA-4BBE-96C1-4DE9D60CB348}"/>
    <cellStyle name="Normal 2 4 2 3 3 4 4" xfId="9728" xr:uid="{965F312E-4185-4B16-97FF-5C7B71059D81}"/>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4" xr:uid="{1FCCB016-9193-4124-9020-DAD6B02AF8AE}"/>
    <cellStyle name="Normal 2 4 2 3 3 5 2 3" xfId="12286" xr:uid="{A2DB2C30-D0CB-444F-9E9C-BE55E21AC958}"/>
    <cellStyle name="Normal 2 4 2 3 3 5 3" xfId="5920" xr:uid="{00000000-0005-0000-0000-0000080F0000}"/>
    <cellStyle name="Normal 2 4 2 3 3 5 3 2" xfId="14359" xr:uid="{48BA4A11-D00D-49B7-9BA3-EAF09AC4EACF}"/>
    <cellStyle name="Normal 2 4 2 3 3 5 4" xfId="10141" xr:uid="{45664E08-D461-4BB3-8958-4554B1FE82AC}"/>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17" xr:uid="{DCF40332-0989-41C6-B434-CE54444D654C}"/>
    <cellStyle name="Normal 2 4 2 3 3 6 2 3" xfId="12699" xr:uid="{5C92621E-831A-4C14-AFF3-F1BE1A873067}"/>
    <cellStyle name="Normal 2 4 2 3 3 6 3" xfId="6333" xr:uid="{00000000-0005-0000-0000-00000C0F0000}"/>
    <cellStyle name="Normal 2 4 2 3 3 6 3 2" xfId="14772" xr:uid="{C9923EFD-2C39-4C6D-B8F5-C9A99C2A2CC5}"/>
    <cellStyle name="Normal 2 4 2 3 3 6 4" xfId="10554" xr:uid="{6F40BC36-D92D-472D-B9FB-947F03822DB9}"/>
    <cellStyle name="Normal 2 4 2 3 3 7" xfId="2462" xr:uid="{00000000-0005-0000-0000-00000D0F0000}"/>
    <cellStyle name="Normal 2 4 2 3 3 7 2" xfId="6746" xr:uid="{00000000-0005-0000-0000-00000E0F0000}"/>
    <cellStyle name="Normal 2 4 2 3 3 7 2 2" xfId="15185" xr:uid="{30933FFF-559F-465D-9AE1-53D7AA12B6DE}"/>
    <cellStyle name="Normal 2 4 2 3 3 7 3" xfId="10967" xr:uid="{50952B36-95A2-4D39-B1AE-342EE08026DE}"/>
    <cellStyle name="Normal 2 4 2 3 3 8" xfId="4680" xr:uid="{00000000-0005-0000-0000-00000F0F0000}"/>
    <cellStyle name="Normal 2 4 2 3 3 8 2" xfId="13119" xr:uid="{32565CBE-7405-4406-89C8-B4BAD5F3F6DB}"/>
    <cellStyle name="Normal 2 4 2 3 3 9" xfId="8901" xr:uid="{8774550F-4FAA-44A6-B20F-EB89EAF29E78}"/>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80" xr:uid="{825DBB61-948E-49D1-8AC1-5D73C46ABEC7}"/>
    <cellStyle name="Normal 2 4 2 3 4 2 2 3" xfId="11462" xr:uid="{1CE818E3-C339-42FA-BB05-85D76501C0DA}"/>
    <cellStyle name="Normal 2 4 2 3 4 2 3" xfId="5096" xr:uid="{00000000-0005-0000-0000-0000140F0000}"/>
    <cellStyle name="Normal 2 4 2 3 4 2 3 2" xfId="13535" xr:uid="{B7968775-AD3F-4AB3-9DB2-3A83D71E18F2}"/>
    <cellStyle name="Normal 2 4 2 3 4 2 4" xfId="9317" xr:uid="{C454FAFA-F8A9-4D17-9A96-EF25EF7AC764}"/>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3" xr:uid="{3F46E406-79E1-4FD5-BAF2-2B9C5ECF4467}"/>
    <cellStyle name="Normal 2 4 2 3 4 3 2 3" xfId="11875" xr:uid="{920A658C-EE70-43C5-B0D6-9DBD944D1D92}"/>
    <cellStyle name="Normal 2 4 2 3 4 3 3" xfId="5509" xr:uid="{00000000-0005-0000-0000-0000180F0000}"/>
    <cellStyle name="Normal 2 4 2 3 4 3 3 2" xfId="13948" xr:uid="{61FD1AE4-7BFF-44FD-8923-0458E35C8D4B}"/>
    <cellStyle name="Normal 2 4 2 3 4 3 4" xfId="9730" xr:uid="{FA264948-614E-45A2-B37F-81FCA7792694}"/>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6" xr:uid="{8246081F-A3B3-4716-824A-FE003E111D5A}"/>
    <cellStyle name="Normal 2 4 2 3 4 4 2 3" xfId="12288" xr:uid="{31494488-9F1D-4343-8A85-F3BD9CC6F7C7}"/>
    <cellStyle name="Normal 2 4 2 3 4 4 3" xfId="5922" xr:uid="{00000000-0005-0000-0000-00001C0F0000}"/>
    <cellStyle name="Normal 2 4 2 3 4 4 3 2" xfId="14361" xr:uid="{B1BBB6EA-527E-41A8-BED9-920B0BBA132D}"/>
    <cellStyle name="Normal 2 4 2 3 4 4 4" xfId="10143" xr:uid="{F1E5B800-7257-46FF-BFC7-7014D44287CE}"/>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19" xr:uid="{F2CD9C07-790E-4AC6-BA83-851F90CCCF99}"/>
    <cellStyle name="Normal 2 4 2 3 4 5 2 3" xfId="12701" xr:uid="{E154BD1F-345E-413E-9938-260B53F421AD}"/>
    <cellStyle name="Normal 2 4 2 3 4 5 3" xfId="6335" xr:uid="{00000000-0005-0000-0000-0000200F0000}"/>
    <cellStyle name="Normal 2 4 2 3 4 5 3 2" xfId="14774" xr:uid="{9AA4AE38-6C6B-4058-9EE7-725F1F40BF53}"/>
    <cellStyle name="Normal 2 4 2 3 4 5 4" xfId="10556" xr:uid="{8D58715E-9494-46EC-8A3F-74913E14742B}"/>
    <cellStyle name="Normal 2 4 2 3 4 6" xfId="2464" xr:uid="{00000000-0005-0000-0000-0000210F0000}"/>
    <cellStyle name="Normal 2 4 2 3 4 6 2" xfId="6748" xr:uid="{00000000-0005-0000-0000-0000220F0000}"/>
    <cellStyle name="Normal 2 4 2 3 4 6 2 2" xfId="15187" xr:uid="{3B7AE99B-ABD5-462A-B1C1-6F9BBB785837}"/>
    <cellStyle name="Normal 2 4 2 3 4 6 3" xfId="10969" xr:uid="{9F701C2E-AB67-4DD0-ADD4-3910017ACB34}"/>
    <cellStyle name="Normal 2 4 2 3 4 7" xfId="4682" xr:uid="{00000000-0005-0000-0000-0000230F0000}"/>
    <cellStyle name="Normal 2 4 2 3 4 7 2" xfId="13121" xr:uid="{68D50284-0842-4A51-B2C2-F1B0511D8353}"/>
    <cellStyle name="Normal 2 4 2 3 4 8" xfId="8903" xr:uid="{6D00DF78-1CA4-445A-9339-4D909F65D079}"/>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3" xr:uid="{B7CA1C82-53FA-4C84-B725-696C7A47A21A}"/>
    <cellStyle name="Normal 2 4 2 3 5 2 3" xfId="11455" xr:uid="{DDAEDE39-5A6E-42DD-88C6-83E87A46568A}"/>
    <cellStyle name="Normal 2 4 2 3 5 3" xfId="5089" xr:uid="{00000000-0005-0000-0000-0000270F0000}"/>
    <cellStyle name="Normal 2 4 2 3 5 3 2" xfId="13528" xr:uid="{89EAC8F3-4F09-4D29-B195-AB0997FD4FFA}"/>
    <cellStyle name="Normal 2 4 2 3 5 4" xfId="9310" xr:uid="{7597F3FC-C290-491E-965B-B5BAC6AE4577}"/>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6" xr:uid="{C59F56CF-FFD1-4D9A-AC21-F0A5E41F859C}"/>
    <cellStyle name="Normal 2 4 2 3 6 2 3" xfId="11868" xr:uid="{B484D4E8-D83C-4DD1-9ADC-0E5837497FA5}"/>
    <cellStyle name="Normal 2 4 2 3 6 3" xfId="5502" xr:uid="{00000000-0005-0000-0000-00002B0F0000}"/>
    <cellStyle name="Normal 2 4 2 3 6 3 2" xfId="13941" xr:uid="{5C61B063-7016-44BE-B3BC-85263B26A11F}"/>
    <cellStyle name="Normal 2 4 2 3 6 4" xfId="9723" xr:uid="{6B13201A-B055-48C6-A142-18CF3EFB2AB2}"/>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499" xr:uid="{D251751D-8EE7-4DBE-9604-E8143B1A25D6}"/>
    <cellStyle name="Normal 2 4 2 3 7 2 3" xfId="12281" xr:uid="{5856850D-49FA-4782-A457-FA78FFEA974A}"/>
    <cellStyle name="Normal 2 4 2 3 7 3" xfId="5915" xr:uid="{00000000-0005-0000-0000-00002F0F0000}"/>
    <cellStyle name="Normal 2 4 2 3 7 3 2" xfId="14354" xr:uid="{60363E12-333F-4843-B729-E89FA44D56CE}"/>
    <cellStyle name="Normal 2 4 2 3 7 4" xfId="10136" xr:uid="{6B0B9800-00B0-4CF0-AE39-BD3ADF42BEB7}"/>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12" xr:uid="{B5B94D41-B636-456D-AFCC-BCCE327915B9}"/>
    <cellStyle name="Normal 2 4 2 3 8 2 3" xfId="12694" xr:uid="{66633994-FD08-475A-A5D5-6355FF148F46}"/>
    <cellStyle name="Normal 2 4 2 3 8 3" xfId="6328" xr:uid="{00000000-0005-0000-0000-0000330F0000}"/>
    <cellStyle name="Normal 2 4 2 3 8 3 2" xfId="14767" xr:uid="{78BFBC61-630A-4058-AD84-328BDF00662F}"/>
    <cellStyle name="Normal 2 4 2 3 8 4" xfId="10549" xr:uid="{0C2F69B9-4C2C-4F3F-9B17-6E3EBD127FB8}"/>
    <cellStyle name="Normal 2 4 2 3 9" xfId="2457" xr:uid="{00000000-0005-0000-0000-0000340F0000}"/>
    <cellStyle name="Normal 2 4 2 3 9 2" xfId="6741" xr:uid="{00000000-0005-0000-0000-0000350F0000}"/>
    <cellStyle name="Normal 2 4 2 3 9 2 2" xfId="15180" xr:uid="{A10BD6C8-0108-4789-B474-440B6E8B4833}"/>
    <cellStyle name="Normal 2 4 2 3 9 3" xfId="10962" xr:uid="{4B28E733-DF91-4BCD-B948-458495ED3043}"/>
    <cellStyle name="Normal 2 4 2 4" xfId="289" xr:uid="{00000000-0005-0000-0000-0000360F0000}"/>
    <cellStyle name="Normal 2 4 2 4 10" xfId="8904" xr:uid="{17124C98-1C5E-4630-A01B-8839331F2FEB}"/>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3" xr:uid="{07B55777-5729-4ECE-BCA8-C75A1E25D14B}"/>
    <cellStyle name="Normal 2 4 2 4 2 2 2 2 3" xfId="11465" xr:uid="{753BDDB1-2958-400D-A7FA-3CE499541B29}"/>
    <cellStyle name="Normal 2 4 2 4 2 2 2 3" xfId="5099" xr:uid="{00000000-0005-0000-0000-00003C0F0000}"/>
    <cellStyle name="Normal 2 4 2 4 2 2 2 3 2" xfId="13538" xr:uid="{2B87FF7A-4002-4EC0-A138-F1999801200F}"/>
    <cellStyle name="Normal 2 4 2 4 2 2 2 4" xfId="9320" xr:uid="{A480F40F-78A2-4E52-8940-2B1BFA5DD86F}"/>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6" xr:uid="{83E1F59A-8032-4AE2-9FA4-9F0F9991783B}"/>
    <cellStyle name="Normal 2 4 2 4 2 2 3 2 3" xfId="11878" xr:uid="{DD920F8E-4C12-4038-B177-A3F7D2673363}"/>
    <cellStyle name="Normal 2 4 2 4 2 2 3 3" xfId="5512" xr:uid="{00000000-0005-0000-0000-0000400F0000}"/>
    <cellStyle name="Normal 2 4 2 4 2 2 3 3 2" xfId="13951" xr:uid="{28882195-4831-4562-A538-58E681B07A4E}"/>
    <cellStyle name="Normal 2 4 2 4 2 2 3 4" xfId="9733" xr:uid="{80380918-4BC9-4053-A942-198C7E23FAAC}"/>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09" xr:uid="{0E230D98-2D30-4C06-ABC9-D1E778D7BA52}"/>
    <cellStyle name="Normal 2 4 2 4 2 2 4 2 3" xfId="12291" xr:uid="{F2AF8E16-D844-4232-963E-9703F2917CDE}"/>
    <cellStyle name="Normal 2 4 2 4 2 2 4 3" xfId="5925" xr:uid="{00000000-0005-0000-0000-0000440F0000}"/>
    <cellStyle name="Normal 2 4 2 4 2 2 4 3 2" xfId="14364" xr:uid="{BD26C15B-1492-40AC-A434-1D9CC81A5254}"/>
    <cellStyle name="Normal 2 4 2 4 2 2 4 4" xfId="10146" xr:uid="{6DEBB82D-E2C0-40D9-973F-649780F058EC}"/>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22" xr:uid="{E3AB6B95-6BA0-46B3-9CAB-9358864565CF}"/>
    <cellStyle name="Normal 2 4 2 4 2 2 5 2 3" xfId="12704" xr:uid="{B6344DA2-1915-4104-8434-ADADCF060695}"/>
    <cellStyle name="Normal 2 4 2 4 2 2 5 3" xfId="6338" xr:uid="{00000000-0005-0000-0000-0000480F0000}"/>
    <cellStyle name="Normal 2 4 2 4 2 2 5 3 2" xfId="14777" xr:uid="{C16C0865-B579-4B5A-8B5F-138B1BB0B66D}"/>
    <cellStyle name="Normal 2 4 2 4 2 2 5 4" xfId="10559" xr:uid="{CE178307-2F8B-4C77-BAF5-F4FD22BDE98D}"/>
    <cellStyle name="Normal 2 4 2 4 2 2 6" xfId="2467" xr:uid="{00000000-0005-0000-0000-0000490F0000}"/>
    <cellStyle name="Normal 2 4 2 4 2 2 6 2" xfId="6751" xr:uid="{00000000-0005-0000-0000-00004A0F0000}"/>
    <cellStyle name="Normal 2 4 2 4 2 2 6 2 2" xfId="15190" xr:uid="{BA1055B7-A824-4DCB-AAF2-504D71C084CC}"/>
    <cellStyle name="Normal 2 4 2 4 2 2 6 3" xfId="10972" xr:uid="{A1B838C6-4551-41CB-A310-2696C7462EF7}"/>
    <cellStyle name="Normal 2 4 2 4 2 2 7" xfId="4685" xr:uid="{00000000-0005-0000-0000-00004B0F0000}"/>
    <cellStyle name="Normal 2 4 2 4 2 2 7 2" xfId="13124" xr:uid="{1BDDE493-3E76-4602-A03F-FDC5092AA283}"/>
    <cellStyle name="Normal 2 4 2 4 2 2 8" xfId="8906" xr:uid="{2F59025C-F1F9-4958-98DE-5A0C9857724E}"/>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82" xr:uid="{0845A2B2-A26D-4689-B52F-EB3EE472BA0F}"/>
    <cellStyle name="Normal 2 4 2 4 2 3 2 3" xfId="11464" xr:uid="{32EB7B31-500B-4459-BF7A-64EF25DDAB10}"/>
    <cellStyle name="Normal 2 4 2 4 2 3 3" xfId="5098" xr:uid="{00000000-0005-0000-0000-00004F0F0000}"/>
    <cellStyle name="Normal 2 4 2 4 2 3 3 2" xfId="13537" xr:uid="{4297A79A-BA7C-4FD7-A624-0F804CD03EFA}"/>
    <cellStyle name="Normal 2 4 2 4 2 3 4" xfId="9319" xr:uid="{40D176A7-F618-4736-A790-25F0EBEEDBE3}"/>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5" xr:uid="{F00EFE4A-E0C5-4052-A302-23B4F34DB576}"/>
    <cellStyle name="Normal 2 4 2 4 2 4 2 3" xfId="11877" xr:uid="{15C55938-220E-4F44-9276-A674B8A8A219}"/>
    <cellStyle name="Normal 2 4 2 4 2 4 3" xfId="5511" xr:uid="{00000000-0005-0000-0000-0000530F0000}"/>
    <cellStyle name="Normal 2 4 2 4 2 4 3 2" xfId="13950" xr:uid="{9FB88544-C7D8-46DD-959B-488BC81A6B60}"/>
    <cellStyle name="Normal 2 4 2 4 2 4 4" xfId="9732" xr:uid="{15E1FB3D-28B1-4F40-8830-63778E1B836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08" xr:uid="{7C8D8081-87AE-482D-A5B3-0469EA5119D4}"/>
    <cellStyle name="Normal 2 4 2 4 2 5 2 3" xfId="12290" xr:uid="{9E9A07DE-F2FC-4DDB-8222-915AC2FDA041}"/>
    <cellStyle name="Normal 2 4 2 4 2 5 3" xfId="5924" xr:uid="{00000000-0005-0000-0000-0000570F0000}"/>
    <cellStyle name="Normal 2 4 2 4 2 5 3 2" xfId="14363" xr:uid="{02015C05-16FB-442E-9FB8-2DBF5181D5A6}"/>
    <cellStyle name="Normal 2 4 2 4 2 5 4" xfId="10145" xr:uid="{B07495E7-7393-4E07-839B-BCFE963CECC3}"/>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21" xr:uid="{B220D171-ABB0-4709-87D8-558359501A9D}"/>
    <cellStyle name="Normal 2 4 2 4 2 6 2 3" xfId="12703" xr:uid="{483E59C2-CB57-4A33-9FD9-BB2359EE4073}"/>
    <cellStyle name="Normal 2 4 2 4 2 6 3" xfId="6337" xr:uid="{00000000-0005-0000-0000-00005B0F0000}"/>
    <cellStyle name="Normal 2 4 2 4 2 6 3 2" xfId="14776" xr:uid="{138725DA-588F-474D-A310-F72D97062880}"/>
    <cellStyle name="Normal 2 4 2 4 2 6 4" xfId="10558" xr:uid="{1E60F4D5-A3D8-4CBB-8578-1A8FFC553998}"/>
    <cellStyle name="Normal 2 4 2 4 2 7" xfId="2466" xr:uid="{00000000-0005-0000-0000-00005C0F0000}"/>
    <cellStyle name="Normal 2 4 2 4 2 7 2" xfId="6750" xr:uid="{00000000-0005-0000-0000-00005D0F0000}"/>
    <cellStyle name="Normal 2 4 2 4 2 7 2 2" xfId="15189" xr:uid="{8D6920DC-A1DC-42EA-BBD5-18293901862B}"/>
    <cellStyle name="Normal 2 4 2 4 2 7 3" xfId="10971" xr:uid="{4D48A555-C05E-43A6-9463-ED0389DF188B}"/>
    <cellStyle name="Normal 2 4 2 4 2 8" xfId="4684" xr:uid="{00000000-0005-0000-0000-00005E0F0000}"/>
    <cellStyle name="Normal 2 4 2 4 2 8 2" xfId="13123" xr:uid="{440E3C4B-82CC-41DE-B433-B2AD2047EE13}"/>
    <cellStyle name="Normal 2 4 2 4 2 9" xfId="8905" xr:uid="{A465F48A-D486-499D-A2FA-256AD0E13C0B}"/>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4" xr:uid="{EF0E6218-071E-4021-AC14-D75FAC3870A0}"/>
    <cellStyle name="Normal 2 4 2 4 3 2 2 3" xfId="11466" xr:uid="{1E810969-6ACC-49FD-B87A-15C912C51A9A}"/>
    <cellStyle name="Normal 2 4 2 4 3 2 3" xfId="5100" xr:uid="{00000000-0005-0000-0000-0000630F0000}"/>
    <cellStyle name="Normal 2 4 2 4 3 2 3 2" xfId="13539" xr:uid="{0FF07313-B499-4504-9EEE-6B765FDA400A}"/>
    <cellStyle name="Normal 2 4 2 4 3 2 4" xfId="9321" xr:uid="{6BD09045-20FA-4E41-84C5-B53C54EBADA6}"/>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097" xr:uid="{98D7F4E0-2417-4A8D-A5AC-A0ED85CD0047}"/>
    <cellStyle name="Normal 2 4 2 4 3 3 2 3" xfId="11879" xr:uid="{AB70E7C4-00C0-4264-BEE2-CA9224810A78}"/>
    <cellStyle name="Normal 2 4 2 4 3 3 3" xfId="5513" xr:uid="{00000000-0005-0000-0000-0000670F0000}"/>
    <cellStyle name="Normal 2 4 2 4 3 3 3 2" xfId="13952" xr:uid="{D3A03546-CC6D-4A0B-AC2C-CEB27284F0A6}"/>
    <cellStyle name="Normal 2 4 2 4 3 3 4" xfId="9734" xr:uid="{3CE55DD3-1435-41A0-A599-657484E46D06}"/>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10" xr:uid="{EC04EC44-6E0A-4BA6-8C54-0064B70CF3C6}"/>
    <cellStyle name="Normal 2 4 2 4 3 4 2 3" xfId="12292" xr:uid="{98A1F1BC-024D-4302-B46E-0DED78FC9B01}"/>
    <cellStyle name="Normal 2 4 2 4 3 4 3" xfId="5926" xr:uid="{00000000-0005-0000-0000-00006B0F0000}"/>
    <cellStyle name="Normal 2 4 2 4 3 4 3 2" xfId="14365" xr:uid="{0F4D28E2-17C3-4DF9-9A48-5B3D3CE6B613}"/>
    <cellStyle name="Normal 2 4 2 4 3 4 4" xfId="10147" xr:uid="{CBE76CD1-243D-4299-AF89-5EC76C3982AF}"/>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3" xr:uid="{8FCD9712-BF28-4253-B768-BFB90DA0458A}"/>
    <cellStyle name="Normal 2 4 2 4 3 5 2 3" xfId="12705" xr:uid="{BD9B0C02-730D-476F-B53D-ABE40654A764}"/>
    <cellStyle name="Normal 2 4 2 4 3 5 3" xfId="6339" xr:uid="{00000000-0005-0000-0000-00006F0F0000}"/>
    <cellStyle name="Normal 2 4 2 4 3 5 3 2" xfId="14778" xr:uid="{788A6C1B-DDA2-4A6B-9950-78C2FBFA58BB}"/>
    <cellStyle name="Normal 2 4 2 4 3 5 4" xfId="10560" xr:uid="{2982ADEE-54BE-46E4-A400-3AB27911D0EE}"/>
    <cellStyle name="Normal 2 4 2 4 3 6" xfId="2468" xr:uid="{00000000-0005-0000-0000-0000700F0000}"/>
    <cellStyle name="Normal 2 4 2 4 3 6 2" xfId="6752" xr:uid="{00000000-0005-0000-0000-0000710F0000}"/>
    <cellStyle name="Normal 2 4 2 4 3 6 2 2" xfId="15191" xr:uid="{64773FCB-0184-492D-9CE6-A3FDF0F71CB7}"/>
    <cellStyle name="Normal 2 4 2 4 3 6 3" xfId="10973" xr:uid="{FCA4773A-3C44-49A5-BF1A-B5E2B69A0D7A}"/>
    <cellStyle name="Normal 2 4 2 4 3 7" xfId="4686" xr:uid="{00000000-0005-0000-0000-0000720F0000}"/>
    <cellStyle name="Normal 2 4 2 4 3 7 2" xfId="13125" xr:uid="{C6A994C9-93D5-4189-A3C1-B3E8D6C20179}"/>
    <cellStyle name="Normal 2 4 2 4 3 8" xfId="8907" xr:uid="{5E1DA799-DE6D-4E87-B8F1-21207361F1FB}"/>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81" xr:uid="{E6196B5D-D0C5-4EAF-BE06-8E5742673484}"/>
    <cellStyle name="Normal 2 4 2 4 4 2 3" xfId="11463" xr:uid="{017E4A59-E75D-4EC7-850E-5617D4E6092B}"/>
    <cellStyle name="Normal 2 4 2 4 4 3" xfId="5097" xr:uid="{00000000-0005-0000-0000-0000760F0000}"/>
    <cellStyle name="Normal 2 4 2 4 4 3 2" xfId="13536" xr:uid="{C6369E5A-ED35-4CC1-A342-979DB9F6620A}"/>
    <cellStyle name="Normal 2 4 2 4 4 4" xfId="9318" xr:uid="{188AE152-BD09-4125-8454-2FFC6001CBBC}"/>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4" xr:uid="{B610C4BF-6A79-4B13-B3F3-B533EBA9A2BC}"/>
    <cellStyle name="Normal 2 4 2 4 5 2 3" xfId="11876" xr:uid="{36CB0EC1-7BF2-4428-8073-2923FC765E4D}"/>
    <cellStyle name="Normal 2 4 2 4 5 3" xfId="5510" xr:uid="{00000000-0005-0000-0000-00007A0F0000}"/>
    <cellStyle name="Normal 2 4 2 4 5 3 2" xfId="13949" xr:uid="{F1C0D881-D5F6-440A-BD3A-DCA52A677C3F}"/>
    <cellStyle name="Normal 2 4 2 4 5 4" xfId="9731" xr:uid="{13434E95-478A-43FD-978A-534C92649FDB}"/>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07" xr:uid="{4B9CDAF6-9B76-4AF2-9F9B-9B0452432C2A}"/>
    <cellStyle name="Normal 2 4 2 4 6 2 3" xfId="12289" xr:uid="{987E33A9-71D5-4390-8CE9-95B2C2295636}"/>
    <cellStyle name="Normal 2 4 2 4 6 3" xfId="5923" xr:uid="{00000000-0005-0000-0000-00007E0F0000}"/>
    <cellStyle name="Normal 2 4 2 4 6 3 2" xfId="14362" xr:uid="{1BB36001-A205-42C6-B9D4-3BAFFBD9EADD}"/>
    <cellStyle name="Normal 2 4 2 4 6 4" xfId="10144" xr:uid="{CB6592D9-2722-4E79-BB4E-1462CE695986}"/>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20" xr:uid="{E853050D-C5B7-48A0-9604-8565F8D382D6}"/>
    <cellStyle name="Normal 2 4 2 4 7 2 3" xfId="12702" xr:uid="{EB744157-8348-4C05-BD62-9B361631C64F}"/>
    <cellStyle name="Normal 2 4 2 4 7 3" xfId="6336" xr:uid="{00000000-0005-0000-0000-0000820F0000}"/>
    <cellStyle name="Normal 2 4 2 4 7 3 2" xfId="14775" xr:uid="{CBC89AE9-A501-435D-964E-3503A1DE22E6}"/>
    <cellStyle name="Normal 2 4 2 4 7 4" xfId="10557" xr:uid="{96B7E9C3-B2EE-4F69-8F73-A2B04332611C}"/>
    <cellStyle name="Normal 2 4 2 4 8" xfId="2465" xr:uid="{00000000-0005-0000-0000-0000830F0000}"/>
    <cellStyle name="Normal 2 4 2 4 8 2" xfId="6749" xr:uid="{00000000-0005-0000-0000-0000840F0000}"/>
    <cellStyle name="Normal 2 4 2 4 8 2 2" xfId="15188" xr:uid="{CCC6C8B7-D386-4562-9643-8BA05AF3AA16}"/>
    <cellStyle name="Normal 2 4 2 4 8 3" xfId="10970" xr:uid="{EA65D343-8EA4-4CAF-8FBC-A3CDE162F163}"/>
    <cellStyle name="Normal 2 4 2 4 9" xfId="4683" xr:uid="{00000000-0005-0000-0000-0000850F0000}"/>
    <cellStyle name="Normal 2 4 2 4 9 2" xfId="13122" xr:uid="{AC1AA3EF-AE7F-4E1C-9B3E-8EE1E8E2D5E8}"/>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6" xr:uid="{C6ACD4F8-6D2D-4C24-8504-359587DCC95A}"/>
    <cellStyle name="Normal 2 4 2 5 2 2 2 3" xfId="11468" xr:uid="{05C2D1D2-337E-4EB1-AA7E-471918A3D54C}"/>
    <cellStyle name="Normal 2 4 2 5 2 2 3" xfId="5102" xr:uid="{00000000-0005-0000-0000-00008B0F0000}"/>
    <cellStyle name="Normal 2 4 2 5 2 2 3 2" xfId="13541" xr:uid="{C84AB952-01B2-49BD-8850-BF88214504E8}"/>
    <cellStyle name="Normal 2 4 2 5 2 2 4" xfId="9323" xr:uid="{3E0C7E07-18C3-43CD-B442-A683C7A7D236}"/>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099" xr:uid="{CF09C9F2-E6FC-430A-BF23-EF953B3A66D5}"/>
    <cellStyle name="Normal 2 4 2 5 2 3 2 3" xfId="11881" xr:uid="{3EA73172-36E4-415F-982F-9A492027F311}"/>
    <cellStyle name="Normal 2 4 2 5 2 3 3" xfId="5515" xr:uid="{00000000-0005-0000-0000-00008F0F0000}"/>
    <cellStyle name="Normal 2 4 2 5 2 3 3 2" xfId="13954" xr:uid="{D107E9A7-E064-48C9-9E4B-09029F253805}"/>
    <cellStyle name="Normal 2 4 2 5 2 3 4" xfId="9736" xr:uid="{75504365-72EF-4636-A6A8-35B0A18C65F4}"/>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12" xr:uid="{27801122-700A-4BCC-98C0-0B4481D71907}"/>
    <cellStyle name="Normal 2 4 2 5 2 4 2 3" xfId="12294" xr:uid="{277D5A02-56D9-4693-BC12-5C0EC4E0B761}"/>
    <cellStyle name="Normal 2 4 2 5 2 4 3" xfId="5928" xr:uid="{00000000-0005-0000-0000-0000930F0000}"/>
    <cellStyle name="Normal 2 4 2 5 2 4 3 2" xfId="14367" xr:uid="{DFA631EE-DA40-4DA8-9D44-2853486DE954}"/>
    <cellStyle name="Normal 2 4 2 5 2 4 4" xfId="10149" xr:uid="{663D471D-5F48-4F2A-897D-9D88C8B1A00C}"/>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5" xr:uid="{CDF4461A-BEF0-479B-8931-CF013FF0E87F}"/>
    <cellStyle name="Normal 2 4 2 5 2 5 2 3" xfId="12707" xr:uid="{4D178E38-E27B-4422-B726-56EACDA2571E}"/>
    <cellStyle name="Normal 2 4 2 5 2 5 3" xfId="6341" xr:uid="{00000000-0005-0000-0000-0000970F0000}"/>
    <cellStyle name="Normal 2 4 2 5 2 5 3 2" xfId="14780" xr:uid="{80C476F6-82DE-4C8B-8884-699B824EDAD7}"/>
    <cellStyle name="Normal 2 4 2 5 2 5 4" xfId="10562" xr:uid="{DFE41255-6691-4BEA-97B8-5340DA60407B}"/>
    <cellStyle name="Normal 2 4 2 5 2 6" xfId="2470" xr:uid="{00000000-0005-0000-0000-0000980F0000}"/>
    <cellStyle name="Normal 2 4 2 5 2 6 2" xfId="6754" xr:uid="{00000000-0005-0000-0000-0000990F0000}"/>
    <cellStyle name="Normal 2 4 2 5 2 6 2 2" xfId="15193" xr:uid="{0132FE83-4EB6-4480-9C29-9E1F6A9C09D2}"/>
    <cellStyle name="Normal 2 4 2 5 2 6 3" xfId="10975" xr:uid="{2DEFFCC3-61BC-4E70-91BB-DDFBE9D43451}"/>
    <cellStyle name="Normal 2 4 2 5 2 7" xfId="4688" xr:uid="{00000000-0005-0000-0000-00009A0F0000}"/>
    <cellStyle name="Normal 2 4 2 5 2 7 2" xfId="13127" xr:uid="{895214CE-586A-4C3C-88EA-E40FD2B5C0D2}"/>
    <cellStyle name="Normal 2 4 2 5 2 8" xfId="8909" xr:uid="{42F03446-762C-46D1-AA2D-A2EF934F8567}"/>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5" xr:uid="{C50A4997-9439-4F0A-ACF7-12D6567CACA7}"/>
    <cellStyle name="Normal 2 4 2 5 3 2 3" xfId="11467" xr:uid="{825FC39B-BB1C-41C5-A25C-26B6DEF95C06}"/>
    <cellStyle name="Normal 2 4 2 5 3 3" xfId="5101" xr:uid="{00000000-0005-0000-0000-00009E0F0000}"/>
    <cellStyle name="Normal 2 4 2 5 3 3 2" xfId="13540" xr:uid="{CDF2347E-230A-4827-8AEA-D55909D0B809}"/>
    <cellStyle name="Normal 2 4 2 5 3 4" xfId="9322" xr:uid="{7398FAA2-441C-4C55-947F-97EBAB1CD137}"/>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098" xr:uid="{F636D3D6-4992-4B1E-AC01-F5182A1536EE}"/>
    <cellStyle name="Normal 2 4 2 5 4 2 3" xfId="11880" xr:uid="{66EC273D-A3E4-40DA-A2F3-7CD4D84C74A8}"/>
    <cellStyle name="Normal 2 4 2 5 4 3" xfId="5514" xr:uid="{00000000-0005-0000-0000-0000A20F0000}"/>
    <cellStyle name="Normal 2 4 2 5 4 3 2" xfId="13953" xr:uid="{AB6C98E4-FBAA-49AA-BE54-E6C3E466AC61}"/>
    <cellStyle name="Normal 2 4 2 5 4 4" xfId="9735" xr:uid="{CDBF5694-7F81-4F6A-A9F2-15B244E5DFD4}"/>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11" xr:uid="{486407D2-4B9E-4623-AAEF-9569ECEFA37E}"/>
    <cellStyle name="Normal 2 4 2 5 5 2 3" xfId="12293" xr:uid="{CF0B61B9-433E-4C76-B6BB-0EAF8E7614AE}"/>
    <cellStyle name="Normal 2 4 2 5 5 3" xfId="5927" xr:uid="{00000000-0005-0000-0000-0000A60F0000}"/>
    <cellStyle name="Normal 2 4 2 5 5 3 2" xfId="14366" xr:uid="{D9292B2F-F138-40CA-B742-A634E8C6143E}"/>
    <cellStyle name="Normal 2 4 2 5 5 4" xfId="10148" xr:uid="{890A61B7-62F6-46A0-B0B1-B843925E9E48}"/>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4" xr:uid="{B07D5761-648B-4C47-B463-70424D4725EF}"/>
    <cellStyle name="Normal 2 4 2 5 6 2 3" xfId="12706" xr:uid="{E9B426F4-0997-4814-A252-CEB4516EC851}"/>
    <cellStyle name="Normal 2 4 2 5 6 3" xfId="6340" xr:uid="{00000000-0005-0000-0000-0000AA0F0000}"/>
    <cellStyle name="Normal 2 4 2 5 6 3 2" xfId="14779" xr:uid="{11565CE2-5E3E-488B-9B2D-994169472467}"/>
    <cellStyle name="Normal 2 4 2 5 6 4" xfId="10561" xr:uid="{51E30C56-EC9C-42DF-9AF0-76F64BC74478}"/>
    <cellStyle name="Normal 2 4 2 5 7" xfId="2469" xr:uid="{00000000-0005-0000-0000-0000AB0F0000}"/>
    <cellStyle name="Normal 2 4 2 5 7 2" xfId="6753" xr:uid="{00000000-0005-0000-0000-0000AC0F0000}"/>
    <cellStyle name="Normal 2 4 2 5 7 2 2" xfId="15192" xr:uid="{9F6176DA-6FD3-45C0-8F45-41DE98C47254}"/>
    <cellStyle name="Normal 2 4 2 5 7 3" xfId="10974" xr:uid="{8CA5E1C0-B3BC-4AFC-BE0D-B70CECE38D70}"/>
    <cellStyle name="Normal 2 4 2 5 8" xfId="4687" xr:uid="{00000000-0005-0000-0000-0000AD0F0000}"/>
    <cellStyle name="Normal 2 4 2 5 8 2" xfId="13126" xr:uid="{80BFBCA5-51A7-46F3-BFF4-183CA60B4874}"/>
    <cellStyle name="Normal 2 4 2 5 9" xfId="8908" xr:uid="{A0D7A5B4-0B08-4476-9318-E55809581E0E}"/>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87" xr:uid="{EA231913-F974-4F03-929A-E0326A3FF091}"/>
    <cellStyle name="Normal 2 4 2 6 2 2 3" xfId="11469" xr:uid="{216085F7-8399-4BD8-AE40-4B2A4FE3B111}"/>
    <cellStyle name="Normal 2 4 2 6 2 3" xfId="5103" xr:uid="{00000000-0005-0000-0000-0000B20F0000}"/>
    <cellStyle name="Normal 2 4 2 6 2 3 2" xfId="13542" xr:uid="{34FBFD3A-748C-454C-BFBA-310053236EE5}"/>
    <cellStyle name="Normal 2 4 2 6 2 4" xfId="9324" xr:uid="{0878E304-A76F-48F4-970D-58878DC7B43F}"/>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100" xr:uid="{D6BE9AAA-5203-4EB4-B3A8-B58419C1C66F}"/>
    <cellStyle name="Normal 2 4 2 6 3 2 3" xfId="11882" xr:uid="{C730083C-B205-49D2-91AB-409EC54873A0}"/>
    <cellStyle name="Normal 2 4 2 6 3 3" xfId="5516" xr:uid="{00000000-0005-0000-0000-0000B60F0000}"/>
    <cellStyle name="Normal 2 4 2 6 3 3 2" xfId="13955" xr:uid="{35F11C6A-31AD-4BB4-9D04-BE2ECB3AF798}"/>
    <cellStyle name="Normal 2 4 2 6 3 4" xfId="9737" xr:uid="{259D11E8-7AF9-412F-BF5B-0054715D2B36}"/>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3" xr:uid="{AC92274A-3B79-4704-9F05-2736E555CC3A}"/>
    <cellStyle name="Normal 2 4 2 6 4 2 3" xfId="12295" xr:uid="{99D58331-2C02-4E3D-A6E5-7E1FA1485FBA}"/>
    <cellStyle name="Normal 2 4 2 6 4 3" xfId="5929" xr:uid="{00000000-0005-0000-0000-0000BA0F0000}"/>
    <cellStyle name="Normal 2 4 2 6 4 3 2" xfId="14368" xr:uid="{AABA0B3E-7CA2-46C7-BBD2-4CF1D64E2089}"/>
    <cellStyle name="Normal 2 4 2 6 4 4" xfId="10150" xr:uid="{BEFBDB05-8C7F-43AA-A513-3B684BBD113C}"/>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6" xr:uid="{7FCB93F7-D221-4CF6-8EC6-C51551A9C6B0}"/>
    <cellStyle name="Normal 2 4 2 6 5 2 3" xfId="12708" xr:uid="{752035BC-AE31-491B-82AA-74B6F49DBAEC}"/>
    <cellStyle name="Normal 2 4 2 6 5 3" xfId="6342" xr:uid="{00000000-0005-0000-0000-0000BE0F0000}"/>
    <cellStyle name="Normal 2 4 2 6 5 3 2" xfId="14781" xr:uid="{DA8AEF3D-938A-408D-ADB5-6647CC21F885}"/>
    <cellStyle name="Normal 2 4 2 6 5 4" xfId="10563" xr:uid="{A568DF6B-9333-47FE-8FB7-4A284D8E37FA}"/>
    <cellStyle name="Normal 2 4 2 6 6" xfId="2471" xr:uid="{00000000-0005-0000-0000-0000BF0F0000}"/>
    <cellStyle name="Normal 2 4 2 6 6 2" xfId="6755" xr:uid="{00000000-0005-0000-0000-0000C00F0000}"/>
    <cellStyle name="Normal 2 4 2 6 6 2 2" xfId="15194" xr:uid="{12934A0D-0835-4B3D-A549-CB63D2E4F86E}"/>
    <cellStyle name="Normal 2 4 2 6 6 3" xfId="10976" xr:uid="{72EC5A48-7853-4DDD-B45F-1781F8653135}"/>
    <cellStyle name="Normal 2 4 2 6 7" xfId="4689" xr:uid="{00000000-0005-0000-0000-0000C10F0000}"/>
    <cellStyle name="Normal 2 4 2 6 7 2" xfId="13128" xr:uid="{16A96977-A454-4990-9392-6CC4C0D9B849}"/>
    <cellStyle name="Normal 2 4 2 6 8" xfId="8910" xr:uid="{C721DE79-75F2-43BF-A2C8-B441498FE343}"/>
    <cellStyle name="Normal 2 4 2 7" xfId="771" xr:uid="{00000000-0005-0000-0000-0000C20F0000}"/>
    <cellStyle name="Normal 2 4 2 7 2" xfId="3010" xr:uid="{00000000-0005-0000-0000-0000C30F0000}"/>
    <cellStyle name="Normal 2 4 2 7 2 2" xfId="7233" xr:uid="{00000000-0005-0000-0000-0000C40F0000}"/>
    <cellStyle name="Normal 2 4 2 7 2 2 2" xfId="15672" xr:uid="{0CE8BE0A-3522-4E78-AE91-930F9D51857C}"/>
    <cellStyle name="Normal 2 4 2 7 2 3" xfId="11454" xr:uid="{125D2C32-7AE7-4555-91E5-FEA559AAB000}"/>
    <cellStyle name="Normal 2 4 2 7 3" xfId="5088" xr:uid="{00000000-0005-0000-0000-0000C50F0000}"/>
    <cellStyle name="Normal 2 4 2 7 3 2" xfId="13527" xr:uid="{CA7DF96C-F98E-408A-94E2-64062CA8806F}"/>
    <cellStyle name="Normal 2 4 2 7 4" xfId="9309" xr:uid="{1A18341A-D849-4FA7-9892-E0EE87B7E779}"/>
    <cellStyle name="Normal 2 4 2 8" xfId="1193" xr:uid="{00000000-0005-0000-0000-0000C60F0000}"/>
    <cellStyle name="Normal 2 4 2 8 2" xfId="3423" xr:uid="{00000000-0005-0000-0000-0000C70F0000}"/>
    <cellStyle name="Normal 2 4 2 8 2 2" xfId="7646" xr:uid="{00000000-0005-0000-0000-0000C80F0000}"/>
    <cellStyle name="Normal 2 4 2 8 2 2 2" xfId="16085" xr:uid="{D36155FD-D324-4651-892B-5ACB709A0A67}"/>
    <cellStyle name="Normal 2 4 2 8 2 3" xfId="11867" xr:uid="{097291C8-A3A7-4E53-8B78-0B041C21C0BD}"/>
    <cellStyle name="Normal 2 4 2 8 3" xfId="5501" xr:uid="{00000000-0005-0000-0000-0000C90F0000}"/>
    <cellStyle name="Normal 2 4 2 8 3 2" xfId="13940" xr:uid="{7921A19F-04A4-4185-A71B-6AD74345BE59}"/>
    <cellStyle name="Normal 2 4 2 8 4" xfId="9722" xr:uid="{3075C7B6-C1C9-4161-9258-2B5F16E984C4}"/>
    <cellStyle name="Normal 2 4 2 9" xfId="1606" xr:uid="{00000000-0005-0000-0000-0000CA0F0000}"/>
    <cellStyle name="Normal 2 4 2 9 2" xfId="3836" xr:uid="{00000000-0005-0000-0000-0000CB0F0000}"/>
    <cellStyle name="Normal 2 4 2 9 2 2" xfId="8059" xr:uid="{00000000-0005-0000-0000-0000CC0F0000}"/>
    <cellStyle name="Normal 2 4 2 9 2 2 2" xfId="16498" xr:uid="{F1DFCB61-7B1C-4BB9-A4F7-A3FEE3C01F04}"/>
    <cellStyle name="Normal 2 4 2 9 2 3" xfId="12280" xr:uid="{3E52B5A1-1F54-426F-A478-E38880A5A18E}"/>
    <cellStyle name="Normal 2 4 2 9 3" xfId="5914" xr:uid="{00000000-0005-0000-0000-0000CD0F0000}"/>
    <cellStyle name="Normal 2 4 2 9 3 2" xfId="14353" xr:uid="{6005358A-4694-440D-962C-A34F3FE456E8}"/>
    <cellStyle name="Normal 2 4 2 9 4" xfId="10135" xr:uid="{B3E7A73D-A427-4349-8068-8D33FB79CEDF}"/>
    <cellStyle name="Normal 2 4 3" xfId="296" xr:uid="{00000000-0005-0000-0000-0000CE0F0000}"/>
    <cellStyle name="Normal 2 4 3 10" xfId="8911" xr:uid="{B87CFE2D-35BA-4155-A031-EA8E704251A5}"/>
    <cellStyle name="Normal 2 4 3 2" xfId="297" xr:uid="{00000000-0005-0000-0000-0000CF0F0000}"/>
    <cellStyle name="Normal 2 4 3 3" xfId="298" xr:uid="{00000000-0005-0000-0000-0000D00F0000}"/>
    <cellStyle name="Normal 2 4 3 3 10" xfId="8912" xr:uid="{64B94EB4-712C-4E3A-834A-4AA38BCED11F}"/>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91" xr:uid="{4BED8D9B-BA70-4C82-921E-FAB673F63D10}"/>
    <cellStyle name="Normal 2 4 3 3 2 2 2 2 3" xfId="11473" xr:uid="{E00336C4-221A-495D-A2AF-9F7BEA614594}"/>
    <cellStyle name="Normal 2 4 3 3 2 2 2 3" xfId="5107" xr:uid="{00000000-0005-0000-0000-0000D60F0000}"/>
    <cellStyle name="Normal 2 4 3 3 2 2 2 3 2" xfId="13546" xr:uid="{60C22F96-2A75-436F-8F15-E556788C7179}"/>
    <cellStyle name="Normal 2 4 3 3 2 2 2 4" xfId="9328" xr:uid="{149CA735-26BF-42B9-8340-579F0C4B1111}"/>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4" xr:uid="{54D49664-8539-4B79-8C2D-EF18260FBA9D}"/>
    <cellStyle name="Normal 2 4 3 3 2 2 3 2 3" xfId="11886" xr:uid="{1877B40F-6A18-48D8-9CC3-B2643311E284}"/>
    <cellStyle name="Normal 2 4 3 3 2 2 3 3" xfId="5520" xr:uid="{00000000-0005-0000-0000-0000DA0F0000}"/>
    <cellStyle name="Normal 2 4 3 3 2 2 3 3 2" xfId="13959" xr:uid="{38EA4C0C-7F4F-41AA-AFCC-5AC39ED30530}"/>
    <cellStyle name="Normal 2 4 3 3 2 2 3 4" xfId="9741" xr:uid="{F8EC1E1E-C8AB-4F8A-9702-CB3C93B55F89}"/>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17" xr:uid="{A4A89D6A-84CE-470E-8338-99AF7B06DADF}"/>
    <cellStyle name="Normal 2 4 3 3 2 2 4 2 3" xfId="12299" xr:uid="{BAEE6E68-D1DD-42F9-BD9E-7A40A1E60BA9}"/>
    <cellStyle name="Normal 2 4 3 3 2 2 4 3" xfId="5933" xr:uid="{00000000-0005-0000-0000-0000DE0F0000}"/>
    <cellStyle name="Normal 2 4 3 3 2 2 4 3 2" xfId="14372" xr:uid="{A734A8D8-6A4F-469D-9580-CE0ADBB1A6C6}"/>
    <cellStyle name="Normal 2 4 3 3 2 2 4 4" xfId="10154" xr:uid="{2BE4FE66-B880-4D61-B65E-A1C79A3A2ED5}"/>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30" xr:uid="{E0E0664C-9EFF-40B8-B7E9-EE0BB188B693}"/>
    <cellStyle name="Normal 2 4 3 3 2 2 5 2 3" xfId="12712" xr:uid="{D0FB6355-F898-41A2-87E5-9A588954EFBE}"/>
    <cellStyle name="Normal 2 4 3 3 2 2 5 3" xfId="6346" xr:uid="{00000000-0005-0000-0000-0000E20F0000}"/>
    <cellStyle name="Normal 2 4 3 3 2 2 5 3 2" xfId="14785" xr:uid="{B37DA12F-33EF-4360-972C-B172CD419B53}"/>
    <cellStyle name="Normal 2 4 3 3 2 2 5 4" xfId="10567" xr:uid="{DB7DA926-AB5B-4B7F-A7FA-4C9BA98CBC6F}"/>
    <cellStyle name="Normal 2 4 3 3 2 2 6" xfId="2475" xr:uid="{00000000-0005-0000-0000-0000E30F0000}"/>
    <cellStyle name="Normal 2 4 3 3 2 2 6 2" xfId="6759" xr:uid="{00000000-0005-0000-0000-0000E40F0000}"/>
    <cellStyle name="Normal 2 4 3 3 2 2 6 2 2" xfId="15198" xr:uid="{43F2613C-475A-460B-8565-6F79B23B3422}"/>
    <cellStyle name="Normal 2 4 3 3 2 2 6 3" xfId="10980" xr:uid="{F977A409-C204-4C9E-871D-49D4E48E6172}"/>
    <cellStyle name="Normal 2 4 3 3 2 2 7" xfId="4693" xr:uid="{00000000-0005-0000-0000-0000E50F0000}"/>
    <cellStyle name="Normal 2 4 3 3 2 2 7 2" xfId="13132" xr:uid="{F52E97F9-B45D-4060-8C53-A29040D8CD5C}"/>
    <cellStyle name="Normal 2 4 3 3 2 2 8" xfId="8914" xr:uid="{AB99FDEA-646B-4145-80B9-2B205F559271}"/>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90" xr:uid="{62BEBB7D-AA68-410E-AA7B-8A86C1DED6A4}"/>
    <cellStyle name="Normal 2 4 3 3 2 3 2 3" xfId="11472" xr:uid="{30BE7A32-41B7-484C-A3DE-23BED228B44A}"/>
    <cellStyle name="Normal 2 4 3 3 2 3 3" xfId="5106" xr:uid="{00000000-0005-0000-0000-0000E90F0000}"/>
    <cellStyle name="Normal 2 4 3 3 2 3 3 2" xfId="13545" xr:uid="{FED5F3A4-1D2D-4E29-B2B4-3A4A9F90CEDC}"/>
    <cellStyle name="Normal 2 4 3 3 2 3 4" xfId="9327" xr:uid="{8705D86C-2B29-4FD3-A8F5-E06549D89D9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3" xr:uid="{30511480-9C42-4B2A-BEB2-AC2F26AC421B}"/>
    <cellStyle name="Normal 2 4 3 3 2 4 2 3" xfId="11885" xr:uid="{CC7E5D23-C904-4FF9-9160-56517C8AFEE8}"/>
    <cellStyle name="Normal 2 4 3 3 2 4 3" xfId="5519" xr:uid="{00000000-0005-0000-0000-0000ED0F0000}"/>
    <cellStyle name="Normal 2 4 3 3 2 4 3 2" xfId="13958" xr:uid="{B59821D3-E3B4-48DD-86E2-015B19262D43}"/>
    <cellStyle name="Normal 2 4 3 3 2 4 4" xfId="9740" xr:uid="{FCF084FF-EE72-4F29-AE5B-9877F2C28E5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6" xr:uid="{F40CDB0F-7D39-4D31-960E-A2A33798CF1A}"/>
    <cellStyle name="Normal 2 4 3 3 2 5 2 3" xfId="12298" xr:uid="{5100A6F0-4994-49F7-943D-FF5DB485AE23}"/>
    <cellStyle name="Normal 2 4 3 3 2 5 3" xfId="5932" xr:uid="{00000000-0005-0000-0000-0000F10F0000}"/>
    <cellStyle name="Normal 2 4 3 3 2 5 3 2" xfId="14371" xr:uid="{5F7E2D29-3DFE-4A7D-B9E7-5C283A06A653}"/>
    <cellStyle name="Normal 2 4 3 3 2 5 4" xfId="10153" xr:uid="{86924710-9500-489C-A422-30637A837958}"/>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29" xr:uid="{E703F62F-ACA8-4862-940A-0A2C0F9D686C}"/>
    <cellStyle name="Normal 2 4 3 3 2 6 2 3" xfId="12711" xr:uid="{FF7E86B8-4E45-461B-9329-BAE88B22B99E}"/>
    <cellStyle name="Normal 2 4 3 3 2 6 3" xfId="6345" xr:uid="{00000000-0005-0000-0000-0000F50F0000}"/>
    <cellStyle name="Normal 2 4 3 3 2 6 3 2" xfId="14784" xr:uid="{295AD1D6-1B8B-4BC6-ABBC-FDB8CB5DE4B8}"/>
    <cellStyle name="Normal 2 4 3 3 2 6 4" xfId="10566" xr:uid="{34D021A5-8463-4253-9450-2857BB20389A}"/>
    <cellStyle name="Normal 2 4 3 3 2 7" xfId="2474" xr:uid="{00000000-0005-0000-0000-0000F60F0000}"/>
    <cellStyle name="Normal 2 4 3 3 2 7 2" xfId="6758" xr:uid="{00000000-0005-0000-0000-0000F70F0000}"/>
    <cellStyle name="Normal 2 4 3 3 2 7 2 2" xfId="15197" xr:uid="{660E30DE-4E8D-4B3A-A987-6F93C2AE3937}"/>
    <cellStyle name="Normal 2 4 3 3 2 7 3" xfId="10979" xr:uid="{C4C0C064-E419-40E1-A298-A7C3E5826335}"/>
    <cellStyle name="Normal 2 4 3 3 2 8" xfId="4692" xr:uid="{00000000-0005-0000-0000-0000F80F0000}"/>
    <cellStyle name="Normal 2 4 3 3 2 8 2" xfId="13131" xr:uid="{421E74D5-4E33-449F-96FB-49C98EB450BB}"/>
    <cellStyle name="Normal 2 4 3 3 2 9" xfId="8913" xr:uid="{AFD5E994-FBC7-4105-B50B-3100972C5E5C}"/>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92" xr:uid="{8B2C970B-705F-46D8-9F38-5A24A1682C22}"/>
    <cellStyle name="Normal 2 4 3 3 3 2 2 3" xfId="11474" xr:uid="{C32517FF-484E-4FA9-9B68-D5767E9F9502}"/>
    <cellStyle name="Normal 2 4 3 3 3 2 3" xfId="5108" xr:uid="{00000000-0005-0000-0000-0000FD0F0000}"/>
    <cellStyle name="Normal 2 4 3 3 3 2 3 2" xfId="13547" xr:uid="{B2B0A820-925E-48B0-9A43-4A64F40C39E8}"/>
    <cellStyle name="Normal 2 4 3 3 3 2 4" xfId="9329" xr:uid="{5CC97E98-BB77-4F8B-976F-E5C044E02468}"/>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5" xr:uid="{2FCF00BC-3D7A-45F1-89C5-A796CFD5F2E0}"/>
    <cellStyle name="Normal 2 4 3 3 3 3 2 3" xfId="11887" xr:uid="{5218B399-7030-41B0-B4C4-00FC931DA771}"/>
    <cellStyle name="Normal 2 4 3 3 3 3 3" xfId="5521" xr:uid="{00000000-0005-0000-0000-000001100000}"/>
    <cellStyle name="Normal 2 4 3 3 3 3 3 2" xfId="13960" xr:uid="{9DA353DC-ADC8-4F95-9418-DF73CCB7B8D5}"/>
    <cellStyle name="Normal 2 4 3 3 3 3 4" xfId="9742" xr:uid="{BD5470D5-C9DE-4E37-93E8-F5133D5E3891}"/>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18" xr:uid="{13E57481-10B9-4135-98A3-C1286126DBAB}"/>
    <cellStyle name="Normal 2 4 3 3 3 4 2 3" xfId="12300" xr:uid="{B72AC07C-E50E-4F08-B65E-3C0C437BD300}"/>
    <cellStyle name="Normal 2 4 3 3 3 4 3" xfId="5934" xr:uid="{00000000-0005-0000-0000-000005100000}"/>
    <cellStyle name="Normal 2 4 3 3 3 4 3 2" xfId="14373" xr:uid="{BB094B2B-9062-4887-8798-26C2E9BCF994}"/>
    <cellStyle name="Normal 2 4 3 3 3 4 4" xfId="10155" xr:uid="{A1311EF0-77D1-4A01-8564-22239D48A536}"/>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31" xr:uid="{19379351-358A-40E0-8578-D0F786335EEF}"/>
    <cellStyle name="Normal 2 4 3 3 3 5 2 3" xfId="12713" xr:uid="{FE415073-E02B-42E2-9A37-532D097D2B21}"/>
    <cellStyle name="Normal 2 4 3 3 3 5 3" xfId="6347" xr:uid="{00000000-0005-0000-0000-000009100000}"/>
    <cellStyle name="Normal 2 4 3 3 3 5 3 2" xfId="14786" xr:uid="{6468BC63-17C9-4C64-8A64-102ACE75B27A}"/>
    <cellStyle name="Normal 2 4 3 3 3 5 4" xfId="10568" xr:uid="{5A7043E8-B2DA-48C8-9E94-5F2C65A0A6A5}"/>
    <cellStyle name="Normal 2 4 3 3 3 6" xfId="2476" xr:uid="{00000000-0005-0000-0000-00000A100000}"/>
    <cellStyle name="Normal 2 4 3 3 3 6 2" xfId="6760" xr:uid="{00000000-0005-0000-0000-00000B100000}"/>
    <cellStyle name="Normal 2 4 3 3 3 6 2 2" xfId="15199" xr:uid="{5AEA6E57-EE67-494F-BEAB-043AD8D0C094}"/>
    <cellStyle name="Normal 2 4 3 3 3 6 3" xfId="10981" xr:uid="{5F781210-C584-4464-917A-0D5D06AC2AA0}"/>
    <cellStyle name="Normal 2 4 3 3 3 7" xfId="4694" xr:uid="{00000000-0005-0000-0000-00000C100000}"/>
    <cellStyle name="Normal 2 4 3 3 3 7 2" xfId="13133" xr:uid="{E7B03847-1456-4F1C-B30A-6D601EEA586C}"/>
    <cellStyle name="Normal 2 4 3 3 3 8" xfId="8915" xr:uid="{A5F1B7E2-2DC6-4201-8BC1-5CC9ED1B30CB}"/>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89" xr:uid="{794D5C21-C58A-4D4E-9FA0-E3791C09E14D}"/>
    <cellStyle name="Normal 2 4 3 3 4 2 3" xfId="11471" xr:uid="{B5761C4C-2E67-49F6-8EF6-5BE9CEB19BD1}"/>
    <cellStyle name="Normal 2 4 3 3 4 3" xfId="5105" xr:uid="{00000000-0005-0000-0000-000010100000}"/>
    <cellStyle name="Normal 2 4 3 3 4 3 2" xfId="13544" xr:uid="{57430D27-8CD5-495B-B745-8930B1580F0E}"/>
    <cellStyle name="Normal 2 4 3 3 4 4" xfId="9326" xr:uid="{483C7B11-D785-4360-8CC2-70A728985D97}"/>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102" xr:uid="{3CDC5B6E-4696-4B72-9CCB-BB11AA34C1CA}"/>
    <cellStyle name="Normal 2 4 3 3 5 2 3" xfId="11884" xr:uid="{BEF358DB-877C-4659-AEE3-8E83A31B4EBA}"/>
    <cellStyle name="Normal 2 4 3 3 5 3" xfId="5518" xr:uid="{00000000-0005-0000-0000-000014100000}"/>
    <cellStyle name="Normal 2 4 3 3 5 3 2" xfId="13957" xr:uid="{247C4BA4-4C32-4302-A99D-D708B3B7C977}"/>
    <cellStyle name="Normal 2 4 3 3 5 4" xfId="9739" xr:uid="{E0E01FFB-7E09-48E3-B779-18D3DF4E9420}"/>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5" xr:uid="{FFBB3912-B30E-4911-9727-858FB3643195}"/>
    <cellStyle name="Normal 2 4 3 3 6 2 3" xfId="12297" xr:uid="{E2AC8EA2-76B0-4284-A6D4-BB67050DD37C}"/>
    <cellStyle name="Normal 2 4 3 3 6 3" xfId="5931" xr:uid="{00000000-0005-0000-0000-000018100000}"/>
    <cellStyle name="Normal 2 4 3 3 6 3 2" xfId="14370" xr:uid="{FFCCF92D-449F-4BA4-83E6-692782376C87}"/>
    <cellStyle name="Normal 2 4 3 3 6 4" xfId="10152" xr:uid="{A028B0FF-2AF2-49F2-923A-7974F7DB73A4}"/>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28" xr:uid="{89DD63FF-B3D6-4CB1-A2B5-C4E65E7ED0F2}"/>
    <cellStyle name="Normal 2 4 3 3 7 2 3" xfId="12710" xr:uid="{18A6B95C-F739-4712-A120-D7955A76AF77}"/>
    <cellStyle name="Normal 2 4 3 3 7 3" xfId="6344" xr:uid="{00000000-0005-0000-0000-00001C100000}"/>
    <cellStyle name="Normal 2 4 3 3 7 3 2" xfId="14783" xr:uid="{5640D949-BDB0-4273-BDCB-937D50BD2095}"/>
    <cellStyle name="Normal 2 4 3 3 7 4" xfId="10565" xr:uid="{FF47CBB6-0368-4637-AF88-9E568B60CFEA}"/>
    <cellStyle name="Normal 2 4 3 3 8" xfId="2473" xr:uid="{00000000-0005-0000-0000-00001D100000}"/>
    <cellStyle name="Normal 2 4 3 3 8 2" xfId="6757" xr:uid="{00000000-0005-0000-0000-00001E100000}"/>
    <cellStyle name="Normal 2 4 3 3 8 2 2" xfId="15196" xr:uid="{26A93F20-D5ED-40D3-BE38-63EAAE5EEA44}"/>
    <cellStyle name="Normal 2 4 3 3 8 3" xfId="10978" xr:uid="{7F13547A-2058-4C4A-AB1D-96CC5B16BBC6}"/>
    <cellStyle name="Normal 2 4 3 3 9" xfId="4691" xr:uid="{00000000-0005-0000-0000-00001F100000}"/>
    <cellStyle name="Normal 2 4 3 3 9 2" xfId="13130" xr:uid="{BE1DAF26-E761-461B-A92F-BD1D38E1DA79}"/>
    <cellStyle name="Normal 2 4 3 4" xfId="787" xr:uid="{00000000-0005-0000-0000-000020100000}"/>
    <cellStyle name="Normal 2 4 3 4 2" xfId="3026" xr:uid="{00000000-0005-0000-0000-000021100000}"/>
    <cellStyle name="Normal 2 4 3 4 2 2" xfId="7249" xr:uid="{00000000-0005-0000-0000-000022100000}"/>
    <cellStyle name="Normal 2 4 3 4 2 2 2" xfId="15688" xr:uid="{8E56A944-89C8-4AC9-A139-2F6D7EBDC784}"/>
    <cellStyle name="Normal 2 4 3 4 2 3" xfId="11470" xr:uid="{C39B8FF7-82EE-4ED3-8457-D3EAB0FDA5D8}"/>
    <cellStyle name="Normal 2 4 3 4 3" xfId="5104" xr:uid="{00000000-0005-0000-0000-000023100000}"/>
    <cellStyle name="Normal 2 4 3 4 3 2" xfId="13543" xr:uid="{11B1402D-B4E3-4464-BC4F-034E2ED0FA97}"/>
    <cellStyle name="Normal 2 4 3 4 4" xfId="9325" xr:uid="{8AB3AD56-3279-4798-AE10-F3B58187F03A}"/>
    <cellStyle name="Normal 2 4 3 5" xfId="1209" xr:uid="{00000000-0005-0000-0000-000024100000}"/>
    <cellStyle name="Normal 2 4 3 5 2" xfId="3439" xr:uid="{00000000-0005-0000-0000-000025100000}"/>
    <cellStyle name="Normal 2 4 3 5 2 2" xfId="7662" xr:uid="{00000000-0005-0000-0000-000026100000}"/>
    <cellStyle name="Normal 2 4 3 5 2 2 2" xfId="16101" xr:uid="{A9F9517F-6D75-4F38-86EB-FCC3B4900628}"/>
    <cellStyle name="Normal 2 4 3 5 2 3" xfId="11883" xr:uid="{34FF59CF-697E-4EFB-BE14-D196F22B6BC5}"/>
    <cellStyle name="Normal 2 4 3 5 3" xfId="5517" xr:uid="{00000000-0005-0000-0000-000027100000}"/>
    <cellStyle name="Normal 2 4 3 5 3 2" xfId="13956" xr:uid="{ADEC7549-74CF-4CB3-A514-CCAB36A991E5}"/>
    <cellStyle name="Normal 2 4 3 5 4" xfId="9738" xr:uid="{825CD7B0-1769-4450-A6CF-E66CD8702617}"/>
    <cellStyle name="Normal 2 4 3 6" xfId="1622" xr:uid="{00000000-0005-0000-0000-000028100000}"/>
    <cellStyle name="Normal 2 4 3 6 2" xfId="3852" xr:uid="{00000000-0005-0000-0000-000029100000}"/>
    <cellStyle name="Normal 2 4 3 6 2 2" xfId="8075" xr:uid="{00000000-0005-0000-0000-00002A100000}"/>
    <cellStyle name="Normal 2 4 3 6 2 2 2" xfId="16514" xr:uid="{E607AA5F-C095-4E85-AAFC-58B00D78500C}"/>
    <cellStyle name="Normal 2 4 3 6 2 3" xfId="12296" xr:uid="{661474F2-56BB-43C8-B3AB-FBB36E29D77A}"/>
    <cellStyle name="Normal 2 4 3 6 3" xfId="5930" xr:uid="{00000000-0005-0000-0000-00002B100000}"/>
    <cellStyle name="Normal 2 4 3 6 3 2" xfId="14369" xr:uid="{8AA8517A-C528-461F-8D66-475C46C5E241}"/>
    <cellStyle name="Normal 2 4 3 6 4" xfId="10151" xr:uid="{C8DF2463-FBD0-4834-836E-8863C5C1D442}"/>
    <cellStyle name="Normal 2 4 3 7" xfId="2036" xr:uid="{00000000-0005-0000-0000-00002C100000}"/>
    <cellStyle name="Normal 2 4 3 7 2" xfId="4265" xr:uid="{00000000-0005-0000-0000-00002D100000}"/>
    <cellStyle name="Normal 2 4 3 7 2 2" xfId="8488" xr:uid="{00000000-0005-0000-0000-00002E100000}"/>
    <cellStyle name="Normal 2 4 3 7 2 2 2" xfId="16927" xr:uid="{38B62B71-D6CE-46BD-BC21-E11EF6802C25}"/>
    <cellStyle name="Normal 2 4 3 7 2 3" xfId="12709" xr:uid="{F6ED2273-3FA3-4370-880C-E8548B38139A}"/>
    <cellStyle name="Normal 2 4 3 7 3" xfId="6343" xr:uid="{00000000-0005-0000-0000-00002F100000}"/>
    <cellStyle name="Normal 2 4 3 7 3 2" xfId="14782" xr:uid="{15009AD4-B6A8-4C2B-B397-62AFDAAF4AD8}"/>
    <cellStyle name="Normal 2 4 3 7 4" xfId="10564" xr:uid="{E65E52E4-D74A-4FA7-B15A-A05517A60A73}"/>
    <cellStyle name="Normal 2 4 3 8" xfId="2472" xr:uid="{00000000-0005-0000-0000-000030100000}"/>
    <cellStyle name="Normal 2 4 3 8 2" xfId="6756" xr:uid="{00000000-0005-0000-0000-000031100000}"/>
    <cellStyle name="Normal 2 4 3 8 2 2" xfId="15195" xr:uid="{BEBC7C15-641D-402C-BD0C-BDBB8C887EEA}"/>
    <cellStyle name="Normal 2 4 3 8 3" xfId="10977" xr:uid="{B0A470A8-4312-459C-8007-F316FF92139E}"/>
    <cellStyle name="Normal 2 4 3 9" xfId="4690" xr:uid="{00000000-0005-0000-0000-000032100000}"/>
    <cellStyle name="Normal 2 4 3 9 2" xfId="13129" xr:uid="{CE554806-5F7A-4143-A3A2-48545E639ABF}"/>
    <cellStyle name="Normal 2 4 4" xfId="302" xr:uid="{00000000-0005-0000-0000-000033100000}"/>
    <cellStyle name="Normal 2 4 5" xfId="303" xr:uid="{00000000-0005-0000-0000-000034100000}"/>
    <cellStyle name="Normal 2 4 5 10" xfId="4695" xr:uid="{00000000-0005-0000-0000-000035100000}"/>
    <cellStyle name="Normal 2 4 5 10 2" xfId="13134" xr:uid="{F7FF2FC1-C33B-4674-8880-4452FFCE1ADA}"/>
    <cellStyle name="Normal 2 4 5 11" xfId="8916" xr:uid="{D0CAF3BA-42D5-46A3-8F5E-80FE45458F5E}"/>
    <cellStyle name="Normal 2 4 5 2" xfId="304" xr:uid="{00000000-0005-0000-0000-000036100000}"/>
    <cellStyle name="Normal 2 4 5 2 10" xfId="8917" xr:uid="{DB000569-008F-4A78-9090-12003A48BBF2}"/>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6" xr:uid="{8702CF53-323E-4B19-9196-B47884280291}"/>
    <cellStyle name="Normal 2 4 5 2 2 2 2 2 3" xfId="11478" xr:uid="{4BFC1596-5828-4923-83A4-CD147C261032}"/>
    <cellStyle name="Normal 2 4 5 2 2 2 2 3" xfId="5112" xr:uid="{00000000-0005-0000-0000-00003C100000}"/>
    <cellStyle name="Normal 2 4 5 2 2 2 2 3 2" xfId="13551" xr:uid="{7A859E5D-F1D7-474F-B96D-E2D9D8E1CFE8}"/>
    <cellStyle name="Normal 2 4 5 2 2 2 2 4" xfId="9333" xr:uid="{81039DAC-FF3C-4A27-BAA6-095190CB2DFD}"/>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09" xr:uid="{2407649A-F859-4E6B-B7A3-B72B163D3DCB}"/>
    <cellStyle name="Normal 2 4 5 2 2 2 3 2 3" xfId="11891" xr:uid="{DCD2122B-F037-4ECB-89A1-2E2337062722}"/>
    <cellStyle name="Normal 2 4 5 2 2 2 3 3" xfId="5525" xr:uid="{00000000-0005-0000-0000-000040100000}"/>
    <cellStyle name="Normal 2 4 5 2 2 2 3 3 2" xfId="13964" xr:uid="{882B88F8-7A99-4B69-8820-C11CF952625A}"/>
    <cellStyle name="Normal 2 4 5 2 2 2 3 4" xfId="9746" xr:uid="{B61B0EA8-A4CB-43CA-AE37-68333D040F67}"/>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22" xr:uid="{26106ED4-49A8-434F-A0BF-05751D2058EB}"/>
    <cellStyle name="Normal 2 4 5 2 2 2 4 2 3" xfId="12304" xr:uid="{5EA3A214-10CC-4CED-8E08-086EE96431F1}"/>
    <cellStyle name="Normal 2 4 5 2 2 2 4 3" xfId="5938" xr:uid="{00000000-0005-0000-0000-000044100000}"/>
    <cellStyle name="Normal 2 4 5 2 2 2 4 3 2" xfId="14377" xr:uid="{8E5D7151-E290-405D-AA9D-6659E28FFF23}"/>
    <cellStyle name="Normal 2 4 5 2 2 2 4 4" xfId="10159" xr:uid="{BA9C60E2-2F62-4AB9-95CD-1F4CFDF15E81}"/>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5" xr:uid="{BA8CCC69-B9EC-4552-AFF3-65D555596B87}"/>
    <cellStyle name="Normal 2 4 5 2 2 2 5 2 3" xfId="12717" xr:uid="{562EB5AF-8D89-418D-AFF0-C0078470AA35}"/>
    <cellStyle name="Normal 2 4 5 2 2 2 5 3" xfId="6351" xr:uid="{00000000-0005-0000-0000-000048100000}"/>
    <cellStyle name="Normal 2 4 5 2 2 2 5 3 2" xfId="14790" xr:uid="{BC765B97-4D59-40A5-8A1D-C9B96F59A4CF}"/>
    <cellStyle name="Normal 2 4 5 2 2 2 5 4" xfId="10572" xr:uid="{0475EB51-0584-4BE8-A837-0C7C7BA2A0D2}"/>
    <cellStyle name="Normal 2 4 5 2 2 2 6" xfId="2480" xr:uid="{00000000-0005-0000-0000-000049100000}"/>
    <cellStyle name="Normal 2 4 5 2 2 2 6 2" xfId="6764" xr:uid="{00000000-0005-0000-0000-00004A100000}"/>
    <cellStyle name="Normal 2 4 5 2 2 2 6 2 2" xfId="15203" xr:uid="{88D3BFD8-FBBE-4460-95A2-391A64498A3B}"/>
    <cellStyle name="Normal 2 4 5 2 2 2 6 3" xfId="10985" xr:uid="{3DF25B0C-BFB5-4070-8D48-571903DFB3AB}"/>
    <cellStyle name="Normal 2 4 5 2 2 2 7" xfId="4698" xr:uid="{00000000-0005-0000-0000-00004B100000}"/>
    <cellStyle name="Normal 2 4 5 2 2 2 7 2" xfId="13137" xr:uid="{7485B109-45A0-4B20-8FDD-9FF68EDA65AC}"/>
    <cellStyle name="Normal 2 4 5 2 2 2 8" xfId="8919" xr:uid="{A7F3D56E-115D-454A-9E4E-903E5DCD761D}"/>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5" xr:uid="{06B1726D-12A9-4A57-A787-93271849D79E}"/>
    <cellStyle name="Normal 2 4 5 2 2 3 2 3" xfId="11477" xr:uid="{5C35DB59-6C06-4D09-8A84-1445A1EE0D1E}"/>
    <cellStyle name="Normal 2 4 5 2 2 3 3" xfId="5111" xr:uid="{00000000-0005-0000-0000-00004F100000}"/>
    <cellStyle name="Normal 2 4 5 2 2 3 3 2" xfId="13550" xr:uid="{6C192A72-5708-4328-91D1-5248DC7CF2CE}"/>
    <cellStyle name="Normal 2 4 5 2 2 3 4" xfId="9332" xr:uid="{4C5B8AB7-84E2-4B7C-BEBF-F7D4245DBCDD}"/>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08" xr:uid="{EA1D5C9E-366F-41E9-B13A-C064776B2F5F}"/>
    <cellStyle name="Normal 2 4 5 2 2 4 2 3" xfId="11890" xr:uid="{29CB23D3-9797-4A2F-8722-414FBB6A949A}"/>
    <cellStyle name="Normal 2 4 5 2 2 4 3" xfId="5524" xr:uid="{00000000-0005-0000-0000-000053100000}"/>
    <cellStyle name="Normal 2 4 5 2 2 4 3 2" xfId="13963" xr:uid="{1862EE8E-EDE7-4D1F-9BDB-4CCE7360DF3E}"/>
    <cellStyle name="Normal 2 4 5 2 2 4 4" xfId="9745" xr:uid="{7C244F32-F911-4AF8-9085-AAD4C28F885E}"/>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21" xr:uid="{BC049953-1035-4A21-B924-4E0DFEE2919D}"/>
    <cellStyle name="Normal 2 4 5 2 2 5 2 3" xfId="12303" xr:uid="{1BAAC8BC-234F-4239-A16A-6DA9BFF721FC}"/>
    <cellStyle name="Normal 2 4 5 2 2 5 3" xfId="5937" xr:uid="{00000000-0005-0000-0000-000057100000}"/>
    <cellStyle name="Normal 2 4 5 2 2 5 3 2" xfId="14376" xr:uid="{66543D0F-8781-4279-9CEA-1AD46DF5E87C}"/>
    <cellStyle name="Normal 2 4 5 2 2 5 4" xfId="10158" xr:uid="{887ABB93-BE92-470C-9E69-09C0FB52CA99}"/>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4" xr:uid="{D5B61B4A-A554-49DA-8DE8-88A77FE8660C}"/>
    <cellStyle name="Normal 2 4 5 2 2 6 2 3" xfId="12716" xr:uid="{8AFF3C32-1234-420C-BC91-C7C4EC966893}"/>
    <cellStyle name="Normal 2 4 5 2 2 6 3" xfId="6350" xr:uid="{00000000-0005-0000-0000-00005B100000}"/>
    <cellStyle name="Normal 2 4 5 2 2 6 3 2" xfId="14789" xr:uid="{6FB26456-4AF1-4959-9F1C-FC60D7EAEF39}"/>
    <cellStyle name="Normal 2 4 5 2 2 6 4" xfId="10571" xr:uid="{F62C1A52-4764-4EAE-BE25-238C9B7635E4}"/>
    <cellStyle name="Normal 2 4 5 2 2 7" xfId="2479" xr:uid="{00000000-0005-0000-0000-00005C100000}"/>
    <cellStyle name="Normal 2 4 5 2 2 7 2" xfId="6763" xr:uid="{00000000-0005-0000-0000-00005D100000}"/>
    <cellStyle name="Normal 2 4 5 2 2 7 2 2" xfId="15202" xr:uid="{64CFFBAB-8034-4570-883B-03C77EBFAEFB}"/>
    <cellStyle name="Normal 2 4 5 2 2 7 3" xfId="10984" xr:uid="{8E6249B5-6BA9-41D5-AE0B-11A127B561BF}"/>
    <cellStyle name="Normal 2 4 5 2 2 8" xfId="4697" xr:uid="{00000000-0005-0000-0000-00005E100000}"/>
    <cellStyle name="Normal 2 4 5 2 2 8 2" xfId="13136" xr:uid="{448BB5A9-50AE-4DFB-9CF3-8F3C1C8F289D}"/>
    <cellStyle name="Normal 2 4 5 2 2 9" xfId="8918" xr:uid="{8F6B73B9-5AA7-44A7-A8C2-E12CAF3BAE8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697" xr:uid="{7944E48E-1EB9-4A8C-8EFF-5AD17283A0F6}"/>
    <cellStyle name="Normal 2 4 5 2 3 2 2 3" xfId="11479" xr:uid="{578F2D3B-BD6C-43C4-B6B9-F012A671353E}"/>
    <cellStyle name="Normal 2 4 5 2 3 2 3" xfId="5113" xr:uid="{00000000-0005-0000-0000-000063100000}"/>
    <cellStyle name="Normal 2 4 5 2 3 2 3 2" xfId="13552" xr:uid="{D8A84FE5-61BE-4F25-AD78-3FA57106F59A}"/>
    <cellStyle name="Normal 2 4 5 2 3 2 4" xfId="9334" xr:uid="{4A471F6B-3DC9-4943-9635-8E9CB27557F9}"/>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10" xr:uid="{14614F8A-1D35-4362-AEBA-A81E6D7A139E}"/>
    <cellStyle name="Normal 2 4 5 2 3 3 2 3" xfId="11892" xr:uid="{42585D8B-6646-45A5-ADC7-123AEDA03920}"/>
    <cellStyle name="Normal 2 4 5 2 3 3 3" xfId="5526" xr:uid="{00000000-0005-0000-0000-000067100000}"/>
    <cellStyle name="Normal 2 4 5 2 3 3 3 2" xfId="13965" xr:uid="{7FC5D80F-4394-4F71-BA50-31FAED7B6230}"/>
    <cellStyle name="Normal 2 4 5 2 3 3 4" xfId="9747" xr:uid="{36202C4A-018B-4409-A63C-5CB87F627239}"/>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3" xr:uid="{E4FED503-BF74-4E25-A81E-5446C2C15000}"/>
    <cellStyle name="Normal 2 4 5 2 3 4 2 3" xfId="12305" xr:uid="{2DDBB213-DA6B-46E2-ACBF-502FF4823897}"/>
    <cellStyle name="Normal 2 4 5 2 3 4 3" xfId="5939" xr:uid="{00000000-0005-0000-0000-00006B100000}"/>
    <cellStyle name="Normal 2 4 5 2 3 4 3 2" xfId="14378" xr:uid="{32E166E0-0C85-4F4B-8A41-FA7C59FD882A}"/>
    <cellStyle name="Normal 2 4 5 2 3 4 4" xfId="10160" xr:uid="{366B016C-8681-4482-B9E9-15C31C5F581B}"/>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6" xr:uid="{22F681A4-D695-40A1-8C0E-084A5DC3C588}"/>
    <cellStyle name="Normal 2 4 5 2 3 5 2 3" xfId="12718" xr:uid="{1E6A26C1-8CB0-432E-A76F-648F08CCFD4A}"/>
    <cellStyle name="Normal 2 4 5 2 3 5 3" xfId="6352" xr:uid="{00000000-0005-0000-0000-00006F100000}"/>
    <cellStyle name="Normal 2 4 5 2 3 5 3 2" xfId="14791" xr:uid="{D964FE27-50C5-40D9-BE5E-89F4C0FA1C59}"/>
    <cellStyle name="Normal 2 4 5 2 3 5 4" xfId="10573" xr:uid="{9A809EBC-7F73-4D3B-9F2A-85DCED99967E}"/>
    <cellStyle name="Normal 2 4 5 2 3 6" xfId="2481" xr:uid="{00000000-0005-0000-0000-000070100000}"/>
    <cellStyle name="Normal 2 4 5 2 3 6 2" xfId="6765" xr:uid="{00000000-0005-0000-0000-000071100000}"/>
    <cellStyle name="Normal 2 4 5 2 3 6 2 2" xfId="15204" xr:uid="{884995FD-9878-4161-8D52-D67C22A5D97F}"/>
    <cellStyle name="Normal 2 4 5 2 3 6 3" xfId="10986" xr:uid="{03A5050D-0A33-4CCC-B2E2-7DE8588E6155}"/>
    <cellStyle name="Normal 2 4 5 2 3 7" xfId="4699" xr:uid="{00000000-0005-0000-0000-000072100000}"/>
    <cellStyle name="Normal 2 4 5 2 3 7 2" xfId="13138" xr:uid="{812A5085-84FE-4CF2-869D-2DC60E245E86}"/>
    <cellStyle name="Normal 2 4 5 2 3 8" xfId="8920" xr:uid="{8A5AAEC1-D966-447A-9462-CC401EBFBF34}"/>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4" xr:uid="{D4FD224B-3997-4A53-9393-9B12D8C15773}"/>
    <cellStyle name="Normal 2 4 5 2 4 2 3" xfId="11476" xr:uid="{ADE229BE-A982-4B22-9FDE-1656B2072830}"/>
    <cellStyle name="Normal 2 4 5 2 4 3" xfId="5110" xr:uid="{00000000-0005-0000-0000-000076100000}"/>
    <cellStyle name="Normal 2 4 5 2 4 3 2" xfId="13549" xr:uid="{389F7A10-9CDC-4876-A2C7-364BEAFDAC26}"/>
    <cellStyle name="Normal 2 4 5 2 4 4" xfId="9331" xr:uid="{D434974D-3280-4AAE-8E3D-8968F4F3CF8B}"/>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07" xr:uid="{2C5DF2D0-EF0D-4C75-8FE1-243BCB45736E}"/>
    <cellStyle name="Normal 2 4 5 2 5 2 3" xfId="11889" xr:uid="{D62E8811-9D29-49AF-B54F-0B3217300DE0}"/>
    <cellStyle name="Normal 2 4 5 2 5 3" xfId="5523" xr:uid="{00000000-0005-0000-0000-00007A100000}"/>
    <cellStyle name="Normal 2 4 5 2 5 3 2" xfId="13962" xr:uid="{0E0390C9-5F39-4FDC-AD91-4D59992EF911}"/>
    <cellStyle name="Normal 2 4 5 2 5 4" xfId="9744" xr:uid="{886365C5-A6EE-4703-97FB-5E29AA71FD86}"/>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20" xr:uid="{5829BB97-8AF1-443D-9A71-A2C09AFFBC0E}"/>
    <cellStyle name="Normal 2 4 5 2 6 2 3" xfId="12302" xr:uid="{FB356488-EE9A-4CD6-8EF2-C1BAE2314D2C}"/>
    <cellStyle name="Normal 2 4 5 2 6 3" xfId="5936" xr:uid="{00000000-0005-0000-0000-00007E100000}"/>
    <cellStyle name="Normal 2 4 5 2 6 3 2" xfId="14375" xr:uid="{B1E13206-C910-4CCB-BBFF-68DC3DA8B721}"/>
    <cellStyle name="Normal 2 4 5 2 6 4" xfId="10157" xr:uid="{BCA9EA11-5322-4DC2-95E0-A6630721FBD4}"/>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3" xr:uid="{5003ADBB-6E42-47D2-9FE2-392F777530B0}"/>
    <cellStyle name="Normal 2 4 5 2 7 2 3" xfId="12715" xr:uid="{0C2BB65B-D236-4E1C-AF6A-5D041DC32725}"/>
    <cellStyle name="Normal 2 4 5 2 7 3" xfId="6349" xr:uid="{00000000-0005-0000-0000-000082100000}"/>
    <cellStyle name="Normal 2 4 5 2 7 3 2" xfId="14788" xr:uid="{96B005C0-5940-4BB0-879C-E05439ABB31F}"/>
    <cellStyle name="Normal 2 4 5 2 7 4" xfId="10570" xr:uid="{54ABE029-312F-446F-9BE5-1B474DB5D592}"/>
    <cellStyle name="Normal 2 4 5 2 8" xfId="2478" xr:uid="{00000000-0005-0000-0000-000083100000}"/>
    <cellStyle name="Normal 2 4 5 2 8 2" xfId="6762" xr:uid="{00000000-0005-0000-0000-000084100000}"/>
    <cellStyle name="Normal 2 4 5 2 8 2 2" xfId="15201" xr:uid="{70BFF3A7-D700-4B3A-97AB-40AEF9C124ED}"/>
    <cellStyle name="Normal 2 4 5 2 8 3" xfId="10983" xr:uid="{2AE0AFA3-866E-4A7C-BF31-8DE8BA2B6401}"/>
    <cellStyle name="Normal 2 4 5 2 9" xfId="4696" xr:uid="{00000000-0005-0000-0000-000085100000}"/>
    <cellStyle name="Normal 2 4 5 2 9 2" xfId="13135" xr:uid="{4D142852-2F31-4274-B27B-CB8158D5D3CB}"/>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699" xr:uid="{6ED96275-DAEE-4F6D-BE40-D973BDBCF26B}"/>
    <cellStyle name="Normal 2 4 5 3 2 2 2 3" xfId="11481" xr:uid="{A0694C80-BD52-44C7-B9C9-FBD907B7DB79}"/>
    <cellStyle name="Normal 2 4 5 3 2 2 3" xfId="5115" xr:uid="{00000000-0005-0000-0000-00008B100000}"/>
    <cellStyle name="Normal 2 4 5 3 2 2 3 2" xfId="13554" xr:uid="{1EAA7EA6-86E0-4548-8B90-61B8781405BF}"/>
    <cellStyle name="Normal 2 4 5 3 2 2 4" xfId="9336" xr:uid="{7A69F769-659E-430B-9827-8E2D1CFABC3C}"/>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12" xr:uid="{438681A1-D391-4ABC-AEB5-D1427F56B34B}"/>
    <cellStyle name="Normal 2 4 5 3 2 3 2 3" xfId="11894" xr:uid="{F4CC7BFF-AAF0-4E64-85B8-D8C632A4983A}"/>
    <cellStyle name="Normal 2 4 5 3 2 3 3" xfId="5528" xr:uid="{00000000-0005-0000-0000-00008F100000}"/>
    <cellStyle name="Normal 2 4 5 3 2 3 3 2" xfId="13967" xr:uid="{35723446-D0A6-43C9-8E06-5B1C19CCCB6E}"/>
    <cellStyle name="Normal 2 4 5 3 2 3 4" xfId="9749" xr:uid="{068E9F1B-B591-46A7-9FCC-1596CBFA6384}"/>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5" xr:uid="{04790921-415E-4C24-9F82-4737701186FA}"/>
    <cellStyle name="Normal 2 4 5 3 2 4 2 3" xfId="12307" xr:uid="{44C307EF-D2CF-4EFB-9507-1AAB9C729F22}"/>
    <cellStyle name="Normal 2 4 5 3 2 4 3" xfId="5941" xr:uid="{00000000-0005-0000-0000-000093100000}"/>
    <cellStyle name="Normal 2 4 5 3 2 4 3 2" xfId="14380" xr:uid="{031E6882-C1D6-4032-A24A-C0D6169C28FC}"/>
    <cellStyle name="Normal 2 4 5 3 2 4 4" xfId="10162" xr:uid="{6D67241B-02C8-4CAC-9533-AF2E0DD4C928}"/>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38" xr:uid="{AD40950A-AA49-45BD-940F-4F50FCAF1D7D}"/>
    <cellStyle name="Normal 2 4 5 3 2 5 2 3" xfId="12720" xr:uid="{A32763E9-2CE3-4FF7-86F5-8CC943D43BE7}"/>
    <cellStyle name="Normal 2 4 5 3 2 5 3" xfId="6354" xr:uid="{00000000-0005-0000-0000-000097100000}"/>
    <cellStyle name="Normal 2 4 5 3 2 5 3 2" xfId="14793" xr:uid="{54FA3324-187F-4370-91E6-EE3A059E5068}"/>
    <cellStyle name="Normal 2 4 5 3 2 5 4" xfId="10575" xr:uid="{044C5048-2268-4677-AC5E-05FFBF4A5ADD}"/>
    <cellStyle name="Normal 2 4 5 3 2 6" xfId="2483" xr:uid="{00000000-0005-0000-0000-000098100000}"/>
    <cellStyle name="Normal 2 4 5 3 2 6 2" xfId="6767" xr:uid="{00000000-0005-0000-0000-000099100000}"/>
    <cellStyle name="Normal 2 4 5 3 2 6 2 2" xfId="15206" xr:uid="{C425FEA6-A946-4065-9487-15AF445D6C19}"/>
    <cellStyle name="Normal 2 4 5 3 2 6 3" xfId="10988" xr:uid="{44752C65-A6C6-4667-AF54-C8C82AA7425A}"/>
    <cellStyle name="Normal 2 4 5 3 2 7" xfId="4701" xr:uid="{00000000-0005-0000-0000-00009A100000}"/>
    <cellStyle name="Normal 2 4 5 3 2 7 2" xfId="13140" xr:uid="{A39488A9-677A-4F71-9B88-E1A27F3C060C}"/>
    <cellStyle name="Normal 2 4 5 3 2 8" xfId="8922" xr:uid="{27C67AEB-0258-4FC0-93B7-05261BED1950}"/>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698" xr:uid="{A1E7A20E-67A1-4FAE-B767-C7C027CF5EB7}"/>
    <cellStyle name="Normal 2 4 5 3 3 2 3" xfId="11480" xr:uid="{FEE25116-72E4-4CDB-94E1-A9A5AD7A895F}"/>
    <cellStyle name="Normal 2 4 5 3 3 3" xfId="5114" xr:uid="{00000000-0005-0000-0000-00009E100000}"/>
    <cellStyle name="Normal 2 4 5 3 3 3 2" xfId="13553" xr:uid="{87F67B50-B5BA-4B9E-9B96-5906A0918950}"/>
    <cellStyle name="Normal 2 4 5 3 3 4" xfId="9335" xr:uid="{D8F6B4F9-7709-4FFB-8D13-B6E3C63AB6BC}"/>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11" xr:uid="{A6EC9E0F-592F-4620-9CC4-91630908882C}"/>
    <cellStyle name="Normal 2 4 5 3 4 2 3" xfId="11893" xr:uid="{9F52DF57-BE1B-443E-B83B-1D35AAAFD0DE}"/>
    <cellStyle name="Normal 2 4 5 3 4 3" xfId="5527" xr:uid="{00000000-0005-0000-0000-0000A2100000}"/>
    <cellStyle name="Normal 2 4 5 3 4 3 2" xfId="13966" xr:uid="{7F3B7BE7-4CE9-4E4A-868B-F24F6E513059}"/>
    <cellStyle name="Normal 2 4 5 3 4 4" xfId="9748" xr:uid="{B98392EA-B347-4072-AEA2-30D434FA4210}"/>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4" xr:uid="{DB00BF86-F64D-4C5B-8441-2A74C0A4D666}"/>
    <cellStyle name="Normal 2 4 5 3 5 2 3" xfId="12306" xr:uid="{BDBC943C-5583-4EA8-9C20-9B3945715873}"/>
    <cellStyle name="Normal 2 4 5 3 5 3" xfId="5940" xr:uid="{00000000-0005-0000-0000-0000A6100000}"/>
    <cellStyle name="Normal 2 4 5 3 5 3 2" xfId="14379" xr:uid="{9573FECA-6143-4A75-8BBE-9EFB4CCE6C30}"/>
    <cellStyle name="Normal 2 4 5 3 5 4" xfId="10161" xr:uid="{35A1FD2F-E293-4916-9C1A-C206A8662142}"/>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37" xr:uid="{BADD3252-9ED2-4FB4-9CEE-F9D14A16EFC7}"/>
    <cellStyle name="Normal 2 4 5 3 6 2 3" xfId="12719" xr:uid="{DB437BEB-BB24-4215-AFA4-E1CE08F97529}"/>
    <cellStyle name="Normal 2 4 5 3 6 3" xfId="6353" xr:uid="{00000000-0005-0000-0000-0000AA100000}"/>
    <cellStyle name="Normal 2 4 5 3 6 3 2" xfId="14792" xr:uid="{58BEE683-AA37-48A1-BCCD-789E05D7F206}"/>
    <cellStyle name="Normal 2 4 5 3 6 4" xfId="10574" xr:uid="{375D5ADA-22A4-41ED-B0CA-FEBCF5EF209D}"/>
    <cellStyle name="Normal 2 4 5 3 7" xfId="2482" xr:uid="{00000000-0005-0000-0000-0000AB100000}"/>
    <cellStyle name="Normal 2 4 5 3 7 2" xfId="6766" xr:uid="{00000000-0005-0000-0000-0000AC100000}"/>
    <cellStyle name="Normal 2 4 5 3 7 2 2" xfId="15205" xr:uid="{9622B8BF-A972-4161-8F93-A2F83775030B}"/>
    <cellStyle name="Normal 2 4 5 3 7 3" xfId="10987" xr:uid="{CC670A14-6568-4FEA-BC4D-7CEE04ED7E55}"/>
    <cellStyle name="Normal 2 4 5 3 8" xfId="4700" xr:uid="{00000000-0005-0000-0000-0000AD100000}"/>
    <cellStyle name="Normal 2 4 5 3 8 2" xfId="13139" xr:uid="{94A32F24-262B-4B76-BFEA-2E2420547129}"/>
    <cellStyle name="Normal 2 4 5 3 9" xfId="8921" xr:uid="{CBFFADB7-345C-41DF-968B-938B20DD50FC}"/>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700" xr:uid="{6269E461-6C57-496F-B21C-BEBD83A09B69}"/>
    <cellStyle name="Normal 2 4 5 4 2 2 3" xfId="11482" xr:uid="{19461E24-2641-498A-96F3-F95025C40E93}"/>
    <cellStyle name="Normal 2 4 5 4 2 3" xfId="5116" xr:uid="{00000000-0005-0000-0000-0000B2100000}"/>
    <cellStyle name="Normal 2 4 5 4 2 3 2" xfId="13555" xr:uid="{F5631B0D-B95F-45B5-98F1-BB273F72534B}"/>
    <cellStyle name="Normal 2 4 5 4 2 4" xfId="9337" xr:uid="{16554663-ABD5-49AC-878F-3B203DAEB9F0}"/>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3" xr:uid="{848522DD-1945-4E99-BBF7-FE99C37DCDA3}"/>
    <cellStyle name="Normal 2 4 5 4 3 2 3" xfId="11895" xr:uid="{C51A0C99-57A9-4AC0-AC8A-6C3B8C24FF14}"/>
    <cellStyle name="Normal 2 4 5 4 3 3" xfId="5529" xr:uid="{00000000-0005-0000-0000-0000B6100000}"/>
    <cellStyle name="Normal 2 4 5 4 3 3 2" xfId="13968" xr:uid="{22B35F4C-AC13-4FCA-8E1A-AF43E5AFB56F}"/>
    <cellStyle name="Normal 2 4 5 4 3 4" xfId="9750" xr:uid="{53CC3B61-11B7-4C6F-AE3F-BE1DB0E35072}"/>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6" xr:uid="{011EB5E7-05FE-455B-8142-2910E4277543}"/>
    <cellStyle name="Normal 2 4 5 4 4 2 3" xfId="12308" xr:uid="{E25E2EAB-9089-4A3D-A784-2079E7736A8A}"/>
    <cellStyle name="Normal 2 4 5 4 4 3" xfId="5942" xr:uid="{00000000-0005-0000-0000-0000BA100000}"/>
    <cellStyle name="Normal 2 4 5 4 4 3 2" xfId="14381" xr:uid="{90D26EA3-41BC-475F-9B15-92051A776FB8}"/>
    <cellStyle name="Normal 2 4 5 4 4 4" xfId="10163" xr:uid="{AC95136F-6987-48A0-B4AA-069CE9A21406}"/>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39" xr:uid="{CD1C10A2-03A6-4B5D-8B99-ABEBE6652C13}"/>
    <cellStyle name="Normal 2 4 5 4 5 2 3" xfId="12721" xr:uid="{A811FA3F-9226-4C38-B097-159C6C9291F1}"/>
    <cellStyle name="Normal 2 4 5 4 5 3" xfId="6355" xr:uid="{00000000-0005-0000-0000-0000BE100000}"/>
    <cellStyle name="Normal 2 4 5 4 5 3 2" xfId="14794" xr:uid="{938CE748-187D-4566-95A2-AFF87081EC24}"/>
    <cellStyle name="Normal 2 4 5 4 5 4" xfId="10576" xr:uid="{84A25285-C343-4A26-8D74-B1C23C475DA9}"/>
    <cellStyle name="Normal 2 4 5 4 6" xfId="2484" xr:uid="{00000000-0005-0000-0000-0000BF100000}"/>
    <cellStyle name="Normal 2 4 5 4 6 2" xfId="6768" xr:uid="{00000000-0005-0000-0000-0000C0100000}"/>
    <cellStyle name="Normal 2 4 5 4 6 2 2" xfId="15207" xr:uid="{84565A05-1109-4F64-A276-426B808F8D77}"/>
    <cellStyle name="Normal 2 4 5 4 6 3" xfId="10989" xr:uid="{674B21DC-8DC9-419F-8209-9382B1454767}"/>
    <cellStyle name="Normal 2 4 5 4 7" xfId="4702" xr:uid="{00000000-0005-0000-0000-0000C1100000}"/>
    <cellStyle name="Normal 2 4 5 4 7 2" xfId="13141" xr:uid="{CD629425-35D0-4C42-9474-7228133C7FBF}"/>
    <cellStyle name="Normal 2 4 5 4 8" xfId="8923" xr:uid="{E4C5E324-2771-4BE0-BA6D-4A93EBDE4BAF}"/>
    <cellStyle name="Normal 2 4 5 5" xfId="792" xr:uid="{00000000-0005-0000-0000-0000C2100000}"/>
    <cellStyle name="Normal 2 4 5 5 2" xfId="3031" xr:uid="{00000000-0005-0000-0000-0000C3100000}"/>
    <cellStyle name="Normal 2 4 5 5 2 2" xfId="7254" xr:uid="{00000000-0005-0000-0000-0000C4100000}"/>
    <cellStyle name="Normal 2 4 5 5 2 2 2" xfId="15693" xr:uid="{608C3469-137E-4833-A149-6977015B4B28}"/>
    <cellStyle name="Normal 2 4 5 5 2 3" xfId="11475" xr:uid="{5053CBCE-A4AE-4D9F-AE01-D9C4726C5B26}"/>
    <cellStyle name="Normal 2 4 5 5 3" xfId="5109" xr:uid="{00000000-0005-0000-0000-0000C5100000}"/>
    <cellStyle name="Normal 2 4 5 5 3 2" xfId="13548" xr:uid="{D4C56A30-7F34-42E7-8BE0-B759877DD538}"/>
    <cellStyle name="Normal 2 4 5 5 4" xfId="9330" xr:uid="{87C22D83-7D87-4A0B-99F1-B9E1BB52C79F}"/>
    <cellStyle name="Normal 2 4 5 6" xfId="1214" xr:uid="{00000000-0005-0000-0000-0000C6100000}"/>
    <cellStyle name="Normal 2 4 5 6 2" xfId="3444" xr:uid="{00000000-0005-0000-0000-0000C7100000}"/>
    <cellStyle name="Normal 2 4 5 6 2 2" xfId="7667" xr:uid="{00000000-0005-0000-0000-0000C8100000}"/>
    <cellStyle name="Normal 2 4 5 6 2 2 2" xfId="16106" xr:uid="{AAC29A06-1570-48B0-8525-D48DD80DF62C}"/>
    <cellStyle name="Normal 2 4 5 6 2 3" xfId="11888" xr:uid="{1E18F250-19F9-4171-8B19-7991737A422E}"/>
    <cellStyle name="Normal 2 4 5 6 3" xfId="5522" xr:uid="{00000000-0005-0000-0000-0000C9100000}"/>
    <cellStyle name="Normal 2 4 5 6 3 2" xfId="13961" xr:uid="{888A1787-7AA5-4366-B884-C7B599FCDDF8}"/>
    <cellStyle name="Normal 2 4 5 6 4" xfId="9743" xr:uid="{ECFA4D5C-28A9-4079-B137-C7DAA0D7DE64}"/>
    <cellStyle name="Normal 2 4 5 7" xfId="1627" xr:uid="{00000000-0005-0000-0000-0000CA100000}"/>
    <cellStyle name="Normal 2 4 5 7 2" xfId="3857" xr:uid="{00000000-0005-0000-0000-0000CB100000}"/>
    <cellStyle name="Normal 2 4 5 7 2 2" xfId="8080" xr:uid="{00000000-0005-0000-0000-0000CC100000}"/>
    <cellStyle name="Normal 2 4 5 7 2 2 2" xfId="16519" xr:uid="{810E1B51-CC89-4455-B2BD-7DA60FFE3165}"/>
    <cellStyle name="Normal 2 4 5 7 2 3" xfId="12301" xr:uid="{A904B137-4BA5-4CDF-824D-895E58FBDEBC}"/>
    <cellStyle name="Normal 2 4 5 7 3" xfId="5935" xr:uid="{00000000-0005-0000-0000-0000CD100000}"/>
    <cellStyle name="Normal 2 4 5 7 3 2" xfId="14374" xr:uid="{A10B9349-ED40-482C-A3C2-4768B155E4BB}"/>
    <cellStyle name="Normal 2 4 5 7 4" xfId="10156" xr:uid="{86CA0C57-7C63-44D9-B5C4-198BE92A8B9D}"/>
    <cellStyle name="Normal 2 4 5 8" xfId="2041" xr:uid="{00000000-0005-0000-0000-0000CE100000}"/>
    <cellStyle name="Normal 2 4 5 8 2" xfId="4270" xr:uid="{00000000-0005-0000-0000-0000CF100000}"/>
    <cellStyle name="Normal 2 4 5 8 2 2" xfId="8493" xr:uid="{00000000-0005-0000-0000-0000D0100000}"/>
    <cellStyle name="Normal 2 4 5 8 2 2 2" xfId="16932" xr:uid="{FD90A525-2CCD-4FBA-AE55-15DC1BA8A4C3}"/>
    <cellStyle name="Normal 2 4 5 8 2 3" xfId="12714" xr:uid="{E4A450F8-45BF-450C-B737-0D8A6C999949}"/>
    <cellStyle name="Normal 2 4 5 8 3" xfId="6348" xr:uid="{00000000-0005-0000-0000-0000D1100000}"/>
    <cellStyle name="Normal 2 4 5 8 3 2" xfId="14787" xr:uid="{D0D9ED00-E797-4335-8FBE-C54AD4953CC3}"/>
    <cellStyle name="Normal 2 4 5 8 4" xfId="10569" xr:uid="{9C4E11ED-5B4E-456E-A620-5826D1494512}"/>
    <cellStyle name="Normal 2 4 5 9" xfId="2477" xr:uid="{00000000-0005-0000-0000-0000D2100000}"/>
    <cellStyle name="Normal 2 4 5 9 2" xfId="6761" xr:uid="{00000000-0005-0000-0000-0000D3100000}"/>
    <cellStyle name="Normal 2 4 5 9 2 2" xfId="15200" xr:uid="{388A9ADA-B2D2-483E-96C8-F0EF7B131C7D}"/>
    <cellStyle name="Normal 2 4 5 9 3" xfId="10982" xr:uid="{5F8D0380-2D8D-4E8A-A0EA-53C55FFD8BB4}"/>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702" xr:uid="{16CC6313-26AA-4819-A47E-1A053F38F07B}"/>
    <cellStyle name="Normal 2 4 7 2 2 2 3" xfId="11484" xr:uid="{9EABC7FF-1377-4B51-B753-69032D562798}"/>
    <cellStyle name="Normal 2 4 7 2 2 3" xfId="5118" xr:uid="{00000000-0005-0000-0000-0000DA100000}"/>
    <cellStyle name="Normal 2 4 7 2 2 3 2" xfId="13557" xr:uid="{5F54D721-C140-4B3B-9CD9-F928ADB549D0}"/>
    <cellStyle name="Normal 2 4 7 2 2 4" xfId="9339" xr:uid="{9F7AB7FD-9B33-4779-9333-5A3923040751}"/>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5" xr:uid="{30A8B7A9-3991-487A-A145-FB17A50D7064}"/>
    <cellStyle name="Normal 2 4 7 2 3 2 3" xfId="11897" xr:uid="{D71B4336-50F2-4617-AF03-213AE843F94F}"/>
    <cellStyle name="Normal 2 4 7 2 3 3" xfId="5531" xr:uid="{00000000-0005-0000-0000-0000DE100000}"/>
    <cellStyle name="Normal 2 4 7 2 3 3 2" xfId="13970" xr:uid="{AA8D55D4-48A8-4564-B299-7B5D1F751891}"/>
    <cellStyle name="Normal 2 4 7 2 3 4" xfId="9752" xr:uid="{4FB3E80F-4208-43FF-B408-7B0598F08F08}"/>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28" xr:uid="{B67694D2-50B7-4029-B7C2-47850146560F}"/>
    <cellStyle name="Normal 2 4 7 2 4 2 3" xfId="12310" xr:uid="{33253A47-527A-48B9-AA86-1EB1A1033F6E}"/>
    <cellStyle name="Normal 2 4 7 2 4 3" xfId="5944" xr:uid="{00000000-0005-0000-0000-0000E2100000}"/>
    <cellStyle name="Normal 2 4 7 2 4 3 2" xfId="14383" xr:uid="{34A9B815-41AA-42DC-BCE4-CE34340351FF}"/>
    <cellStyle name="Normal 2 4 7 2 4 4" xfId="10165" xr:uid="{59F772F7-5649-442C-A88A-E294A46A851C}"/>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41" xr:uid="{6B056DBE-6934-4B71-9E06-03F35C468195}"/>
    <cellStyle name="Normal 2 4 7 2 5 2 3" xfId="12723" xr:uid="{5A4CD971-8566-4CF9-81CB-F7A8371B85C9}"/>
    <cellStyle name="Normal 2 4 7 2 5 3" xfId="6357" xr:uid="{00000000-0005-0000-0000-0000E6100000}"/>
    <cellStyle name="Normal 2 4 7 2 5 3 2" xfId="14796" xr:uid="{7AB058C6-F639-4E6F-96DC-83DA651B4BDC}"/>
    <cellStyle name="Normal 2 4 7 2 5 4" xfId="10578" xr:uid="{6707415B-9A2B-4EBC-8B4A-44296CA45CB9}"/>
    <cellStyle name="Normal 2 4 7 2 6" xfId="2486" xr:uid="{00000000-0005-0000-0000-0000E7100000}"/>
    <cellStyle name="Normal 2 4 7 2 6 2" xfId="6770" xr:uid="{00000000-0005-0000-0000-0000E8100000}"/>
    <cellStyle name="Normal 2 4 7 2 6 2 2" xfId="15209" xr:uid="{BB1A53D2-FAA9-4F49-9BF1-C446A667631A}"/>
    <cellStyle name="Normal 2 4 7 2 6 3" xfId="10991" xr:uid="{20EBD2B5-19CF-4DB6-B79E-551FF6C7ABC3}"/>
    <cellStyle name="Normal 2 4 7 2 7" xfId="4704" xr:uid="{00000000-0005-0000-0000-0000E9100000}"/>
    <cellStyle name="Normal 2 4 7 2 7 2" xfId="13143" xr:uid="{CEC5EFAB-B7EE-45E9-A174-B3EF91008D9B}"/>
    <cellStyle name="Normal 2 4 7 2 8" xfId="8925" xr:uid="{D6C40C03-87BB-405E-9C32-BAA8243B158E}"/>
    <cellStyle name="Normal 2 4 7 3" xfId="800" xr:uid="{00000000-0005-0000-0000-0000EA100000}"/>
    <cellStyle name="Normal 2 4 7 3 2" xfId="3039" xr:uid="{00000000-0005-0000-0000-0000EB100000}"/>
    <cellStyle name="Normal 2 4 7 3 2 2" xfId="7262" xr:uid="{00000000-0005-0000-0000-0000EC100000}"/>
    <cellStyle name="Normal 2 4 7 3 2 2 2" xfId="15701" xr:uid="{31FA185A-6A56-4385-BE4F-5505E5F7B2C7}"/>
    <cellStyle name="Normal 2 4 7 3 2 3" xfId="11483" xr:uid="{56A282E5-327F-4330-988E-2FB315C6F5E2}"/>
    <cellStyle name="Normal 2 4 7 3 3" xfId="5117" xr:uid="{00000000-0005-0000-0000-0000ED100000}"/>
    <cellStyle name="Normal 2 4 7 3 3 2" xfId="13556" xr:uid="{F8FDCE6C-148F-452E-9B9F-E83A2B66EB4A}"/>
    <cellStyle name="Normal 2 4 7 3 4" xfId="9338" xr:uid="{E7F3402E-339B-4366-9DD1-B6EC0A11FDAD}"/>
    <cellStyle name="Normal 2 4 7 4" xfId="1222" xr:uid="{00000000-0005-0000-0000-0000EE100000}"/>
    <cellStyle name="Normal 2 4 7 4 2" xfId="3452" xr:uid="{00000000-0005-0000-0000-0000EF100000}"/>
    <cellStyle name="Normal 2 4 7 4 2 2" xfId="7675" xr:uid="{00000000-0005-0000-0000-0000F0100000}"/>
    <cellStyle name="Normal 2 4 7 4 2 2 2" xfId="16114" xr:uid="{D7FC0534-B460-4C4A-AB37-825CEC121F4F}"/>
    <cellStyle name="Normal 2 4 7 4 2 3" xfId="11896" xr:uid="{1B0606A4-BE9D-48B4-9E53-59284695DBD0}"/>
    <cellStyle name="Normal 2 4 7 4 3" xfId="5530" xr:uid="{00000000-0005-0000-0000-0000F1100000}"/>
    <cellStyle name="Normal 2 4 7 4 3 2" xfId="13969" xr:uid="{03CF226E-96DD-4685-AA11-7150E5482AD5}"/>
    <cellStyle name="Normal 2 4 7 4 4" xfId="9751" xr:uid="{079F4366-2CCE-4147-822A-10C0349B4A27}"/>
    <cellStyle name="Normal 2 4 7 5" xfId="1635" xr:uid="{00000000-0005-0000-0000-0000F2100000}"/>
    <cellStyle name="Normal 2 4 7 5 2" xfId="3865" xr:uid="{00000000-0005-0000-0000-0000F3100000}"/>
    <cellStyle name="Normal 2 4 7 5 2 2" xfId="8088" xr:uid="{00000000-0005-0000-0000-0000F4100000}"/>
    <cellStyle name="Normal 2 4 7 5 2 2 2" xfId="16527" xr:uid="{8ACB4005-95DF-4D42-8D6D-5108B713DCC0}"/>
    <cellStyle name="Normal 2 4 7 5 2 3" xfId="12309" xr:uid="{FA8F72BF-8C22-4E37-A311-1D15FFEBB5E5}"/>
    <cellStyle name="Normal 2 4 7 5 3" xfId="5943" xr:uid="{00000000-0005-0000-0000-0000F5100000}"/>
    <cellStyle name="Normal 2 4 7 5 3 2" xfId="14382" xr:uid="{4E8860B0-EAFB-432C-9351-14A0AA8E9FF9}"/>
    <cellStyle name="Normal 2 4 7 5 4" xfId="10164" xr:uid="{47C7978E-4F5F-48CF-B61F-029926D924FE}"/>
    <cellStyle name="Normal 2 4 7 6" xfId="2049" xr:uid="{00000000-0005-0000-0000-0000F6100000}"/>
    <cellStyle name="Normal 2 4 7 6 2" xfId="4278" xr:uid="{00000000-0005-0000-0000-0000F7100000}"/>
    <cellStyle name="Normal 2 4 7 6 2 2" xfId="8501" xr:uid="{00000000-0005-0000-0000-0000F8100000}"/>
    <cellStyle name="Normal 2 4 7 6 2 2 2" xfId="16940" xr:uid="{2FA2E78F-1D31-4A18-8887-37D7DB2E3E91}"/>
    <cellStyle name="Normal 2 4 7 6 2 3" xfId="12722" xr:uid="{3744920B-1144-4EE2-A48C-4CCC99AD1FD4}"/>
    <cellStyle name="Normal 2 4 7 6 3" xfId="6356" xr:uid="{00000000-0005-0000-0000-0000F9100000}"/>
    <cellStyle name="Normal 2 4 7 6 3 2" xfId="14795" xr:uid="{FCD1F17E-C701-4DB7-9928-70A9CFBF6275}"/>
    <cellStyle name="Normal 2 4 7 6 4" xfId="10577" xr:uid="{D2B1E80E-B733-4366-A845-8EEB7CCD88DB}"/>
    <cellStyle name="Normal 2 4 7 7" xfId="2485" xr:uid="{00000000-0005-0000-0000-0000FA100000}"/>
    <cellStyle name="Normal 2 4 7 7 2" xfId="6769" xr:uid="{00000000-0005-0000-0000-0000FB100000}"/>
    <cellStyle name="Normal 2 4 7 7 2 2" xfId="15208" xr:uid="{32050002-D1FC-4AED-85B7-25EB9D9E9C3F}"/>
    <cellStyle name="Normal 2 4 7 7 3" xfId="10990" xr:uid="{576CF403-A601-4087-AFF0-93E966292FA8}"/>
    <cellStyle name="Normal 2 4 7 8" xfId="4703" xr:uid="{00000000-0005-0000-0000-0000FC100000}"/>
    <cellStyle name="Normal 2 4 7 8 2" xfId="13142" xr:uid="{AEC735D8-7804-4255-BEDB-AD4DC1375079}"/>
    <cellStyle name="Normal 2 4 7 9" xfId="8924" xr:uid="{A2E4DA70-AD1D-404B-A50E-75AA8EF44477}"/>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5703" xr:uid="{539EDBE3-9AA7-4994-A0B9-C63A9B3F6877}"/>
    <cellStyle name="Normal 2 4 8 2 2 3" xfId="11485" xr:uid="{A36AFEF1-6142-4341-AD8C-A1FEADFEA5FD}"/>
    <cellStyle name="Normal 2 4 8 2 3" xfId="5119" xr:uid="{00000000-0005-0000-0000-000001110000}"/>
    <cellStyle name="Normal 2 4 8 2 3 2" xfId="13558" xr:uid="{97F6FDC3-4B4D-474C-9DA4-4095848521D8}"/>
    <cellStyle name="Normal 2 4 8 2 4" xfId="9340" xr:uid="{4752F40A-BAFF-48E1-A929-0FF2385A594D}"/>
    <cellStyle name="Normal 2 4 8 3" xfId="1224" xr:uid="{00000000-0005-0000-0000-000002110000}"/>
    <cellStyle name="Normal 2 4 8 3 2" xfId="3454" xr:uid="{00000000-0005-0000-0000-000003110000}"/>
    <cellStyle name="Normal 2 4 8 3 2 2" xfId="7677" xr:uid="{00000000-0005-0000-0000-000004110000}"/>
    <cellStyle name="Normal 2 4 8 3 2 2 2" xfId="16116" xr:uid="{ECBEB911-1A5F-4D06-A722-5A91ADE17DB6}"/>
    <cellStyle name="Normal 2 4 8 3 2 3" xfId="11898" xr:uid="{66B67817-67E8-41AF-B832-49BBF2E23DD8}"/>
    <cellStyle name="Normal 2 4 8 3 3" xfId="5532" xr:uid="{00000000-0005-0000-0000-000005110000}"/>
    <cellStyle name="Normal 2 4 8 3 3 2" xfId="13971" xr:uid="{EFC14A0C-19DA-494E-9E82-A258C7630360}"/>
    <cellStyle name="Normal 2 4 8 3 4" xfId="9753" xr:uid="{54BC8CC8-6FA8-4ABB-B3FF-1A572C8DAF6C}"/>
    <cellStyle name="Normal 2 4 8 4" xfId="1637" xr:uid="{00000000-0005-0000-0000-000006110000}"/>
    <cellStyle name="Normal 2 4 8 4 2" xfId="3867" xr:uid="{00000000-0005-0000-0000-000007110000}"/>
    <cellStyle name="Normal 2 4 8 4 2 2" xfId="8090" xr:uid="{00000000-0005-0000-0000-000008110000}"/>
    <cellStyle name="Normal 2 4 8 4 2 2 2" xfId="16529" xr:uid="{2EEFC91B-9D12-4EAB-A8CB-EEE410793249}"/>
    <cellStyle name="Normal 2 4 8 4 2 3" xfId="12311" xr:uid="{D705B0AD-2B62-45E5-BE7E-B0937508CB04}"/>
    <cellStyle name="Normal 2 4 8 4 3" xfId="5945" xr:uid="{00000000-0005-0000-0000-000009110000}"/>
    <cellStyle name="Normal 2 4 8 4 3 2" xfId="14384" xr:uid="{CE2A8CC5-F5ED-482B-A5CD-708192E471C3}"/>
    <cellStyle name="Normal 2 4 8 4 4" xfId="10166" xr:uid="{EBC9FC89-C25A-4E61-ADC6-95CFE8A0C00B}"/>
    <cellStyle name="Normal 2 4 8 5" xfId="2051" xr:uid="{00000000-0005-0000-0000-00000A110000}"/>
    <cellStyle name="Normal 2 4 8 5 2" xfId="4280" xr:uid="{00000000-0005-0000-0000-00000B110000}"/>
    <cellStyle name="Normal 2 4 8 5 2 2" xfId="8503" xr:uid="{00000000-0005-0000-0000-00000C110000}"/>
    <cellStyle name="Normal 2 4 8 5 2 2 2" xfId="16942" xr:uid="{2DA47389-D7AC-47A6-AF5D-745DE00850AE}"/>
    <cellStyle name="Normal 2 4 8 5 2 3" xfId="12724" xr:uid="{8D3FFE5C-0948-4C99-A856-20A39304AF36}"/>
    <cellStyle name="Normal 2 4 8 5 3" xfId="6358" xr:uid="{00000000-0005-0000-0000-00000D110000}"/>
    <cellStyle name="Normal 2 4 8 5 3 2" xfId="14797" xr:uid="{45A7ECC1-3165-4315-B425-15E10239D13B}"/>
    <cellStyle name="Normal 2 4 8 5 4" xfId="10579" xr:uid="{2A84A43F-14C1-449E-A2D8-640BCE5B6431}"/>
    <cellStyle name="Normal 2 4 8 6" xfId="2487" xr:uid="{00000000-0005-0000-0000-00000E110000}"/>
    <cellStyle name="Normal 2 4 8 6 2" xfId="6771" xr:uid="{00000000-0005-0000-0000-00000F110000}"/>
    <cellStyle name="Normal 2 4 8 6 2 2" xfId="15210" xr:uid="{7C0DF427-9617-4554-9B8B-461FEB79A113}"/>
    <cellStyle name="Normal 2 4 8 6 3" xfId="10992" xr:uid="{D63BBE89-0B96-498F-A64B-552E36287DF2}"/>
    <cellStyle name="Normal 2 4 8 7" xfId="4705" xr:uid="{00000000-0005-0000-0000-000010110000}"/>
    <cellStyle name="Normal 2 4 8 7 2" xfId="13144" xr:uid="{C923EFB2-C797-4C73-BA95-13040721B234}"/>
    <cellStyle name="Normal 2 4 8 8" xfId="8926" xr:uid="{63684F3F-DEFA-45A8-905C-637E5C01F370}"/>
    <cellStyle name="Normal 2 5" xfId="315" xr:uid="{00000000-0005-0000-0000-000011110000}"/>
    <cellStyle name="Normal 2 5 10" xfId="4706" xr:uid="{00000000-0005-0000-0000-000012110000}"/>
    <cellStyle name="Normal 2 5 10 2" xfId="13145" xr:uid="{21CDBCB0-3334-4AD5-BD1C-FB79735DC96D}"/>
    <cellStyle name="Normal 2 5 11" xfId="8927" xr:uid="{125F87A8-5729-43EC-9A6C-8491DDDDF572}"/>
    <cellStyle name="Normal 2 5 2" xfId="316" xr:uid="{00000000-0005-0000-0000-000013110000}"/>
    <cellStyle name="Normal 2 5 3" xfId="317" xr:uid="{00000000-0005-0000-0000-000014110000}"/>
    <cellStyle name="Normal 2 5 4" xfId="318" xr:uid="{00000000-0005-0000-0000-000015110000}"/>
    <cellStyle name="Normal 2 5 4 10" xfId="8928" xr:uid="{C62372FA-3843-4876-A796-96496C09AA0C}"/>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07" xr:uid="{FF223D72-68A9-4DDC-A672-B5CE752AAC8D}"/>
    <cellStyle name="Normal 2 5 4 2 2 2 2 3" xfId="11489" xr:uid="{73A77FF7-F6A4-4ADB-9AC5-5E9C740A9C17}"/>
    <cellStyle name="Normal 2 5 4 2 2 2 3" xfId="5123" xr:uid="{00000000-0005-0000-0000-00001B110000}"/>
    <cellStyle name="Normal 2 5 4 2 2 2 3 2" xfId="13562" xr:uid="{06F80B7F-9D31-4216-8D5A-26F8F7A0853D}"/>
    <cellStyle name="Normal 2 5 4 2 2 2 4" xfId="9344" xr:uid="{20DD7C1B-5A51-46DB-A02A-EA8496111B07}"/>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20" xr:uid="{58BDC1E3-CD0C-47B0-818D-4903891119C4}"/>
    <cellStyle name="Normal 2 5 4 2 2 3 2 3" xfId="11902" xr:uid="{76857348-07C2-49B1-8BFA-97D0FDF40947}"/>
    <cellStyle name="Normal 2 5 4 2 2 3 3" xfId="5536" xr:uid="{00000000-0005-0000-0000-00001F110000}"/>
    <cellStyle name="Normal 2 5 4 2 2 3 3 2" xfId="13975" xr:uid="{6476CDF2-68B8-46EB-B650-788CF7B696E8}"/>
    <cellStyle name="Normal 2 5 4 2 2 3 4" xfId="9757" xr:uid="{BA1A2452-2E2F-49B9-80A6-29EB60FFFEFD}"/>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3" xr:uid="{4E880449-10B1-47CF-9F1D-D299BC7001A4}"/>
    <cellStyle name="Normal 2 5 4 2 2 4 2 3" xfId="12315" xr:uid="{B04D7158-4463-42B5-AA96-A1340B7E3AAA}"/>
    <cellStyle name="Normal 2 5 4 2 2 4 3" xfId="5949" xr:uid="{00000000-0005-0000-0000-000023110000}"/>
    <cellStyle name="Normal 2 5 4 2 2 4 3 2" xfId="14388" xr:uid="{AB73DCF4-4144-4853-9364-9751F8F19CAF}"/>
    <cellStyle name="Normal 2 5 4 2 2 4 4" xfId="10170" xr:uid="{8F44D41F-1475-4671-BA1D-4B8E73A6FADE}"/>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6" xr:uid="{9E632EF6-DC10-450A-BAF2-1C4B194BA591}"/>
    <cellStyle name="Normal 2 5 4 2 2 5 2 3" xfId="12728" xr:uid="{792AB689-99D5-4CCF-95E1-7DECC72C3184}"/>
    <cellStyle name="Normal 2 5 4 2 2 5 3" xfId="6362" xr:uid="{00000000-0005-0000-0000-000027110000}"/>
    <cellStyle name="Normal 2 5 4 2 2 5 3 2" xfId="14801" xr:uid="{6527430A-F67C-443F-846F-6F033979CE97}"/>
    <cellStyle name="Normal 2 5 4 2 2 5 4" xfId="10583" xr:uid="{18D4130A-82DA-4768-A34F-7F55A9047981}"/>
    <cellStyle name="Normal 2 5 4 2 2 6" xfId="2491" xr:uid="{00000000-0005-0000-0000-000028110000}"/>
    <cellStyle name="Normal 2 5 4 2 2 6 2" xfId="6775" xr:uid="{00000000-0005-0000-0000-000029110000}"/>
    <cellStyle name="Normal 2 5 4 2 2 6 2 2" xfId="15214" xr:uid="{AFFF891D-B1C4-4395-9024-04B05D9D87EB}"/>
    <cellStyle name="Normal 2 5 4 2 2 6 3" xfId="10996" xr:uid="{090A0DF8-A550-4D1B-BE21-8EC2165E8388}"/>
    <cellStyle name="Normal 2 5 4 2 2 7" xfId="4709" xr:uid="{00000000-0005-0000-0000-00002A110000}"/>
    <cellStyle name="Normal 2 5 4 2 2 7 2" xfId="13148" xr:uid="{8BB7E224-5F98-4FD3-A75B-ABD747752B2F}"/>
    <cellStyle name="Normal 2 5 4 2 2 8" xfId="8930" xr:uid="{4000F75C-6BAE-435E-A068-69C7BE932B3D}"/>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6" xr:uid="{423EC728-816B-4553-B51B-F124289BC061}"/>
    <cellStyle name="Normal 2 5 4 2 3 2 3" xfId="11488" xr:uid="{B4E4EF90-F188-4E9E-BF2E-CC7B3D0D2F91}"/>
    <cellStyle name="Normal 2 5 4 2 3 3" xfId="5122" xr:uid="{00000000-0005-0000-0000-00002E110000}"/>
    <cellStyle name="Normal 2 5 4 2 3 3 2" xfId="13561" xr:uid="{82AC2520-7530-4468-9AB6-C1C4FB5258DE}"/>
    <cellStyle name="Normal 2 5 4 2 3 4" xfId="9343" xr:uid="{466456FC-1C10-4B30-8C5B-92ABD6C988B0}"/>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19" xr:uid="{D7152C20-FF17-4837-B0ED-79A4325DAD9A}"/>
    <cellStyle name="Normal 2 5 4 2 4 2 3" xfId="11901" xr:uid="{D0DCA8F9-163F-48DC-9373-91D7E768C6EB}"/>
    <cellStyle name="Normal 2 5 4 2 4 3" xfId="5535" xr:uid="{00000000-0005-0000-0000-000032110000}"/>
    <cellStyle name="Normal 2 5 4 2 4 3 2" xfId="13974" xr:uid="{BEF92FA3-250C-4268-AA98-F46D941F9665}"/>
    <cellStyle name="Normal 2 5 4 2 4 4" xfId="9756" xr:uid="{A1F6DEBD-5137-4C05-90B0-3C150ADCDD9C}"/>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32" xr:uid="{C0ADD41A-B2E6-4637-9FAA-3FC6B31E67C6}"/>
    <cellStyle name="Normal 2 5 4 2 5 2 3" xfId="12314" xr:uid="{F66F01D2-BB3B-4EF0-94A2-F0E9F27038AC}"/>
    <cellStyle name="Normal 2 5 4 2 5 3" xfId="5948" xr:uid="{00000000-0005-0000-0000-000036110000}"/>
    <cellStyle name="Normal 2 5 4 2 5 3 2" xfId="14387" xr:uid="{20865F34-0302-4C0C-87FD-AE4601384BD0}"/>
    <cellStyle name="Normal 2 5 4 2 5 4" xfId="10169" xr:uid="{C212A8DD-DAB8-429D-A951-BBAA4726FE1B}"/>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5" xr:uid="{133E5B9D-3B6C-4605-90D1-0DC46BAE59EB}"/>
    <cellStyle name="Normal 2 5 4 2 6 2 3" xfId="12727" xr:uid="{C613B027-F1B2-43E6-AC70-838E6D1405C1}"/>
    <cellStyle name="Normal 2 5 4 2 6 3" xfId="6361" xr:uid="{00000000-0005-0000-0000-00003A110000}"/>
    <cellStyle name="Normal 2 5 4 2 6 3 2" xfId="14800" xr:uid="{4FE8FCBA-AD1C-4482-A2F9-441A06BDE423}"/>
    <cellStyle name="Normal 2 5 4 2 6 4" xfId="10582" xr:uid="{322DAC0B-67D4-4C58-893A-CC69CA7A5055}"/>
    <cellStyle name="Normal 2 5 4 2 7" xfId="2490" xr:uid="{00000000-0005-0000-0000-00003B110000}"/>
    <cellStyle name="Normal 2 5 4 2 7 2" xfId="6774" xr:uid="{00000000-0005-0000-0000-00003C110000}"/>
    <cellStyle name="Normal 2 5 4 2 7 2 2" xfId="15213" xr:uid="{F9EAF870-9757-4339-8E5A-BA7AD8DAE583}"/>
    <cellStyle name="Normal 2 5 4 2 7 3" xfId="10995" xr:uid="{261452F3-1CF3-481D-9195-8E2FD8B29A84}"/>
    <cellStyle name="Normal 2 5 4 2 8" xfId="4708" xr:uid="{00000000-0005-0000-0000-00003D110000}"/>
    <cellStyle name="Normal 2 5 4 2 8 2" xfId="13147" xr:uid="{44B740E6-69AD-4545-B288-8B943B6CFA01}"/>
    <cellStyle name="Normal 2 5 4 2 9" xfId="8929" xr:uid="{C7C3BD07-F622-4972-A58C-85E00F281E1A}"/>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08" xr:uid="{F46783D0-044F-4421-9FBF-D1FB0D8D69E5}"/>
    <cellStyle name="Normal 2 5 4 3 2 2 3" xfId="11490" xr:uid="{927E200E-AE1C-42AF-AAC4-5A57FF262324}"/>
    <cellStyle name="Normal 2 5 4 3 2 3" xfId="5124" xr:uid="{00000000-0005-0000-0000-000042110000}"/>
    <cellStyle name="Normal 2 5 4 3 2 3 2" xfId="13563" xr:uid="{002F9F16-900F-4EE7-8E46-EDFC178E1B54}"/>
    <cellStyle name="Normal 2 5 4 3 2 4" xfId="9345" xr:uid="{B527E154-504E-4F87-9212-4051FCED260E}"/>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21" xr:uid="{4DFDB9D5-6E19-4CE0-B694-DB2F07660899}"/>
    <cellStyle name="Normal 2 5 4 3 3 2 3" xfId="11903" xr:uid="{D8B2768C-7541-4E3D-8B89-3FF3DB1C85B5}"/>
    <cellStyle name="Normal 2 5 4 3 3 3" xfId="5537" xr:uid="{00000000-0005-0000-0000-000046110000}"/>
    <cellStyle name="Normal 2 5 4 3 3 3 2" xfId="13976" xr:uid="{CB06EF85-D9EA-4571-B0F9-018BB2938877}"/>
    <cellStyle name="Normal 2 5 4 3 3 4" xfId="9758" xr:uid="{E1C64D1D-3917-4D84-ADE7-CBA08B9CD2E9}"/>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4" xr:uid="{397270A0-31D9-467D-B525-4B0751537D28}"/>
    <cellStyle name="Normal 2 5 4 3 4 2 3" xfId="12316" xr:uid="{42D02AA0-FEBC-4780-83C1-317B78A277FC}"/>
    <cellStyle name="Normal 2 5 4 3 4 3" xfId="5950" xr:uid="{00000000-0005-0000-0000-00004A110000}"/>
    <cellStyle name="Normal 2 5 4 3 4 3 2" xfId="14389" xr:uid="{27FD2AFB-0F86-42E6-9B68-15015946098F}"/>
    <cellStyle name="Normal 2 5 4 3 4 4" xfId="10171" xr:uid="{26AEC31B-6931-447D-B1B8-54233F20A345}"/>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47" xr:uid="{7AD53A5C-24CE-419A-93E6-E8181786C8D0}"/>
    <cellStyle name="Normal 2 5 4 3 5 2 3" xfId="12729" xr:uid="{00C4BEAD-F92C-42F4-82AF-30103CC7C864}"/>
    <cellStyle name="Normal 2 5 4 3 5 3" xfId="6363" xr:uid="{00000000-0005-0000-0000-00004E110000}"/>
    <cellStyle name="Normal 2 5 4 3 5 3 2" xfId="14802" xr:uid="{05D1CCEF-ED82-43DD-B722-A4D8EC2D6078}"/>
    <cellStyle name="Normal 2 5 4 3 5 4" xfId="10584" xr:uid="{0449A54E-55C7-4513-A66A-B99BA6124771}"/>
    <cellStyle name="Normal 2 5 4 3 6" xfId="2492" xr:uid="{00000000-0005-0000-0000-00004F110000}"/>
    <cellStyle name="Normal 2 5 4 3 6 2" xfId="6776" xr:uid="{00000000-0005-0000-0000-000050110000}"/>
    <cellStyle name="Normal 2 5 4 3 6 2 2" xfId="15215" xr:uid="{6E228664-5ED5-4F19-AEB1-68C9658E5F51}"/>
    <cellStyle name="Normal 2 5 4 3 6 3" xfId="10997" xr:uid="{FF2ADE0B-F0AC-487E-8AA5-FBA5CA45557A}"/>
    <cellStyle name="Normal 2 5 4 3 7" xfId="4710" xr:uid="{00000000-0005-0000-0000-000051110000}"/>
    <cellStyle name="Normal 2 5 4 3 7 2" xfId="13149" xr:uid="{BE1B13A1-F57D-494E-B68F-3FD38FA7B837}"/>
    <cellStyle name="Normal 2 5 4 3 8" xfId="8931" xr:uid="{F6112F79-0602-4B25-B731-957F725FC366}"/>
    <cellStyle name="Normal 2 5 4 4" xfId="804" xr:uid="{00000000-0005-0000-0000-000052110000}"/>
    <cellStyle name="Normal 2 5 4 4 2" xfId="3043" xr:uid="{00000000-0005-0000-0000-000053110000}"/>
    <cellStyle name="Normal 2 5 4 4 2 2" xfId="7266" xr:uid="{00000000-0005-0000-0000-000054110000}"/>
    <cellStyle name="Normal 2 5 4 4 2 2 2" xfId="15705" xr:uid="{3F10C8D8-EF30-4C82-9C51-CF5AA7E5FFBA}"/>
    <cellStyle name="Normal 2 5 4 4 2 3" xfId="11487" xr:uid="{D611983F-AF3D-4A36-94FC-23C426331E86}"/>
    <cellStyle name="Normal 2 5 4 4 3" xfId="5121" xr:uid="{00000000-0005-0000-0000-000055110000}"/>
    <cellStyle name="Normal 2 5 4 4 3 2" xfId="13560" xr:uid="{0AAB4BA8-A22A-4052-B0A4-19B171E8BB84}"/>
    <cellStyle name="Normal 2 5 4 4 4" xfId="9342" xr:uid="{4D2DB624-32C8-49CE-A62E-C548434C4445}"/>
    <cellStyle name="Normal 2 5 4 5" xfId="1226" xr:uid="{00000000-0005-0000-0000-000056110000}"/>
    <cellStyle name="Normal 2 5 4 5 2" xfId="3456" xr:uid="{00000000-0005-0000-0000-000057110000}"/>
    <cellStyle name="Normal 2 5 4 5 2 2" xfId="7679" xr:uid="{00000000-0005-0000-0000-000058110000}"/>
    <cellStyle name="Normal 2 5 4 5 2 2 2" xfId="16118" xr:uid="{07D21978-4B26-4D86-BBFF-96F9D80D51C0}"/>
    <cellStyle name="Normal 2 5 4 5 2 3" xfId="11900" xr:uid="{79EA5A59-6FF4-47F8-B702-26C71F57DD7C}"/>
    <cellStyle name="Normal 2 5 4 5 3" xfId="5534" xr:uid="{00000000-0005-0000-0000-000059110000}"/>
    <cellStyle name="Normal 2 5 4 5 3 2" xfId="13973" xr:uid="{2F51E924-0592-47DE-A175-B7C21A0FBD9E}"/>
    <cellStyle name="Normal 2 5 4 5 4" xfId="9755" xr:uid="{7730A829-B7AB-480F-81C3-CD58DAD6C24A}"/>
    <cellStyle name="Normal 2 5 4 6" xfId="1639" xr:uid="{00000000-0005-0000-0000-00005A110000}"/>
    <cellStyle name="Normal 2 5 4 6 2" xfId="3869" xr:uid="{00000000-0005-0000-0000-00005B110000}"/>
    <cellStyle name="Normal 2 5 4 6 2 2" xfId="8092" xr:uid="{00000000-0005-0000-0000-00005C110000}"/>
    <cellStyle name="Normal 2 5 4 6 2 2 2" xfId="16531" xr:uid="{E1815D49-57C3-423B-9AF9-F27C1CFD5D42}"/>
    <cellStyle name="Normal 2 5 4 6 2 3" xfId="12313" xr:uid="{254EB618-F3D5-47A0-A8D8-0BB0D84C5F05}"/>
    <cellStyle name="Normal 2 5 4 6 3" xfId="5947" xr:uid="{00000000-0005-0000-0000-00005D110000}"/>
    <cellStyle name="Normal 2 5 4 6 3 2" xfId="14386" xr:uid="{952ABE7F-0D41-4C2C-9BDC-0484B542BE23}"/>
    <cellStyle name="Normal 2 5 4 6 4" xfId="10168" xr:uid="{AD013520-BDD4-4880-BC4E-EFB94A40B94C}"/>
    <cellStyle name="Normal 2 5 4 7" xfId="2053" xr:uid="{00000000-0005-0000-0000-00005E110000}"/>
    <cellStyle name="Normal 2 5 4 7 2" xfId="4282" xr:uid="{00000000-0005-0000-0000-00005F110000}"/>
    <cellStyle name="Normal 2 5 4 7 2 2" xfId="8505" xr:uid="{00000000-0005-0000-0000-000060110000}"/>
    <cellStyle name="Normal 2 5 4 7 2 2 2" xfId="16944" xr:uid="{093D39F6-DDC3-42F8-906E-7FD878721C42}"/>
    <cellStyle name="Normal 2 5 4 7 2 3" xfId="12726" xr:uid="{7968716F-D8EC-4012-B6EA-312D58477B99}"/>
    <cellStyle name="Normal 2 5 4 7 3" xfId="6360" xr:uid="{00000000-0005-0000-0000-000061110000}"/>
    <cellStyle name="Normal 2 5 4 7 3 2" xfId="14799" xr:uid="{C91E7F10-F32E-486F-8432-8114B8BB06DE}"/>
    <cellStyle name="Normal 2 5 4 7 4" xfId="10581" xr:uid="{7D119516-9741-4B37-B1F1-93CBC9EF1117}"/>
    <cellStyle name="Normal 2 5 4 8" xfId="2489" xr:uid="{00000000-0005-0000-0000-000062110000}"/>
    <cellStyle name="Normal 2 5 4 8 2" xfId="6773" xr:uid="{00000000-0005-0000-0000-000063110000}"/>
    <cellStyle name="Normal 2 5 4 8 2 2" xfId="15212" xr:uid="{70ED6287-111B-4AE1-8B91-B5F629DC9ACB}"/>
    <cellStyle name="Normal 2 5 4 8 3" xfId="10994" xr:uid="{95528F98-3565-4280-8995-3128251A5440}"/>
    <cellStyle name="Normal 2 5 4 9" xfId="4707" xr:uid="{00000000-0005-0000-0000-000064110000}"/>
    <cellStyle name="Normal 2 5 4 9 2" xfId="13146" xr:uid="{4AE497CF-E96D-43F5-87FA-6BACE14199DC}"/>
    <cellStyle name="Normal 2 5 5" xfId="803" xr:uid="{00000000-0005-0000-0000-000065110000}"/>
    <cellStyle name="Normal 2 5 5 2" xfId="3042" xr:uid="{00000000-0005-0000-0000-000066110000}"/>
    <cellStyle name="Normal 2 5 5 2 2" xfId="7265" xr:uid="{00000000-0005-0000-0000-000067110000}"/>
    <cellStyle name="Normal 2 5 5 2 2 2" xfId="15704" xr:uid="{85B16F31-9874-409A-BA83-DB15ECC5CBAC}"/>
    <cellStyle name="Normal 2 5 5 2 3" xfId="11486" xr:uid="{7F961ABF-E305-41CB-948A-E791FB167051}"/>
    <cellStyle name="Normal 2 5 5 3" xfId="5120" xr:uid="{00000000-0005-0000-0000-000068110000}"/>
    <cellStyle name="Normal 2 5 5 3 2" xfId="13559" xr:uid="{822E6FBD-6D5F-4FDD-8EC0-104D696FE06F}"/>
    <cellStyle name="Normal 2 5 5 4" xfId="9341" xr:uid="{FEB7FFD7-0977-40CD-8954-1868075B6983}"/>
    <cellStyle name="Normal 2 5 6" xfId="1225" xr:uid="{00000000-0005-0000-0000-000069110000}"/>
    <cellStyle name="Normal 2 5 6 2" xfId="3455" xr:uid="{00000000-0005-0000-0000-00006A110000}"/>
    <cellStyle name="Normal 2 5 6 2 2" xfId="7678" xr:uid="{00000000-0005-0000-0000-00006B110000}"/>
    <cellStyle name="Normal 2 5 6 2 2 2" xfId="16117" xr:uid="{E64BC7A3-0135-49F7-81E7-E26C0D41E8DF}"/>
    <cellStyle name="Normal 2 5 6 2 3" xfId="11899" xr:uid="{16484A2C-6624-447C-868F-059242097560}"/>
    <cellStyle name="Normal 2 5 6 3" xfId="5533" xr:uid="{00000000-0005-0000-0000-00006C110000}"/>
    <cellStyle name="Normal 2 5 6 3 2" xfId="13972" xr:uid="{B8694F55-FCB7-4950-AB5C-82E713819142}"/>
    <cellStyle name="Normal 2 5 6 4" xfId="9754" xr:uid="{6EADF6F1-0AE1-426C-9B15-E77EA4F4A4CF}"/>
    <cellStyle name="Normal 2 5 7" xfId="1638" xr:uid="{00000000-0005-0000-0000-00006D110000}"/>
    <cellStyle name="Normal 2 5 7 2" xfId="3868" xr:uid="{00000000-0005-0000-0000-00006E110000}"/>
    <cellStyle name="Normal 2 5 7 2 2" xfId="8091" xr:uid="{00000000-0005-0000-0000-00006F110000}"/>
    <cellStyle name="Normal 2 5 7 2 2 2" xfId="16530" xr:uid="{65A8640C-0A95-4775-9AC7-E6FD42A04967}"/>
    <cellStyle name="Normal 2 5 7 2 3" xfId="12312" xr:uid="{2E8F0775-89FF-4B58-A789-4D22C7271164}"/>
    <cellStyle name="Normal 2 5 7 3" xfId="5946" xr:uid="{00000000-0005-0000-0000-000070110000}"/>
    <cellStyle name="Normal 2 5 7 3 2" xfId="14385" xr:uid="{0A0747B2-1145-4D37-BE51-47D1DAD89532}"/>
    <cellStyle name="Normal 2 5 7 4" xfId="10167" xr:uid="{5C225CF8-3684-4175-AB4E-FA9F1B973EF4}"/>
    <cellStyle name="Normal 2 5 8" xfId="2052" xr:uid="{00000000-0005-0000-0000-000071110000}"/>
    <cellStyle name="Normal 2 5 8 2" xfId="4281" xr:uid="{00000000-0005-0000-0000-000072110000}"/>
    <cellStyle name="Normal 2 5 8 2 2" xfId="8504" xr:uid="{00000000-0005-0000-0000-000073110000}"/>
    <cellStyle name="Normal 2 5 8 2 2 2" xfId="16943" xr:uid="{DBE194A4-2C52-4513-9CE8-28025FBB0F91}"/>
    <cellStyle name="Normal 2 5 8 2 3" xfId="12725" xr:uid="{E56BB10E-E82A-40BC-850B-AED5C2F895DB}"/>
    <cellStyle name="Normal 2 5 8 3" xfId="6359" xr:uid="{00000000-0005-0000-0000-000074110000}"/>
    <cellStyle name="Normal 2 5 8 3 2" xfId="14798" xr:uid="{E9A9BC7F-B4E1-4C51-8886-4E81413AB7A4}"/>
    <cellStyle name="Normal 2 5 8 4" xfId="10580" xr:uid="{4F4ADFEA-289F-4F6A-89E6-27A3BC2E0EBD}"/>
    <cellStyle name="Normal 2 5 9" xfId="2488" xr:uid="{00000000-0005-0000-0000-000075110000}"/>
    <cellStyle name="Normal 2 5 9 2" xfId="6772" xr:uid="{00000000-0005-0000-0000-000076110000}"/>
    <cellStyle name="Normal 2 5 9 2 2" xfId="15211" xr:uid="{430E94D5-6CF2-45F0-AF65-F51E5B9D3FB7}"/>
    <cellStyle name="Normal 2 5 9 3" xfId="10993" xr:uid="{F56D60DD-D4DD-42E0-A061-5E69063E0D78}"/>
    <cellStyle name="Normal 2 6" xfId="322" xr:uid="{00000000-0005-0000-0000-000077110000}"/>
    <cellStyle name="Normal 2 7" xfId="769" xr:uid="{00000000-0005-0000-0000-000078110000}"/>
    <cellStyle name="Normal 2 8" xfId="4495" xr:uid="{00000000-0005-0000-0000-000079110000}"/>
    <cellStyle name="Normal 2 8 2" xfId="12937" xr:uid="{560DB072-09DD-43D8-80D6-64F941C36949}"/>
    <cellStyle name="Normal 3" xfId="323" xr:uid="{00000000-0005-0000-0000-00007A110000}"/>
    <cellStyle name="Normal 3 2" xfId="324" xr:uid="{00000000-0005-0000-0000-00007B110000}"/>
    <cellStyle name="Normal 3 2 10" xfId="8932" xr:uid="{A07B5541-8D51-465C-89D9-7164459D26FE}"/>
    <cellStyle name="Normal 3 2 2" xfId="325" xr:uid="{00000000-0005-0000-0000-00007C110000}"/>
    <cellStyle name="Normal 3 2 2 2" xfId="810" xr:uid="{00000000-0005-0000-0000-00007D110000}"/>
    <cellStyle name="Normal 3 2 3" xfId="326" xr:uid="{00000000-0005-0000-0000-00007E110000}"/>
    <cellStyle name="Normal 3 2 3 10" xfId="8933" xr:uid="{F97E4E78-EC1D-4283-AC68-AE1124501558}"/>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12" xr:uid="{4DC591E8-4FAC-478A-AD35-22EDC932418D}"/>
    <cellStyle name="Normal 3 2 3 2 2 2 2 3" xfId="11494" xr:uid="{FD06C435-C186-4AD3-AD4C-F1EB0BF96A38}"/>
    <cellStyle name="Normal 3 2 3 2 2 2 3" xfId="5128" xr:uid="{00000000-0005-0000-0000-000084110000}"/>
    <cellStyle name="Normal 3 2 3 2 2 2 3 2" xfId="13567" xr:uid="{7A0817C9-84F8-4CB8-93FF-D55E5B4FD852}"/>
    <cellStyle name="Normal 3 2 3 2 2 2 4" xfId="9349" xr:uid="{6171FEBD-C02E-4625-A067-722FD0AACAB8}"/>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5" xr:uid="{39D2086C-4EC5-4D92-A3F1-A600A21D48C4}"/>
    <cellStyle name="Normal 3 2 3 2 2 3 2 3" xfId="11907" xr:uid="{6BDB6802-B808-4A68-83A6-918C608E34CF}"/>
    <cellStyle name="Normal 3 2 3 2 2 3 3" xfId="5541" xr:uid="{00000000-0005-0000-0000-000088110000}"/>
    <cellStyle name="Normal 3 2 3 2 2 3 3 2" xfId="13980" xr:uid="{CD40410E-1479-4CEF-A20D-55260B536F0F}"/>
    <cellStyle name="Normal 3 2 3 2 2 3 4" xfId="9762" xr:uid="{DD952AD1-402D-4AB6-BAB9-F16B2A77943E}"/>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38" xr:uid="{D4CADDFE-DCB3-411B-AE43-76FC26C57039}"/>
    <cellStyle name="Normal 3 2 3 2 2 4 2 3" xfId="12320" xr:uid="{A710995E-6B55-42BC-99C9-C685C53F5C36}"/>
    <cellStyle name="Normal 3 2 3 2 2 4 3" xfId="5954" xr:uid="{00000000-0005-0000-0000-00008C110000}"/>
    <cellStyle name="Normal 3 2 3 2 2 4 3 2" xfId="14393" xr:uid="{49FBB61E-5935-4A36-8696-D7007F2AE829}"/>
    <cellStyle name="Normal 3 2 3 2 2 4 4" xfId="10175" xr:uid="{81210BDE-6178-4C64-B246-08D7E6E5526D}"/>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51" xr:uid="{93305A15-16D9-4DC8-8F98-B5B06E5BAE52}"/>
    <cellStyle name="Normal 3 2 3 2 2 5 2 3" xfId="12733" xr:uid="{1645A117-AFC6-432E-A35B-512CD5720AF8}"/>
    <cellStyle name="Normal 3 2 3 2 2 5 3" xfId="6367" xr:uid="{00000000-0005-0000-0000-000090110000}"/>
    <cellStyle name="Normal 3 2 3 2 2 5 3 2" xfId="14806" xr:uid="{3BD0D03F-58FE-4943-BBD8-6CC6612BBCC2}"/>
    <cellStyle name="Normal 3 2 3 2 2 5 4" xfId="10588" xr:uid="{A674AC86-85C8-4857-95DD-7312DD1EF40B}"/>
    <cellStyle name="Normal 3 2 3 2 2 6" xfId="2496" xr:uid="{00000000-0005-0000-0000-000091110000}"/>
    <cellStyle name="Normal 3 2 3 2 2 6 2" xfId="6780" xr:uid="{00000000-0005-0000-0000-000092110000}"/>
    <cellStyle name="Normal 3 2 3 2 2 6 2 2" xfId="15219" xr:uid="{4F3FAEFA-90CA-4167-865A-A625A8731EAF}"/>
    <cellStyle name="Normal 3 2 3 2 2 6 3" xfId="11001" xr:uid="{2F2CFD12-CEEA-4D39-A10B-C6BBD2A0EDA5}"/>
    <cellStyle name="Normal 3 2 3 2 2 7" xfId="4714" xr:uid="{00000000-0005-0000-0000-000093110000}"/>
    <cellStyle name="Normal 3 2 3 2 2 7 2" xfId="13153" xr:uid="{28D7B2AA-615F-4E86-A6ED-6EEBF6915960}"/>
    <cellStyle name="Normal 3 2 3 2 2 8" xfId="8935" xr:uid="{82448742-5AB9-4A44-BF2A-9633AC1338A7}"/>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11" xr:uid="{4E789EF5-E3F2-4D54-A8F0-FA44958EDEF9}"/>
    <cellStyle name="Normal 3 2 3 2 3 2 3" xfId="11493" xr:uid="{A510FAB0-463A-4799-B16D-06CE7F8FAA92}"/>
    <cellStyle name="Normal 3 2 3 2 3 3" xfId="5127" xr:uid="{00000000-0005-0000-0000-000097110000}"/>
    <cellStyle name="Normal 3 2 3 2 3 3 2" xfId="13566" xr:uid="{8D4EEA33-63FE-44B8-AA33-814A72565CC3}"/>
    <cellStyle name="Normal 3 2 3 2 3 4" xfId="9348" xr:uid="{1EFC1C28-5ED0-4668-918B-40A943526BAC}"/>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4" xr:uid="{6A966404-9CA5-45BA-B3BB-90E8B387157D}"/>
    <cellStyle name="Normal 3 2 3 2 4 2 3" xfId="11906" xr:uid="{661CA38D-5C37-46D0-81A5-4995301B67C0}"/>
    <cellStyle name="Normal 3 2 3 2 4 3" xfId="5540" xr:uid="{00000000-0005-0000-0000-00009B110000}"/>
    <cellStyle name="Normal 3 2 3 2 4 3 2" xfId="13979" xr:uid="{6645210A-9E45-4A74-A0C4-E2E056DB6CFA}"/>
    <cellStyle name="Normal 3 2 3 2 4 4" xfId="9761" xr:uid="{FF3A071C-A3A0-415E-BCF1-7221F17D1020}"/>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37" xr:uid="{582B335A-D036-4930-BB2B-7175FEF87E9D}"/>
    <cellStyle name="Normal 3 2 3 2 5 2 3" xfId="12319" xr:uid="{C76D23DA-9A74-4D99-910F-C4F978D72E10}"/>
    <cellStyle name="Normal 3 2 3 2 5 3" xfId="5953" xr:uid="{00000000-0005-0000-0000-00009F110000}"/>
    <cellStyle name="Normal 3 2 3 2 5 3 2" xfId="14392" xr:uid="{25B13BFF-876A-4EAD-BDD3-81610BF24598}"/>
    <cellStyle name="Normal 3 2 3 2 5 4" xfId="10174" xr:uid="{55A97A67-963E-4689-A633-6FFAD899FA17}"/>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50" xr:uid="{720E2230-0CA9-4975-9632-986281B85038}"/>
    <cellStyle name="Normal 3 2 3 2 6 2 3" xfId="12732" xr:uid="{E1121FBB-4FAF-4722-8BC0-492AE2A16E09}"/>
    <cellStyle name="Normal 3 2 3 2 6 3" xfId="6366" xr:uid="{00000000-0005-0000-0000-0000A3110000}"/>
    <cellStyle name="Normal 3 2 3 2 6 3 2" xfId="14805" xr:uid="{B22DD5A0-E293-480D-949D-BE6307F5AEA2}"/>
    <cellStyle name="Normal 3 2 3 2 6 4" xfId="10587" xr:uid="{4B1D9C7C-E853-42AC-8C2C-04F7A1E3A03C}"/>
    <cellStyle name="Normal 3 2 3 2 7" xfId="2495" xr:uid="{00000000-0005-0000-0000-0000A4110000}"/>
    <cellStyle name="Normal 3 2 3 2 7 2" xfId="6779" xr:uid="{00000000-0005-0000-0000-0000A5110000}"/>
    <cellStyle name="Normal 3 2 3 2 7 2 2" xfId="15218" xr:uid="{A43018AC-A9A3-4F9D-ABA4-B2042D2FE7AF}"/>
    <cellStyle name="Normal 3 2 3 2 7 3" xfId="11000" xr:uid="{52E33A75-4C52-41A0-8757-51FEB128CE66}"/>
    <cellStyle name="Normal 3 2 3 2 8" xfId="4713" xr:uid="{00000000-0005-0000-0000-0000A6110000}"/>
    <cellStyle name="Normal 3 2 3 2 8 2" xfId="13152" xr:uid="{DAC97669-5E35-4339-A049-B4060CAC295F}"/>
    <cellStyle name="Normal 3 2 3 2 9" xfId="8934" xr:uid="{20ADE2D2-ED8D-4981-AAD6-16E67CC52481}"/>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3" xr:uid="{160F4841-F335-43D2-B7C4-8C756A58DB20}"/>
    <cellStyle name="Normal 3 2 3 3 2 2 3" xfId="11495" xr:uid="{02DAE743-D834-4928-AD15-5E2621E3476D}"/>
    <cellStyle name="Normal 3 2 3 3 2 3" xfId="5129" xr:uid="{00000000-0005-0000-0000-0000AB110000}"/>
    <cellStyle name="Normal 3 2 3 3 2 3 2" xfId="13568" xr:uid="{FB26D048-AA26-404D-9B16-FAFCDD174E0A}"/>
    <cellStyle name="Normal 3 2 3 3 2 4" xfId="9350" xr:uid="{1BD602E0-8E1E-4846-89D2-38BD7446D677}"/>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6" xr:uid="{3E0F92FA-652C-45A8-ABEF-539A59561BED}"/>
    <cellStyle name="Normal 3 2 3 3 3 2 3" xfId="11908" xr:uid="{22239EF8-DE1F-4450-AB28-D0375585A82E}"/>
    <cellStyle name="Normal 3 2 3 3 3 3" xfId="5542" xr:uid="{00000000-0005-0000-0000-0000AF110000}"/>
    <cellStyle name="Normal 3 2 3 3 3 3 2" xfId="13981" xr:uid="{65CFC215-7769-4F8E-A715-A99F46CAB652}"/>
    <cellStyle name="Normal 3 2 3 3 3 4" xfId="9763" xr:uid="{92175B01-7879-41F4-9BA4-8F7311C93405}"/>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39" xr:uid="{FDE1E416-2466-4831-8E29-30566178B27B}"/>
    <cellStyle name="Normal 3 2 3 3 4 2 3" xfId="12321" xr:uid="{C4E47DD1-6258-4F26-BF1C-4EFC91AF8436}"/>
    <cellStyle name="Normal 3 2 3 3 4 3" xfId="5955" xr:uid="{00000000-0005-0000-0000-0000B3110000}"/>
    <cellStyle name="Normal 3 2 3 3 4 3 2" xfId="14394" xr:uid="{F8322D4A-773D-4782-93F3-27DC197A9357}"/>
    <cellStyle name="Normal 3 2 3 3 4 4" xfId="10176" xr:uid="{B7102F27-BA3C-4234-AC0D-5011F96DADFB}"/>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52" xr:uid="{7B52F5A0-02CE-4451-98E2-FDDC9535573B}"/>
    <cellStyle name="Normal 3 2 3 3 5 2 3" xfId="12734" xr:uid="{743B8DD6-E89F-4E13-81CB-C02EC8EBE0B7}"/>
    <cellStyle name="Normal 3 2 3 3 5 3" xfId="6368" xr:uid="{00000000-0005-0000-0000-0000B7110000}"/>
    <cellStyle name="Normal 3 2 3 3 5 3 2" xfId="14807" xr:uid="{404AB730-8895-47C1-8B22-FFEDF61224B4}"/>
    <cellStyle name="Normal 3 2 3 3 5 4" xfId="10589" xr:uid="{47C6A805-45C7-4CFC-99E4-1BF5E1AB4FF6}"/>
    <cellStyle name="Normal 3 2 3 3 6" xfId="2497" xr:uid="{00000000-0005-0000-0000-0000B8110000}"/>
    <cellStyle name="Normal 3 2 3 3 6 2" xfId="6781" xr:uid="{00000000-0005-0000-0000-0000B9110000}"/>
    <cellStyle name="Normal 3 2 3 3 6 2 2" xfId="15220" xr:uid="{5BECCE36-1756-42AE-B7C9-F6D4C2E86399}"/>
    <cellStyle name="Normal 3 2 3 3 6 3" xfId="11002" xr:uid="{75DAAC7B-5472-458E-8AF3-A15BA4462036}"/>
    <cellStyle name="Normal 3 2 3 3 7" xfId="4715" xr:uid="{00000000-0005-0000-0000-0000BA110000}"/>
    <cellStyle name="Normal 3 2 3 3 7 2" xfId="13154" xr:uid="{88B8A9F3-41D9-4FEB-A513-278847D2072C}"/>
    <cellStyle name="Normal 3 2 3 3 8" xfId="8936" xr:uid="{33891C7D-0008-4E9F-A715-B90513B68ED4}"/>
    <cellStyle name="Normal 3 2 3 4" xfId="811" xr:uid="{00000000-0005-0000-0000-0000BB110000}"/>
    <cellStyle name="Normal 3 2 3 4 2" xfId="3048" xr:uid="{00000000-0005-0000-0000-0000BC110000}"/>
    <cellStyle name="Normal 3 2 3 4 2 2" xfId="7271" xr:uid="{00000000-0005-0000-0000-0000BD110000}"/>
    <cellStyle name="Normal 3 2 3 4 2 2 2" xfId="15710" xr:uid="{DBFD542F-0372-493A-ADE2-66DB20DE935E}"/>
    <cellStyle name="Normal 3 2 3 4 2 3" xfId="11492" xr:uid="{D8919937-28B0-4DF3-A427-C8B1BFCD4D3E}"/>
    <cellStyle name="Normal 3 2 3 4 3" xfId="5126" xr:uid="{00000000-0005-0000-0000-0000BE110000}"/>
    <cellStyle name="Normal 3 2 3 4 3 2" xfId="13565" xr:uid="{4300E091-F29A-4463-8007-A3ABB11A378C}"/>
    <cellStyle name="Normal 3 2 3 4 4" xfId="9347" xr:uid="{A5875BAE-2A06-4929-9437-3A85702100A6}"/>
    <cellStyle name="Normal 3 2 3 5" xfId="1231" xr:uid="{00000000-0005-0000-0000-0000BF110000}"/>
    <cellStyle name="Normal 3 2 3 5 2" xfId="3461" xr:uid="{00000000-0005-0000-0000-0000C0110000}"/>
    <cellStyle name="Normal 3 2 3 5 2 2" xfId="7684" xr:uid="{00000000-0005-0000-0000-0000C1110000}"/>
    <cellStyle name="Normal 3 2 3 5 2 2 2" xfId="16123" xr:uid="{47AC0128-644A-4327-BF61-310E08FF34E8}"/>
    <cellStyle name="Normal 3 2 3 5 2 3" xfId="11905" xr:uid="{B00D7A12-E276-4238-9EE7-5DA7146C07DD}"/>
    <cellStyle name="Normal 3 2 3 5 3" xfId="5539" xr:uid="{00000000-0005-0000-0000-0000C2110000}"/>
    <cellStyle name="Normal 3 2 3 5 3 2" xfId="13978" xr:uid="{36CD3EBC-D2B2-47B4-B394-2972FA16E3C8}"/>
    <cellStyle name="Normal 3 2 3 5 4" xfId="9760" xr:uid="{5EDF834F-E7A4-4E58-A147-4C0A1AB0D9CB}"/>
    <cellStyle name="Normal 3 2 3 6" xfId="1644" xr:uid="{00000000-0005-0000-0000-0000C3110000}"/>
    <cellStyle name="Normal 3 2 3 6 2" xfId="3874" xr:uid="{00000000-0005-0000-0000-0000C4110000}"/>
    <cellStyle name="Normal 3 2 3 6 2 2" xfId="8097" xr:uid="{00000000-0005-0000-0000-0000C5110000}"/>
    <cellStyle name="Normal 3 2 3 6 2 2 2" xfId="16536" xr:uid="{23D7032C-14F8-4BDF-82D2-516F338F5BC4}"/>
    <cellStyle name="Normal 3 2 3 6 2 3" xfId="12318" xr:uid="{9F90A2D1-BEA1-4E96-92CC-E32292879D1C}"/>
    <cellStyle name="Normal 3 2 3 6 3" xfId="5952" xr:uid="{00000000-0005-0000-0000-0000C6110000}"/>
    <cellStyle name="Normal 3 2 3 6 3 2" xfId="14391" xr:uid="{1CD730C6-B27B-48C6-8161-64ECCBF73F44}"/>
    <cellStyle name="Normal 3 2 3 6 4" xfId="10173" xr:uid="{FB6FE5FC-27E8-42EF-B785-9B27CE075FB9}"/>
    <cellStyle name="Normal 3 2 3 7" xfId="2058" xr:uid="{00000000-0005-0000-0000-0000C7110000}"/>
    <cellStyle name="Normal 3 2 3 7 2" xfId="4287" xr:uid="{00000000-0005-0000-0000-0000C8110000}"/>
    <cellStyle name="Normal 3 2 3 7 2 2" xfId="8510" xr:uid="{00000000-0005-0000-0000-0000C9110000}"/>
    <cellStyle name="Normal 3 2 3 7 2 2 2" xfId="16949" xr:uid="{DD63FF1C-A706-4B14-9DDD-C6A3156874F6}"/>
    <cellStyle name="Normal 3 2 3 7 2 3" xfId="12731" xr:uid="{D251957A-3F27-4C5A-B186-25833E1590E0}"/>
    <cellStyle name="Normal 3 2 3 7 3" xfId="6365" xr:uid="{00000000-0005-0000-0000-0000CA110000}"/>
    <cellStyle name="Normal 3 2 3 7 3 2" xfId="14804" xr:uid="{93B7D334-F3BC-4C01-BE51-A8564C29989D}"/>
    <cellStyle name="Normal 3 2 3 7 4" xfId="10586" xr:uid="{AA1F0E27-7AE5-4E8F-A0E5-CA4D61E67067}"/>
    <cellStyle name="Normal 3 2 3 8" xfId="2494" xr:uid="{00000000-0005-0000-0000-0000CB110000}"/>
    <cellStyle name="Normal 3 2 3 8 2" xfId="6778" xr:uid="{00000000-0005-0000-0000-0000CC110000}"/>
    <cellStyle name="Normal 3 2 3 8 2 2" xfId="15217" xr:uid="{46463DEB-D202-47ED-8D13-6CD1102F9BDA}"/>
    <cellStyle name="Normal 3 2 3 8 3" xfId="10999" xr:uid="{FB3500BF-141D-47EF-A382-490357B9D819}"/>
    <cellStyle name="Normal 3 2 3 9" xfId="4712" xr:uid="{00000000-0005-0000-0000-0000CD110000}"/>
    <cellStyle name="Normal 3 2 3 9 2" xfId="13151" xr:uid="{78760293-9EB3-4181-AD62-06E01B27E1A1}"/>
    <cellStyle name="Normal 3 2 4" xfId="809" xr:uid="{00000000-0005-0000-0000-0000CE110000}"/>
    <cellStyle name="Normal 3 2 4 2" xfId="3047" xr:uid="{00000000-0005-0000-0000-0000CF110000}"/>
    <cellStyle name="Normal 3 2 4 2 2" xfId="7270" xr:uid="{00000000-0005-0000-0000-0000D0110000}"/>
    <cellStyle name="Normal 3 2 4 2 2 2" xfId="15709" xr:uid="{5019AA31-573A-4B9C-9D6B-95264CC1F900}"/>
    <cellStyle name="Normal 3 2 4 2 3" xfId="11491" xr:uid="{40626ACE-ABD5-4BE9-B1AB-BC95D4932DF5}"/>
    <cellStyle name="Normal 3 2 4 3" xfId="5125" xr:uid="{00000000-0005-0000-0000-0000D1110000}"/>
    <cellStyle name="Normal 3 2 4 3 2" xfId="13564" xr:uid="{FE6D1926-BFFF-426F-93B3-9FB89554508E}"/>
    <cellStyle name="Normal 3 2 4 4" xfId="9346" xr:uid="{F4894537-C37A-43C9-81A4-E4978D9A08F7}"/>
    <cellStyle name="Normal 3 2 5" xfId="1230" xr:uid="{00000000-0005-0000-0000-0000D2110000}"/>
    <cellStyle name="Normal 3 2 5 2" xfId="3460" xr:uid="{00000000-0005-0000-0000-0000D3110000}"/>
    <cellStyle name="Normal 3 2 5 2 2" xfId="7683" xr:uid="{00000000-0005-0000-0000-0000D4110000}"/>
    <cellStyle name="Normal 3 2 5 2 2 2" xfId="16122" xr:uid="{6D80F87E-7426-4C7F-9C3D-774A96C602AA}"/>
    <cellStyle name="Normal 3 2 5 2 3" xfId="11904" xr:uid="{484BC0F2-92D6-493E-B6B0-8E87C2402200}"/>
    <cellStyle name="Normal 3 2 5 3" xfId="5538" xr:uid="{00000000-0005-0000-0000-0000D5110000}"/>
    <cellStyle name="Normal 3 2 5 3 2" xfId="13977" xr:uid="{D4B90761-067F-4FB1-A013-D5C740F5E1AE}"/>
    <cellStyle name="Normal 3 2 5 4" xfId="9759" xr:uid="{25BC7603-08FC-416F-B71E-F4336BB1ECCB}"/>
    <cellStyle name="Normal 3 2 6" xfId="1643" xr:uid="{00000000-0005-0000-0000-0000D6110000}"/>
    <cellStyle name="Normal 3 2 6 2" xfId="3873" xr:uid="{00000000-0005-0000-0000-0000D7110000}"/>
    <cellStyle name="Normal 3 2 6 2 2" xfId="8096" xr:uid="{00000000-0005-0000-0000-0000D8110000}"/>
    <cellStyle name="Normal 3 2 6 2 2 2" xfId="16535" xr:uid="{B9A08025-5556-4369-9094-5C6BCF63E2CE}"/>
    <cellStyle name="Normal 3 2 6 2 3" xfId="12317" xr:uid="{08C8B86D-5107-4530-A849-D3F866C427F1}"/>
    <cellStyle name="Normal 3 2 6 3" xfId="5951" xr:uid="{00000000-0005-0000-0000-0000D9110000}"/>
    <cellStyle name="Normal 3 2 6 3 2" xfId="14390" xr:uid="{C6EB4774-E866-4ADD-8457-85E6028891A0}"/>
    <cellStyle name="Normal 3 2 6 4" xfId="10172" xr:uid="{4EF3D329-4249-432D-BA23-522DDA907228}"/>
    <cellStyle name="Normal 3 2 7" xfId="2057" xr:uid="{00000000-0005-0000-0000-0000DA110000}"/>
    <cellStyle name="Normal 3 2 7 2" xfId="4286" xr:uid="{00000000-0005-0000-0000-0000DB110000}"/>
    <cellStyle name="Normal 3 2 7 2 2" xfId="8509" xr:uid="{00000000-0005-0000-0000-0000DC110000}"/>
    <cellStyle name="Normal 3 2 7 2 2 2" xfId="16948" xr:uid="{9A9E9424-55A4-4F5D-B2D9-63405F01F7D0}"/>
    <cellStyle name="Normal 3 2 7 2 3" xfId="12730" xr:uid="{343540E5-E645-4EFB-AA50-D8FD5C23BCB8}"/>
    <cellStyle name="Normal 3 2 7 3" xfId="6364" xr:uid="{00000000-0005-0000-0000-0000DD110000}"/>
    <cellStyle name="Normal 3 2 7 3 2" xfId="14803" xr:uid="{C3D15906-4D68-4847-ABF0-2226E363824B}"/>
    <cellStyle name="Normal 3 2 7 4" xfId="10585" xr:uid="{4B777410-F022-42C4-903B-B2F0CE7218DF}"/>
    <cellStyle name="Normal 3 2 8" xfId="2493" xr:uid="{00000000-0005-0000-0000-0000DE110000}"/>
    <cellStyle name="Normal 3 2 8 2" xfId="6777" xr:uid="{00000000-0005-0000-0000-0000DF110000}"/>
    <cellStyle name="Normal 3 2 8 2 2" xfId="15216" xr:uid="{FC7C214B-8A0B-4DA5-B61F-AF534C683BF7}"/>
    <cellStyle name="Normal 3 2 8 3" xfId="10998" xr:uid="{535149A7-85BE-466A-B91C-864809F71625}"/>
    <cellStyle name="Normal 3 2 9" xfId="4711" xr:uid="{00000000-0005-0000-0000-0000E0110000}"/>
    <cellStyle name="Normal 3 2 9 2" xfId="13150" xr:uid="{48B6AE01-7246-49BD-A54C-A7AF81B660EE}"/>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37" xr:uid="{B75FAAA5-E0DB-41AE-B97E-37F00F6DE912}"/>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3" xr:uid="{29DDA91D-0F82-4F0D-8572-0E62A0656857}"/>
    <cellStyle name="Normal 4 2 2 10 2 3" xfId="12735" xr:uid="{9103B6BD-8A40-452F-B11F-5970A0AC4367}"/>
    <cellStyle name="Normal 4 2 2 10 3" xfId="6369" xr:uid="{00000000-0005-0000-0000-0000ED110000}"/>
    <cellStyle name="Normal 4 2 2 10 3 2" xfId="14808" xr:uid="{9F1C9193-082E-431A-9FAC-3756640AF411}"/>
    <cellStyle name="Normal 4 2 2 10 4" xfId="10590" xr:uid="{AFA8071B-1587-4ABE-A929-B5C872674C61}"/>
    <cellStyle name="Normal 4 2 2 11" xfId="2498" xr:uid="{00000000-0005-0000-0000-0000EE110000}"/>
    <cellStyle name="Normal 4 2 2 11 2" xfId="6782" xr:uid="{00000000-0005-0000-0000-0000EF110000}"/>
    <cellStyle name="Normal 4 2 2 11 2 2" xfId="15221" xr:uid="{A6865256-C4EC-4338-8D5E-0FFFBC430D34}"/>
    <cellStyle name="Normal 4 2 2 11 3" xfId="11003" xr:uid="{60ABF81A-D8D0-446B-8E87-40D3D26C8B12}"/>
    <cellStyle name="Normal 4 2 2 12" xfId="4717" xr:uid="{00000000-0005-0000-0000-0000F0110000}"/>
    <cellStyle name="Normal 4 2 2 12 2" xfId="13156" xr:uid="{4859EFF4-CE79-4B5B-82B3-641CA31944AE}"/>
    <cellStyle name="Normal 4 2 2 13" xfId="8938" xr:uid="{84C4C966-DB19-4853-94B2-D72BB3BD8222}"/>
    <cellStyle name="Normal 4 2 2 2" xfId="338" xr:uid="{00000000-0005-0000-0000-0000F1110000}"/>
    <cellStyle name="Normal 4 2 2 3" xfId="339" xr:uid="{00000000-0005-0000-0000-0000F2110000}"/>
    <cellStyle name="Normal 4 2 2 3 10" xfId="4718" xr:uid="{00000000-0005-0000-0000-0000F3110000}"/>
    <cellStyle name="Normal 4 2 2 3 10 2" xfId="13157" xr:uid="{738C353C-3089-4101-9F33-FD58B45CDA09}"/>
    <cellStyle name="Normal 4 2 2 3 11" xfId="8939" xr:uid="{65E34155-052A-4966-9EF7-E4F0D3A61E07}"/>
    <cellStyle name="Normal 4 2 2 3 2" xfId="340" xr:uid="{00000000-0005-0000-0000-0000F4110000}"/>
    <cellStyle name="Normal 4 2 2 3 2 10" xfId="8940" xr:uid="{AB1EE4AE-5E02-4DF0-9158-8927C81D9294}"/>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18" xr:uid="{3F2384AD-E0B6-45CB-8AFD-DC595354AA5F}"/>
    <cellStyle name="Normal 4 2 2 3 2 2 2 2 2 3" xfId="11500" xr:uid="{77BF3379-C09B-42A5-8313-17F45B458F8A}"/>
    <cellStyle name="Normal 4 2 2 3 2 2 2 2 3" xfId="5134" xr:uid="{00000000-0005-0000-0000-0000FA110000}"/>
    <cellStyle name="Normal 4 2 2 3 2 2 2 2 3 2" xfId="13573" xr:uid="{5CFA4EB2-707F-49AF-9557-D16ACCEFA7E5}"/>
    <cellStyle name="Normal 4 2 2 3 2 2 2 2 4" xfId="9355" xr:uid="{331B8872-2E4B-40AD-AD94-C0CE79C60F21}"/>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31" xr:uid="{28B0A15E-E422-4F49-B526-896D35A8B2A0}"/>
    <cellStyle name="Normal 4 2 2 3 2 2 2 3 2 3" xfId="11913" xr:uid="{34A5F023-4BBA-4C3C-A900-6C4FB00BAB3E}"/>
    <cellStyle name="Normal 4 2 2 3 2 2 2 3 3" xfId="5547" xr:uid="{00000000-0005-0000-0000-0000FE110000}"/>
    <cellStyle name="Normal 4 2 2 3 2 2 2 3 3 2" xfId="13986" xr:uid="{C60D8792-6500-4F28-97F7-182F1683C8A9}"/>
    <cellStyle name="Normal 4 2 2 3 2 2 2 3 4" xfId="9768" xr:uid="{AC4BB857-75E6-49FD-80E3-C6C166DACEF6}"/>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4" xr:uid="{B6DCAF20-048D-45FC-AB45-A2DF1993459E}"/>
    <cellStyle name="Normal 4 2 2 3 2 2 2 4 2 3" xfId="12326" xr:uid="{B44C19C9-C7C5-4ACF-9F9D-7D1C919FC16A}"/>
    <cellStyle name="Normal 4 2 2 3 2 2 2 4 3" xfId="5960" xr:uid="{00000000-0005-0000-0000-000002120000}"/>
    <cellStyle name="Normal 4 2 2 3 2 2 2 4 3 2" xfId="14399" xr:uid="{A1CC3D12-555C-4CFC-96A2-483862846B05}"/>
    <cellStyle name="Normal 4 2 2 3 2 2 2 4 4" xfId="10181" xr:uid="{761C149A-3FD0-4CB9-968C-97D14D7DA395}"/>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57" xr:uid="{A99D3337-44ED-4935-9336-7AE9E2DF0895}"/>
    <cellStyle name="Normal 4 2 2 3 2 2 2 5 2 3" xfId="12739" xr:uid="{498BB603-0C6B-4E63-A378-7D191305B25A}"/>
    <cellStyle name="Normal 4 2 2 3 2 2 2 5 3" xfId="6373" xr:uid="{00000000-0005-0000-0000-000006120000}"/>
    <cellStyle name="Normal 4 2 2 3 2 2 2 5 3 2" xfId="14812" xr:uid="{C5B91E98-CDD3-4F80-9DC6-CAEF3187F8E3}"/>
    <cellStyle name="Normal 4 2 2 3 2 2 2 5 4" xfId="10594" xr:uid="{F13EC24C-FABC-495C-A114-ABE6916A21E8}"/>
    <cellStyle name="Normal 4 2 2 3 2 2 2 6" xfId="2502" xr:uid="{00000000-0005-0000-0000-000007120000}"/>
    <cellStyle name="Normal 4 2 2 3 2 2 2 6 2" xfId="6786" xr:uid="{00000000-0005-0000-0000-000008120000}"/>
    <cellStyle name="Normal 4 2 2 3 2 2 2 6 2 2" xfId="15225" xr:uid="{5BDD39ED-D74D-4379-8EE4-DC4132E7F2D6}"/>
    <cellStyle name="Normal 4 2 2 3 2 2 2 6 3" xfId="11007" xr:uid="{52466ABC-24A4-4E4C-AC3F-44C09834DA7A}"/>
    <cellStyle name="Normal 4 2 2 3 2 2 2 7" xfId="4721" xr:uid="{00000000-0005-0000-0000-000009120000}"/>
    <cellStyle name="Normal 4 2 2 3 2 2 2 7 2" xfId="13160" xr:uid="{38F9FB17-9D9A-413F-BE06-D23F59BC2477}"/>
    <cellStyle name="Normal 4 2 2 3 2 2 2 8" xfId="8942" xr:uid="{BE502EE4-72EF-4562-9AC7-4F184956227F}"/>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17" xr:uid="{8B683404-21D8-47C3-8593-805C565F5CD2}"/>
    <cellStyle name="Normal 4 2 2 3 2 2 3 2 3" xfId="11499" xr:uid="{A1AF4110-B446-421A-94B8-2A38B621FA38}"/>
    <cellStyle name="Normal 4 2 2 3 2 2 3 3" xfId="5133" xr:uid="{00000000-0005-0000-0000-00000D120000}"/>
    <cellStyle name="Normal 4 2 2 3 2 2 3 3 2" xfId="13572" xr:uid="{8B807FD9-6316-4ADA-BE7D-EA1742410EDA}"/>
    <cellStyle name="Normal 4 2 2 3 2 2 3 4" xfId="9354" xr:uid="{05660D0F-6860-45CE-8393-CF2818F5C3D5}"/>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30" xr:uid="{AC7CB9BB-01EF-4E4D-8317-650C3C4BDCEF}"/>
    <cellStyle name="Normal 4 2 2 3 2 2 4 2 3" xfId="11912" xr:uid="{F54CE35C-5C7A-49FF-B7BC-0578BD51372D}"/>
    <cellStyle name="Normal 4 2 2 3 2 2 4 3" xfId="5546" xr:uid="{00000000-0005-0000-0000-000011120000}"/>
    <cellStyle name="Normal 4 2 2 3 2 2 4 3 2" xfId="13985" xr:uid="{459DC34D-3BEC-40C2-8092-774BABF20C0A}"/>
    <cellStyle name="Normal 4 2 2 3 2 2 4 4" xfId="9767" xr:uid="{82A4500C-8803-42FA-BF91-8709D5CF67B5}"/>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3" xr:uid="{21E0EE65-EE71-491B-A9B9-41B83D4A3D1F}"/>
    <cellStyle name="Normal 4 2 2 3 2 2 5 2 3" xfId="12325" xr:uid="{EB0D8118-C514-4BB2-A09F-C154F7D0DEBB}"/>
    <cellStyle name="Normal 4 2 2 3 2 2 5 3" xfId="5959" xr:uid="{00000000-0005-0000-0000-000015120000}"/>
    <cellStyle name="Normal 4 2 2 3 2 2 5 3 2" xfId="14398" xr:uid="{A6EB5B24-C4DF-455F-A898-D28E6F23D4E8}"/>
    <cellStyle name="Normal 4 2 2 3 2 2 5 4" xfId="10180" xr:uid="{6456ED9C-7241-4521-85FE-8E0CB9366445}"/>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6" xr:uid="{E3AC1B90-12AB-434A-B823-2EBF3D67EB79}"/>
    <cellStyle name="Normal 4 2 2 3 2 2 6 2 3" xfId="12738" xr:uid="{5C1F13E1-7C0C-4F41-BDCF-FB3E7BE59E7A}"/>
    <cellStyle name="Normal 4 2 2 3 2 2 6 3" xfId="6372" xr:uid="{00000000-0005-0000-0000-000019120000}"/>
    <cellStyle name="Normal 4 2 2 3 2 2 6 3 2" xfId="14811" xr:uid="{7CEE8C51-5F04-492D-9ABB-784EFFD313A7}"/>
    <cellStyle name="Normal 4 2 2 3 2 2 6 4" xfId="10593" xr:uid="{7F5B53BB-C649-4D33-9E13-DED78139D59E}"/>
    <cellStyle name="Normal 4 2 2 3 2 2 7" xfId="2501" xr:uid="{00000000-0005-0000-0000-00001A120000}"/>
    <cellStyle name="Normal 4 2 2 3 2 2 7 2" xfId="6785" xr:uid="{00000000-0005-0000-0000-00001B120000}"/>
    <cellStyle name="Normal 4 2 2 3 2 2 7 2 2" xfId="15224" xr:uid="{E4D0CE3C-1D2D-4AC5-9A7D-6904E59A9598}"/>
    <cellStyle name="Normal 4 2 2 3 2 2 7 3" xfId="11006" xr:uid="{0E7BFCF3-B127-4DD0-B515-7261A00773FE}"/>
    <cellStyle name="Normal 4 2 2 3 2 2 8" xfId="4720" xr:uid="{00000000-0005-0000-0000-00001C120000}"/>
    <cellStyle name="Normal 4 2 2 3 2 2 8 2" xfId="13159" xr:uid="{840AAFFB-39AE-43CA-BF09-71F54226C7E1}"/>
    <cellStyle name="Normal 4 2 2 3 2 2 9" xfId="8941" xr:uid="{D83877A8-E6FA-4B68-990C-38D713BF8666}"/>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19" xr:uid="{DCE42330-431C-4640-B582-F107F6EF66A9}"/>
    <cellStyle name="Normal 4 2 2 3 2 3 2 2 3" xfId="11501" xr:uid="{6A2F225D-36DA-4CAC-A4C4-495FACBBDEA7}"/>
    <cellStyle name="Normal 4 2 2 3 2 3 2 3" xfId="5135" xr:uid="{00000000-0005-0000-0000-000021120000}"/>
    <cellStyle name="Normal 4 2 2 3 2 3 2 3 2" xfId="13574" xr:uid="{7F16DB92-3F13-4ADB-ACC0-0508AC490176}"/>
    <cellStyle name="Normal 4 2 2 3 2 3 2 4" xfId="9356" xr:uid="{6F463B5F-4D16-4C99-BA1F-A12628E5EF7E}"/>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32" xr:uid="{3DEE69D2-1B2F-41F4-AEF7-E6A01DF19E5F}"/>
    <cellStyle name="Normal 4 2 2 3 2 3 3 2 3" xfId="11914" xr:uid="{BD7B5274-B53B-43D5-9BA9-15D6B05BC406}"/>
    <cellStyle name="Normal 4 2 2 3 2 3 3 3" xfId="5548" xr:uid="{00000000-0005-0000-0000-000025120000}"/>
    <cellStyle name="Normal 4 2 2 3 2 3 3 3 2" xfId="13987" xr:uid="{E7EAFD5D-FB77-41C7-9215-D95DCAE93F86}"/>
    <cellStyle name="Normal 4 2 2 3 2 3 3 4" xfId="9769" xr:uid="{2DEEDDFE-8787-4BF1-9399-B33640FE7F76}"/>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5" xr:uid="{28065F71-6B71-46F4-8CE0-6BEC1C2DED6D}"/>
    <cellStyle name="Normal 4 2 2 3 2 3 4 2 3" xfId="12327" xr:uid="{08DE2F3D-C16F-4A99-9C86-5C159D4EEF16}"/>
    <cellStyle name="Normal 4 2 2 3 2 3 4 3" xfId="5961" xr:uid="{00000000-0005-0000-0000-000029120000}"/>
    <cellStyle name="Normal 4 2 2 3 2 3 4 3 2" xfId="14400" xr:uid="{56430A22-D7B7-43FC-B17E-5394275C1124}"/>
    <cellStyle name="Normal 4 2 2 3 2 3 4 4" xfId="10182" xr:uid="{C908EFE2-E79C-49D9-9DDD-F14EA61F9A4F}"/>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58" xr:uid="{0C5CA9BA-9EFB-4718-92A5-42E6B642F68C}"/>
    <cellStyle name="Normal 4 2 2 3 2 3 5 2 3" xfId="12740" xr:uid="{03E22C27-AF49-41A1-8325-A06DE7ED568C}"/>
    <cellStyle name="Normal 4 2 2 3 2 3 5 3" xfId="6374" xr:uid="{00000000-0005-0000-0000-00002D120000}"/>
    <cellStyle name="Normal 4 2 2 3 2 3 5 3 2" xfId="14813" xr:uid="{BF84BE21-0B1B-48F6-A9A1-F13D59A0FBBD}"/>
    <cellStyle name="Normal 4 2 2 3 2 3 5 4" xfId="10595" xr:uid="{A786DB05-A8CE-4B08-977D-760ADCF408EB}"/>
    <cellStyle name="Normal 4 2 2 3 2 3 6" xfId="2503" xr:uid="{00000000-0005-0000-0000-00002E120000}"/>
    <cellStyle name="Normal 4 2 2 3 2 3 6 2" xfId="6787" xr:uid="{00000000-0005-0000-0000-00002F120000}"/>
    <cellStyle name="Normal 4 2 2 3 2 3 6 2 2" xfId="15226" xr:uid="{439C5241-3048-4339-B917-058DA7925CEB}"/>
    <cellStyle name="Normal 4 2 2 3 2 3 6 3" xfId="11008" xr:uid="{ABEA5546-2D89-40FF-9006-F19FE5546A4B}"/>
    <cellStyle name="Normal 4 2 2 3 2 3 7" xfId="4722" xr:uid="{00000000-0005-0000-0000-000030120000}"/>
    <cellStyle name="Normal 4 2 2 3 2 3 7 2" xfId="13161" xr:uid="{2C2BEA41-99DC-499F-AA56-160CF7561273}"/>
    <cellStyle name="Normal 4 2 2 3 2 3 8" xfId="8943" xr:uid="{7A9C6078-78C7-4001-A1C9-DA18A9E9EE0D}"/>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6" xr:uid="{F50202C6-1379-4903-BF61-4B854B4DACF4}"/>
    <cellStyle name="Normal 4 2 2 3 2 4 2 3" xfId="11498" xr:uid="{235CB3CB-24F7-433F-AA5E-250FF2D982D9}"/>
    <cellStyle name="Normal 4 2 2 3 2 4 3" xfId="5132" xr:uid="{00000000-0005-0000-0000-000034120000}"/>
    <cellStyle name="Normal 4 2 2 3 2 4 3 2" xfId="13571" xr:uid="{5D5C7E10-F2DF-456C-92F6-54B4A0C58CBE}"/>
    <cellStyle name="Normal 4 2 2 3 2 4 4" xfId="9353" xr:uid="{774024E9-DBAE-4489-A92C-46CCF2AC3808}"/>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29" xr:uid="{8548C22B-49F5-4DED-9981-83A2E3B9B201}"/>
    <cellStyle name="Normal 4 2 2 3 2 5 2 3" xfId="11911" xr:uid="{53052687-29A3-4AE3-A39F-EC3685EDD41F}"/>
    <cellStyle name="Normal 4 2 2 3 2 5 3" xfId="5545" xr:uid="{00000000-0005-0000-0000-000038120000}"/>
    <cellStyle name="Normal 4 2 2 3 2 5 3 2" xfId="13984" xr:uid="{F0EB5A3F-73E1-4894-AF67-BBB5FC782BB2}"/>
    <cellStyle name="Normal 4 2 2 3 2 5 4" xfId="9766" xr:uid="{F67CAB1D-9415-4F1F-B677-4D3BB6DA7E4A}"/>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42" xr:uid="{D1BF3F91-7081-42CF-8890-8899CFDC857C}"/>
    <cellStyle name="Normal 4 2 2 3 2 6 2 3" xfId="12324" xr:uid="{82D9638D-1793-4FE4-AF44-F3D2345D706F}"/>
    <cellStyle name="Normal 4 2 2 3 2 6 3" xfId="5958" xr:uid="{00000000-0005-0000-0000-00003C120000}"/>
    <cellStyle name="Normal 4 2 2 3 2 6 3 2" xfId="14397" xr:uid="{C3CC08C5-68B6-4622-B5D7-AF8908B9A959}"/>
    <cellStyle name="Normal 4 2 2 3 2 6 4" xfId="10179" xr:uid="{848383A6-9271-49F9-8CD9-C0BCB5C5F701}"/>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5" xr:uid="{A619729A-4033-42AC-8AE8-C16357CF531B}"/>
    <cellStyle name="Normal 4 2 2 3 2 7 2 3" xfId="12737" xr:uid="{B7DFAF95-0C74-4613-8FC5-E1FCB3839364}"/>
    <cellStyle name="Normal 4 2 2 3 2 7 3" xfId="6371" xr:uid="{00000000-0005-0000-0000-000040120000}"/>
    <cellStyle name="Normal 4 2 2 3 2 7 3 2" xfId="14810" xr:uid="{7B2E5590-9668-4815-994E-A8C88ADED6E9}"/>
    <cellStyle name="Normal 4 2 2 3 2 7 4" xfId="10592" xr:uid="{30C8A7F6-5741-4AF6-B256-7DC6BC4C54DB}"/>
    <cellStyle name="Normal 4 2 2 3 2 8" xfId="2500" xr:uid="{00000000-0005-0000-0000-000041120000}"/>
    <cellStyle name="Normal 4 2 2 3 2 8 2" xfId="6784" xr:uid="{00000000-0005-0000-0000-000042120000}"/>
    <cellStyle name="Normal 4 2 2 3 2 8 2 2" xfId="15223" xr:uid="{FF96222F-F0A4-418B-9A0D-4A77823B7FC8}"/>
    <cellStyle name="Normal 4 2 2 3 2 8 3" xfId="11005" xr:uid="{CFB9CBE9-1A69-480C-82EA-B2779C038E36}"/>
    <cellStyle name="Normal 4 2 2 3 2 9" xfId="4719" xr:uid="{00000000-0005-0000-0000-000043120000}"/>
    <cellStyle name="Normal 4 2 2 3 2 9 2" xfId="13158" xr:uid="{55B01CDE-1D42-4F8F-9B01-0B0EE48FBBAB}"/>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21" xr:uid="{6DB6ED20-8200-4C32-96E5-59B67502F6A0}"/>
    <cellStyle name="Normal 4 2 2 3 3 2 2 2 3" xfId="11503" xr:uid="{6D2B5838-27AB-4B7C-A3DC-F633FE5400DD}"/>
    <cellStyle name="Normal 4 2 2 3 3 2 2 3" xfId="5137" xr:uid="{00000000-0005-0000-0000-000049120000}"/>
    <cellStyle name="Normal 4 2 2 3 3 2 2 3 2" xfId="13576" xr:uid="{3CD3B6CC-5D4B-4E71-8CF9-A16DF38D2610}"/>
    <cellStyle name="Normal 4 2 2 3 3 2 2 4" xfId="9358" xr:uid="{58FECA78-ED6D-4E30-AEA3-997FD2510E34}"/>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4" xr:uid="{F33F762C-2240-4836-A7F1-4E2BF8E51C31}"/>
    <cellStyle name="Normal 4 2 2 3 3 2 3 2 3" xfId="11916" xr:uid="{3BC3637A-AEAD-431D-A1B7-F7AABD96C705}"/>
    <cellStyle name="Normal 4 2 2 3 3 2 3 3" xfId="5550" xr:uid="{00000000-0005-0000-0000-00004D120000}"/>
    <cellStyle name="Normal 4 2 2 3 3 2 3 3 2" xfId="13989" xr:uid="{EECE7C74-4226-4B3C-9C68-5279148056E0}"/>
    <cellStyle name="Normal 4 2 2 3 3 2 3 4" xfId="9771" xr:uid="{0E902175-9BA1-4C9B-A824-E6F47DAACE75}"/>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47" xr:uid="{A33AFCC3-9D79-456D-9791-9089075661CA}"/>
    <cellStyle name="Normal 4 2 2 3 3 2 4 2 3" xfId="12329" xr:uid="{64E7DC22-4D21-47BF-B447-C1202CEC87E6}"/>
    <cellStyle name="Normal 4 2 2 3 3 2 4 3" xfId="5963" xr:uid="{00000000-0005-0000-0000-000051120000}"/>
    <cellStyle name="Normal 4 2 2 3 3 2 4 3 2" xfId="14402" xr:uid="{0861E431-2027-4057-AFBE-3EB5CF8928F8}"/>
    <cellStyle name="Normal 4 2 2 3 3 2 4 4" xfId="10184" xr:uid="{08F95CEC-CB85-4D34-9EEC-CE6993337A73}"/>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60" xr:uid="{2E0DE380-4622-4BD2-85D4-413079733588}"/>
    <cellStyle name="Normal 4 2 2 3 3 2 5 2 3" xfId="12742" xr:uid="{420ED6E6-9635-4AF1-8FBB-E4416A59AEF0}"/>
    <cellStyle name="Normal 4 2 2 3 3 2 5 3" xfId="6376" xr:uid="{00000000-0005-0000-0000-000055120000}"/>
    <cellStyle name="Normal 4 2 2 3 3 2 5 3 2" xfId="14815" xr:uid="{15236EA3-D45C-4E22-953E-D6CF1A28A742}"/>
    <cellStyle name="Normal 4 2 2 3 3 2 5 4" xfId="10597" xr:uid="{14F53EF8-763E-47D1-920A-F5E05D8A6A6D}"/>
    <cellStyle name="Normal 4 2 2 3 3 2 6" xfId="2505" xr:uid="{00000000-0005-0000-0000-000056120000}"/>
    <cellStyle name="Normal 4 2 2 3 3 2 6 2" xfId="6789" xr:uid="{00000000-0005-0000-0000-000057120000}"/>
    <cellStyle name="Normal 4 2 2 3 3 2 6 2 2" xfId="15228" xr:uid="{4A38AC0B-534A-40C1-804D-3AB470FB8A57}"/>
    <cellStyle name="Normal 4 2 2 3 3 2 6 3" xfId="11010" xr:uid="{A82439CA-9DB6-42D4-899D-046C21F2509C}"/>
    <cellStyle name="Normal 4 2 2 3 3 2 7" xfId="4724" xr:uid="{00000000-0005-0000-0000-000058120000}"/>
    <cellStyle name="Normal 4 2 2 3 3 2 7 2" xfId="13163" xr:uid="{1D1748B6-B1CE-4E96-9718-1B64BCE94748}"/>
    <cellStyle name="Normal 4 2 2 3 3 2 8" xfId="8945" xr:uid="{996A56BD-72AA-41A8-B087-84C2E681A1EF}"/>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20" xr:uid="{1CA4465D-FF24-40D5-BC8A-C921D61EBFE8}"/>
    <cellStyle name="Normal 4 2 2 3 3 3 2 3" xfId="11502" xr:uid="{EF5744FC-A52B-4DFE-BE76-6BC602AC5F29}"/>
    <cellStyle name="Normal 4 2 2 3 3 3 3" xfId="5136" xr:uid="{00000000-0005-0000-0000-00005C120000}"/>
    <cellStyle name="Normal 4 2 2 3 3 3 3 2" xfId="13575" xr:uid="{15A22ECF-F250-44BB-8BBD-E089A1739A26}"/>
    <cellStyle name="Normal 4 2 2 3 3 3 4" xfId="9357" xr:uid="{07E4308D-3E9C-4F7D-8CF2-C4D7764E1C8C}"/>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3" xr:uid="{59151871-9BBF-4923-A057-32CF9AE9A9E8}"/>
    <cellStyle name="Normal 4 2 2 3 3 4 2 3" xfId="11915" xr:uid="{A393F10F-88B0-4A89-9924-089D5EF4CFCB}"/>
    <cellStyle name="Normal 4 2 2 3 3 4 3" xfId="5549" xr:uid="{00000000-0005-0000-0000-000060120000}"/>
    <cellStyle name="Normal 4 2 2 3 3 4 3 2" xfId="13988" xr:uid="{62248C89-EA19-4F86-8761-61080630573D}"/>
    <cellStyle name="Normal 4 2 2 3 3 4 4" xfId="9770" xr:uid="{144517C9-0F14-4254-AA19-B360F577160A}"/>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6" xr:uid="{B1148770-F83B-479A-AAF6-11FA768B8C5A}"/>
    <cellStyle name="Normal 4 2 2 3 3 5 2 3" xfId="12328" xr:uid="{85552200-746D-4177-8362-C78A0BF48DFC}"/>
    <cellStyle name="Normal 4 2 2 3 3 5 3" xfId="5962" xr:uid="{00000000-0005-0000-0000-000064120000}"/>
    <cellStyle name="Normal 4 2 2 3 3 5 3 2" xfId="14401" xr:uid="{1BBFFD41-6FD9-4CB5-9E1B-437400B64049}"/>
    <cellStyle name="Normal 4 2 2 3 3 5 4" xfId="10183" xr:uid="{BEFD1214-0996-45C4-99E3-F2C6A5B68BD5}"/>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59" xr:uid="{A6EBC538-DD24-45C6-826C-81DC9B372DC9}"/>
    <cellStyle name="Normal 4 2 2 3 3 6 2 3" xfId="12741" xr:uid="{6735AA85-A641-4EE2-A3F9-620D574F5C03}"/>
    <cellStyle name="Normal 4 2 2 3 3 6 3" xfId="6375" xr:uid="{00000000-0005-0000-0000-000068120000}"/>
    <cellStyle name="Normal 4 2 2 3 3 6 3 2" xfId="14814" xr:uid="{99FFCCA3-50E7-411A-B2B0-75A4D8E06D88}"/>
    <cellStyle name="Normal 4 2 2 3 3 6 4" xfId="10596" xr:uid="{690F4DE9-CF9F-40D7-AE57-8CDCBD7DBA3A}"/>
    <cellStyle name="Normal 4 2 2 3 3 7" xfId="2504" xr:uid="{00000000-0005-0000-0000-000069120000}"/>
    <cellStyle name="Normal 4 2 2 3 3 7 2" xfId="6788" xr:uid="{00000000-0005-0000-0000-00006A120000}"/>
    <cellStyle name="Normal 4 2 2 3 3 7 2 2" xfId="15227" xr:uid="{1864E661-D78C-4139-95D2-BF47A0B8F48B}"/>
    <cellStyle name="Normal 4 2 2 3 3 7 3" xfId="11009" xr:uid="{197AB380-CDDD-492F-92FB-5FB609E530B9}"/>
    <cellStyle name="Normal 4 2 2 3 3 8" xfId="4723" xr:uid="{00000000-0005-0000-0000-00006B120000}"/>
    <cellStyle name="Normal 4 2 2 3 3 8 2" xfId="13162" xr:uid="{C71E8C2F-42D3-4A62-9116-5A030763868F}"/>
    <cellStyle name="Normal 4 2 2 3 3 9" xfId="8944" xr:uid="{28F34EC0-2372-40E3-9FEC-FAB71D60E2F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22" xr:uid="{30F31AE9-D58F-4FAD-A37E-B7ACCB8EC707}"/>
    <cellStyle name="Normal 4 2 2 3 4 2 2 3" xfId="11504" xr:uid="{AA569639-8C74-4ADD-81E7-C9D3FA8C0AF7}"/>
    <cellStyle name="Normal 4 2 2 3 4 2 3" xfId="5138" xr:uid="{00000000-0005-0000-0000-000070120000}"/>
    <cellStyle name="Normal 4 2 2 3 4 2 3 2" xfId="13577" xr:uid="{53F4B937-CA05-44FC-B7D2-DC6FE3545F21}"/>
    <cellStyle name="Normal 4 2 2 3 4 2 4" xfId="9359" xr:uid="{40343823-29E6-40B1-87D1-69AE63E0B143}"/>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5" xr:uid="{64F9B64F-256A-4369-A6BD-FDC81A64F7A3}"/>
    <cellStyle name="Normal 4 2 2 3 4 3 2 3" xfId="11917" xr:uid="{1ACE84B6-9DF4-4B15-8E8D-185468A8DCD1}"/>
    <cellStyle name="Normal 4 2 2 3 4 3 3" xfId="5551" xr:uid="{00000000-0005-0000-0000-000074120000}"/>
    <cellStyle name="Normal 4 2 2 3 4 3 3 2" xfId="13990" xr:uid="{436897AB-A990-4028-B600-C604D77DE510}"/>
    <cellStyle name="Normal 4 2 2 3 4 3 4" xfId="9772" xr:uid="{8435570D-F474-4CB6-9BB8-E9147201E1A9}"/>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48" xr:uid="{F33EE306-A911-4955-8B0B-92B8BBA6C37C}"/>
    <cellStyle name="Normal 4 2 2 3 4 4 2 3" xfId="12330" xr:uid="{0F336BD5-06B0-4ECD-964A-F320F41019A5}"/>
    <cellStyle name="Normal 4 2 2 3 4 4 3" xfId="5964" xr:uid="{00000000-0005-0000-0000-000078120000}"/>
    <cellStyle name="Normal 4 2 2 3 4 4 3 2" xfId="14403" xr:uid="{FBEE58FF-5F97-45D4-BEC3-5511FF0B145F}"/>
    <cellStyle name="Normal 4 2 2 3 4 4 4" xfId="10185" xr:uid="{09C93937-42B8-4F41-A6FE-07350A747865}"/>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61" xr:uid="{05B5261E-4C11-4D7D-B951-255242097C1A}"/>
    <cellStyle name="Normal 4 2 2 3 4 5 2 3" xfId="12743" xr:uid="{010C1795-A10E-445F-AFBA-7D694CC45624}"/>
    <cellStyle name="Normal 4 2 2 3 4 5 3" xfId="6377" xr:uid="{00000000-0005-0000-0000-00007C120000}"/>
    <cellStyle name="Normal 4 2 2 3 4 5 3 2" xfId="14816" xr:uid="{EBE834C8-E465-46FE-90E4-4A8BFA90D7E1}"/>
    <cellStyle name="Normal 4 2 2 3 4 5 4" xfId="10598" xr:uid="{D5F0AD44-0CB9-41D7-B6D6-5FBF951CCD97}"/>
    <cellStyle name="Normal 4 2 2 3 4 6" xfId="2506" xr:uid="{00000000-0005-0000-0000-00007D120000}"/>
    <cellStyle name="Normal 4 2 2 3 4 6 2" xfId="6790" xr:uid="{00000000-0005-0000-0000-00007E120000}"/>
    <cellStyle name="Normal 4 2 2 3 4 6 2 2" xfId="15229" xr:uid="{7AD36503-B815-4448-81A8-43533E676786}"/>
    <cellStyle name="Normal 4 2 2 3 4 6 3" xfId="11011" xr:uid="{F2E78E3F-44C8-456C-8FEE-B80F8B83204A}"/>
    <cellStyle name="Normal 4 2 2 3 4 7" xfId="4725" xr:uid="{00000000-0005-0000-0000-00007F120000}"/>
    <cellStyle name="Normal 4 2 2 3 4 7 2" xfId="13164" xr:uid="{8EE41872-F7A8-422C-B29F-D2F60674D1BB}"/>
    <cellStyle name="Normal 4 2 2 3 4 8" xfId="8946" xr:uid="{2BF19443-0151-4FA7-9A74-B4337C7FB8F9}"/>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5" xr:uid="{49FF0D7F-3715-4320-AE3A-A175DDCD9872}"/>
    <cellStyle name="Normal 4 2 2 3 5 2 3" xfId="11497" xr:uid="{13E7B1C2-9333-46AC-A011-353D8BB5AD3F}"/>
    <cellStyle name="Normal 4 2 2 3 5 3" xfId="5131" xr:uid="{00000000-0005-0000-0000-000083120000}"/>
    <cellStyle name="Normal 4 2 2 3 5 3 2" xfId="13570" xr:uid="{425A6BFF-7D0D-4DC0-BBC3-43DCF476486B}"/>
    <cellStyle name="Normal 4 2 2 3 5 4" xfId="9352" xr:uid="{B79D3399-C0A7-4179-AC59-C7933337C6E7}"/>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28" xr:uid="{1AE0856B-80F3-4638-B0B6-C2D677A983EB}"/>
    <cellStyle name="Normal 4 2 2 3 6 2 3" xfId="11910" xr:uid="{1B0DFC75-C82C-40EF-99DD-5DA12B3DF606}"/>
    <cellStyle name="Normal 4 2 2 3 6 3" xfId="5544" xr:uid="{00000000-0005-0000-0000-000087120000}"/>
    <cellStyle name="Normal 4 2 2 3 6 3 2" xfId="13983" xr:uid="{9F2FFE6D-1AE5-4D1A-9C16-72DC163A7019}"/>
    <cellStyle name="Normal 4 2 2 3 6 4" xfId="9765" xr:uid="{6E98458F-0558-420E-9F69-B365FE342444}"/>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41" xr:uid="{0B1C0724-4315-4903-A672-936C437C6714}"/>
    <cellStyle name="Normal 4 2 2 3 7 2 3" xfId="12323" xr:uid="{AB0B08D3-63FF-4C28-B0C2-6CCA41860827}"/>
    <cellStyle name="Normal 4 2 2 3 7 3" xfId="5957" xr:uid="{00000000-0005-0000-0000-00008B120000}"/>
    <cellStyle name="Normal 4 2 2 3 7 3 2" xfId="14396" xr:uid="{E97D3A2D-2939-46A4-A8CE-076A3450F6A0}"/>
    <cellStyle name="Normal 4 2 2 3 7 4" xfId="10178" xr:uid="{FE555BF3-A557-4F4F-BCE5-4DD52AAA36CD}"/>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4" xr:uid="{E7D6CF3C-38D8-42CD-B37B-763731357AE2}"/>
    <cellStyle name="Normal 4 2 2 3 8 2 3" xfId="12736" xr:uid="{771A4714-D3A5-4BF2-9865-7760481E7844}"/>
    <cellStyle name="Normal 4 2 2 3 8 3" xfId="6370" xr:uid="{00000000-0005-0000-0000-00008F120000}"/>
    <cellStyle name="Normal 4 2 2 3 8 3 2" xfId="14809" xr:uid="{AFDA1C8E-D539-490E-82C4-E2A494BBB1FA}"/>
    <cellStyle name="Normal 4 2 2 3 8 4" xfId="10591" xr:uid="{FECB44C1-7758-4776-93C8-E7881E289576}"/>
    <cellStyle name="Normal 4 2 2 3 9" xfId="2499" xr:uid="{00000000-0005-0000-0000-000090120000}"/>
    <cellStyle name="Normal 4 2 2 3 9 2" xfId="6783" xr:uid="{00000000-0005-0000-0000-000091120000}"/>
    <cellStyle name="Normal 4 2 2 3 9 2 2" xfId="15222" xr:uid="{ABDF92C7-1C64-4D5F-82FE-47A7B7F05423}"/>
    <cellStyle name="Normal 4 2 2 3 9 3" xfId="11004" xr:uid="{06C017EF-1181-4658-9901-3FC842C54097}"/>
    <cellStyle name="Normal 4 2 2 4" xfId="347" xr:uid="{00000000-0005-0000-0000-000092120000}"/>
    <cellStyle name="Normal 4 2 2 4 10" xfId="8947" xr:uid="{64C2D7D9-7D53-41C7-AB31-A300D52DB719}"/>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5" xr:uid="{5680C613-9399-4713-A3D7-00782E8FFC3C}"/>
    <cellStyle name="Normal 4 2 2 4 2 2 2 2 3" xfId="11507" xr:uid="{62BE43C9-411F-4A21-B4AF-76FF0DC0393C}"/>
    <cellStyle name="Normal 4 2 2 4 2 2 2 3" xfId="5141" xr:uid="{00000000-0005-0000-0000-000098120000}"/>
    <cellStyle name="Normal 4 2 2 4 2 2 2 3 2" xfId="13580" xr:uid="{26DFF805-C348-4FAD-B851-FC2E17B08BB9}"/>
    <cellStyle name="Normal 4 2 2 4 2 2 2 4" xfId="9362" xr:uid="{CF1DB685-CDED-47B2-80A8-3D304377E355}"/>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38" xr:uid="{59DFB4E6-55C8-4970-B0F0-1C50CD17CB75}"/>
    <cellStyle name="Normal 4 2 2 4 2 2 3 2 3" xfId="11920" xr:uid="{C2AB399A-A5C1-4893-9632-A5854E889382}"/>
    <cellStyle name="Normal 4 2 2 4 2 2 3 3" xfId="5554" xr:uid="{00000000-0005-0000-0000-00009C120000}"/>
    <cellStyle name="Normal 4 2 2 4 2 2 3 3 2" xfId="13993" xr:uid="{F32FDD1B-2966-4091-BEDC-ECA6B52E82B7}"/>
    <cellStyle name="Normal 4 2 2 4 2 2 3 4" xfId="9775" xr:uid="{AB48C8D9-10A2-4310-8C23-1623DF0CD1C8}"/>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51" xr:uid="{E7494B99-D0DD-4F24-9D11-9D0E14665783}"/>
    <cellStyle name="Normal 4 2 2 4 2 2 4 2 3" xfId="12333" xr:uid="{47417895-38A4-4606-AC83-217473F6758C}"/>
    <cellStyle name="Normal 4 2 2 4 2 2 4 3" xfId="5967" xr:uid="{00000000-0005-0000-0000-0000A0120000}"/>
    <cellStyle name="Normal 4 2 2 4 2 2 4 3 2" xfId="14406" xr:uid="{41D3EF0E-4E71-4A74-92ED-92F3A202DCC7}"/>
    <cellStyle name="Normal 4 2 2 4 2 2 4 4" xfId="10188" xr:uid="{40C8E7B5-6B49-4121-9A06-99F25EEC0366}"/>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4" xr:uid="{267C8572-3442-48E9-B846-C0257BBCB401}"/>
    <cellStyle name="Normal 4 2 2 4 2 2 5 2 3" xfId="12746" xr:uid="{67C06481-C635-4F54-98F3-F20BEE1DDFC3}"/>
    <cellStyle name="Normal 4 2 2 4 2 2 5 3" xfId="6380" xr:uid="{00000000-0005-0000-0000-0000A4120000}"/>
    <cellStyle name="Normal 4 2 2 4 2 2 5 3 2" xfId="14819" xr:uid="{169B089D-1439-4CF3-8042-5101EF5D8739}"/>
    <cellStyle name="Normal 4 2 2 4 2 2 5 4" xfId="10601" xr:uid="{2ED38635-1A2B-4950-A2AD-40FCED60877C}"/>
    <cellStyle name="Normal 4 2 2 4 2 2 6" xfId="2509" xr:uid="{00000000-0005-0000-0000-0000A5120000}"/>
    <cellStyle name="Normal 4 2 2 4 2 2 6 2" xfId="6793" xr:uid="{00000000-0005-0000-0000-0000A6120000}"/>
    <cellStyle name="Normal 4 2 2 4 2 2 6 2 2" xfId="15232" xr:uid="{2D5B7ED6-E404-4AE4-AE06-3299DCB44120}"/>
    <cellStyle name="Normal 4 2 2 4 2 2 6 3" xfId="11014" xr:uid="{689C24CD-A2F2-416F-93B3-0870D9EBC2DD}"/>
    <cellStyle name="Normal 4 2 2 4 2 2 7" xfId="4728" xr:uid="{00000000-0005-0000-0000-0000A7120000}"/>
    <cellStyle name="Normal 4 2 2 4 2 2 7 2" xfId="13167" xr:uid="{EA5C7EA5-18A7-4AA9-B3B8-E434220A4891}"/>
    <cellStyle name="Normal 4 2 2 4 2 2 8" xfId="8949" xr:uid="{EF89369A-BFCE-4C31-9C40-054270534A33}"/>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4" xr:uid="{33C1D124-7D54-4037-A0AE-445B3F88CC8A}"/>
    <cellStyle name="Normal 4 2 2 4 2 3 2 3" xfId="11506" xr:uid="{B04B5E5B-A588-4C3F-940D-C9B7621DE2B6}"/>
    <cellStyle name="Normal 4 2 2 4 2 3 3" xfId="5140" xr:uid="{00000000-0005-0000-0000-0000AB120000}"/>
    <cellStyle name="Normal 4 2 2 4 2 3 3 2" xfId="13579" xr:uid="{EC1A0264-0923-4C6D-9B39-F83EB82B9746}"/>
    <cellStyle name="Normal 4 2 2 4 2 3 4" xfId="9361" xr:uid="{72C293E5-0DBC-48B0-8B40-B198F6881043}"/>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37" xr:uid="{17FB418C-FE40-4654-AB18-28634DA0A612}"/>
    <cellStyle name="Normal 4 2 2 4 2 4 2 3" xfId="11919" xr:uid="{AA0BDA31-3E74-48FC-9122-474AE5E2969E}"/>
    <cellStyle name="Normal 4 2 2 4 2 4 3" xfId="5553" xr:uid="{00000000-0005-0000-0000-0000AF120000}"/>
    <cellStyle name="Normal 4 2 2 4 2 4 3 2" xfId="13992" xr:uid="{3BEDEA3D-1A6C-4C58-A712-FF70334785DE}"/>
    <cellStyle name="Normal 4 2 2 4 2 4 4" xfId="9774" xr:uid="{12808D31-0A65-4B60-9F97-485C68A7EFB2}"/>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50" xr:uid="{27E1B284-AC70-4928-88D3-8CEC1C3A5053}"/>
    <cellStyle name="Normal 4 2 2 4 2 5 2 3" xfId="12332" xr:uid="{24885A3F-6D03-4B9E-925C-11E556D4D4CF}"/>
    <cellStyle name="Normal 4 2 2 4 2 5 3" xfId="5966" xr:uid="{00000000-0005-0000-0000-0000B3120000}"/>
    <cellStyle name="Normal 4 2 2 4 2 5 3 2" xfId="14405" xr:uid="{1FC91375-724D-4A21-8CAC-1076539B0F24}"/>
    <cellStyle name="Normal 4 2 2 4 2 5 4" xfId="10187" xr:uid="{398FAD86-ADA4-41D2-8DF2-FA1F22073E2B}"/>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3" xr:uid="{751181DF-BBCF-48A5-BC7B-FC1A949F4794}"/>
    <cellStyle name="Normal 4 2 2 4 2 6 2 3" xfId="12745" xr:uid="{6F5DBEFF-C39F-4348-9ED7-482FC922DF23}"/>
    <cellStyle name="Normal 4 2 2 4 2 6 3" xfId="6379" xr:uid="{00000000-0005-0000-0000-0000B7120000}"/>
    <cellStyle name="Normal 4 2 2 4 2 6 3 2" xfId="14818" xr:uid="{1441919A-3515-4A19-AAEB-3E467D10D1F0}"/>
    <cellStyle name="Normal 4 2 2 4 2 6 4" xfId="10600" xr:uid="{55601CC8-051C-4AAE-BA2B-0B83E428C8AC}"/>
    <cellStyle name="Normal 4 2 2 4 2 7" xfId="2508" xr:uid="{00000000-0005-0000-0000-0000B8120000}"/>
    <cellStyle name="Normal 4 2 2 4 2 7 2" xfId="6792" xr:uid="{00000000-0005-0000-0000-0000B9120000}"/>
    <cellStyle name="Normal 4 2 2 4 2 7 2 2" xfId="15231" xr:uid="{7D226C41-9405-4E46-B2E5-47AF0745FF2C}"/>
    <cellStyle name="Normal 4 2 2 4 2 7 3" xfId="11013" xr:uid="{D5797320-5B3D-4035-BFA4-3ED690B3A63F}"/>
    <cellStyle name="Normal 4 2 2 4 2 8" xfId="4727" xr:uid="{00000000-0005-0000-0000-0000BA120000}"/>
    <cellStyle name="Normal 4 2 2 4 2 8 2" xfId="13166" xr:uid="{A7D7B8A2-CC17-4A4C-BFC5-74DD2000B28E}"/>
    <cellStyle name="Normal 4 2 2 4 2 9" xfId="8948" xr:uid="{26BE248F-4812-4991-BA8F-6B67D2D97BAA}"/>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6" xr:uid="{040E53E1-5B4E-4E83-9556-9FF3E115ECA1}"/>
    <cellStyle name="Normal 4 2 2 4 3 2 2 3" xfId="11508" xr:uid="{9B82EB98-8592-4919-9579-756A344FB1E3}"/>
    <cellStyle name="Normal 4 2 2 4 3 2 3" xfId="5142" xr:uid="{00000000-0005-0000-0000-0000BF120000}"/>
    <cellStyle name="Normal 4 2 2 4 3 2 3 2" xfId="13581" xr:uid="{0B2EFFEB-ED01-4E85-BF36-0190E06F1C3A}"/>
    <cellStyle name="Normal 4 2 2 4 3 2 4" xfId="9363" xr:uid="{912774D3-8866-4B4A-8CE0-8DBCBDB2FE82}"/>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39" xr:uid="{6F3B2456-764C-4687-8AC8-FEE11D53B7DD}"/>
    <cellStyle name="Normal 4 2 2 4 3 3 2 3" xfId="11921" xr:uid="{62BBE244-5C4F-4B4E-A232-1A7B36ABF59E}"/>
    <cellStyle name="Normal 4 2 2 4 3 3 3" xfId="5555" xr:uid="{00000000-0005-0000-0000-0000C3120000}"/>
    <cellStyle name="Normal 4 2 2 4 3 3 3 2" xfId="13994" xr:uid="{3978378C-1943-46BE-B361-6AA13D8E51E4}"/>
    <cellStyle name="Normal 4 2 2 4 3 3 4" xfId="9776" xr:uid="{4362CDB9-880A-43E0-9435-61C85307FB38}"/>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52" xr:uid="{C2B9AA3F-CBC8-4AB0-9554-2EDF396BECAE}"/>
    <cellStyle name="Normal 4 2 2 4 3 4 2 3" xfId="12334" xr:uid="{F789D2D5-F810-440C-A888-8B072E53BCBC}"/>
    <cellStyle name="Normal 4 2 2 4 3 4 3" xfId="5968" xr:uid="{00000000-0005-0000-0000-0000C7120000}"/>
    <cellStyle name="Normal 4 2 2 4 3 4 3 2" xfId="14407" xr:uid="{15EFF5E0-A42E-4E5E-AF59-CF3365420B1C}"/>
    <cellStyle name="Normal 4 2 2 4 3 4 4" xfId="10189" xr:uid="{CEF9A85A-A099-4347-8DA6-D2189949570D}"/>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5" xr:uid="{38460FC1-8CFD-4232-8297-31150293B2EC}"/>
    <cellStyle name="Normal 4 2 2 4 3 5 2 3" xfId="12747" xr:uid="{E60D6EEA-1D1B-413E-BFE8-5FF99BD316D5}"/>
    <cellStyle name="Normal 4 2 2 4 3 5 3" xfId="6381" xr:uid="{00000000-0005-0000-0000-0000CB120000}"/>
    <cellStyle name="Normal 4 2 2 4 3 5 3 2" xfId="14820" xr:uid="{248B1DB3-C9C7-41BA-8E0A-9AD56C9D8A41}"/>
    <cellStyle name="Normal 4 2 2 4 3 5 4" xfId="10602" xr:uid="{CE418CAD-893F-4C83-967B-1F6B2DE09ACE}"/>
    <cellStyle name="Normal 4 2 2 4 3 6" xfId="2510" xr:uid="{00000000-0005-0000-0000-0000CC120000}"/>
    <cellStyle name="Normal 4 2 2 4 3 6 2" xfId="6794" xr:uid="{00000000-0005-0000-0000-0000CD120000}"/>
    <cellStyle name="Normal 4 2 2 4 3 6 2 2" xfId="15233" xr:uid="{AC0C8AC6-4A14-47E9-83C9-8FD1614F3FD9}"/>
    <cellStyle name="Normal 4 2 2 4 3 6 3" xfId="11015" xr:uid="{B7D17A44-9139-42DC-86DC-B7003355BD99}"/>
    <cellStyle name="Normal 4 2 2 4 3 7" xfId="4729" xr:uid="{00000000-0005-0000-0000-0000CE120000}"/>
    <cellStyle name="Normal 4 2 2 4 3 7 2" xfId="13168" xr:uid="{91A0BABB-4EDF-4399-BF74-F4A171556BE5}"/>
    <cellStyle name="Normal 4 2 2 4 3 8" xfId="8950" xr:uid="{C994C745-A832-42C4-9956-7C39AA1F588B}"/>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3" xr:uid="{BE8A3B1D-BA83-44E1-8DB6-019700358D11}"/>
    <cellStyle name="Normal 4 2 2 4 4 2 3" xfId="11505" xr:uid="{F03C4922-63F8-4416-8298-6F71F0A686FE}"/>
    <cellStyle name="Normal 4 2 2 4 4 3" xfId="5139" xr:uid="{00000000-0005-0000-0000-0000D2120000}"/>
    <cellStyle name="Normal 4 2 2 4 4 3 2" xfId="13578" xr:uid="{954FED09-8633-4C5B-BE21-34A6E9C8B06C}"/>
    <cellStyle name="Normal 4 2 2 4 4 4" xfId="9360" xr:uid="{0D94B9B4-42D8-434E-9D57-C97520233975}"/>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6" xr:uid="{53CBBC07-C787-4CB9-9CA8-78E6887FD782}"/>
    <cellStyle name="Normal 4 2 2 4 5 2 3" xfId="11918" xr:uid="{B2AC36D9-B19E-4C8C-88C4-8E34E31AF798}"/>
    <cellStyle name="Normal 4 2 2 4 5 3" xfId="5552" xr:uid="{00000000-0005-0000-0000-0000D6120000}"/>
    <cellStyle name="Normal 4 2 2 4 5 3 2" xfId="13991" xr:uid="{F9682443-D196-4727-9D87-01AB698CECE6}"/>
    <cellStyle name="Normal 4 2 2 4 5 4" xfId="9773" xr:uid="{3A716AFF-215A-42F4-A2F1-895B0E036A8E}"/>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49" xr:uid="{AF3A5213-BBC0-4790-B172-14AA8A162345}"/>
    <cellStyle name="Normal 4 2 2 4 6 2 3" xfId="12331" xr:uid="{906EDD71-9E49-4098-B031-01A407FB1E04}"/>
    <cellStyle name="Normal 4 2 2 4 6 3" xfId="5965" xr:uid="{00000000-0005-0000-0000-0000DA120000}"/>
    <cellStyle name="Normal 4 2 2 4 6 3 2" xfId="14404" xr:uid="{C3DB2670-9F71-44EA-8D7F-B83EC30DA99F}"/>
    <cellStyle name="Normal 4 2 2 4 6 4" xfId="10186" xr:uid="{3DCD56F1-27DB-4D10-9435-933BB35D23D3}"/>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62" xr:uid="{F3818EA6-1838-46A2-81E4-1CC25FB56D54}"/>
    <cellStyle name="Normal 4 2 2 4 7 2 3" xfId="12744" xr:uid="{9662360F-C818-4A47-8952-84BEF8B6FB88}"/>
    <cellStyle name="Normal 4 2 2 4 7 3" xfId="6378" xr:uid="{00000000-0005-0000-0000-0000DE120000}"/>
    <cellStyle name="Normal 4 2 2 4 7 3 2" xfId="14817" xr:uid="{AE91AE6C-8EA4-4626-9DB9-0AF7A8F6733E}"/>
    <cellStyle name="Normal 4 2 2 4 7 4" xfId="10599" xr:uid="{F5C01670-2E87-447A-95C4-649ABB257F8F}"/>
    <cellStyle name="Normal 4 2 2 4 8" xfId="2507" xr:uid="{00000000-0005-0000-0000-0000DF120000}"/>
    <cellStyle name="Normal 4 2 2 4 8 2" xfId="6791" xr:uid="{00000000-0005-0000-0000-0000E0120000}"/>
    <cellStyle name="Normal 4 2 2 4 8 2 2" xfId="15230" xr:uid="{567B5321-EC15-47DF-B15C-F4CE820381CA}"/>
    <cellStyle name="Normal 4 2 2 4 8 3" xfId="11012" xr:uid="{60613998-B13C-4383-9E01-50C9CB88B166}"/>
    <cellStyle name="Normal 4 2 2 4 9" xfId="4726" xr:uid="{00000000-0005-0000-0000-0000E1120000}"/>
    <cellStyle name="Normal 4 2 2 4 9 2" xfId="13165" xr:uid="{92300488-B62E-400E-98B1-98472C57F32F}"/>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28" xr:uid="{A045710C-877E-44ED-BA3A-BC03A691E4B4}"/>
    <cellStyle name="Normal 4 2 2 5 2 2 2 3" xfId="11510" xr:uid="{CFD058F2-B84F-466B-B5B5-23E8E008B757}"/>
    <cellStyle name="Normal 4 2 2 5 2 2 3" xfId="5144" xr:uid="{00000000-0005-0000-0000-0000E7120000}"/>
    <cellStyle name="Normal 4 2 2 5 2 2 3 2" xfId="13583" xr:uid="{9E8D4582-EF19-4C30-9110-ED615A6DA228}"/>
    <cellStyle name="Normal 4 2 2 5 2 2 4" xfId="9365" xr:uid="{28BC748F-D409-4E59-9C2F-74563B02FC7C}"/>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41" xr:uid="{4E141495-A286-4723-9B34-88A1F1EF1358}"/>
    <cellStyle name="Normal 4 2 2 5 2 3 2 3" xfId="11923" xr:uid="{C9CA8CF3-353A-44A9-8D23-288675851915}"/>
    <cellStyle name="Normal 4 2 2 5 2 3 3" xfId="5557" xr:uid="{00000000-0005-0000-0000-0000EB120000}"/>
    <cellStyle name="Normal 4 2 2 5 2 3 3 2" xfId="13996" xr:uid="{C9E1FD49-FAB1-4908-AA8C-1D0FE630D5E4}"/>
    <cellStyle name="Normal 4 2 2 5 2 3 4" xfId="9778" xr:uid="{75BCCD3A-69D0-4FBB-B3E1-F47FD583D943}"/>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4" xr:uid="{94685E38-CD33-4C02-A26F-99CC75C74AC6}"/>
    <cellStyle name="Normal 4 2 2 5 2 4 2 3" xfId="12336" xr:uid="{65F73573-7806-470D-851A-E9E98FAD0996}"/>
    <cellStyle name="Normal 4 2 2 5 2 4 3" xfId="5970" xr:uid="{00000000-0005-0000-0000-0000EF120000}"/>
    <cellStyle name="Normal 4 2 2 5 2 4 3 2" xfId="14409" xr:uid="{34718A80-1021-42C9-9669-C02B610FE9B2}"/>
    <cellStyle name="Normal 4 2 2 5 2 4 4" xfId="10191" xr:uid="{FD7318A5-E567-4CF8-A7AE-D1D24810E4A6}"/>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67" xr:uid="{AB3D6A8D-3D78-416D-9916-93C21949C6DB}"/>
    <cellStyle name="Normal 4 2 2 5 2 5 2 3" xfId="12749" xr:uid="{19B626C8-ADD5-4F22-93E5-F7013BABF7D2}"/>
    <cellStyle name="Normal 4 2 2 5 2 5 3" xfId="6383" xr:uid="{00000000-0005-0000-0000-0000F3120000}"/>
    <cellStyle name="Normal 4 2 2 5 2 5 3 2" xfId="14822" xr:uid="{83CBA80E-1C60-459F-BF41-8CCC651013ED}"/>
    <cellStyle name="Normal 4 2 2 5 2 5 4" xfId="10604" xr:uid="{C50515EA-6505-4FC4-8089-7EAA08F5427A}"/>
    <cellStyle name="Normal 4 2 2 5 2 6" xfId="2512" xr:uid="{00000000-0005-0000-0000-0000F4120000}"/>
    <cellStyle name="Normal 4 2 2 5 2 6 2" xfId="6796" xr:uid="{00000000-0005-0000-0000-0000F5120000}"/>
    <cellStyle name="Normal 4 2 2 5 2 6 2 2" xfId="15235" xr:uid="{E477C6B8-A33C-415E-9B81-AF51137770DF}"/>
    <cellStyle name="Normal 4 2 2 5 2 6 3" xfId="11017" xr:uid="{4200EAA3-4BFA-47D0-B0E0-0D3B25262B88}"/>
    <cellStyle name="Normal 4 2 2 5 2 7" xfId="4731" xr:uid="{00000000-0005-0000-0000-0000F6120000}"/>
    <cellStyle name="Normal 4 2 2 5 2 7 2" xfId="13170" xr:uid="{3AC2526F-F18D-4D95-B2A2-91147DFF7D86}"/>
    <cellStyle name="Normal 4 2 2 5 2 8" xfId="8952" xr:uid="{88059A33-11BE-49DE-B8F8-27B59CA06242}"/>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27" xr:uid="{3E9D9942-4468-4888-8EFC-5C75AFE0195C}"/>
    <cellStyle name="Normal 4 2 2 5 3 2 3" xfId="11509" xr:uid="{7168EC5F-E4B4-4F82-87CF-8D35651F4A64}"/>
    <cellStyle name="Normal 4 2 2 5 3 3" xfId="5143" xr:uid="{00000000-0005-0000-0000-0000FA120000}"/>
    <cellStyle name="Normal 4 2 2 5 3 3 2" xfId="13582" xr:uid="{D0AB8B57-38B9-42F8-A8DF-88749F5B7193}"/>
    <cellStyle name="Normal 4 2 2 5 3 4" xfId="9364" xr:uid="{514124A5-7AC0-41AB-B5F9-97F63C0812C2}"/>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40" xr:uid="{BE4A1C41-4748-4037-B64E-43E455EF5F20}"/>
    <cellStyle name="Normal 4 2 2 5 4 2 3" xfId="11922" xr:uid="{F91DE87D-3CED-4729-ACD4-3A4533FDD483}"/>
    <cellStyle name="Normal 4 2 2 5 4 3" xfId="5556" xr:uid="{00000000-0005-0000-0000-0000FE120000}"/>
    <cellStyle name="Normal 4 2 2 5 4 3 2" xfId="13995" xr:uid="{FC6904D9-341F-42F1-9759-306DC07E3B49}"/>
    <cellStyle name="Normal 4 2 2 5 4 4" xfId="9777" xr:uid="{D5234C62-67FE-4C91-BC55-3B15A8ED1C3C}"/>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3" xr:uid="{5B104234-313F-4E2F-B3ED-4FFF598B6BA1}"/>
    <cellStyle name="Normal 4 2 2 5 5 2 3" xfId="12335" xr:uid="{5FFA5360-389A-4872-BE39-A53CC8B6B73C}"/>
    <cellStyle name="Normal 4 2 2 5 5 3" xfId="5969" xr:uid="{00000000-0005-0000-0000-000002130000}"/>
    <cellStyle name="Normal 4 2 2 5 5 3 2" xfId="14408" xr:uid="{09ACBD26-8D8C-4AEC-8A24-8BA1D6904A3B}"/>
    <cellStyle name="Normal 4 2 2 5 5 4" xfId="10190" xr:uid="{128298B1-A341-457A-B348-3BD82348AB0E}"/>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6" xr:uid="{DD35E0ED-FEA1-4F1D-BA22-2E828495E32A}"/>
    <cellStyle name="Normal 4 2 2 5 6 2 3" xfId="12748" xr:uid="{F953B53E-EFCF-4FE5-A1D1-3C73F0D64ED6}"/>
    <cellStyle name="Normal 4 2 2 5 6 3" xfId="6382" xr:uid="{00000000-0005-0000-0000-000006130000}"/>
    <cellStyle name="Normal 4 2 2 5 6 3 2" xfId="14821" xr:uid="{87130C9F-511A-4A39-8916-7445EDA4491C}"/>
    <cellStyle name="Normal 4 2 2 5 6 4" xfId="10603" xr:uid="{176ABDF7-6A04-4D43-AEA6-F3528A7EB1CB}"/>
    <cellStyle name="Normal 4 2 2 5 7" xfId="2511" xr:uid="{00000000-0005-0000-0000-000007130000}"/>
    <cellStyle name="Normal 4 2 2 5 7 2" xfId="6795" xr:uid="{00000000-0005-0000-0000-000008130000}"/>
    <cellStyle name="Normal 4 2 2 5 7 2 2" xfId="15234" xr:uid="{006574DB-B4F8-4D0C-98E0-328607F2F7E2}"/>
    <cellStyle name="Normal 4 2 2 5 7 3" xfId="11016" xr:uid="{E58F3002-52DD-492F-B523-B18C26A069A7}"/>
    <cellStyle name="Normal 4 2 2 5 8" xfId="4730" xr:uid="{00000000-0005-0000-0000-000009130000}"/>
    <cellStyle name="Normal 4 2 2 5 8 2" xfId="13169" xr:uid="{771FDC02-896D-4B65-A09C-363F74186BA0}"/>
    <cellStyle name="Normal 4 2 2 5 9" xfId="8951" xr:uid="{2B7B1E14-A51D-4B32-AEE6-98EE201E1AA2}"/>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29" xr:uid="{A158DE3A-B5F1-4CB2-A405-6717B77B969B}"/>
    <cellStyle name="Normal 4 2 2 6 2 2 3" xfId="11511" xr:uid="{C6EBE298-DEAF-4B2B-94AB-9B016A1741AC}"/>
    <cellStyle name="Normal 4 2 2 6 2 3" xfId="5145" xr:uid="{00000000-0005-0000-0000-00000E130000}"/>
    <cellStyle name="Normal 4 2 2 6 2 3 2" xfId="13584" xr:uid="{68450A0B-2538-4F1A-B85B-E1EA07735F06}"/>
    <cellStyle name="Normal 4 2 2 6 2 4" xfId="9366" xr:uid="{44D8C74D-825B-4E49-9D8E-977BCE3AEDBE}"/>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42" xr:uid="{488BE428-3149-443F-98A9-BE7C3031083A}"/>
    <cellStyle name="Normal 4 2 2 6 3 2 3" xfId="11924" xr:uid="{19F41555-C3B7-48BF-82B6-458C023FEEC5}"/>
    <cellStyle name="Normal 4 2 2 6 3 3" xfId="5558" xr:uid="{00000000-0005-0000-0000-000012130000}"/>
    <cellStyle name="Normal 4 2 2 6 3 3 2" xfId="13997" xr:uid="{D8FF5DF6-BB05-4985-B7A7-42B4A92A341D}"/>
    <cellStyle name="Normal 4 2 2 6 3 4" xfId="9779" xr:uid="{6BD6ECB3-B6AA-45E6-8652-E1148901591D}"/>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5" xr:uid="{96D3A5BA-A427-47E5-B902-4651481EE78B}"/>
    <cellStyle name="Normal 4 2 2 6 4 2 3" xfId="12337" xr:uid="{9C76B4E7-BB1E-4AD1-99E9-43F1E280D081}"/>
    <cellStyle name="Normal 4 2 2 6 4 3" xfId="5971" xr:uid="{00000000-0005-0000-0000-000016130000}"/>
    <cellStyle name="Normal 4 2 2 6 4 3 2" xfId="14410" xr:uid="{136D8D48-C905-4D8D-AB15-7D83FFFE2FE6}"/>
    <cellStyle name="Normal 4 2 2 6 4 4" xfId="10192" xr:uid="{CF614C16-CCC8-44CC-8B2A-A80DB5013A1B}"/>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68" xr:uid="{0485318D-ACE5-444D-9A1C-1E2278ACD75A}"/>
    <cellStyle name="Normal 4 2 2 6 5 2 3" xfId="12750" xr:uid="{F8F8BAAE-D39E-47F5-9EC6-69B8E2A2B29B}"/>
    <cellStyle name="Normal 4 2 2 6 5 3" xfId="6384" xr:uid="{00000000-0005-0000-0000-00001A130000}"/>
    <cellStyle name="Normal 4 2 2 6 5 3 2" xfId="14823" xr:uid="{C17F3643-A30B-4020-8DCB-DCDDADE8DC35}"/>
    <cellStyle name="Normal 4 2 2 6 5 4" xfId="10605" xr:uid="{C1D60A59-D984-40AE-8D18-BD9B836A036F}"/>
    <cellStyle name="Normal 4 2 2 6 6" xfId="2513" xr:uid="{00000000-0005-0000-0000-00001B130000}"/>
    <cellStyle name="Normal 4 2 2 6 6 2" xfId="6797" xr:uid="{00000000-0005-0000-0000-00001C130000}"/>
    <cellStyle name="Normal 4 2 2 6 6 2 2" xfId="15236" xr:uid="{2399A10E-2017-4EF0-8BBB-8A535505AB5F}"/>
    <cellStyle name="Normal 4 2 2 6 6 3" xfId="11018" xr:uid="{7B2E5014-67BC-487B-BD0E-E3E29FCBE22D}"/>
    <cellStyle name="Normal 4 2 2 6 7" xfId="4732" xr:uid="{00000000-0005-0000-0000-00001D130000}"/>
    <cellStyle name="Normal 4 2 2 6 7 2" xfId="13171" xr:uid="{E9213258-D235-425F-B472-4D01642D6E3F}"/>
    <cellStyle name="Normal 4 2 2 6 8" xfId="8953" xr:uid="{4E869E47-5F1D-4985-9B76-BC6F7C629FD8}"/>
    <cellStyle name="Normal 4 2 2 7" xfId="815" xr:uid="{00000000-0005-0000-0000-00001E130000}"/>
    <cellStyle name="Normal 4 2 2 7 2" xfId="3052" xr:uid="{00000000-0005-0000-0000-00001F130000}"/>
    <cellStyle name="Normal 4 2 2 7 2 2" xfId="7275" xr:uid="{00000000-0005-0000-0000-000020130000}"/>
    <cellStyle name="Normal 4 2 2 7 2 2 2" xfId="15714" xr:uid="{862F91C1-6AB4-489E-B26D-523086B72546}"/>
    <cellStyle name="Normal 4 2 2 7 2 3" xfId="11496" xr:uid="{24A58586-800E-40E5-B347-505B1FEA8C96}"/>
    <cellStyle name="Normal 4 2 2 7 3" xfId="5130" xr:uid="{00000000-0005-0000-0000-000021130000}"/>
    <cellStyle name="Normal 4 2 2 7 3 2" xfId="13569" xr:uid="{CB4EFFE2-1B9C-488D-A84B-85613AEECE0A}"/>
    <cellStyle name="Normal 4 2 2 7 4" xfId="9351" xr:uid="{3A231DA1-6DFC-4CA8-B893-A7189AFD66F5}"/>
    <cellStyle name="Normal 4 2 2 8" xfId="1235" xr:uid="{00000000-0005-0000-0000-000022130000}"/>
    <cellStyle name="Normal 4 2 2 8 2" xfId="3465" xr:uid="{00000000-0005-0000-0000-000023130000}"/>
    <cellStyle name="Normal 4 2 2 8 2 2" xfId="7688" xr:uid="{00000000-0005-0000-0000-000024130000}"/>
    <cellStyle name="Normal 4 2 2 8 2 2 2" xfId="16127" xr:uid="{4342F345-0B74-470B-A414-829E8F6AAA78}"/>
    <cellStyle name="Normal 4 2 2 8 2 3" xfId="11909" xr:uid="{F76C0CF0-A8BF-4A4B-87FE-6AA3A379A918}"/>
    <cellStyle name="Normal 4 2 2 8 3" xfId="5543" xr:uid="{00000000-0005-0000-0000-000025130000}"/>
    <cellStyle name="Normal 4 2 2 8 3 2" xfId="13982" xr:uid="{81BAA135-6496-45C5-A711-0BFDBDC60267}"/>
    <cellStyle name="Normal 4 2 2 8 4" xfId="9764" xr:uid="{FDFFF36A-F7BF-4DFA-A83A-3ABF3C3BEFCF}"/>
    <cellStyle name="Normal 4 2 2 9" xfId="1648" xr:uid="{00000000-0005-0000-0000-000026130000}"/>
    <cellStyle name="Normal 4 2 2 9 2" xfId="3878" xr:uid="{00000000-0005-0000-0000-000027130000}"/>
    <cellStyle name="Normal 4 2 2 9 2 2" xfId="8101" xr:uid="{00000000-0005-0000-0000-000028130000}"/>
    <cellStyle name="Normal 4 2 2 9 2 2 2" xfId="16540" xr:uid="{8AD237DE-7DEB-4787-ACB0-1FBCE06B9080}"/>
    <cellStyle name="Normal 4 2 2 9 2 3" xfId="12322" xr:uid="{803A1350-A5D1-462A-B177-B44D40E621FD}"/>
    <cellStyle name="Normal 4 2 2 9 3" xfId="5956" xr:uid="{00000000-0005-0000-0000-000029130000}"/>
    <cellStyle name="Normal 4 2 2 9 3 2" xfId="14395" xr:uid="{3212898D-DAAD-49C0-B9E5-06C64AB74D05}"/>
    <cellStyle name="Normal 4 2 2 9 4" xfId="10177" xr:uid="{60751A61-0171-41EE-9386-80808639C8D8}"/>
    <cellStyle name="Normal 4 2 3" xfId="354" xr:uid="{00000000-0005-0000-0000-00002A130000}"/>
    <cellStyle name="Normal 4 2 4" xfId="355" xr:uid="{00000000-0005-0000-0000-00002B130000}"/>
    <cellStyle name="Normal 4 2 4 10" xfId="4733" xr:uid="{00000000-0005-0000-0000-00002C130000}"/>
    <cellStyle name="Normal 4 2 4 10 2" xfId="13172" xr:uid="{5309BA42-2640-4629-8AA6-DBEA570CAB36}"/>
    <cellStyle name="Normal 4 2 4 11" xfId="8954" xr:uid="{DBF182CA-CD2C-4EFC-AF3F-41E88A3E40E6}"/>
    <cellStyle name="Normal 4 2 4 2" xfId="356" xr:uid="{00000000-0005-0000-0000-00002D130000}"/>
    <cellStyle name="Normal 4 2 4 2 10" xfId="8955" xr:uid="{22BE642D-FCEB-48B1-990C-10F9C21D266F}"/>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3" xr:uid="{DB3B0A8F-E2EB-430A-ABE6-E7A7365E128E}"/>
    <cellStyle name="Normal 4 2 4 2 2 2 2 2 3" xfId="11515" xr:uid="{6E110675-4F34-4A3A-BB29-D6A44AB95A42}"/>
    <cellStyle name="Normal 4 2 4 2 2 2 2 3" xfId="5149" xr:uid="{00000000-0005-0000-0000-000033130000}"/>
    <cellStyle name="Normal 4 2 4 2 2 2 2 3 2" xfId="13588" xr:uid="{EE9CC133-84E3-443F-8A7E-85B7F0659732}"/>
    <cellStyle name="Normal 4 2 4 2 2 2 2 4" xfId="9370" xr:uid="{E6CF72EC-392C-4525-801E-A1CF06C0460C}"/>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6" xr:uid="{E7BAA3E0-29D0-4CBB-8A90-C6495B33953D}"/>
    <cellStyle name="Normal 4 2 4 2 2 2 3 2 3" xfId="11928" xr:uid="{E70200D5-4BD7-4EAA-A888-1C0FE263604E}"/>
    <cellStyle name="Normal 4 2 4 2 2 2 3 3" xfId="5562" xr:uid="{00000000-0005-0000-0000-000037130000}"/>
    <cellStyle name="Normal 4 2 4 2 2 2 3 3 2" xfId="14001" xr:uid="{E581B658-4178-4281-97AE-9A432BF4FC7D}"/>
    <cellStyle name="Normal 4 2 4 2 2 2 3 4" xfId="9783" xr:uid="{3E117F4E-EA71-4A58-AADB-194190B4348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59" xr:uid="{F9F9E9B7-4009-498A-AEA1-D4F065D008F9}"/>
    <cellStyle name="Normal 4 2 4 2 2 2 4 2 3" xfId="12341" xr:uid="{83582FBB-9F74-4961-90BC-EA2A8C75091A}"/>
    <cellStyle name="Normal 4 2 4 2 2 2 4 3" xfId="5975" xr:uid="{00000000-0005-0000-0000-00003B130000}"/>
    <cellStyle name="Normal 4 2 4 2 2 2 4 3 2" xfId="14414" xr:uid="{A49A3049-1AAD-4D4E-8379-75370AF23748}"/>
    <cellStyle name="Normal 4 2 4 2 2 2 4 4" xfId="10196" xr:uid="{C212363F-1307-43E4-8D35-EF6A9D6803F2}"/>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72" xr:uid="{8D1A02B4-A0CB-4F28-A881-A2DEB55F57DA}"/>
    <cellStyle name="Normal 4 2 4 2 2 2 5 2 3" xfId="12754" xr:uid="{2C4DD9CA-95A1-47E1-8089-A379DDF45499}"/>
    <cellStyle name="Normal 4 2 4 2 2 2 5 3" xfId="6388" xr:uid="{00000000-0005-0000-0000-00003F130000}"/>
    <cellStyle name="Normal 4 2 4 2 2 2 5 3 2" xfId="14827" xr:uid="{B19E6816-FA9D-489B-BEE9-16A72C784BC2}"/>
    <cellStyle name="Normal 4 2 4 2 2 2 5 4" xfId="10609" xr:uid="{5FDF6D55-CE6D-485F-AEA0-A81CC0212FC3}"/>
    <cellStyle name="Normal 4 2 4 2 2 2 6" xfId="2517" xr:uid="{00000000-0005-0000-0000-000040130000}"/>
    <cellStyle name="Normal 4 2 4 2 2 2 6 2" xfId="6801" xr:uid="{00000000-0005-0000-0000-000041130000}"/>
    <cellStyle name="Normal 4 2 4 2 2 2 6 2 2" xfId="15240" xr:uid="{CBF3D608-40BF-4251-A018-D6A8F3FDA7FC}"/>
    <cellStyle name="Normal 4 2 4 2 2 2 6 3" xfId="11022" xr:uid="{C8466FC8-518F-41D1-9ADD-A5C691730DCC}"/>
    <cellStyle name="Normal 4 2 4 2 2 2 7" xfId="4736" xr:uid="{00000000-0005-0000-0000-000042130000}"/>
    <cellStyle name="Normal 4 2 4 2 2 2 7 2" xfId="13175" xr:uid="{BA482CCB-140A-4390-9E15-40F6CCC3C7BC}"/>
    <cellStyle name="Normal 4 2 4 2 2 2 8" xfId="8957" xr:uid="{8E805B35-ACA0-4149-BE80-1B24FFC73FAB}"/>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32" xr:uid="{CB027A78-0155-45FB-BBCE-1EDC282FBF3A}"/>
    <cellStyle name="Normal 4 2 4 2 2 3 2 3" xfId="11514" xr:uid="{EC779F97-B7E6-44B1-B44C-B4AD3EBCAE42}"/>
    <cellStyle name="Normal 4 2 4 2 2 3 3" xfId="5148" xr:uid="{00000000-0005-0000-0000-000046130000}"/>
    <cellStyle name="Normal 4 2 4 2 2 3 3 2" xfId="13587" xr:uid="{F1A28035-2B95-424D-A370-B420A024C671}"/>
    <cellStyle name="Normal 4 2 4 2 2 3 4" xfId="9369" xr:uid="{A5FA4AD4-C2AF-4F39-9815-D07A95E2415F}"/>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5" xr:uid="{1B8A19D0-6A40-4821-B6BD-DACC2696D2AA}"/>
    <cellStyle name="Normal 4 2 4 2 2 4 2 3" xfId="11927" xr:uid="{3B7DAB72-13B3-4C3D-A69D-DF1360F83AA4}"/>
    <cellStyle name="Normal 4 2 4 2 2 4 3" xfId="5561" xr:uid="{00000000-0005-0000-0000-00004A130000}"/>
    <cellStyle name="Normal 4 2 4 2 2 4 3 2" xfId="14000" xr:uid="{BD1BCD77-D12F-4DC5-8705-5AA5D480BE88}"/>
    <cellStyle name="Normal 4 2 4 2 2 4 4" xfId="9782" xr:uid="{09F97095-CB2B-49C7-AB69-DC859EFEB3A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58" xr:uid="{6E38F4F6-B45C-4DC5-9127-98D46B175D30}"/>
    <cellStyle name="Normal 4 2 4 2 2 5 2 3" xfId="12340" xr:uid="{7FF0221D-3D59-4EF1-97F1-9A787C1F1AEF}"/>
    <cellStyle name="Normal 4 2 4 2 2 5 3" xfId="5974" xr:uid="{00000000-0005-0000-0000-00004E130000}"/>
    <cellStyle name="Normal 4 2 4 2 2 5 3 2" xfId="14413" xr:uid="{229C9587-54E3-4591-B17D-D18F7A5B53DD}"/>
    <cellStyle name="Normal 4 2 4 2 2 5 4" xfId="10195" xr:uid="{F236AD26-81D6-4A6A-B57E-F7DED1FACAED}"/>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71" xr:uid="{87FB5734-A1F2-443F-8A11-4B9DE1BB7489}"/>
    <cellStyle name="Normal 4 2 4 2 2 6 2 3" xfId="12753" xr:uid="{1EEA7770-49FF-40A5-8B98-EDA8561CD8EF}"/>
    <cellStyle name="Normal 4 2 4 2 2 6 3" xfId="6387" xr:uid="{00000000-0005-0000-0000-000052130000}"/>
    <cellStyle name="Normal 4 2 4 2 2 6 3 2" xfId="14826" xr:uid="{5D565B08-BFAE-401C-89BD-6DC428036575}"/>
    <cellStyle name="Normal 4 2 4 2 2 6 4" xfId="10608" xr:uid="{B7314A02-4C3C-410E-999E-6A2C45C35B47}"/>
    <cellStyle name="Normal 4 2 4 2 2 7" xfId="2516" xr:uid="{00000000-0005-0000-0000-000053130000}"/>
    <cellStyle name="Normal 4 2 4 2 2 7 2" xfId="6800" xr:uid="{00000000-0005-0000-0000-000054130000}"/>
    <cellStyle name="Normal 4 2 4 2 2 7 2 2" xfId="15239" xr:uid="{49EE53FF-025D-47DE-9879-6FEC1EFE299B}"/>
    <cellStyle name="Normal 4 2 4 2 2 7 3" xfId="11021" xr:uid="{76D211BB-6675-4EA5-A849-EA39FD6675A7}"/>
    <cellStyle name="Normal 4 2 4 2 2 8" xfId="4735" xr:uid="{00000000-0005-0000-0000-000055130000}"/>
    <cellStyle name="Normal 4 2 4 2 2 8 2" xfId="13174" xr:uid="{F29CE30E-CFC1-4EC3-B1C2-467AD7FF1C07}"/>
    <cellStyle name="Normal 4 2 4 2 2 9" xfId="8956" xr:uid="{EAC5AC6A-07E9-4D0F-BADB-E3AD9BEA9F93}"/>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4" xr:uid="{68E76D45-7F6D-4E38-AA29-7B238E8A8C00}"/>
    <cellStyle name="Normal 4 2 4 2 3 2 2 3" xfId="11516" xr:uid="{9D694900-449C-4111-B092-4F2E5AE61C08}"/>
    <cellStyle name="Normal 4 2 4 2 3 2 3" xfId="5150" xr:uid="{00000000-0005-0000-0000-00005A130000}"/>
    <cellStyle name="Normal 4 2 4 2 3 2 3 2" xfId="13589" xr:uid="{9868DE3D-E1D9-4448-B200-F0DC1A2A057D}"/>
    <cellStyle name="Normal 4 2 4 2 3 2 4" xfId="9371" xr:uid="{134E7EB4-1552-4790-B548-1B3D5138404F}"/>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47" xr:uid="{A8AB2480-C1F5-4282-A5D8-35ADFE64F16F}"/>
    <cellStyle name="Normal 4 2 4 2 3 3 2 3" xfId="11929" xr:uid="{320C204D-1A40-4C90-912F-95B9D30A5986}"/>
    <cellStyle name="Normal 4 2 4 2 3 3 3" xfId="5563" xr:uid="{00000000-0005-0000-0000-00005E130000}"/>
    <cellStyle name="Normal 4 2 4 2 3 3 3 2" xfId="14002" xr:uid="{281EE7EC-CC03-4815-8D0E-86D9BC8C64F2}"/>
    <cellStyle name="Normal 4 2 4 2 3 3 4" xfId="9784" xr:uid="{61A79917-E304-42C4-8A02-D5559A047B05}"/>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60" xr:uid="{C0E7918C-57C2-4A86-BACB-3212C2CC19C0}"/>
    <cellStyle name="Normal 4 2 4 2 3 4 2 3" xfId="12342" xr:uid="{5DC62BA2-B3B4-46DD-8528-8AB512643173}"/>
    <cellStyle name="Normal 4 2 4 2 3 4 3" xfId="5976" xr:uid="{00000000-0005-0000-0000-000062130000}"/>
    <cellStyle name="Normal 4 2 4 2 3 4 3 2" xfId="14415" xr:uid="{0C14FD28-483C-4285-9939-C96AFD208B03}"/>
    <cellStyle name="Normal 4 2 4 2 3 4 4" xfId="10197" xr:uid="{96DFF045-932B-4800-912F-1C5321A1E6D5}"/>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3" xr:uid="{EE5374F2-AEBE-4954-9072-4878525B971A}"/>
    <cellStyle name="Normal 4 2 4 2 3 5 2 3" xfId="12755" xr:uid="{BAC89BBE-BDCB-4BF3-80B8-015BFD959D04}"/>
    <cellStyle name="Normal 4 2 4 2 3 5 3" xfId="6389" xr:uid="{00000000-0005-0000-0000-000066130000}"/>
    <cellStyle name="Normal 4 2 4 2 3 5 3 2" xfId="14828" xr:uid="{8FC59207-391D-4559-92A7-8B35AF5768F1}"/>
    <cellStyle name="Normal 4 2 4 2 3 5 4" xfId="10610" xr:uid="{0E15774A-5E28-4E81-9B5F-CBBAECBD775C}"/>
    <cellStyle name="Normal 4 2 4 2 3 6" xfId="2518" xr:uid="{00000000-0005-0000-0000-000067130000}"/>
    <cellStyle name="Normal 4 2 4 2 3 6 2" xfId="6802" xr:uid="{00000000-0005-0000-0000-000068130000}"/>
    <cellStyle name="Normal 4 2 4 2 3 6 2 2" xfId="15241" xr:uid="{A272C21D-F008-4FAF-9543-34B0FE2B893C}"/>
    <cellStyle name="Normal 4 2 4 2 3 6 3" xfId="11023" xr:uid="{D2FC71AA-F06A-4095-AF8E-4C3E687FD621}"/>
    <cellStyle name="Normal 4 2 4 2 3 7" xfId="4737" xr:uid="{00000000-0005-0000-0000-000069130000}"/>
    <cellStyle name="Normal 4 2 4 2 3 7 2" xfId="13176" xr:uid="{160BF6B4-61A3-4B98-94EB-479ED7A16151}"/>
    <cellStyle name="Normal 4 2 4 2 3 8" xfId="8958" xr:uid="{F4675EFF-02FE-4945-96D4-B2F74F02D466}"/>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31" xr:uid="{B3B3B23D-CECF-420C-A1E8-7D7B30CA79A7}"/>
    <cellStyle name="Normal 4 2 4 2 4 2 3" xfId="11513" xr:uid="{BAB02200-C4FA-4ED7-962E-76691BAC1FD7}"/>
    <cellStyle name="Normal 4 2 4 2 4 3" xfId="5147" xr:uid="{00000000-0005-0000-0000-00006D130000}"/>
    <cellStyle name="Normal 4 2 4 2 4 3 2" xfId="13586" xr:uid="{34FB7A53-4EE4-427E-A0C9-A3E2A2A45556}"/>
    <cellStyle name="Normal 4 2 4 2 4 4" xfId="9368" xr:uid="{BAFCC943-8D89-4FD1-8145-C2CD5F4C17C6}"/>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4" xr:uid="{79C020D4-D2EB-43D1-8D47-18E907F3B56D}"/>
    <cellStyle name="Normal 4 2 4 2 5 2 3" xfId="11926" xr:uid="{FFD617EF-4AB6-4838-B880-B852AA923AC9}"/>
    <cellStyle name="Normal 4 2 4 2 5 3" xfId="5560" xr:uid="{00000000-0005-0000-0000-000071130000}"/>
    <cellStyle name="Normal 4 2 4 2 5 3 2" xfId="13999" xr:uid="{86CFA144-C635-4186-A8C3-21A769203577}"/>
    <cellStyle name="Normal 4 2 4 2 5 4" xfId="9781" xr:uid="{CF483814-FC8D-46CE-9974-2304576A49DB}"/>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57" xr:uid="{417DD850-6E5D-4781-BC74-3AB9F9B5B105}"/>
    <cellStyle name="Normal 4 2 4 2 6 2 3" xfId="12339" xr:uid="{DE779381-31D0-4ECF-9F20-100B905DEAAC}"/>
    <cellStyle name="Normal 4 2 4 2 6 3" xfId="5973" xr:uid="{00000000-0005-0000-0000-000075130000}"/>
    <cellStyle name="Normal 4 2 4 2 6 3 2" xfId="14412" xr:uid="{D709C640-C8A1-4592-B12C-3BCA9F89288B}"/>
    <cellStyle name="Normal 4 2 4 2 6 4" xfId="10194" xr:uid="{D0804D5D-983A-4A47-BD77-BBA3006B739F}"/>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70" xr:uid="{F7C6EFDE-B3D4-4319-8928-999298F69343}"/>
    <cellStyle name="Normal 4 2 4 2 7 2 3" xfId="12752" xr:uid="{A616483B-F7D9-4D1D-999C-31B57FB812EB}"/>
    <cellStyle name="Normal 4 2 4 2 7 3" xfId="6386" xr:uid="{00000000-0005-0000-0000-000079130000}"/>
    <cellStyle name="Normal 4 2 4 2 7 3 2" xfId="14825" xr:uid="{7E44D6B4-239A-4FB7-8407-3B02D397C04B}"/>
    <cellStyle name="Normal 4 2 4 2 7 4" xfId="10607" xr:uid="{4542EEEF-C489-4865-8CCA-A5A0F4392F5F}"/>
    <cellStyle name="Normal 4 2 4 2 8" xfId="2515" xr:uid="{00000000-0005-0000-0000-00007A130000}"/>
    <cellStyle name="Normal 4 2 4 2 8 2" xfId="6799" xr:uid="{00000000-0005-0000-0000-00007B130000}"/>
    <cellStyle name="Normal 4 2 4 2 8 2 2" xfId="15238" xr:uid="{C19F68E3-7762-4332-8C24-EB1B435C5A49}"/>
    <cellStyle name="Normal 4 2 4 2 8 3" xfId="11020" xr:uid="{6A18D977-3ADD-4A14-B398-BF48451B9830}"/>
    <cellStyle name="Normal 4 2 4 2 9" xfId="4734" xr:uid="{00000000-0005-0000-0000-00007C130000}"/>
    <cellStyle name="Normal 4 2 4 2 9 2" xfId="13173" xr:uid="{27E4CEA0-514D-4486-8B36-546B8DE82E96}"/>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6" xr:uid="{1052A31F-1CA2-42B9-B89A-0D44D8103725}"/>
    <cellStyle name="Normal 4 2 4 3 2 2 2 3" xfId="11518" xr:uid="{3B9E2C58-63CC-4510-BBA0-BBEC7D0CCFF1}"/>
    <cellStyle name="Normal 4 2 4 3 2 2 3" xfId="5152" xr:uid="{00000000-0005-0000-0000-000082130000}"/>
    <cellStyle name="Normal 4 2 4 3 2 2 3 2" xfId="13591" xr:uid="{63010620-52E9-4DEC-ACE8-B33A3491A8B9}"/>
    <cellStyle name="Normal 4 2 4 3 2 2 4" xfId="9373" xr:uid="{B76ABF6D-3655-4791-9945-51E4218F86F6}"/>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49" xr:uid="{32FF77FE-5895-4666-93EA-A9CACE8B2E7A}"/>
    <cellStyle name="Normal 4 2 4 3 2 3 2 3" xfId="11931" xr:uid="{203C4355-8F3F-44F5-AD94-94FAF0A60E17}"/>
    <cellStyle name="Normal 4 2 4 3 2 3 3" xfId="5565" xr:uid="{00000000-0005-0000-0000-000086130000}"/>
    <cellStyle name="Normal 4 2 4 3 2 3 3 2" xfId="14004" xr:uid="{C62390C0-8FBF-4F35-BA8D-220FA6E94C2A}"/>
    <cellStyle name="Normal 4 2 4 3 2 3 4" xfId="9786" xr:uid="{B531E561-B936-4834-902D-A9F20DDA6E03}"/>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62" xr:uid="{44816BC1-E40E-49C1-8FEF-81C22B1222DF}"/>
    <cellStyle name="Normal 4 2 4 3 2 4 2 3" xfId="12344" xr:uid="{0B65C2C1-D477-4FEC-A2D9-436FCBD710AB}"/>
    <cellStyle name="Normal 4 2 4 3 2 4 3" xfId="5978" xr:uid="{00000000-0005-0000-0000-00008A130000}"/>
    <cellStyle name="Normal 4 2 4 3 2 4 3 2" xfId="14417" xr:uid="{0FAB856A-4B8F-4EB3-BDA1-77830989A732}"/>
    <cellStyle name="Normal 4 2 4 3 2 4 4" xfId="10199" xr:uid="{A1B33AB5-2EAC-4A34-90E0-50FF29A4283D}"/>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5" xr:uid="{9E636852-B1BE-4F5F-BE6D-7D1D80C6A04C}"/>
    <cellStyle name="Normal 4 2 4 3 2 5 2 3" xfId="12757" xr:uid="{E09229AE-B9B6-46AE-8E63-E9210819DEC9}"/>
    <cellStyle name="Normal 4 2 4 3 2 5 3" xfId="6391" xr:uid="{00000000-0005-0000-0000-00008E130000}"/>
    <cellStyle name="Normal 4 2 4 3 2 5 3 2" xfId="14830" xr:uid="{78CF1A7D-20E8-4A36-82EE-7D8EB2B6D008}"/>
    <cellStyle name="Normal 4 2 4 3 2 5 4" xfId="10612" xr:uid="{E43E1679-90F0-42E2-AE3A-7ACF978413C1}"/>
    <cellStyle name="Normal 4 2 4 3 2 6" xfId="2520" xr:uid="{00000000-0005-0000-0000-00008F130000}"/>
    <cellStyle name="Normal 4 2 4 3 2 6 2" xfId="6804" xr:uid="{00000000-0005-0000-0000-000090130000}"/>
    <cellStyle name="Normal 4 2 4 3 2 6 2 2" xfId="15243" xr:uid="{73FB010A-A42D-469A-B744-0ACE5969C2C7}"/>
    <cellStyle name="Normal 4 2 4 3 2 6 3" xfId="11025" xr:uid="{B2F0007A-09E3-4484-AC8C-A4FDA2BBD93A}"/>
    <cellStyle name="Normal 4 2 4 3 2 7" xfId="4739" xr:uid="{00000000-0005-0000-0000-000091130000}"/>
    <cellStyle name="Normal 4 2 4 3 2 7 2" xfId="13178" xr:uid="{41A9A77B-C8C8-47AC-AB02-BC45067521B5}"/>
    <cellStyle name="Normal 4 2 4 3 2 8" xfId="8960" xr:uid="{A1E65F85-C09F-4BD9-958A-594AB6BB0CE0}"/>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5" xr:uid="{A3C048FA-6060-4453-BD6A-535C2BD62797}"/>
    <cellStyle name="Normal 4 2 4 3 3 2 3" xfId="11517" xr:uid="{96D01986-ED97-48B5-BE05-6A274C5CF288}"/>
    <cellStyle name="Normal 4 2 4 3 3 3" xfId="5151" xr:uid="{00000000-0005-0000-0000-000095130000}"/>
    <cellStyle name="Normal 4 2 4 3 3 3 2" xfId="13590" xr:uid="{788BAD93-71B1-4DB0-94D0-715953E59E71}"/>
    <cellStyle name="Normal 4 2 4 3 3 4" xfId="9372" xr:uid="{801AFB06-565D-4321-9C2C-C0F651CC8BF3}"/>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48" xr:uid="{94092744-7DA8-466A-84B2-5BC624143D6E}"/>
    <cellStyle name="Normal 4 2 4 3 4 2 3" xfId="11930" xr:uid="{9CFE6AB8-177F-4D74-A00C-E27D211E64FF}"/>
    <cellStyle name="Normal 4 2 4 3 4 3" xfId="5564" xr:uid="{00000000-0005-0000-0000-000099130000}"/>
    <cellStyle name="Normal 4 2 4 3 4 3 2" xfId="14003" xr:uid="{CB745B8F-B43F-47AC-AAD3-92EBFD183E47}"/>
    <cellStyle name="Normal 4 2 4 3 4 4" xfId="9785" xr:uid="{9F689E86-9181-45BD-BEF3-850586FE9030}"/>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61" xr:uid="{3ABF3AD6-B08C-498A-8DB2-741A04233B00}"/>
    <cellStyle name="Normal 4 2 4 3 5 2 3" xfId="12343" xr:uid="{FCEA1C7A-5E34-4D63-9F1E-A8EB1E0321CA}"/>
    <cellStyle name="Normal 4 2 4 3 5 3" xfId="5977" xr:uid="{00000000-0005-0000-0000-00009D130000}"/>
    <cellStyle name="Normal 4 2 4 3 5 3 2" xfId="14416" xr:uid="{D56CBD75-8707-44E8-A6DF-D32455F35BEC}"/>
    <cellStyle name="Normal 4 2 4 3 5 4" xfId="10198" xr:uid="{2AF366A8-C08A-42A3-AB35-1F8C6CD420DB}"/>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4" xr:uid="{507103CC-A454-42FE-A04C-23102EB7723D}"/>
    <cellStyle name="Normal 4 2 4 3 6 2 3" xfId="12756" xr:uid="{EBA86202-5907-41BA-AA81-0F902057F3B7}"/>
    <cellStyle name="Normal 4 2 4 3 6 3" xfId="6390" xr:uid="{00000000-0005-0000-0000-0000A1130000}"/>
    <cellStyle name="Normal 4 2 4 3 6 3 2" xfId="14829" xr:uid="{13C62F96-DDAC-4F79-A4B3-807EDB5588AA}"/>
    <cellStyle name="Normal 4 2 4 3 6 4" xfId="10611" xr:uid="{70ADAA1E-E085-41A3-ACCA-350CEE5906C3}"/>
    <cellStyle name="Normal 4 2 4 3 7" xfId="2519" xr:uid="{00000000-0005-0000-0000-0000A2130000}"/>
    <cellStyle name="Normal 4 2 4 3 7 2" xfId="6803" xr:uid="{00000000-0005-0000-0000-0000A3130000}"/>
    <cellStyle name="Normal 4 2 4 3 7 2 2" xfId="15242" xr:uid="{E11D0E02-E606-48FA-8ED7-452EBEC481B6}"/>
    <cellStyle name="Normal 4 2 4 3 7 3" xfId="11024" xr:uid="{4645063D-EF11-4947-9C58-66E2AF8E8DBC}"/>
    <cellStyle name="Normal 4 2 4 3 8" xfId="4738" xr:uid="{00000000-0005-0000-0000-0000A4130000}"/>
    <cellStyle name="Normal 4 2 4 3 8 2" xfId="13177" xr:uid="{4393F8D0-2882-42DD-94AF-0DFBBA236F56}"/>
    <cellStyle name="Normal 4 2 4 3 9" xfId="8959" xr:uid="{691E44EE-E810-4523-B80F-7501EA80132C}"/>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37" xr:uid="{098A4D35-CFAB-44DD-B9B8-88775144D33E}"/>
    <cellStyle name="Normal 4 2 4 4 2 2 3" xfId="11519" xr:uid="{CB7F7472-F3D6-4AA5-9415-FE0665A81BE5}"/>
    <cellStyle name="Normal 4 2 4 4 2 3" xfId="5153" xr:uid="{00000000-0005-0000-0000-0000A9130000}"/>
    <cellStyle name="Normal 4 2 4 4 2 3 2" xfId="13592" xr:uid="{E44061EC-5BC3-41CE-8F04-D6D1B4960BD1}"/>
    <cellStyle name="Normal 4 2 4 4 2 4" xfId="9374" xr:uid="{9EC5A4D8-03E2-44AE-ACEA-C345E046E708}"/>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50" xr:uid="{3AA73F2B-79A7-4A9A-884A-09EB2964F45C}"/>
    <cellStyle name="Normal 4 2 4 4 3 2 3" xfId="11932" xr:uid="{E69FFA9B-F39B-4DD4-A2D4-40B18E4DEF1A}"/>
    <cellStyle name="Normal 4 2 4 4 3 3" xfId="5566" xr:uid="{00000000-0005-0000-0000-0000AD130000}"/>
    <cellStyle name="Normal 4 2 4 4 3 3 2" xfId="14005" xr:uid="{9E54DB7E-2618-4A47-8261-20B4654C5ABB}"/>
    <cellStyle name="Normal 4 2 4 4 3 4" xfId="9787" xr:uid="{2D84CE80-2F67-4AC1-A178-EAB760C3AE88}"/>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3" xr:uid="{C136FA74-3C18-4E6B-BDC7-CCF663B69BBF}"/>
    <cellStyle name="Normal 4 2 4 4 4 2 3" xfId="12345" xr:uid="{FC342743-D4E2-4358-8360-0BE0E9C17643}"/>
    <cellStyle name="Normal 4 2 4 4 4 3" xfId="5979" xr:uid="{00000000-0005-0000-0000-0000B1130000}"/>
    <cellStyle name="Normal 4 2 4 4 4 3 2" xfId="14418" xr:uid="{54A4C851-BCDC-486A-B1EA-D9F2C43D9797}"/>
    <cellStyle name="Normal 4 2 4 4 4 4" xfId="10200" xr:uid="{C922FB24-1D54-48CD-966D-55100DA1A1FC}"/>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6" xr:uid="{90B0B9CA-8336-478E-BBBF-C0C8C0F7A6ED}"/>
    <cellStyle name="Normal 4 2 4 4 5 2 3" xfId="12758" xr:uid="{3F5DD753-6B3F-47CB-BB5C-6FD7F3E45041}"/>
    <cellStyle name="Normal 4 2 4 4 5 3" xfId="6392" xr:uid="{00000000-0005-0000-0000-0000B5130000}"/>
    <cellStyle name="Normal 4 2 4 4 5 3 2" xfId="14831" xr:uid="{50420A3C-88A0-42A0-BF58-E653D5B671FD}"/>
    <cellStyle name="Normal 4 2 4 4 5 4" xfId="10613" xr:uid="{D7B561CE-A473-48D5-9D62-7489776EE8E7}"/>
    <cellStyle name="Normal 4 2 4 4 6" xfId="2521" xr:uid="{00000000-0005-0000-0000-0000B6130000}"/>
    <cellStyle name="Normal 4 2 4 4 6 2" xfId="6805" xr:uid="{00000000-0005-0000-0000-0000B7130000}"/>
    <cellStyle name="Normal 4 2 4 4 6 2 2" xfId="15244" xr:uid="{C0E4239E-D1CB-467C-B6BC-8CE3C9269DA4}"/>
    <cellStyle name="Normal 4 2 4 4 6 3" xfId="11026" xr:uid="{D9E39C8C-4253-41E4-82E9-F8B7B5220875}"/>
    <cellStyle name="Normal 4 2 4 4 7" xfId="4740" xr:uid="{00000000-0005-0000-0000-0000B8130000}"/>
    <cellStyle name="Normal 4 2 4 4 7 2" xfId="13179" xr:uid="{A36B6E90-AAC1-4F17-9758-7355B0D69280}"/>
    <cellStyle name="Normal 4 2 4 4 8" xfId="8961" xr:uid="{ED750CD3-8C7C-4E27-9148-29B5AE565DBE}"/>
    <cellStyle name="Normal 4 2 4 5" xfId="831" xr:uid="{00000000-0005-0000-0000-0000B9130000}"/>
    <cellStyle name="Normal 4 2 4 5 2" xfId="3068" xr:uid="{00000000-0005-0000-0000-0000BA130000}"/>
    <cellStyle name="Normal 4 2 4 5 2 2" xfId="7291" xr:uid="{00000000-0005-0000-0000-0000BB130000}"/>
    <cellStyle name="Normal 4 2 4 5 2 2 2" xfId="15730" xr:uid="{BA20C344-ED86-4652-94D6-6E067D317861}"/>
    <cellStyle name="Normal 4 2 4 5 2 3" xfId="11512" xr:uid="{D30F994B-47F1-4105-AA28-041934B97FDF}"/>
    <cellStyle name="Normal 4 2 4 5 3" xfId="5146" xr:uid="{00000000-0005-0000-0000-0000BC130000}"/>
    <cellStyle name="Normal 4 2 4 5 3 2" xfId="13585" xr:uid="{E9D0AF24-4DAF-44F6-A9FF-F6DDFC1D41E7}"/>
    <cellStyle name="Normal 4 2 4 5 4" xfId="9367" xr:uid="{42F1502D-A5A4-43E1-A58F-6CDC81BF7FEB}"/>
    <cellStyle name="Normal 4 2 4 6" xfId="1251" xr:uid="{00000000-0005-0000-0000-0000BD130000}"/>
    <cellStyle name="Normal 4 2 4 6 2" xfId="3481" xr:uid="{00000000-0005-0000-0000-0000BE130000}"/>
    <cellStyle name="Normal 4 2 4 6 2 2" xfId="7704" xr:uid="{00000000-0005-0000-0000-0000BF130000}"/>
    <cellStyle name="Normal 4 2 4 6 2 2 2" xfId="16143" xr:uid="{49E38FDD-FA6A-4AE6-A553-64FCC0D6336C}"/>
    <cellStyle name="Normal 4 2 4 6 2 3" xfId="11925" xr:uid="{69F6B4E7-5467-4E90-BFE0-7BF0F5E4B167}"/>
    <cellStyle name="Normal 4 2 4 6 3" xfId="5559" xr:uid="{00000000-0005-0000-0000-0000C0130000}"/>
    <cellStyle name="Normal 4 2 4 6 3 2" xfId="13998" xr:uid="{CB2DADCD-0CA8-4A46-83FA-558C1F53BA6B}"/>
    <cellStyle name="Normal 4 2 4 6 4" xfId="9780" xr:uid="{5459BDF2-ED19-437D-9471-05BC1FDB42DC}"/>
    <cellStyle name="Normal 4 2 4 7" xfId="1664" xr:uid="{00000000-0005-0000-0000-0000C1130000}"/>
    <cellStyle name="Normal 4 2 4 7 2" xfId="3894" xr:uid="{00000000-0005-0000-0000-0000C2130000}"/>
    <cellStyle name="Normal 4 2 4 7 2 2" xfId="8117" xr:uid="{00000000-0005-0000-0000-0000C3130000}"/>
    <cellStyle name="Normal 4 2 4 7 2 2 2" xfId="16556" xr:uid="{5F3BFFDB-0C92-4510-8999-0AD3EAAE691C}"/>
    <cellStyle name="Normal 4 2 4 7 2 3" xfId="12338" xr:uid="{CBF568D8-B661-42F8-AC59-EAC8F484EC84}"/>
    <cellStyle name="Normal 4 2 4 7 3" xfId="5972" xr:uid="{00000000-0005-0000-0000-0000C4130000}"/>
    <cellStyle name="Normal 4 2 4 7 3 2" xfId="14411" xr:uid="{A0CD7DA0-1648-4FE4-A385-CF0E5B020413}"/>
    <cellStyle name="Normal 4 2 4 7 4" xfId="10193" xr:uid="{EB21A670-A4C1-4FA4-9A37-DD15E610A59D}"/>
    <cellStyle name="Normal 4 2 4 8" xfId="2078" xr:uid="{00000000-0005-0000-0000-0000C5130000}"/>
    <cellStyle name="Normal 4 2 4 8 2" xfId="4307" xr:uid="{00000000-0005-0000-0000-0000C6130000}"/>
    <cellStyle name="Normal 4 2 4 8 2 2" xfId="8530" xr:uid="{00000000-0005-0000-0000-0000C7130000}"/>
    <cellStyle name="Normal 4 2 4 8 2 2 2" xfId="16969" xr:uid="{166F00B0-E306-4CAB-83FF-BA73083401FD}"/>
    <cellStyle name="Normal 4 2 4 8 2 3" xfId="12751" xr:uid="{6F47B6E0-77DF-47CE-9997-020A67607865}"/>
    <cellStyle name="Normal 4 2 4 8 3" xfId="6385" xr:uid="{00000000-0005-0000-0000-0000C8130000}"/>
    <cellStyle name="Normal 4 2 4 8 3 2" xfId="14824" xr:uid="{2041FA59-7B92-4C14-BC46-65B6F9BAA10B}"/>
    <cellStyle name="Normal 4 2 4 8 4" xfId="10606" xr:uid="{CFB1AC6A-8E56-4618-8A12-6680967B271C}"/>
    <cellStyle name="Normal 4 2 4 9" xfId="2514" xr:uid="{00000000-0005-0000-0000-0000C9130000}"/>
    <cellStyle name="Normal 4 2 4 9 2" xfId="6798" xr:uid="{00000000-0005-0000-0000-0000CA130000}"/>
    <cellStyle name="Normal 4 2 4 9 2 2" xfId="15237" xr:uid="{952D480F-A07D-4192-B6AC-B26383E8BF10}"/>
    <cellStyle name="Normal 4 2 4 9 3" xfId="11019" xr:uid="{E5CF5FAE-F0E0-470E-B387-85C0441D1208}"/>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39" xr:uid="{FAF0132B-8950-4A20-AFBD-C8F6D3D92994}"/>
    <cellStyle name="Normal 4 2 5 2 2 2 3" xfId="11521" xr:uid="{2DA2A688-1BF0-44A3-B4B0-46F37ADEE0B6}"/>
    <cellStyle name="Normal 4 2 5 2 2 3" xfId="5155" xr:uid="{00000000-0005-0000-0000-0000D0130000}"/>
    <cellStyle name="Normal 4 2 5 2 2 3 2" xfId="13594" xr:uid="{666504A7-CA60-45A0-8C41-49F1FA552D4F}"/>
    <cellStyle name="Normal 4 2 5 2 2 4" xfId="9376" xr:uid="{69C86045-729C-4760-A679-E23EF90CAF86}"/>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52" xr:uid="{6591F5AB-F760-42E2-9AC7-B93FC8A14B9C}"/>
    <cellStyle name="Normal 4 2 5 2 3 2 3" xfId="11934" xr:uid="{8DB5B727-36EE-4871-AAC3-FA3546FB394D}"/>
    <cellStyle name="Normal 4 2 5 2 3 3" xfId="5568" xr:uid="{00000000-0005-0000-0000-0000D4130000}"/>
    <cellStyle name="Normal 4 2 5 2 3 3 2" xfId="14007" xr:uid="{93A98CC6-0207-4B17-9F2E-4487D992A7D0}"/>
    <cellStyle name="Normal 4 2 5 2 3 4" xfId="9789" xr:uid="{B9649E60-F54E-4489-A4AF-679FE15E0B8F}"/>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5" xr:uid="{4F8D1555-88E5-4D65-8C5E-FC7D4215A39F}"/>
    <cellStyle name="Normal 4 2 5 2 4 2 3" xfId="12347" xr:uid="{8679086D-B982-4B00-B75B-8136392B9298}"/>
    <cellStyle name="Normal 4 2 5 2 4 3" xfId="5981" xr:uid="{00000000-0005-0000-0000-0000D8130000}"/>
    <cellStyle name="Normal 4 2 5 2 4 3 2" xfId="14420" xr:uid="{DE74250B-54E0-48A8-BC8F-6551123B2757}"/>
    <cellStyle name="Normal 4 2 5 2 4 4" xfId="10202" xr:uid="{33FE7A91-D7BE-4612-8230-13A4E64C6BED}"/>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78" xr:uid="{16A5EC83-021D-4C39-A932-FD022FB09105}"/>
    <cellStyle name="Normal 4 2 5 2 5 2 3" xfId="12760" xr:uid="{ECE03EC2-7683-4F9C-A40B-E1CEA4727A8E}"/>
    <cellStyle name="Normal 4 2 5 2 5 3" xfId="6394" xr:uid="{00000000-0005-0000-0000-0000DC130000}"/>
    <cellStyle name="Normal 4 2 5 2 5 3 2" xfId="14833" xr:uid="{8AB1AA6D-9A9A-4A80-B45F-AD0C02F74B5F}"/>
    <cellStyle name="Normal 4 2 5 2 5 4" xfId="10615" xr:uid="{6149F480-1D8B-449B-B9BD-5A9EB1C2175D}"/>
    <cellStyle name="Normal 4 2 5 2 6" xfId="2523" xr:uid="{00000000-0005-0000-0000-0000DD130000}"/>
    <cellStyle name="Normal 4 2 5 2 6 2" xfId="6807" xr:uid="{00000000-0005-0000-0000-0000DE130000}"/>
    <cellStyle name="Normal 4 2 5 2 6 2 2" xfId="15246" xr:uid="{00884184-36C2-4EE7-82DF-FCE70524DC3F}"/>
    <cellStyle name="Normal 4 2 5 2 6 3" xfId="11028" xr:uid="{4BB145A7-5322-4FD3-878E-B46E55CDA8E5}"/>
    <cellStyle name="Normal 4 2 5 2 7" xfId="4742" xr:uid="{00000000-0005-0000-0000-0000DF130000}"/>
    <cellStyle name="Normal 4 2 5 2 7 2" xfId="13181" xr:uid="{604D575A-AB9D-47C2-B213-D2482088D881}"/>
    <cellStyle name="Normal 4 2 5 2 8" xfId="8963" xr:uid="{734B93C8-FC76-485E-ADC3-732FB8507082}"/>
    <cellStyle name="Normal 4 2 5 3" xfId="839" xr:uid="{00000000-0005-0000-0000-0000E0130000}"/>
    <cellStyle name="Normal 4 2 5 3 2" xfId="3076" xr:uid="{00000000-0005-0000-0000-0000E1130000}"/>
    <cellStyle name="Normal 4 2 5 3 2 2" xfId="7299" xr:uid="{00000000-0005-0000-0000-0000E2130000}"/>
    <cellStyle name="Normal 4 2 5 3 2 2 2" xfId="15738" xr:uid="{633C82C3-220F-42BE-BB82-9C59E59F6FB5}"/>
    <cellStyle name="Normal 4 2 5 3 2 3" xfId="11520" xr:uid="{DAEFCF64-6265-4EB1-8581-78613657D35B}"/>
    <cellStyle name="Normal 4 2 5 3 3" xfId="5154" xr:uid="{00000000-0005-0000-0000-0000E3130000}"/>
    <cellStyle name="Normal 4 2 5 3 3 2" xfId="13593" xr:uid="{7AF4B200-521B-4CC6-8984-0F9A591ED08C}"/>
    <cellStyle name="Normal 4 2 5 3 4" xfId="9375" xr:uid="{31BCD114-1B7F-4A37-B7AF-D4D56FC5E2C3}"/>
    <cellStyle name="Normal 4 2 5 4" xfId="1259" xr:uid="{00000000-0005-0000-0000-0000E4130000}"/>
    <cellStyle name="Normal 4 2 5 4 2" xfId="3489" xr:uid="{00000000-0005-0000-0000-0000E5130000}"/>
    <cellStyle name="Normal 4 2 5 4 2 2" xfId="7712" xr:uid="{00000000-0005-0000-0000-0000E6130000}"/>
    <cellStyle name="Normal 4 2 5 4 2 2 2" xfId="16151" xr:uid="{CCCF03EF-A7B3-4434-9117-8E6085D5EA81}"/>
    <cellStyle name="Normal 4 2 5 4 2 3" xfId="11933" xr:uid="{F259AA14-8C47-4AF3-8579-BF3ADCABD931}"/>
    <cellStyle name="Normal 4 2 5 4 3" xfId="5567" xr:uid="{00000000-0005-0000-0000-0000E7130000}"/>
    <cellStyle name="Normal 4 2 5 4 3 2" xfId="14006" xr:uid="{3C8DEC77-AA4D-4295-9D8A-E0436E8B8C09}"/>
    <cellStyle name="Normal 4 2 5 4 4" xfId="9788" xr:uid="{C6C18FD7-6FB0-4CD6-9DC5-51CA47C49A36}"/>
    <cellStyle name="Normal 4 2 5 5" xfId="1672" xr:uid="{00000000-0005-0000-0000-0000E8130000}"/>
    <cellStyle name="Normal 4 2 5 5 2" xfId="3902" xr:uid="{00000000-0005-0000-0000-0000E9130000}"/>
    <cellStyle name="Normal 4 2 5 5 2 2" xfId="8125" xr:uid="{00000000-0005-0000-0000-0000EA130000}"/>
    <cellStyle name="Normal 4 2 5 5 2 2 2" xfId="16564" xr:uid="{9B488D07-12D2-41EF-A29F-34322906F1CA}"/>
    <cellStyle name="Normal 4 2 5 5 2 3" xfId="12346" xr:uid="{597A2052-926C-4D50-A5FD-F8EDEB8DC242}"/>
    <cellStyle name="Normal 4 2 5 5 3" xfId="5980" xr:uid="{00000000-0005-0000-0000-0000EB130000}"/>
    <cellStyle name="Normal 4 2 5 5 3 2" xfId="14419" xr:uid="{C44CE9B2-D49E-4F9B-AF9B-52ABF16B295B}"/>
    <cellStyle name="Normal 4 2 5 5 4" xfId="10201" xr:uid="{BF532FBF-0A17-400D-9725-98E7B2FB071E}"/>
    <cellStyle name="Normal 4 2 5 6" xfId="2086" xr:uid="{00000000-0005-0000-0000-0000EC130000}"/>
    <cellStyle name="Normal 4 2 5 6 2" xfId="4315" xr:uid="{00000000-0005-0000-0000-0000ED130000}"/>
    <cellStyle name="Normal 4 2 5 6 2 2" xfId="8538" xr:uid="{00000000-0005-0000-0000-0000EE130000}"/>
    <cellStyle name="Normal 4 2 5 6 2 2 2" xfId="16977" xr:uid="{6B0BAC03-BE9D-46BD-9D85-5FB469B9D74A}"/>
    <cellStyle name="Normal 4 2 5 6 2 3" xfId="12759" xr:uid="{C2DF546E-CAF8-4065-969E-B6B24BC60B9B}"/>
    <cellStyle name="Normal 4 2 5 6 3" xfId="6393" xr:uid="{00000000-0005-0000-0000-0000EF130000}"/>
    <cellStyle name="Normal 4 2 5 6 3 2" xfId="14832" xr:uid="{E7D2FCD3-5E64-46CF-B4BC-03024C3F5D4E}"/>
    <cellStyle name="Normal 4 2 5 6 4" xfId="10614" xr:uid="{83D5FCC3-5F9D-400F-A5F3-466BF7529CEC}"/>
    <cellStyle name="Normal 4 2 5 7" xfId="2522" xr:uid="{00000000-0005-0000-0000-0000F0130000}"/>
    <cellStyle name="Normal 4 2 5 7 2" xfId="6806" xr:uid="{00000000-0005-0000-0000-0000F1130000}"/>
    <cellStyle name="Normal 4 2 5 7 2 2" xfId="15245" xr:uid="{F576B195-03DD-456B-9894-5477F20B566D}"/>
    <cellStyle name="Normal 4 2 5 7 3" xfId="11027" xr:uid="{1DC52F3D-581D-4DA5-963C-494464572E7E}"/>
    <cellStyle name="Normal 4 2 5 8" xfId="4741" xr:uid="{00000000-0005-0000-0000-0000F2130000}"/>
    <cellStyle name="Normal 4 2 5 8 2" xfId="13180" xr:uid="{E3BA3C61-DACD-4983-BB17-225651BD6370}"/>
    <cellStyle name="Normal 4 2 5 9" xfId="8962" xr:uid="{58D957AB-31A0-4BEA-B51E-85C7D74C236A}"/>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5740" xr:uid="{0B22CDD5-0C58-41AD-B5A6-C66D1DC1BED5}"/>
    <cellStyle name="Normal 4 2 6 2 2 3" xfId="11522" xr:uid="{4CE82613-3BB7-4126-8F52-85355B30BDC2}"/>
    <cellStyle name="Normal 4 2 6 2 3" xfId="5156" xr:uid="{00000000-0005-0000-0000-0000F7130000}"/>
    <cellStyle name="Normal 4 2 6 2 3 2" xfId="13595" xr:uid="{3956F533-3026-4A4E-8B85-233B420D1184}"/>
    <cellStyle name="Normal 4 2 6 2 4" xfId="9377" xr:uid="{02A8999A-2821-4941-BCEB-50FC2101304A}"/>
    <cellStyle name="Normal 4 2 6 3" xfId="1261" xr:uid="{00000000-0005-0000-0000-0000F8130000}"/>
    <cellStyle name="Normal 4 2 6 3 2" xfId="3491" xr:uid="{00000000-0005-0000-0000-0000F9130000}"/>
    <cellStyle name="Normal 4 2 6 3 2 2" xfId="7714" xr:uid="{00000000-0005-0000-0000-0000FA130000}"/>
    <cellStyle name="Normal 4 2 6 3 2 2 2" xfId="16153" xr:uid="{6B502095-5530-4BE1-9FB8-8CE0CA59B2E6}"/>
    <cellStyle name="Normal 4 2 6 3 2 3" xfId="11935" xr:uid="{9DD85BE7-3D52-4D6D-96EB-3C7B7C43ACED}"/>
    <cellStyle name="Normal 4 2 6 3 3" xfId="5569" xr:uid="{00000000-0005-0000-0000-0000FB130000}"/>
    <cellStyle name="Normal 4 2 6 3 3 2" xfId="14008" xr:uid="{4E2006AC-3CC4-46CA-9669-66255DAB2823}"/>
    <cellStyle name="Normal 4 2 6 3 4" xfId="9790" xr:uid="{7049DEA8-D85B-4D96-9328-F62ED8EF2B26}"/>
    <cellStyle name="Normal 4 2 6 4" xfId="1674" xr:uid="{00000000-0005-0000-0000-0000FC130000}"/>
    <cellStyle name="Normal 4 2 6 4 2" xfId="3904" xr:uid="{00000000-0005-0000-0000-0000FD130000}"/>
    <cellStyle name="Normal 4 2 6 4 2 2" xfId="8127" xr:uid="{00000000-0005-0000-0000-0000FE130000}"/>
    <cellStyle name="Normal 4 2 6 4 2 2 2" xfId="16566" xr:uid="{57BE8B4F-0413-493F-A5B9-F3F34E6BFDBD}"/>
    <cellStyle name="Normal 4 2 6 4 2 3" xfId="12348" xr:uid="{BD9F56E4-9E55-4038-9269-15464D70D1DC}"/>
    <cellStyle name="Normal 4 2 6 4 3" xfId="5982" xr:uid="{00000000-0005-0000-0000-0000FF130000}"/>
    <cellStyle name="Normal 4 2 6 4 3 2" xfId="14421" xr:uid="{16D698F0-9EE8-4A08-9B2A-EDDB9A78F8B9}"/>
    <cellStyle name="Normal 4 2 6 4 4" xfId="10203" xr:uid="{D3E0D420-8262-418C-AD04-C94BAD13E3F7}"/>
    <cellStyle name="Normal 4 2 6 5" xfId="2088" xr:uid="{00000000-0005-0000-0000-000000140000}"/>
    <cellStyle name="Normal 4 2 6 5 2" xfId="4317" xr:uid="{00000000-0005-0000-0000-000001140000}"/>
    <cellStyle name="Normal 4 2 6 5 2 2" xfId="8540" xr:uid="{00000000-0005-0000-0000-000002140000}"/>
    <cellStyle name="Normal 4 2 6 5 2 2 2" xfId="16979" xr:uid="{E1215DA2-0FB6-49DE-ABE2-167D8E5C7413}"/>
    <cellStyle name="Normal 4 2 6 5 2 3" xfId="12761" xr:uid="{4AF2AFCF-0FA0-48BE-92D7-86E1DF68C499}"/>
    <cellStyle name="Normal 4 2 6 5 3" xfId="6395" xr:uid="{00000000-0005-0000-0000-000003140000}"/>
    <cellStyle name="Normal 4 2 6 5 3 2" xfId="14834" xr:uid="{B4DD925B-92FD-4FEC-BB06-487C5E472DFF}"/>
    <cellStyle name="Normal 4 2 6 5 4" xfId="10616" xr:uid="{5647322D-FDD4-4BBB-8DE5-D6B9AD91EDF9}"/>
    <cellStyle name="Normal 4 2 6 6" xfId="2524" xr:uid="{00000000-0005-0000-0000-000004140000}"/>
    <cellStyle name="Normal 4 2 6 6 2" xfId="6808" xr:uid="{00000000-0005-0000-0000-000005140000}"/>
    <cellStyle name="Normal 4 2 6 6 2 2" xfId="15247" xr:uid="{F36D6AE6-FCB2-4990-9157-BE7D11861EF7}"/>
    <cellStyle name="Normal 4 2 6 6 3" xfId="11029" xr:uid="{5D2C119F-F576-4461-8E12-CDFC4DF9FAC2}"/>
    <cellStyle name="Normal 4 2 6 7" xfId="4743" xr:uid="{00000000-0005-0000-0000-000006140000}"/>
    <cellStyle name="Normal 4 2 6 7 2" xfId="13182" xr:uid="{E6C70DD7-9936-4AF2-9720-3601D2A88313}"/>
    <cellStyle name="Normal 4 2 6 8" xfId="8964" xr:uid="{0A89D1BC-F58C-4D72-922B-5CEC72A5940B}"/>
    <cellStyle name="Normal 4 3" xfId="366" xr:uid="{00000000-0005-0000-0000-000007140000}"/>
    <cellStyle name="Normal 4 3 10" xfId="8965" xr:uid="{6ADBE8A8-AC2E-46FA-BF82-F88BE73970D8}"/>
    <cellStyle name="Normal 4 3 2" xfId="367" xr:uid="{00000000-0005-0000-0000-000008140000}"/>
    <cellStyle name="Normal 4 3 2 2" xfId="368" xr:uid="{00000000-0005-0000-0000-000009140000}"/>
    <cellStyle name="Normal 4 3 2 2 2" xfId="369" xr:uid="{00000000-0005-0000-0000-00000A140000}"/>
    <cellStyle name="Normal 4 3 2 2 2 10" xfId="8966" xr:uid="{D1D1C626-4164-4675-B897-792E5C2C52F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4" xr:uid="{129DA6EE-F0A1-488F-B42D-9732E854F9EB}"/>
    <cellStyle name="Normal 4 3 2 2 2 2 2 2 2 3" xfId="11526" xr:uid="{7497CB01-609C-4AA3-AE31-4689AE9F2725}"/>
    <cellStyle name="Normal 4 3 2 2 2 2 2 2 3" xfId="5160" xr:uid="{00000000-0005-0000-0000-000010140000}"/>
    <cellStyle name="Normal 4 3 2 2 2 2 2 2 3 2" xfId="13599" xr:uid="{58DD71B2-5A20-4350-92C5-D29AA58128A8}"/>
    <cellStyle name="Normal 4 3 2 2 2 2 2 2 4" xfId="9381" xr:uid="{733541A8-1D6D-4241-86E3-4999AA660C2E}"/>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57" xr:uid="{C79B9085-3F36-456D-B6D9-09B8ACFAA4D6}"/>
    <cellStyle name="Normal 4 3 2 2 2 2 2 3 2 3" xfId="11939" xr:uid="{006D75A9-8CA5-49FB-A199-7CD806BDFCE4}"/>
    <cellStyle name="Normal 4 3 2 2 2 2 2 3 3" xfId="5573" xr:uid="{00000000-0005-0000-0000-000014140000}"/>
    <cellStyle name="Normal 4 3 2 2 2 2 2 3 3 2" xfId="14012" xr:uid="{F8DB35B5-9C6C-44B5-AE92-D14F2BF548BE}"/>
    <cellStyle name="Normal 4 3 2 2 2 2 2 3 4" xfId="9794" xr:uid="{FB079F1F-FCC3-4932-974E-6CDD2FF004F9}"/>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70" xr:uid="{C459C998-6C85-4344-8AC2-9A753D1B59FC}"/>
    <cellStyle name="Normal 4 3 2 2 2 2 2 4 2 3" xfId="12352" xr:uid="{53612CC2-EDFA-4077-BF80-A0415272AA9B}"/>
    <cellStyle name="Normal 4 3 2 2 2 2 2 4 3" xfId="5986" xr:uid="{00000000-0005-0000-0000-000018140000}"/>
    <cellStyle name="Normal 4 3 2 2 2 2 2 4 3 2" xfId="14425" xr:uid="{246F751E-D0BC-455B-8516-330D2A0E30FE}"/>
    <cellStyle name="Normal 4 3 2 2 2 2 2 4 4" xfId="10207" xr:uid="{D6F6E0D0-2C08-4731-8696-4CBAE3E13F7A}"/>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3" xr:uid="{16E7596A-A8B6-4B1C-A727-80A40D52DDD6}"/>
    <cellStyle name="Normal 4 3 2 2 2 2 2 5 2 3" xfId="12765" xr:uid="{8B00518A-8119-46CD-A655-D51E2858858E}"/>
    <cellStyle name="Normal 4 3 2 2 2 2 2 5 3" xfId="6399" xr:uid="{00000000-0005-0000-0000-00001C140000}"/>
    <cellStyle name="Normal 4 3 2 2 2 2 2 5 3 2" xfId="14838" xr:uid="{07F8B64E-2412-47F4-B208-E12B07A8F624}"/>
    <cellStyle name="Normal 4 3 2 2 2 2 2 5 4" xfId="10620" xr:uid="{DE51B19C-0309-4260-AFB4-E1FABA2C5995}"/>
    <cellStyle name="Normal 4 3 2 2 2 2 2 6" xfId="2528" xr:uid="{00000000-0005-0000-0000-00001D140000}"/>
    <cellStyle name="Normal 4 3 2 2 2 2 2 6 2" xfId="6812" xr:uid="{00000000-0005-0000-0000-00001E140000}"/>
    <cellStyle name="Normal 4 3 2 2 2 2 2 6 2 2" xfId="15251" xr:uid="{428A53E5-7247-414F-BA42-146B167B2B0C}"/>
    <cellStyle name="Normal 4 3 2 2 2 2 2 6 3" xfId="11033" xr:uid="{765B9A56-5CFA-4C47-A784-E613A3A6CA89}"/>
    <cellStyle name="Normal 4 3 2 2 2 2 2 7" xfId="4747" xr:uid="{00000000-0005-0000-0000-00001F140000}"/>
    <cellStyle name="Normal 4 3 2 2 2 2 2 7 2" xfId="13186" xr:uid="{3D7DEC23-F4D4-4EF1-9BD9-51D323034A89}"/>
    <cellStyle name="Normal 4 3 2 2 2 2 2 8" xfId="8968" xr:uid="{82A537BC-6FC1-47DD-B0F3-3D2D0BAF1A08}"/>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3" xr:uid="{5617AE8F-85D9-4E55-877F-D79B3002F88E}"/>
    <cellStyle name="Normal 4 3 2 2 2 2 3 2 3" xfId="11525" xr:uid="{58E24E72-011D-44EC-AD6E-5442EBF91CE6}"/>
    <cellStyle name="Normal 4 3 2 2 2 2 3 3" xfId="5159" xr:uid="{00000000-0005-0000-0000-000023140000}"/>
    <cellStyle name="Normal 4 3 2 2 2 2 3 3 2" xfId="13598" xr:uid="{FFF5AB65-8CF3-430E-A4E5-DAB9B55DEC2F}"/>
    <cellStyle name="Normal 4 3 2 2 2 2 3 4" xfId="9380" xr:uid="{F1A89A80-C271-45CA-A9C4-7997955B79E8}"/>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6" xr:uid="{731BC0E0-32BF-461F-9DBB-551FBC287110}"/>
    <cellStyle name="Normal 4 3 2 2 2 2 4 2 3" xfId="11938" xr:uid="{D66E4C5D-7F7B-41BD-B45C-BA4832D78224}"/>
    <cellStyle name="Normal 4 3 2 2 2 2 4 3" xfId="5572" xr:uid="{00000000-0005-0000-0000-000027140000}"/>
    <cellStyle name="Normal 4 3 2 2 2 2 4 3 2" xfId="14011" xr:uid="{18FDE563-AA8C-450C-80FD-AC289A228047}"/>
    <cellStyle name="Normal 4 3 2 2 2 2 4 4" xfId="9793" xr:uid="{1E711836-CFC8-4F01-81B8-ADB3138805EB}"/>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69" xr:uid="{B531E849-94C1-4DF0-96EF-D87EB92C1ADB}"/>
    <cellStyle name="Normal 4 3 2 2 2 2 5 2 3" xfId="12351" xr:uid="{E49DF15A-CB2B-4581-A677-496DCE726F2C}"/>
    <cellStyle name="Normal 4 3 2 2 2 2 5 3" xfId="5985" xr:uid="{00000000-0005-0000-0000-00002B140000}"/>
    <cellStyle name="Normal 4 3 2 2 2 2 5 3 2" xfId="14424" xr:uid="{BB1AC47A-6784-4B3D-B86F-757C77852BF9}"/>
    <cellStyle name="Normal 4 3 2 2 2 2 5 4" xfId="10206" xr:uid="{7E71A4C5-66DC-4A83-A878-7EF4145232DC}"/>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82" xr:uid="{711F2702-3A10-4ADB-B8F8-E3AF640E342E}"/>
    <cellStyle name="Normal 4 3 2 2 2 2 6 2 3" xfId="12764" xr:uid="{6F7664E2-C75A-467B-B1E7-B2A2C6C69D3F}"/>
    <cellStyle name="Normal 4 3 2 2 2 2 6 3" xfId="6398" xr:uid="{00000000-0005-0000-0000-00002F140000}"/>
    <cellStyle name="Normal 4 3 2 2 2 2 6 3 2" xfId="14837" xr:uid="{F26550D5-0906-47A3-B260-EEF61E34B770}"/>
    <cellStyle name="Normal 4 3 2 2 2 2 6 4" xfId="10619" xr:uid="{51872C4A-2FA8-4412-93B4-EAC54FCC298D}"/>
    <cellStyle name="Normal 4 3 2 2 2 2 7" xfId="2527" xr:uid="{00000000-0005-0000-0000-000030140000}"/>
    <cellStyle name="Normal 4 3 2 2 2 2 7 2" xfId="6811" xr:uid="{00000000-0005-0000-0000-000031140000}"/>
    <cellStyle name="Normal 4 3 2 2 2 2 7 2 2" xfId="15250" xr:uid="{3963D2C6-93E1-45D4-A2A4-27C745C500DD}"/>
    <cellStyle name="Normal 4 3 2 2 2 2 7 3" xfId="11032" xr:uid="{0C866C92-340F-4EFE-A8BD-C2B70DEAB805}"/>
    <cellStyle name="Normal 4 3 2 2 2 2 8" xfId="4746" xr:uid="{00000000-0005-0000-0000-000032140000}"/>
    <cellStyle name="Normal 4 3 2 2 2 2 8 2" xfId="13185" xr:uid="{DB90E83B-68B3-4825-B2C4-C78E22C27472}"/>
    <cellStyle name="Normal 4 3 2 2 2 2 9" xfId="8967" xr:uid="{DD13C5A6-0724-4BCA-A265-E3F2546A0F3D}"/>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5" xr:uid="{23265C42-A4C6-4E83-9233-B09AC36EC3A1}"/>
    <cellStyle name="Normal 4 3 2 2 2 3 2 2 3" xfId="11527" xr:uid="{B993675F-1791-4AC2-B03A-6287744127FB}"/>
    <cellStyle name="Normal 4 3 2 2 2 3 2 3" xfId="5161" xr:uid="{00000000-0005-0000-0000-000037140000}"/>
    <cellStyle name="Normal 4 3 2 2 2 3 2 3 2" xfId="13600" xr:uid="{8374C63E-931C-452E-A600-3A333068F124}"/>
    <cellStyle name="Normal 4 3 2 2 2 3 2 4" xfId="9382" xr:uid="{139E5E92-6ECF-42B7-9D58-4AD1CC1B2EED}"/>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58" xr:uid="{F5D81914-2289-477F-97AB-819E21E6A1E1}"/>
    <cellStyle name="Normal 4 3 2 2 2 3 3 2 3" xfId="11940" xr:uid="{A1839142-F38F-4576-952F-7953576E5EC9}"/>
    <cellStyle name="Normal 4 3 2 2 2 3 3 3" xfId="5574" xr:uid="{00000000-0005-0000-0000-00003B140000}"/>
    <cellStyle name="Normal 4 3 2 2 2 3 3 3 2" xfId="14013" xr:uid="{C0BC1C6C-CA4D-4EFD-BD94-701F14B75CF2}"/>
    <cellStyle name="Normal 4 3 2 2 2 3 3 4" xfId="9795" xr:uid="{98174AE8-C111-4735-8BDD-F1CF92AFF8C6}"/>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71" xr:uid="{905FCCD0-3535-4A01-9F95-1D6E5C6EBC1D}"/>
    <cellStyle name="Normal 4 3 2 2 2 3 4 2 3" xfId="12353" xr:uid="{FB1052B1-5C1C-41D6-BCC2-F6977FD72016}"/>
    <cellStyle name="Normal 4 3 2 2 2 3 4 3" xfId="5987" xr:uid="{00000000-0005-0000-0000-00003F140000}"/>
    <cellStyle name="Normal 4 3 2 2 2 3 4 3 2" xfId="14426" xr:uid="{258722A8-8ACA-4618-B8E3-F97547CE8FE4}"/>
    <cellStyle name="Normal 4 3 2 2 2 3 4 4" xfId="10208" xr:uid="{2FC1A198-BCE8-49BC-B58E-C1DFCF4A1888}"/>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4" xr:uid="{2B96DD4F-D703-40E0-8246-8C4EC5F291AD}"/>
    <cellStyle name="Normal 4 3 2 2 2 3 5 2 3" xfId="12766" xr:uid="{B863F5E9-CD80-4AF1-ADC0-6B5A035E546D}"/>
    <cellStyle name="Normal 4 3 2 2 2 3 5 3" xfId="6400" xr:uid="{00000000-0005-0000-0000-000043140000}"/>
    <cellStyle name="Normal 4 3 2 2 2 3 5 3 2" xfId="14839" xr:uid="{6DBDAD9E-A14D-4C42-8342-411B8C988965}"/>
    <cellStyle name="Normal 4 3 2 2 2 3 5 4" xfId="10621" xr:uid="{8C195B6B-9064-40D8-8BCB-36DC0BC75BE9}"/>
    <cellStyle name="Normal 4 3 2 2 2 3 6" xfId="2529" xr:uid="{00000000-0005-0000-0000-000044140000}"/>
    <cellStyle name="Normal 4 3 2 2 2 3 6 2" xfId="6813" xr:uid="{00000000-0005-0000-0000-000045140000}"/>
    <cellStyle name="Normal 4 3 2 2 2 3 6 2 2" xfId="15252" xr:uid="{1A4BF9C0-EA35-4C50-BE0B-2989892A6136}"/>
    <cellStyle name="Normal 4 3 2 2 2 3 6 3" xfId="11034" xr:uid="{AAAEEAA1-0DC4-4164-89CA-359B8EE44036}"/>
    <cellStyle name="Normal 4 3 2 2 2 3 7" xfId="4748" xr:uid="{00000000-0005-0000-0000-000046140000}"/>
    <cellStyle name="Normal 4 3 2 2 2 3 7 2" xfId="13187" xr:uid="{B7FC33C2-BBC2-4B0D-A9AD-72B3B4C1B96C}"/>
    <cellStyle name="Normal 4 3 2 2 2 3 8" xfId="8969" xr:uid="{E1EA3F9A-F842-4883-B913-78D8D7713737}"/>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42" xr:uid="{AB671514-2022-48BA-B305-BCD414C38F30}"/>
    <cellStyle name="Normal 4 3 2 2 2 4 2 3" xfId="11524" xr:uid="{4A56D6F5-6494-4A9A-9DBA-34E08D1C1C55}"/>
    <cellStyle name="Normal 4 3 2 2 2 4 3" xfId="5158" xr:uid="{00000000-0005-0000-0000-00004A140000}"/>
    <cellStyle name="Normal 4 3 2 2 2 4 3 2" xfId="13597" xr:uid="{884C0503-C476-4DCE-B3BB-721CA8D2C447}"/>
    <cellStyle name="Normal 4 3 2 2 2 4 4" xfId="9379" xr:uid="{E35AD45A-2036-4AF4-9AA1-785B0E6FDB1E}"/>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5" xr:uid="{3C81E885-CD94-43E7-A51A-17D4F4E273D4}"/>
    <cellStyle name="Normal 4 3 2 2 2 5 2 3" xfId="11937" xr:uid="{FD1C1F6A-D8AA-496E-9FFD-235560CDB581}"/>
    <cellStyle name="Normal 4 3 2 2 2 5 3" xfId="5571" xr:uid="{00000000-0005-0000-0000-00004E140000}"/>
    <cellStyle name="Normal 4 3 2 2 2 5 3 2" xfId="14010" xr:uid="{314B476D-1EB1-4676-B3B2-9C5E5908EEB1}"/>
    <cellStyle name="Normal 4 3 2 2 2 5 4" xfId="9792" xr:uid="{378A0768-19CB-4B81-9BF6-C91804E18FC2}"/>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68" xr:uid="{D6D1A520-2E04-4FF1-8653-2227C86BBA09}"/>
    <cellStyle name="Normal 4 3 2 2 2 6 2 3" xfId="12350" xr:uid="{9CC6AC67-3430-457F-9AEB-504229F93A2F}"/>
    <cellStyle name="Normal 4 3 2 2 2 6 3" xfId="5984" xr:uid="{00000000-0005-0000-0000-000052140000}"/>
    <cellStyle name="Normal 4 3 2 2 2 6 3 2" xfId="14423" xr:uid="{8F39E592-81B6-4CFC-ADBF-CF4A24C0E28C}"/>
    <cellStyle name="Normal 4 3 2 2 2 6 4" xfId="10205" xr:uid="{DF0AFCDB-7F78-411B-A7F5-3E7676695FB4}"/>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81" xr:uid="{7E6FE9C2-1B05-49AF-8B00-0D238C90EA30}"/>
    <cellStyle name="Normal 4 3 2 2 2 7 2 3" xfId="12763" xr:uid="{D72254DB-0ACB-4312-AC5E-7C6EA7EC2B64}"/>
    <cellStyle name="Normal 4 3 2 2 2 7 3" xfId="6397" xr:uid="{00000000-0005-0000-0000-000056140000}"/>
    <cellStyle name="Normal 4 3 2 2 2 7 3 2" xfId="14836" xr:uid="{2F5F4369-E329-401E-ADBB-39D5710AC567}"/>
    <cellStyle name="Normal 4 3 2 2 2 7 4" xfId="10618" xr:uid="{2C21CDB6-8E27-4C6C-966C-8F9C1CC11DAE}"/>
    <cellStyle name="Normal 4 3 2 2 2 8" xfId="2526" xr:uid="{00000000-0005-0000-0000-000057140000}"/>
    <cellStyle name="Normal 4 3 2 2 2 8 2" xfId="6810" xr:uid="{00000000-0005-0000-0000-000058140000}"/>
    <cellStyle name="Normal 4 3 2 2 2 8 2 2" xfId="15249" xr:uid="{B5BBE96C-B3D5-4DA7-A878-1FBA9266FE64}"/>
    <cellStyle name="Normal 4 3 2 2 2 8 3" xfId="11031" xr:uid="{1D8A4868-62FB-4844-A34A-0E03E96F2C9D}"/>
    <cellStyle name="Normal 4 3 2 2 2 9" xfId="4745" xr:uid="{00000000-0005-0000-0000-000059140000}"/>
    <cellStyle name="Normal 4 3 2 2 2 9 2" xfId="13184" xr:uid="{178C06E0-845A-4141-82D2-8AE155F4295C}"/>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0" xr:uid="{1143047A-5991-493B-AC9A-EB131F6E1561}"/>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48" xr:uid="{A4445131-FB26-4605-A294-E3A9EB3BB21F}"/>
    <cellStyle name="Normal 4 3 3 2 2 2 2 3" xfId="11530" xr:uid="{4207B37B-D35F-4ABE-BD84-4AB4B7D01BBB}"/>
    <cellStyle name="Normal 4 3 3 2 2 2 3" xfId="5164" xr:uid="{00000000-0005-0000-0000-000063140000}"/>
    <cellStyle name="Normal 4 3 3 2 2 2 3 2" xfId="13603" xr:uid="{B7887685-7CA9-4E1C-8E32-EE045DFFB048}"/>
    <cellStyle name="Normal 4 3 3 2 2 2 4" xfId="9385" xr:uid="{380FBC3E-CEE7-4419-A946-BBF23FBFECE3}"/>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61" xr:uid="{D21CFD73-F211-41C3-96B5-0103090C30FD}"/>
    <cellStyle name="Normal 4 3 3 2 2 3 2 3" xfId="11943" xr:uid="{AD368923-8181-45F7-8B9D-1BA111E8C9E9}"/>
    <cellStyle name="Normal 4 3 3 2 2 3 3" xfId="5577" xr:uid="{00000000-0005-0000-0000-000067140000}"/>
    <cellStyle name="Normal 4 3 3 2 2 3 3 2" xfId="14016" xr:uid="{5ABA5427-C7B0-4F18-972D-DD9E344B626C}"/>
    <cellStyle name="Normal 4 3 3 2 2 3 4" xfId="9798" xr:uid="{D4E66415-B42D-4C35-85B0-3306A3E57EB4}"/>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4" xr:uid="{3B1A7ACE-0943-4F8A-8157-5D911C670F45}"/>
    <cellStyle name="Normal 4 3 3 2 2 4 2 3" xfId="12356" xr:uid="{564BDF15-7BDC-49F7-8A02-91BA50948D8F}"/>
    <cellStyle name="Normal 4 3 3 2 2 4 3" xfId="5990" xr:uid="{00000000-0005-0000-0000-00006B140000}"/>
    <cellStyle name="Normal 4 3 3 2 2 4 3 2" xfId="14429" xr:uid="{7DD84068-2348-4072-BF27-2AE04611A49A}"/>
    <cellStyle name="Normal 4 3 3 2 2 4 4" xfId="10211" xr:uid="{0396A658-E544-4EA1-805B-E202B360ADEA}"/>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87" xr:uid="{6B6383D7-476E-4FA9-BE39-C3D02778C960}"/>
    <cellStyle name="Normal 4 3 3 2 2 5 2 3" xfId="12769" xr:uid="{F3C35B9D-F31D-4AF6-A792-54E744FF7A3D}"/>
    <cellStyle name="Normal 4 3 3 2 2 5 3" xfId="6403" xr:uid="{00000000-0005-0000-0000-00006F140000}"/>
    <cellStyle name="Normal 4 3 3 2 2 5 3 2" xfId="14842" xr:uid="{48D39421-B425-4479-B005-1347E43569FF}"/>
    <cellStyle name="Normal 4 3 3 2 2 5 4" xfId="10624" xr:uid="{F3A87A89-6655-4371-A8CB-1E5F110D8D99}"/>
    <cellStyle name="Normal 4 3 3 2 2 6" xfId="2532" xr:uid="{00000000-0005-0000-0000-000070140000}"/>
    <cellStyle name="Normal 4 3 3 2 2 6 2" xfId="6816" xr:uid="{00000000-0005-0000-0000-000071140000}"/>
    <cellStyle name="Normal 4 3 3 2 2 6 2 2" xfId="15255" xr:uid="{2FC080A0-3AE8-4763-B235-27F09FB1EB55}"/>
    <cellStyle name="Normal 4 3 3 2 2 6 3" xfId="11037" xr:uid="{20E2C1DC-4F6C-496E-97E0-5B362141CF2A}"/>
    <cellStyle name="Normal 4 3 3 2 2 7" xfId="4751" xr:uid="{00000000-0005-0000-0000-000072140000}"/>
    <cellStyle name="Normal 4 3 3 2 2 7 2" xfId="13190" xr:uid="{03AC3519-7213-4CB1-82B1-F8D21E9D0DC3}"/>
    <cellStyle name="Normal 4 3 3 2 2 8" xfId="8972" xr:uid="{59629AF5-8DD8-46DA-B8E5-D2ED1C62040D}"/>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47" xr:uid="{69CE2DB2-8A23-4A99-B1E5-493B9EAE2FFE}"/>
    <cellStyle name="Normal 4 3 3 2 3 2 3" xfId="11529" xr:uid="{65D73A55-3F64-4D68-A9CC-951C5DCBEA77}"/>
    <cellStyle name="Normal 4 3 3 2 3 3" xfId="5163" xr:uid="{00000000-0005-0000-0000-000076140000}"/>
    <cellStyle name="Normal 4 3 3 2 3 3 2" xfId="13602" xr:uid="{A9EEC11C-7959-4AD5-9994-6125AF64E922}"/>
    <cellStyle name="Normal 4 3 3 2 3 4" xfId="9384" xr:uid="{1F616D35-6855-49B5-B179-5D0D3D6F5990}"/>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60" xr:uid="{944B4960-4F5D-4206-969A-14B9E9A29A8E}"/>
    <cellStyle name="Normal 4 3 3 2 4 2 3" xfId="11942" xr:uid="{97FA6BBF-6199-4B5F-84D0-E5B83DE7CABA}"/>
    <cellStyle name="Normal 4 3 3 2 4 3" xfId="5576" xr:uid="{00000000-0005-0000-0000-00007A140000}"/>
    <cellStyle name="Normal 4 3 3 2 4 3 2" xfId="14015" xr:uid="{18DE37B6-BCB4-4522-B1D7-25F1381A14DE}"/>
    <cellStyle name="Normal 4 3 3 2 4 4" xfId="9797" xr:uid="{5FC6BF98-28B2-401B-8BEF-53FA6D1E45D1}"/>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3" xr:uid="{CFC32FE5-0322-4E4B-B240-831E05BC4D2B}"/>
    <cellStyle name="Normal 4 3 3 2 5 2 3" xfId="12355" xr:uid="{F30C957F-F5DA-470A-AB66-728165818FFD}"/>
    <cellStyle name="Normal 4 3 3 2 5 3" xfId="5989" xr:uid="{00000000-0005-0000-0000-00007E140000}"/>
    <cellStyle name="Normal 4 3 3 2 5 3 2" xfId="14428" xr:uid="{6BC5F7C3-9670-419C-B5F8-37CBD3380134}"/>
    <cellStyle name="Normal 4 3 3 2 5 4" xfId="10210" xr:uid="{B62C7C8C-ECDB-4581-BF22-727AC00145DB}"/>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6" xr:uid="{FBC69EA5-AADB-4325-AEF5-090A6DB1FF96}"/>
    <cellStyle name="Normal 4 3 3 2 6 2 3" xfId="12768" xr:uid="{73BCF1BE-A1EF-4AAC-8106-568CED0FE4AF}"/>
    <cellStyle name="Normal 4 3 3 2 6 3" xfId="6402" xr:uid="{00000000-0005-0000-0000-000082140000}"/>
    <cellStyle name="Normal 4 3 3 2 6 3 2" xfId="14841" xr:uid="{DB4DCF4F-1161-4A5F-9C9F-5DA90755D593}"/>
    <cellStyle name="Normal 4 3 3 2 6 4" xfId="10623" xr:uid="{0B871A4F-4A58-4CF2-9E50-DAD8C830BF3D}"/>
    <cellStyle name="Normal 4 3 3 2 7" xfId="2531" xr:uid="{00000000-0005-0000-0000-000083140000}"/>
    <cellStyle name="Normal 4 3 3 2 7 2" xfId="6815" xr:uid="{00000000-0005-0000-0000-000084140000}"/>
    <cellStyle name="Normal 4 3 3 2 7 2 2" xfId="15254" xr:uid="{64E88C9E-1508-4EE0-9632-29559BB7FC88}"/>
    <cellStyle name="Normal 4 3 3 2 7 3" xfId="11036" xr:uid="{CA459825-6CF3-4D16-A4C9-C1585BEDED57}"/>
    <cellStyle name="Normal 4 3 3 2 8" xfId="4750" xr:uid="{00000000-0005-0000-0000-000085140000}"/>
    <cellStyle name="Normal 4 3 3 2 8 2" xfId="13189" xr:uid="{6726908D-F3BC-4A4F-ADCE-346603C5A911}"/>
    <cellStyle name="Normal 4 3 3 2 9" xfId="8971" xr:uid="{41AC1DAD-5CE0-47BC-B7E3-7F43F912B7EF}"/>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49" xr:uid="{0F7D23B3-1F15-460E-872D-FECCB0C6D7B6}"/>
    <cellStyle name="Normal 4 3 3 3 2 2 3" xfId="11531" xr:uid="{B7B1EEB7-72F5-4707-8692-BBB2AFEFB034}"/>
    <cellStyle name="Normal 4 3 3 3 2 3" xfId="5165" xr:uid="{00000000-0005-0000-0000-00008A140000}"/>
    <cellStyle name="Normal 4 3 3 3 2 3 2" xfId="13604" xr:uid="{A411AFF1-BFBB-4090-97E8-B1090180D256}"/>
    <cellStyle name="Normal 4 3 3 3 2 4" xfId="9386" xr:uid="{3AF441FC-C512-4846-AD79-0C658B07EB50}"/>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62" xr:uid="{9B3E1487-24DD-4CFC-94FB-E195F7A98509}"/>
    <cellStyle name="Normal 4 3 3 3 3 2 3" xfId="11944" xr:uid="{D8FBFB36-B7AA-4C53-9B0E-0836A28EC9A0}"/>
    <cellStyle name="Normal 4 3 3 3 3 3" xfId="5578" xr:uid="{00000000-0005-0000-0000-00008E140000}"/>
    <cellStyle name="Normal 4 3 3 3 3 3 2" xfId="14017" xr:uid="{85415475-8AF4-49EC-A2B8-B2CAED698581}"/>
    <cellStyle name="Normal 4 3 3 3 3 4" xfId="9799" xr:uid="{8A8FC0C8-291A-4A80-89DE-9D3C37F93E08}"/>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5" xr:uid="{3525C3FB-0F75-429D-8713-6904EDA13047}"/>
    <cellStyle name="Normal 4 3 3 3 4 2 3" xfId="12357" xr:uid="{61C7F929-DF22-4260-8415-310C052F8E39}"/>
    <cellStyle name="Normal 4 3 3 3 4 3" xfId="5991" xr:uid="{00000000-0005-0000-0000-000092140000}"/>
    <cellStyle name="Normal 4 3 3 3 4 3 2" xfId="14430" xr:uid="{930D6951-340A-41D0-BF4A-8938789BE8E6}"/>
    <cellStyle name="Normal 4 3 3 3 4 4" xfId="10212" xr:uid="{60E81634-0C03-431F-8C57-898899EFA0D5}"/>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88" xr:uid="{72560D0F-83FD-452B-8FFE-7751F37D930D}"/>
    <cellStyle name="Normal 4 3 3 3 5 2 3" xfId="12770" xr:uid="{33716920-D3EC-482D-A699-24416F72A07A}"/>
    <cellStyle name="Normal 4 3 3 3 5 3" xfId="6404" xr:uid="{00000000-0005-0000-0000-000096140000}"/>
    <cellStyle name="Normal 4 3 3 3 5 3 2" xfId="14843" xr:uid="{A2318081-9084-43BF-ABAC-487E6DC4DECB}"/>
    <cellStyle name="Normal 4 3 3 3 5 4" xfId="10625" xr:uid="{B7C4FB4D-511E-43EE-8C7B-55041388D876}"/>
    <cellStyle name="Normal 4 3 3 3 6" xfId="2533" xr:uid="{00000000-0005-0000-0000-000097140000}"/>
    <cellStyle name="Normal 4 3 3 3 6 2" xfId="6817" xr:uid="{00000000-0005-0000-0000-000098140000}"/>
    <cellStyle name="Normal 4 3 3 3 6 2 2" xfId="15256" xr:uid="{D3DFBFB5-DFAA-4350-AF19-9696C2416074}"/>
    <cellStyle name="Normal 4 3 3 3 6 3" xfId="11038" xr:uid="{598409C2-EA2E-4089-99B3-75613707A172}"/>
    <cellStyle name="Normal 4 3 3 3 7" xfId="4752" xr:uid="{00000000-0005-0000-0000-000099140000}"/>
    <cellStyle name="Normal 4 3 3 3 7 2" xfId="13191" xr:uid="{8FBDFFEA-E017-458E-B35B-77DCA99F3232}"/>
    <cellStyle name="Normal 4 3 3 3 8" xfId="8973" xr:uid="{F1B2F421-36BA-401A-B86B-70821F36204E}"/>
    <cellStyle name="Normal 4 3 3 4" xfId="849" xr:uid="{00000000-0005-0000-0000-00009A140000}"/>
    <cellStyle name="Normal 4 3 3 4 2" xfId="3084" xr:uid="{00000000-0005-0000-0000-00009B140000}"/>
    <cellStyle name="Normal 4 3 3 4 2 2" xfId="7307" xr:uid="{00000000-0005-0000-0000-00009C140000}"/>
    <cellStyle name="Normal 4 3 3 4 2 2 2" xfId="15746" xr:uid="{74C8BFA8-111D-4B2D-9EF3-28F8C9B248AA}"/>
    <cellStyle name="Normal 4 3 3 4 2 3" xfId="11528" xr:uid="{99F6638D-3094-4EC5-A7BC-E1AA0E9D5BE6}"/>
    <cellStyle name="Normal 4 3 3 4 3" xfId="5162" xr:uid="{00000000-0005-0000-0000-00009D140000}"/>
    <cellStyle name="Normal 4 3 3 4 3 2" xfId="13601" xr:uid="{B0320579-CAF1-4989-B869-E97C165526D3}"/>
    <cellStyle name="Normal 4 3 3 4 4" xfId="9383" xr:uid="{91DADEBB-83AD-4B7C-B75E-55FE7495B332}"/>
    <cellStyle name="Normal 4 3 3 5" xfId="1267" xr:uid="{00000000-0005-0000-0000-00009E140000}"/>
    <cellStyle name="Normal 4 3 3 5 2" xfId="3497" xr:uid="{00000000-0005-0000-0000-00009F140000}"/>
    <cellStyle name="Normal 4 3 3 5 2 2" xfId="7720" xr:uid="{00000000-0005-0000-0000-0000A0140000}"/>
    <cellStyle name="Normal 4 3 3 5 2 2 2" xfId="16159" xr:uid="{EC0ACD90-EF4D-48F6-A738-CE76DECDD791}"/>
    <cellStyle name="Normal 4 3 3 5 2 3" xfId="11941" xr:uid="{939D1706-452C-4176-8F81-D6B88CB5BC7D}"/>
    <cellStyle name="Normal 4 3 3 5 3" xfId="5575" xr:uid="{00000000-0005-0000-0000-0000A1140000}"/>
    <cellStyle name="Normal 4 3 3 5 3 2" xfId="14014" xr:uid="{F433060B-AE24-4693-8A8E-F72FAFE6A382}"/>
    <cellStyle name="Normal 4 3 3 5 4" xfId="9796" xr:uid="{5A7D6E94-6708-49EE-B55E-D5C1AEF99806}"/>
    <cellStyle name="Normal 4 3 3 6" xfId="1680" xr:uid="{00000000-0005-0000-0000-0000A2140000}"/>
    <cellStyle name="Normal 4 3 3 6 2" xfId="3910" xr:uid="{00000000-0005-0000-0000-0000A3140000}"/>
    <cellStyle name="Normal 4 3 3 6 2 2" xfId="8133" xr:uid="{00000000-0005-0000-0000-0000A4140000}"/>
    <cellStyle name="Normal 4 3 3 6 2 2 2" xfId="16572" xr:uid="{DA8C5296-5AE6-4CE5-966E-D9F0439FABB3}"/>
    <cellStyle name="Normal 4 3 3 6 2 3" xfId="12354" xr:uid="{CEF3E95B-3D77-45E5-A58D-DF29DEAD6AB5}"/>
    <cellStyle name="Normal 4 3 3 6 3" xfId="5988" xr:uid="{00000000-0005-0000-0000-0000A5140000}"/>
    <cellStyle name="Normal 4 3 3 6 3 2" xfId="14427" xr:uid="{C76DA2B7-FB9D-48A0-A91E-22AC039FA997}"/>
    <cellStyle name="Normal 4 3 3 6 4" xfId="10209" xr:uid="{79C84CB5-A8E8-46CF-AB3A-841DB06B49EF}"/>
    <cellStyle name="Normal 4 3 3 7" xfId="2094" xr:uid="{00000000-0005-0000-0000-0000A6140000}"/>
    <cellStyle name="Normal 4 3 3 7 2" xfId="4323" xr:uid="{00000000-0005-0000-0000-0000A7140000}"/>
    <cellStyle name="Normal 4 3 3 7 2 2" xfId="8546" xr:uid="{00000000-0005-0000-0000-0000A8140000}"/>
    <cellStyle name="Normal 4 3 3 7 2 2 2" xfId="16985" xr:uid="{07C3F13F-E3D9-4C7A-8D73-7687474FDC0F}"/>
    <cellStyle name="Normal 4 3 3 7 2 3" xfId="12767" xr:uid="{10D41D32-2489-412F-9E88-95DA3DFEB17E}"/>
    <cellStyle name="Normal 4 3 3 7 3" xfId="6401" xr:uid="{00000000-0005-0000-0000-0000A9140000}"/>
    <cellStyle name="Normal 4 3 3 7 3 2" xfId="14840" xr:uid="{737A8DF3-1DED-49E3-ADA4-2BD1A2E88F82}"/>
    <cellStyle name="Normal 4 3 3 7 4" xfId="10622" xr:uid="{DB296561-A0F2-4D9A-AEF9-D06A50968399}"/>
    <cellStyle name="Normal 4 3 3 8" xfId="2530" xr:uid="{00000000-0005-0000-0000-0000AA140000}"/>
    <cellStyle name="Normal 4 3 3 8 2" xfId="6814" xr:uid="{00000000-0005-0000-0000-0000AB140000}"/>
    <cellStyle name="Normal 4 3 3 8 2 2" xfId="15253" xr:uid="{21A7447F-CD75-4B51-B31C-B49421EC867C}"/>
    <cellStyle name="Normal 4 3 3 8 3" xfId="11035" xr:uid="{97C91D36-AA90-4165-905B-8050B635619F}"/>
    <cellStyle name="Normal 4 3 3 9" xfId="4749" xr:uid="{00000000-0005-0000-0000-0000AC140000}"/>
    <cellStyle name="Normal 4 3 3 9 2" xfId="13188" xr:uid="{082218C3-7348-4BC0-9D8B-942B3943CCAC}"/>
    <cellStyle name="Normal 4 3 4" xfId="842" xr:uid="{00000000-0005-0000-0000-0000AD140000}"/>
    <cellStyle name="Normal 4 3 4 2" xfId="3079" xr:uid="{00000000-0005-0000-0000-0000AE140000}"/>
    <cellStyle name="Normal 4 3 4 2 2" xfId="7302" xr:uid="{00000000-0005-0000-0000-0000AF140000}"/>
    <cellStyle name="Normal 4 3 4 2 2 2" xfId="15741" xr:uid="{71F45F20-E93E-4B20-A0A8-1020E5359A00}"/>
    <cellStyle name="Normal 4 3 4 2 3" xfId="11523" xr:uid="{A9BD36E9-EA06-4A32-8893-D1CFD262B6B4}"/>
    <cellStyle name="Normal 4 3 4 3" xfId="5157" xr:uid="{00000000-0005-0000-0000-0000B0140000}"/>
    <cellStyle name="Normal 4 3 4 3 2" xfId="13596" xr:uid="{7395B049-5F4F-4CC6-85C5-0832E3AC3938}"/>
    <cellStyle name="Normal 4 3 4 4" xfId="9378" xr:uid="{6020DA3A-31C6-49F5-8CF2-9EB2D412ED9F}"/>
    <cellStyle name="Normal 4 3 5" xfId="1262" xr:uid="{00000000-0005-0000-0000-0000B1140000}"/>
    <cellStyle name="Normal 4 3 5 2" xfId="3492" xr:uid="{00000000-0005-0000-0000-0000B2140000}"/>
    <cellStyle name="Normal 4 3 5 2 2" xfId="7715" xr:uid="{00000000-0005-0000-0000-0000B3140000}"/>
    <cellStyle name="Normal 4 3 5 2 2 2" xfId="16154" xr:uid="{97A111BE-40FA-49E9-9789-51B53321232B}"/>
    <cellStyle name="Normal 4 3 5 2 3" xfId="11936" xr:uid="{8404DD21-4A3A-4B1D-8133-4620192B3FFB}"/>
    <cellStyle name="Normal 4 3 5 3" xfId="5570" xr:uid="{00000000-0005-0000-0000-0000B4140000}"/>
    <cellStyle name="Normal 4 3 5 3 2" xfId="14009" xr:uid="{73E57647-0F95-46EB-B760-F58018473892}"/>
    <cellStyle name="Normal 4 3 5 4" xfId="9791" xr:uid="{F6600159-584E-4E75-B49B-4DA74D85669F}"/>
    <cellStyle name="Normal 4 3 6" xfId="1675" xr:uid="{00000000-0005-0000-0000-0000B5140000}"/>
    <cellStyle name="Normal 4 3 6 2" xfId="3905" xr:uid="{00000000-0005-0000-0000-0000B6140000}"/>
    <cellStyle name="Normal 4 3 6 2 2" xfId="8128" xr:uid="{00000000-0005-0000-0000-0000B7140000}"/>
    <cellStyle name="Normal 4 3 6 2 2 2" xfId="16567" xr:uid="{BFCF994E-3AD7-4DF5-AA70-5DA3E564621A}"/>
    <cellStyle name="Normal 4 3 6 2 3" xfId="12349" xr:uid="{7FD1A522-3A05-4E14-AC8F-87A58283410C}"/>
    <cellStyle name="Normal 4 3 6 3" xfId="5983" xr:uid="{00000000-0005-0000-0000-0000B8140000}"/>
    <cellStyle name="Normal 4 3 6 3 2" xfId="14422" xr:uid="{E466BA48-1FE5-49CD-8F30-D173B4393218}"/>
    <cellStyle name="Normal 4 3 6 4" xfId="10204" xr:uid="{A5B7506B-CC8F-4ECC-9B09-5A6BBB2D941B}"/>
    <cellStyle name="Normal 4 3 7" xfId="2089" xr:uid="{00000000-0005-0000-0000-0000B9140000}"/>
    <cellStyle name="Normal 4 3 7 2" xfId="4318" xr:uid="{00000000-0005-0000-0000-0000BA140000}"/>
    <cellStyle name="Normal 4 3 7 2 2" xfId="8541" xr:uid="{00000000-0005-0000-0000-0000BB140000}"/>
    <cellStyle name="Normal 4 3 7 2 2 2" xfId="16980" xr:uid="{F11441AD-0321-4FBF-B0BC-552728E1631A}"/>
    <cellStyle name="Normal 4 3 7 2 3" xfId="12762" xr:uid="{1EDAA4D9-6796-476F-A565-3C8ED5326634}"/>
    <cellStyle name="Normal 4 3 7 3" xfId="6396" xr:uid="{00000000-0005-0000-0000-0000BC140000}"/>
    <cellStyle name="Normal 4 3 7 3 2" xfId="14835" xr:uid="{0B3699D1-D89E-4B43-B9DE-2242BE15AAA7}"/>
    <cellStyle name="Normal 4 3 7 4" xfId="10617" xr:uid="{CD3225CC-F7E7-4D50-9982-77BCB4C2B4CC}"/>
    <cellStyle name="Normal 4 3 8" xfId="2525" xr:uid="{00000000-0005-0000-0000-0000BD140000}"/>
    <cellStyle name="Normal 4 3 8 2" xfId="6809" xr:uid="{00000000-0005-0000-0000-0000BE140000}"/>
    <cellStyle name="Normal 4 3 8 2 2" xfId="15248" xr:uid="{AAD44B7E-C434-4A3A-8EFE-3519D648B882}"/>
    <cellStyle name="Normal 4 3 8 3" xfId="11030" xr:uid="{C557C0CC-A81A-4A1A-ABBC-924C6A3F95CA}"/>
    <cellStyle name="Normal 4 3 9" xfId="4744" xr:uid="{00000000-0005-0000-0000-0000BF140000}"/>
    <cellStyle name="Normal 4 3 9 2" xfId="13183" xr:uid="{8C6FAFE0-229C-449F-A9C4-EAC98623D746}"/>
    <cellStyle name="Normal 4 4" xfId="378" xr:uid="{00000000-0005-0000-0000-0000C0140000}"/>
    <cellStyle name="Normal 4 4 10" xfId="2534" xr:uid="{00000000-0005-0000-0000-0000C1140000}"/>
    <cellStyle name="Normal 4 4 10 2" xfId="6818" xr:uid="{00000000-0005-0000-0000-0000C2140000}"/>
    <cellStyle name="Normal 4 4 10 2 2" xfId="15257" xr:uid="{2E7B32CF-3D95-48F5-ACD0-3BAF90F1FB18}"/>
    <cellStyle name="Normal 4 4 10 3" xfId="11039" xr:uid="{F6007FF5-6D82-4D32-86AA-513FCAFAE193}"/>
    <cellStyle name="Normal 4 4 11" xfId="4753" xr:uid="{00000000-0005-0000-0000-0000C3140000}"/>
    <cellStyle name="Normal 4 4 11 2" xfId="13192" xr:uid="{B359267D-BC18-404D-807F-CB54A43ABAFF}"/>
    <cellStyle name="Normal 4 4 12" xfId="8974" xr:uid="{CF05260D-B128-45D1-B3FA-1CA4F4A1B39D}"/>
    <cellStyle name="Normal 4 4 2" xfId="379" xr:uid="{00000000-0005-0000-0000-0000C4140000}"/>
    <cellStyle name="Normal 4 4 2 10" xfId="4754" xr:uid="{00000000-0005-0000-0000-0000C5140000}"/>
    <cellStyle name="Normal 4 4 2 10 2" xfId="13193" xr:uid="{79EBE059-ABA8-4D9C-A4CC-E764D85540D9}"/>
    <cellStyle name="Normal 4 4 2 11" xfId="8975" xr:uid="{81AF2402-534D-4CA6-9E58-6F63CCECDADD}"/>
    <cellStyle name="Normal 4 4 2 2" xfId="380" xr:uid="{00000000-0005-0000-0000-0000C6140000}"/>
    <cellStyle name="Normal 4 4 2 2 10" xfId="8976" xr:uid="{55429058-04F7-498C-B63B-A2F66B63E4F8}"/>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4" xr:uid="{97CAAF6A-DC7D-4EB6-A41A-1F699829B1D0}"/>
    <cellStyle name="Normal 4 4 2 2 2 2 2 2 3" xfId="11536" xr:uid="{CDF15E12-D9BD-4576-B299-84422D25DC70}"/>
    <cellStyle name="Normal 4 4 2 2 2 2 2 3" xfId="5170" xr:uid="{00000000-0005-0000-0000-0000CC140000}"/>
    <cellStyle name="Normal 4 4 2 2 2 2 2 3 2" xfId="13609" xr:uid="{4BB9E625-EFC4-41DE-AEBD-9CD837907651}"/>
    <cellStyle name="Normal 4 4 2 2 2 2 2 4" xfId="9391" xr:uid="{A13A4513-97D8-4E4E-8A34-9ADF1174B97A}"/>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67" xr:uid="{0DEAE86F-D35B-47BD-A196-4D9E8FCC4E99}"/>
    <cellStyle name="Normal 4 4 2 2 2 2 3 2 3" xfId="11949" xr:uid="{A9F56436-FC1A-4132-8712-27AF103F1993}"/>
    <cellStyle name="Normal 4 4 2 2 2 2 3 3" xfId="5583" xr:uid="{00000000-0005-0000-0000-0000D0140000}"/>
    <cellStyle name="Normal 4 4 2 2 2 2 3 3 2" xfId="14022" xr:uid="{2CABA36E-1D89-4624-AE8F-AFB2EFD9D26C}"/>
    <cellStyle name="Normal 4 4 2 2 2 2 3 4" xfId="9804" xr:uid="{0517A18C-B695-4AD9-B2D6-AC424F9794F9}"/>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80" xr:uid="{849B1E23-332E-4313-8340-5F78E75C8888}"/>
    <cellStyle name="Normal 4 4 2 2 2 2 4 2 3" xfId="12362" xr:uid="{F59025CB-5990-475B-ABC4-7BBDC4EE116C}"/>
    <cellStyle name="Normal 4 4 2 2 2 2 4 3" xfId="5996" xr:uid="{00000000-0005-0000-0000-0000D4140000}"/>
    <cellStyle name="Normal 4 4 2 2 2 2 4 3 2" xfId="14435" xr:uid="{6257539C-2410-4819-B310-0A036E29F59C}"/>
    <cellStyle name="Normal 4 4 2 2 2 2 4 4" xfId="10217" xr:uid="{BABD503B-BDDE-44A0-8150-28276E7C413A}"/>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3" xr:uid="{FC3BC383-EF67-4BC4-927C-DC9787C19C54}"/>
    <cellStyle name="Normal 4 4 2 2 2 2 5 2 3" xfId="12775" xr:uid="{AB064C51-4825-446B-BDC5-C06F0EB82CBC}"/>
    <cellStyle name="Normal 4 4 2 2 2 2 5 3" xfId="6409" xr:uid="{00000000-0005-0000-0000-0000D8140000}"/>
    <cellStyle name="Normal 4 4 2 2 2 2 5 3 2" xfId="14848" xr:uid="{BDE6F347-330F-45F2-BAA7-84C2648F4673}"/>
    <cellStyle name="Normal 4 4 2 2 2 2 5 4" xfId="10630" xr:uid="{4C923ADF-9BA7-4306-B5C8-43F35C3FB2E3}"/>
    <cellStyle name="Normal 4 4 2 2 2 2 6" xfId="2538" xr:uid="{00000000-0005-0000-0000-0000D9140000}"/>
    <cellStyle name="Normal 4 4 2 2 2 2 6 2" xfId="6822" xr:uid="{00000000-0005-0000-0000-0000DA140000}"/>
    <cellStyle name="Normal 4 4 2 2 2 2 6 2 2" xfId="15261" xr:uid="{3F2E6A0B-EEFC-43A4-AE73-0D5E5815BE4F}"/>
    <cellStyle name="Normal 4 4 2 2 2 2 6 3" xfId="11043" xr:uid="{20FA5DE7-6E96-4D21-AF3A-3591907AF7B5}"/>
    <cellStyle name="Normal 4 4 2 2 2 2 7" xfId="4757" xr:uid="{00000000-0005-0000-0000-0000DB140000}"/>
    <cellStyle name="Normal 4 4 2 2 2 2 7 2" xfId="13196" xr:uid="{765209D7-F15B-4C98-83B3-F259EB20037B}"/>
    <cellStyle name="Normal 4 4 2 2 2 2 8" xfId="8978" xr:uid="{5A6CCAA0-32CA-411A-AC65-45392A42C93E}"/>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3" xr:uid="{650B334F-7135-4836-9AEB-D5CA906D55D8}"/>
    <cellStyle name="Normal 4 4 2 2 2 3 2 3" xfId="11535" xr:uid="{DC962274-D478-420C-9DB3-2787F37999BD}"/>
    <cellStyle name="Normal 4 4 2 2 2 3 3" xfId="5169" xr:uid="{00000000-0005-0000-0000-0000DF140000}"/>
    <cellStyle name="Normal 4 4 2 2 2 3 3 2" xfId="13608" xr:uid="{F262D6F8-BABF-4D83-8762-E7AE889BC97C}"/>
    <cellStyle name="Normal 4 4 2 2 2 3 4" xfId="9390" xr:uid="{39AC7701-A39D-491D-9DDE-4E38BF89781F}"/>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6" xr:uid="{E0D9A9B5-6B0C-4432-9F88-7FBF39E245B2}"/>
    <cellStyle name="Normal 4 4 2 2 2 4 2 3" xfId="11948" xr:uid="{10A5618A-9E1C-44BB-B22A-1134456A4A86}"/>
    <cellStyle name="Normal 4 4 2 2 2 4 3" xfId="5582" xr:uid="{00000000-0005-0000-0000-0000E3140000}"/>
    <cellStyle name="Normal 4 4 2 2 2 4 3 2" xfId="14021" xr:uid="{4E666E61-0765-436B-98D4-0B4285206AA6}"/>
    <cellStyle name="Normal 4 4 2 2 2 4 4" xfId="9803" xr:uid="{F8A8B655-5B4F-40BD-9346-6192138EC90B}"/>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79" xr:uid="{7BEF9987-47C4-484E-B7AF-BF1055CE0C19}"/>
    <cellStyle name="Normal 4 4 2 2 2 5 2 3" xfId="12361" xr:uid="{52AF2727-640A-4574-A4A4-7A7FB2C28BEC}"/>
    <cellStyle name="Normal 4 4 2 2 2 5 3" xfId="5995" xr:uid="{00000000-0005-0000-0000-0000E7140000}"/>
    <cellStyle name="Normal 4 4 2 2 2 5 3 2" xfId="14434" xr:uid="{C5334E69-B844-4C6E-940A-BDC81DAAE59B}"/>
    <cellStyle name="Normal 4 4 2 2 2 5 4" xfId="10216" xr:uid="{5A47ACF8-7938-4B5E-8CC2-4BA301EACF55}"/>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92" xr:uid="{8FD36454-3A9B-4291-B3CF-773499D261E6}"/>
    <cellStyle name="Normal 4 4 2 2 2 6 2 3" xfId="12774" xr:uid="{DED65A82-764D-4A20-9D3C-1A1E843D5AB4}"/>
    <cellStyle name="Normal 4 4 2 2 2 6 3" xfId="6408" xr:uid="{00000000-0005-0000-0000-0000EB140000}"/>
    <cellStyle name="Normal 4 4 2 2 2 6 3 2" xfId="14847" xr:uid="{66F0DAB8-35D9-4993-95A8-323C87B43CD1}"/>
    <cellStyle name="Normal 4 4 2 2 2 6 4" xfId="10629" xr:uid="{C9B39972-A5AC-456F-803D-CFE4AC5D745F}"/>
    <cellStyle name="Normal 4 4 2 2 2 7" xfId="2537" xr:uid="{00000000-0005-0000-0000-0000EC140000}"/>
    <cellStyle name="Normal 4 4 2 2 2 7 2" xfId="6821" xr:uid="{00000000-0005-0000-0000-0000ED140000}"/>
    <cellStyle name="Normal 4 4 2 2 2 7 2 2" xfId="15260" xr:uid="{3097E69D-65A7-4BC1-B9E8-64AC94136373}"/>
    <cellStyle name="Normal 4 4 2 2 2 7 3" xfId="11042" xr:uid="{8E1C6A5B-8B39-4310-BC0D-763C1C4A8B53}"/>
    <cellStyle name="Normal 4 4 2 2 2 8" xfId="4756" xr:uid="{00000000-0005-0000-0000-0000EE140000}"/>
    <cellStyle name="Normal 4 4 2 2 2 8 2" xfId="13195" xr:uid="{F90A7BE4-2002-433E-BFF7-95FF713216C0}"/>
    <cellStyle name="Normal 4 4 2 2 2 9" xfId="8977" xr:uid="{43927788-13F2-4F42-ACDE-9E29BA629D22}"/>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5" xr:uid="{5D395BF4-9C69-411E-B889-8B90EFB317DF}"/>
    <cellStyle name="Normal 4 4 2 2 3 2 2 3" xfId="11537" xr:uid="{841B39A9-7A61-4F17-9BEE-B55CA11545E7}"/>
    <cellStyle name="Normal 4 4 2 2 3 2 3" xfId="5171" xr:uid="{00000000-0005-0000-0000-0000F3140000}"/>
    <cellStyle name="Normal 4 4 2 2 3 2 3 2" xfId="13610" xr:uid="{0E945F8C-D3BA-4E7D-93D4-BFA403C6164D}"/>
    <cellStyle name="Normal 4 4 2 2 3 2 4" xfId="9392" xr:uid="{F2DD8A66-D181-4D40-9E49-EA9617982C7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68" xr:uid="{8364ABC0-F803-49DE-9A3E-6F3DC143EAF1}"/>
    <cellStyle name="Normal 4 4 2 2 3 3 2 3" xfId="11950" xr:uid="{EA878C05-0C5C-4EAC-B899-B0E54B6D84F3}"/>
    <cellStyle name="Normal 4 4 2 2 3 3 3" xfId="5584" xr:uid="{00000000-0005-0000-0000-0000F7140000}"/>
    <cellStyle name="Normal 4 4 2 2 3 3 3 2" xfId="14023" xr:uid="{6988087E-CFEC-4184-8D97-D97C3B1B9D55}"/>
    <cellStyle name="Normal 4 4 2 2 3 3 4" xfId="9805" xr:uid="{09AB721F-B12D-4398-AAE6-C024B876DC91}"/>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81" xr:uid="{10424BFB-9B2A-4A0E-8017-BC50D26D70B5}"/>
    <cellStyle name="Normal 4 4 2 2 3 4 2 3" xfId="12363" xr:uid="{8FEC0856-09DE-43EF-AFFD-C85D4D91FD5C}"/>
    <cellStyle name="Normal 4 4 2 2 3 4 3" xfId="5997" xr:uid="{00000000-0005-0000-0000-0000FB140000}"/>
    <cellStyle name="Normal 4 4 2 2 3 4 3 2" xfId="14436" xr:uid="{5E9A54C2-8775-4A85-A57F-B038524C87A3}"/>
    <cellStyle name="Normal 4 4 2 2 3 4 4" xfId="10218" xr:uid="{B3F3ACEA-99FF-4FE2-B11A-68188CB0CFD6}"/>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4" xr:uid="{66C01F64-ED8F-45F4-888B-B3E077EA3E2B}"/>
    <cellStyle name="Normal 4 4 2 2 3 5 2 3" xfId="12776" xr:uid="{D14CBCD3-BB84-4155-AF26-A858578C0BE8}"/>
    <cellStyle name="Normal 4 4 2 2 3 5 3" xfId="6410" xr:uid="{00000000-0005-0000-0000-0000FF140000}"/>
    <cellStyle name="Normal 4 4 2 2 3 5 3 2" xfId="14849" xr:uid="{05A20D03-1FB9-4FD4-AC17-B1839EA93213}"/>
    <cellStyle name="Normal 4 4 2 2 3 5 4" xfId="10631" xr:uid="{8B51F060-0870-4864-8A26-207ECFF0042A}"/>
    <cellStyle name="Normal 4 4 2 2 3 6" xfId="2539" xr:uid="{00000000-0005-0000-0000-000000150000}"/>
    <cellStyle name="Normal 4 4 2 2 3 6 2" xfId="6823" xr:uid="{00000000-0005-0000-0000-000001150000}"/>
    <cellStyle name="Normal 4 4 2 2 3 6 2 2" xfId="15262" xr:uid="{C9590F51-1290-453D-886B-AA1DCE6A8917}"/>
    <cellStyle name="Normal 4 4 2 2 3 6 3" xfId="11044" xr:uid="{A2F8FC4A-0767-4258-A3EC-A108ECDEDA90}"/>
    <cellStyle name="Normal 4 4 2 2 3 7" xfId="4758" xr:uid="{00000000-0005-0000-0000-000002150000}"/>
    <cellStyle name="Normal 4 4 2 2 3 7 2" xfId="13197" xr:uid="{AD184BBE-2BBC-4D2E-AC10-B86E8FD40E32}"/>
    <cellStyle name="Normal 4 4 2 2 3 8" xfId="8979" xr:uid="{825B49D0-6782-4877-9598-C6CA529C6240}"/>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52" xr:uid="{43AE4295-D2C7-4984-AF15-4E70978D5384}"/>
    <cellStyle name="Normal 4 4 2 2 4 2 3" xfId="11534" xr:uid="{F9D87300-D2DC-48BB-8983-8928276DA5AB}"/>
    <cellStyle name="Normal 4 4 2 2 4 3" xfId="5168" xr:uid="{00000000-0005-0000-0000-000006150000}"/>
    <cellStyle name="Normal 4 4 2 2 4 3 2" xfId="13607" xr:uid="{6343E998-9FAE-48D6-852D-96A0F12CF0B0}"/>
    <cellStyle name="Normal 4 4 2 2 4 4" xfId="9389" xr:uid="{CC15BB18-2EBB-4CDA-B0D2-0F1D61F38629}"/>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5" xr:uid="{CB141AE2-D53D-4FC0-A5FD-F771923C1F6C}"/>
    <cellStyle name="Normal 4 4 2 2 5 2 3" xfId="11947" xr:uid="{3810A8A7-2B36-43A5-AABA-90DD99D81B34}"/>
    <cellStyle name="Normal 4 4 2 2 5 3" xfId="5581" xr:uid="{00000000-0005-0000-0000-00000A150000}"/>
    <cellStyle name="Normal 4 4 2 2 5 3 2" xfId="14020" xr:uid="{18D75657-C78C-4EE6-B58F-FCB6726EC683}"/>
    <cellStyle name="Normal 4 4 2 2 5 4" xfId="9802" xr:uid="{D049A7F5-C2F5-44D4-A649-CF592430AED3}"/>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78" xr:uid="{CAFD3012-3B9E-4FEE-BF37-5CEF5496D58F}"/>
    <cellStyle name="Normal 4 4 2 2 6 2 3" xfId="12360" xr:uid="{CE2429F1-E4C2-4042-BCAE-2B8F0D75D28B}"/>
    <cellStyle name="Normal 4 4 2 2 6 3" xfId="5994" xr:uid="{00000000-0005-0000-0000-00000E150000}"/>
    <cellStyle name="Normal 4 4 2 2 6 3 2" xfId="14433" xr:uid="{4BD57F8B-2BF2-4288-9C30-A51119E7E39F}"/>
    <cellStyle name="Normal 4 4 2 2 6 4" xfId="10215" xr:uid="{316BC114-F8C2-46EB-9C0F-6E816089A784}"/>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91" xr:uid="{8310A20E-4781-497B-93FD-222AF05D8EB6}"/>
    <cellStyle name="Normal 4 4 2 2 7 2 3" xfId="12773" xr:uid="{BDE7E242-18B8-416B-B4FE-A5EC54831390}"/>
    <cellStyle name="Normal 4 4 2 2 7 3" xfId="6407" xr:uid="{00000000-0005-0000-0000-000012150000}"/>
    <cellStyle name="Normal 4 4 2 2 7 3 2" xfId="14846" xr:uid="{04F8A81D-C097-475C-8268-6049F1C07FA0}"/>
    <cellStyle name="Normal 4 4 2 2 7 4" xfId="10628" xr:uid="{8C438467-7031-4E25-9167-08AFC7DC681F}"/>
    <cellStyle name="Normal 4 4 2 2 8" xfId="2536" xr:uid="{00000000-0005-0000-0000-000013150000}"/>
    <cellStyle name="Normal 4 4 2 2 8 2" xfId="6820" xr:uid="{00000000-0005-0000-0000-000014150000}"/>
    <cellStyle name="Normal 4 4 2 2 8 2 2" xfId="15259" xr:uid="{37776107-2F4B-49D0-AF10-79375B5F3615}"/>
    <cellStyle name="Normal 4 4 2 2 8 3" xfId="11041" xr:uid="{14399C44-E95E-445E-BBFD-06FEF19B16E1}"/>
    <cellStyle name="Normal 4 4 2 2 9" xfId="4755" xr:uid="{00000000-0005-0000-0000-000015150000}"/>
    <cellStyle name="Normal 4 4 2 2 9 2" xfId="13194" xr:uid="{133A3DFE-798C-4DF8-AB1E-DA5FD37DB784}"/>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57" xr:uid="{0B930BA7-6CBE-4DD8-9C5F-5A769288CF32}"/>
    <cellStyle name="Normal 4 4 2 3 2 2 2 3" xfId="11539" xr:uid="{40565F71-F149-4E6D-9041-43E9F362E120}"/>
    <cellStyle name="Normal 4 4 2 3 2 2 3" xfId="5173" xr:uid="{00000000-0005-0000-0000-00001B150000}"/>
    <cellStyle name="Normal 4 4 2 3 2 2 3 2" xfId="13612" xr:uid="{73D26D30-4687-41E4-9458-95B702530B22}"/>
    <cellStyle name="Normal 4 4 2 3 2 2 4" xfId="9394" xr:uid="{527934AE-E05F-4F5A-8D11-4332BB51FF91}"/>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70" xr:uid="{85C8832F-B346-499F-ABC9-E92056019430}"/>
    <cellStyle name="Normal 4 4 2 3 2 3 2 3" xfId="11952" xr:uid="{74E27C99-7FB5-43FF-868C-1479F93228C4}"/>
    <cellStyle name="Normal 4 4 2 3 2 3 3" xfId="5586" xr:uid="{00000000-0005-0000-0000-00001F150000}"/>
    <cellStyle name="Normal 4 4 2 3 2 3 3 2" xfId="14025" xr:uid="{59972F3F-2486-479A-8B27-1BCA7F6BC813}"/>
    <cellStyle name="Normal 4 4 2 3 2 3 4" xfId="9807" xr:uid="{C76753F3-58B0-4E65-890B-5997D4671A35}"/>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3" xr:uid="{C8B87869-0080-40EE-9F5B-A6A8B8FFA580}"/>
    <cellStyle name="Normal 4 4 2 3 2 4 2 3" xfId="12365" xr:uid="{FE9F5EDD-D785-4810-ADC0-C449F88851CB}"/>
    <cellStyle name="Normal 4 4 2 3 2 4 3" xfId="5999" xr:uid="{00000000-0005-0000-0000-000023150000}"/>
    <cellStyle name="Normal 4 4 2 3 2 4 3 2" xfId="14438" xr:uid="{876F5C1C-3CCA-4C94-BE7C-E6F733949D7A}"/>
    <cellStyle name="Normal 4 4 2 3 2 4 4" xfId="10220" xr:uid="{4B8692B3-B61D-4488-9915-D4A3D4C9B314}"/>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6" xr:uid="{6AAA57D3-FDF9-46BC-A70D-1D948FD33198}"/>
    <cellStyle name="Normal 4 4 2 3 2 5 2 3" xfId="12778" xr:uid="{E5D4B146-8FF6-4379-A45F-D69E05F30E8F}"/>
    <cellStyle name="Normal 4 4 2 3 2 5 3" xfId="6412" xr:uid="{00000000-0005-0000-0000-000027150000}"/>
    <cellStyle name="Normal 4 4 2 3 2 5 3 2" xfId="14851" xr:uid="{D33ED44A-34FF-4BDA-9022-3E31CC735196}"/>
    <cellStyle name="Normal 4 4 2 3 2 5 4" xfId="10633" xr:uid="{9181B8C7-1EE7-4496-88FA-D3253AAF49C4}"/>
    <cellStyle name="Normal 4 4 2 3 2 6" xfId="2541" xr:uid="{00000000-0005-0000-0000-000028150000}"/>
    <cellStyle name="Normal 4 4 2 3 2 6 2" xfId="6825" xr:uid="{00000000-0005-0000-0000-000029150000}"/>
    <cellStyle name="Normal 4 4 2 3 2 6 2 2" xfId="15264" xr:uid="{5125A59D-CD70-46C2-BEED-80F069736C56}"/>
    <cellStyle name="Normal 4 4 2 3 2 6 3" xfId="11046" xr:uid="{7E2CF402-E8FC-493B-82EC-7308672EBC93}"/>
    <cellStyle name="Normal 4 4 2 3 2 7" xfId="4760" xr:uid="{00000000-0005-0000-0000-00002A150000}"/>
    <cellStyle name="Normal 4 4 2 3 2 7 2" xfId="13199" xr:uid="{7737162E-9594-46F2-9C73-4E9EA456AEFB}"/>
    <cellStyle name="Normal 4 4 2 3 2 8" xfId="8981" xr:uid="{D3AFE6B5-6EEF-4C18-BCF3-86764E094629}"/>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6" xr:uid="{1077D811-9925-47BC-BCAD-EF64864CC487}"/>
    <cellStyle name="Normal 4 4 2 3 3 2 3" xfId="11538" xr:uid="{190EFA2A-6566-4B13-A09D-B72E69921FEE}"/>
    <cellStyle name="Normal 4 4 2 3 3 3" xfId="5172" xr:uid="{00000000-0005-0000-0000-00002E150000}"/>
    <cellStyle name="Normal 4 4 2 3 3 3 2" xfId="13611" xr:uid="{2E0EF663-AE99-46F5-A959-7422D2B5306C}"/>
    <cellStyle name="Normal 4 4 2 3 3 4" xfId="9393" xr:uid="{A5B035DC-08A6-4F37-BFB5-B4AED47E6604}"/>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69" xr:uid="{E1710DFC-46FD-4BEA-8AAA-EC39F77E34E1}"/>
    <cellStyle name="Normal 4 4 2 3 4 2 3" xfId="11951" xr:uid="{DE4766A3-03D9-4837-A316-EF007D58E340}"/>
    <cellStyle name="Normal 4 4 2 3 4 3" xfId="5585" xr:uid="{00000000-0005-0000-0000-000032150000}"/>
    <cellStyle name="Normal 4 4 2 3 4 3 2" xfId="14024" xr:uid="{00462453-8F6E-41C2-A44A-C3D7CA416AB8}"/>
    <cellStyle name="Normal 4 4 2 3 4 4" xfId="9806" xr:uid="{BD2D2DA3-DC9E-4BC5-985A-D8306C4B7246}"/>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82" xr:uid="{545AE07F-9707-4219-B4CA-A4E9599B69A3}"/>
    <cellStyle name="Normal 4 4 2 3 5 2 3" xfId="12364" xr:uid="{952C1932-B62E-489C-BAFC-2DFC81009A2A}"/>
    <cellStyle name="Normal 4 4 2 3 5 3" xfId="5998" xr:uid="{00000000-0005-0000-0000-000036150000}"/>
    <cellStyle name="Normal 4 4 2 3 5 3 2" xfId="14437" xr:uid="{3817897A-6C3A-420A-9E88-A7EAC118831A}"/>
    <cellStyle name="Normal 4 4 2 3 5 4" xfId="10219" xr:uid="{8AE6FA2A-CABF-444C-BA65-0D9FADC5A37C}"/>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5" xr:uid="{B8B2AE46-E0F5-43FB-81D8-B32F5C5C780F}"/>
    <cellStyle name="Normal 4 4 2 3 6 2 3" xfId="12777" xr:uid="{E6F70CC3-47D2-4AFB-8855-A2DFBAD4A7D4}"/>
    <cellStyle name="Normal 4 4 2 3 6 3" xfId="6411" xr:uid="{00000000-0005-0000-0000-00003A150000}"/>
    <cellStyle name="Normal 4 4 2 3 6 3 2" xfId="14850" xr:uid="{3738E1BD-FF48-4190-ACB2-7ABE506B971B}"/>
    <cellStyle name="Normal 4 4 2 3 6 4" xfId="10632" xr:uid="{02A03BE2-ADED-4F87-8A2C-FC7EC686175C}"/>
    <cellStyle name="Normal 4 4 2 3 7" xfId="2540" xr:uid="{00000000-0005-0000-0000-00003B150000}"/>
    <cellStyle name="Normal 4 4 2 3 7 2" xfId="6824" xr:uid="{00000000-0005-0000-0000-00003C150000}"/>
    <cellStyle name="Normal 4 4 2 3 7 2 2" xfId="15263" xr:uid="{EF6DAA22-7BBE-4917-A309-538F4CBDA1F5}"/>
    <cellStyle name="Normal 4 4 2 3 7 3" xfId="11045" xr:uid="{F4905983-4B51-4306-B3E1-99332CB9A8CA}"/>
    <cellStyle name="Normal 4 4 2 3 8" xfId="4759" xr:uid="{00000000-0005-0000-0000-00003D150000}"/>
    <cellStyle name="Normal 4 4 2 3 8 2" xfId="13198" xr:uid="{C3644656-56AD-41DF-9685-55ACDFF6CCDC}"/>
    <cellStyle name="Normal 4 4 2 3 9" xfId="8980" xr:uid="{E2627CF7-CFF0-440B-B461-060DAF9F5D05}"/>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58" xr:uid="{84EEA796-67FA-4574-879A-CEFA1FF925AA}"/>
    <cellStyle name="Normal 4 4 2 4 2 2 3" xfId="11540" xr:uid="{BA547B95-8B38-402B-BD6A-D901CD3A6083}"/>
    <cellStyle name="Normal 4 4 2 4 2 3" xfId="5174" xr:uid="{00000000-0005-0000-0000-000042150000}"/>
    <cellStyle name="Normal 4 4 2 4 2 3 2" xfId="13613" xr:uid="{CB3E3C1F-0C0A-4191-BCED-CCB35CFFC230}"/>
    <cellStyle name="Normal 4 4 2 4 2 4" xfId="9395" xr:uid="{A3E42851-3C54-4155-B26F-82846892AD40}"/>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71" xr:uid="{06DB446A-9861-4F65-88B5-46FD8FEAA42C}"/>
    <cellStyle name="Normal 4 4 2 4 3 2 3" xfId="11953" xr:uid="{A1656EF8-9D3F-4B1F-8A15-EEE07B8A1BCA}"/>
    <cellStyle name="Normal 4 4 2 4 3 3" xfId="5587" xr:uid="{00000000-0005-0000-0000-000046150000}"/>
    <cellStyle name="Normal 4 4 2 4 3 3 2" xfId="14026" xr:uid="{EDEF69DD-3C32-405D-9D3C-ECD5B6469E8F}"/>
    <cellStyle name="Normal 4 4 2 4 3 4" xfId="9808" xr:uid="{C2CE6DDE-2107-4859-B1A4-8CE9D1CC2AD4}"/>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4" xr:uid="{904D1D06-C31B-49D2-B8F1-B13624B0EAAA}"/>
    <cellStyle name="Normal 4 4 2 4 4 2 3" xfId="12366" xr:uid="{BFBA2DFC-4699-452C-9789-007727806FD3}"/>
    <cellStyle name="Normal 4 4 2 4 4 3" xfId="6000" xr:uid="{00000000-0005-0000-0000-00004A150000}"/>
    <cellStyle name="Normal 4 4 2 4 4 3 2" xfId="14439" xr:uid="{5C5C06D1-6E6F-4A18-B4D6-E77FBD51F028}"/>
    <cellStyle name="Normal 4 4 2 4 4 4" xfId="10221" xr:uid="{4D3AD462-EBE1-47CA-A723-7F099CA7E0EA}"/>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6997" xr:uid="{A7DAA7D5-20D0-4F71-A4BF-5E8296BC5891}"/>
    <cellStyle name="Normal 4 4 2 4 5 2 3" xfId="12779" xr:uid="{19F44894-63FC-4021-AD31-C5891BFD522B}"/>
    <cellStyle name="Normal 4 4 2 4 5 3" xfId="6413" xr:uid="{00000000-0005-0000-0000-00004E150000}"/>
    <cellStyle name="Normal 4 4 2 4 5 3 2" xfId="14852" xr:uid="{58DB9509-C2D6-4AB1-9289-908DAA023FCC}"/>
    <cellStyle name="Normal 4 4 2 4 5 4" xfId="10634" xr:uid="{48596E81-282C-42E0-96D9-B4A9EB91BB12}"/>
    <cellStyle name="Normal 4 4 2 4 6" xfId="2542" xr:uid="{00000000-0005-0000-0000-00004F150000}"/>
    <cellStyle name="Normal 4 4 2 4 6 2" xfId="6826" xr:uid="{00000000-0005-0000-0000-000050150000}"/>
    <cellStyle name="Normal 4 4 2 4 6 2 2" xfId="15265" xr:uid="{A4633D55-8D1D-43E9-BD91-3711C4238FC5}"/>
    <cellStyle name="Normal 4 4 2 4 6 3" xfId="11047" xr:uid="{3ADBCA58-5275-4FF3-BC87-BCE73286F64A}"/>
    <cellStyle name="Normal 4 4 2 4 7" xfId="4761" xr:uid="{00000000-0005-0000-0000-000051150000}"/>
    <cellStyle name="Normal 4 4 2 4 7 2" xfId="13200" xr:uid="{4FF5B79D-C678-411E-8AFC-5C62E32DB9FF}"/>
    <cellStyle name="Normal 4 4 2 4 8" xfId="8982" xr:uid="{C2602627-93DC-446D-A567-BB19510F6869}"/>
    <cellStyle name="Normal 4 4 2 5" xfId="854" xr:uid="{00000000-0005-0000-0000-000052150000}"/>
    <cellStyle name="Normal 4 4 2 5 2" xfId="3089" xr:uid="{00000000-0005-0000-0000-000053150000}"/>
    <cellStyle name="Normal 4 4 2 5 2 2" xfId="7312" xr:uid="{00000000-0005-0000-0000-000054150000}"/>
    <cellStyle name="Normal 4 4 2 5 2 2 2" xfId="15751" xr:uid="{7B31939E-7109-496B-91F2-D8B81ECF200C}"/>
    <cellStyle name="Normal 4 4 2 5 2 3" xfId="11533" xr:uid="{EDA37CFC-43DA-422B-BBF4-219BC4F493F8}"/>
    <cellStyle name="Normal 4 4 2 5 3" xfId="5167" xr:uid="{00000000-0005-0000-0000-000055150000}"/>
    <cellStyle name="Normal 4 4 2 5 3 2" xfId="13606" xr:uid="{1690C3A3-3F5B-487E-9F28-8F1D7AD09E14}"/>
    <cellStyle name="Normal 4 4 2 5 4" xfId="9388" xr:uid="{6BCDC39B-43EF-4FB3-A6CF-16EEA3E0BA2E}"/>
    <cellStyle name="Normal 4 4 2 6" xfId="1272" xr:uid="{00000000-0005-0000-0000-000056150000}"/>
    <cellStyle name="Normal 4 4 2 6 2" xfId="3502" xr:uid="{00000000-0005-0000-0000-000057150000}"/>
    <cellStyle name="Normal 4 4 2 6 2 2" xfId="7725" xr:uid="{00000000-0005-0000-0000-000058150000}"/>
    <cellStyle name="Normal 4 4 2 6 2 2 2" xfId="16164" xr:uid="{67210753-C6C8-462A-ACA1-FAC101317BE1}"/>
    <cellStyle name="Normal 4 4 2 6 2 3" xfId="11946" xr:uid="{9D92079B-8ADC-47CC-A0D3-BBE7D2008CB0}"/>
    <cellStyle name="Normal 4 4 2 6 3" xfId="5580" xr:uid="{00000000-0005-0000-0000-000059150000}"/>
    <cellStyle name="Normal 4 4 2 6 3 2" xfId="14019" xr:uid="{501C828C-AE1E-4655-BF2B-2847D0798638}"/>
    <cellStyle name="Normal 4 4 2 6 4" xfId="9801" xr:uid="{2DAF3E4F-7380-4596-AD11-139D3A29B2DD}"/>
    <cellStyle name="Normal 4 4 2 7" xfId="1685" xr:uid="{00000000-0005-0000-0000-00005A150000}"/>
    <cellStyle name="Normal 4 4 2 7 2" xfId="3915" xr:uid="{00000000-0005-0000-0000-00005B150000}"/>
    <cellStyle name="Normal 4 4 2 7 2 2" xfId="8138" xr:uid="{00000000-0005-0000-0000-00005C150000}"/>
    <cellStyle name="Normal 4 4 2 7 2 2 2" xfId="16577" xr:uid="{F8BD8F67-BBF8-4D1C-BE26-3E5AC35909EF}"/>
    <cellStyle name="Normal 4 4 2 7 2 3" xfId="12359" xr:uid="{1AF39591-1A8B-4C28-970E-53F74D1D0355}"/>
    <cellStyle name="Normal 4 4 2 7 3" xfId="5993" xr:uid="{00000000-0005-0000-0000-00005D150000}"/>
    <cellStyle name="Normal 4 4 2 7 3 2" xfId="14432" xr:uid="{C656FB30-F0A8-44E0-8011-5D966DC67AD5}"/>
    <cellStyle name="Normal 4 4 2 7 4" xfId="10214" xr:uid="{A325F1F7-3CE6-4737-A2C2-07664201278C}"/>
    <cellStyle name="Normal 4 4 2 8" xfId="2099" xr:uid="{00000000-0005-0000-0000-00005E150000}"/>
    <cellStyle name="Normal 4 4 2 8 2" xfId="4328" xr:uid="{00000000-0005-0000-0000-00005F150000}"/>
    <cellStyle name="Normal 4 4 2 8 2 2" xfId="8551" xr:uid="{00000000-0005-0000-0000-000060150000}"/>
    <cellStyle name="Normal 4 4 2 8 2 2 2" xfId="16990" xr:uid="{FE4AFA33-1734-49ED-96C1-C2BF5844C280}"/>
    <cellStyle name="Normal 4 4 2 8 2 3" xfId="12772" xr:uid="{3408D26C-22CC-48FD-AFB3-A95ED07F8DD4}"/>
    <cellStyle name="Normal 4 4 2 8 3" xfId="6406" xr:uid="{00000000-0005-0000-0000-000061150000}"/>
    <cellStyle name="Normal 4 4 2 8 3 2" xfId="14845" xr:uid="{F53C729F-262F-4BEE-A63E-5C9E199E8812}"/>
    <cellStyle name="Normal 4 4 2 8 4" xfId="10627" xr:uid="{05550638-04BD-46E4-BB70-A65FFB096D45}"/>
    <cellStyle name="Normal 4 4 2 9" xfId="2535" xr:uid="{00000000-0005-0000-0000-000062150000}"/>
    <cellStyle name="Normal 4 4 2 9 2" xfId="6819" xr:uid="{00000000-0005-0000-0000-000063150000}"/>
    <cellStyle name="Normal 4 4 2 9 2 2" xfId="15258" xr:uid="{9F9ED4D5-F2AA-4845-A05B-DAB5D99D5B96}"/>
    <cellStyle name="Normal 4 4 2 9 3" xfId="11040" xr:uid="{E1DE052C-0676-42AE-98C8-2516C39A84E5}"/>
    <cellStyle name="Normal 4 4 3" xfId="387" xr:uid="{00000000-0005-0000-0000-000064150000}"/>
    <cellStyle name="Normal 4 4 3 10" xfId="8983" xr:uid="{DDA5EC7E-839D-406E-8C00-4A2C518EBBC3}"/>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61" xr:uid="{7DBA2E37-BF33-4A7D-A89C-B285376F63FB}"/>
    <cellStyle name="Normal 4 4 3 2 2 2 2 3" xfId="11543" xr:uid="{C89EEA1E-914B-47D9-9E15-FF231EBC921E}"/>
    <cellStyle name="Normal 4 4 3 2 2 2 3" xfId="5177" xr:uid="{00000000-0005-0000-0000-00006A150000}"/>
    <cellStyle name="Normal 4 4 3 2 2 2 3 2" xfId="13616" xr:uid="{00D2B232-086E-4536-90BD-D1AFC957D27D}"/>
    <cellStyle name="Normal 4 4 3 2 2 2 4" xfId="9398" xr:uid="{94A23148-F799-4A72-9ACF-AE20C6BD386B}"/>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4" xr:uid="{8299E950-D118-4E62-B64E-F8B934EF11FA}"/>
    <cellStyle name="Normal 4 4 3 2 2 3 2 3" xfId="11956" xr:uid="{6907AC26-7A1E-4CFD-805B-7336B5E68F15}"/>
    <cellStyle name="Normal 4 4 3 2 2 3 3" xfId="5590" xr:uid="{00000000-0005-0000-0000-00006E150000}"/>
    <cellStyle name="Normal 4 4 3 2 2 3 3 2" xfId="14029" xr:uid="{239100B6-2282-47A2-BEB6-F26385517B30}"/>
    <cellStyle name="Normal 4 4 3 2 2 3 4" xfId="9811" xr:uid="{B4706C10-EE6C-4649-81F1-12250FB01DEB}"/>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87" xr:uid="{8D08EAC0-0922-4040-91AB-E1A005B08805}"/>
    <cellStyle name="Normal 4 4 3 2 2 4 2 3" xfId="12369" xr:uid="{E95BB231-35D8-4F09-AAAC-9AA32F80B42D}"/>
    <cellStyle name="Normal 4 4 3 2 2 4 3" xfId="6003" xr:uid="{00000000-0005-0000-0000-000072150000}"/>
    <cellStyle name="Normal 4 4 3 2 2 4 3 2" xfId="14442" xr:uid="{5554C030-F4F2-4702-B6D0-C3020049D765}"/>
    <cellStyle name="Normal 4 4 3 2 2 4 4" xfId="10224" xr:uid="{367278CD-A60C-4283-8107-0F68A5A9D83E}"/>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7000" xr:uid="{693647D4-BC90-4E0B-8168-6D386FBE81FE}"/>
    <cellStyle name="Normal 4 4 3 2 2 5 2 3" xfId="12782" xr:uid="{DE16B3FD-613A-4B43-9773-09AA3BDEE108}"/>
    <cellStyle name="Normal 4 4 3 2 2 5 3" xfId="6416" xr:uid="{00000000-0005-0000-0000-000076150000}"/>
    <cellStyle name="Normal 4 4 3 2 2 5 3 2" xfId="14855" xr:uid="{A587FBB9-5FA3-44E5-AF14-07DB3BB43426}"/>
    <cellStyle name="Normal 4 4 3 2 2 5 4" xfId="10637" xr:uid="{FEB0FD9F-27EB-4BB5-A762-CD3EC5184A09}"/>
    <cellStyle name="Normal 4 4 3 2 2 6" xfId="2545" xr:uid="{00000000-0005-0000-0000-000077150000}"/>
    <cellStyle name="Normal 4 4 3 2 2 6 2" xfId="6829" xr:uid="{00000000-0005-0000-0000-000078150000}"/>
    <cellStyle name="Normal 4 4 3 2 2 6 2 2" xfId="15268" xr:uid="{0304EF67-10B4-4D4F-8FC1-5783C22681CA}"/>
    <cellStyle name="Normal 4 4 3 2 2 6 3" xfId="11050" xr:uid="{9EBC857B-8C63-4E82-AB3B-5137FC9B305D}"/>
    <cellStyle name="Normal 4 4 3 2 2 7" xfId="4764" xr:uid="{00000000-0005-0000-0000-000079150000}"/>
    <cellStyle name="Normal 4 4 3 2 2 7 2" xfId="13203" xr:uid="{70A46769-77B3-4D79-BDA9-E580ABCBE61D}"/>
    <cellStyle name="Normal 4 4 3 2 2 8" xfId="8985" xr:uid="{D9165618-523C-4D28-AE41-0A67909E44F2}"/>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60" xr:uid="{2B4E0803-C72F-4595-915A-A715506E86F2}"/>
    <cellStyle name="Normal 4 4 3 2 3 2 3" xfId="11542" xr:uid="{20E992E1-575F-4587-9A27-885A976B0942}"/>
    <cellStyle name="Normal 4 4 3 2 3 3" xfId="5176" xr:uid="{00000000-0005-0000-0000-00007D150000}"/>
    <cellStyle name="Normal 4 4 3 2 3 3 2" xfId="13615" xr:uid="{C64A0C94-7FCF-453E-9469-9157C30BDAF6}"/>
    <cellStyle name="Normal 4 4 3 2 3 4" xfId="9397" xr:uid="{788C4565-0D21-47D7-92C6-51207623C17E}"/>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3" xr:uid="{F2A53BD3-2B2B-46E3-887E-EF77B5EA2697}"/>
    <cellStyle name="Normal 4 4 3 2 4 2 3" xfId="11955" xr:uid="{38C222DA-D05C-4B08-9067-04E8AB560B3D}"/>
    <cellStyle name="Normal 4 4 3 2 4 3" xfId="5589" xr:uid="{00000000-0005-0000-0000-000081150000}"/>
    <cellStyle name="Normal 4 4 3 2 4 3 2" xfId="14028" xr:uid="{A6502D3A-89BB-4594-B341-24C2A15E4E10}"/>
    <cellStyle name="Normal 4 4 3 2 4 4" xfId="9810" xr:uid="{CCFF136F-9D06-417E-B0E6-E2B8F8958E0C}"/>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6" xr:uid="{AF01CD02-6F8B-45EA-A2B2-9B97EF19C3C8}"/>
    <cellStyle name="Normal 4 4 3 2 5 2 3" xfId="12368" xr:uid="{FBE8BC29-2BEB-4E28-9623-DA9BC834D764}"/>
    <cellStyle name="Normal 4 4 3 2 5 3" xfId="6002" xr:uid="{00000000-0005-0000-0000-000085150000}"/>
    <cellStyle name="Normal 4 4 3 2 5 3 2" xfId="14441" xr:uid="{59D89B07-9FE1-420F-A1E8-0242F3886DF7}"/>
    <cellStyle name="Normal 4 4 3 2 5 4" xfId="10223" xr:uid="{981D0AF2-4B09-4966-9091-221F176667FA}"/>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6999" xr:uid="{ED116365-08FA-4850-8155-306402B9CB43}"/>
    <cellStyle name="Normal 4 4 3 2 6 2 3" xfId="12781" xr:uid="{87FF313A-1A30-422E-8C9A-011361BD0E4A}"/>
    <cellStyle name="Normal 4 4 3 2 6 3" xfId="6415" xr:uid="{00000000-0005-0000-0000-000089150000}"/>
    <cellStyle name="Normal 4 4 3 2 6 3 2" xfId="14854" xr:uid="{7931CAA4-648E-4F89-99E6-D6F0B7CAEB5E}"/>
    <cellStyle name="Normal 4 4 3 2 6 4" xfId="10636" xr:uid="{53A5E290-DF7F-4E2B-B81C-CB9AD868F80D}"/>
    <cellStyle name="Normal 4 4 3 2 7" xfId="2544" xr:uid="{00000000-0005-0000-0000-00008A150000}"/>
    <cellStyle name="Normal 4 4 3 2 7 2" xfId="6828" xr:uid="{00000000-0005-0000-0000-00008B150000}"/>
    <cellStyle name="Normal 4 4 3 2 7 2 2" xfId="15267" xr:uid="{3AF88071-C1E0-4D5A-9B51-069C82ACAC2A}"/>
    <cellStyle name="Normal 4 4 3 2 7 3" xfId="11049" xr:uid="{2B80C8EE-C8A4-4B87-80A6-60D4AE379267}"/>
    <cellStyle name="Normal 4 4 3 2 8" xfId="4763" xr:uid="{00000000-0005-0000-0000-00008C150000}"/>
    <cellStyle name="Normal 4 4 3 2 8 2" xfId="13202" xr:uid="{19386831-C14B-4955-90CF-D39D8AD08A29}"/>
    <cellStyle name="Normal 4 4 3 2 9" xfId="8984" xr:uid="{E1F9170C-A7D0-4731-9E32-79EBFAC3D323}"/>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62" xr:uid="{FC1E6360-D5B5-4745-82F1-262E6D1BC000}"/>
    <cellStyle name="Normal 4 4 3 3 2 2 3" xfId="11544" xr:uid="{C13DEBB0-2C34-4BE1-A9C3-CD1D7E534D38}"/>
    <cellStyle name="Normal 4 4 3 3 2 3" xfId="5178" xr:uid="{00000000-0005-0000-0000-000091150000}"/>
    <cellStyle name="Normal 4 4 3 3 2 3 2" xfId="13617" xr:uid="{B2FA7B8C-0239-4ABA-B54A-CE4C66540ADF}"/>
    <cellStyle name="Normal 4 4 3 3 2 4" xfId="9399" xr:uid="{3B21E3E8-570D-4A7E-96B0-98915F8076B6}"/>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5" xr:uid="{0DA558C9-65C1-4628-84E7-596FB2EA8E3C}"/>
    <cellStyle name="Normal 4 4 3 3 3 2 3" xfId="11957" xr:uid="{8328E24E-7CE5-442C-80F7-8F6DF2BC9B4A}"/>
    <cellStyle name="Normal 4 4 3 3 3 3" xfId="5591" xr:uid="{00000000-0005-0000-0000-000095150000}"/>
    <cellStyle name="Normal 4 4 3 3 3 3 2" xfId="14030" xr:uid="{64BBF45C-CA0E-4917-A6C8-EA62258D4F42}"/>
    <cellStyle name="Normal 4 4 3 3 3 4" xfId="9812" xr:uid="{9E1052F6-53AC-47F2-9003-BAC6FDD8BDB4}"/>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88" xr:uid="{535235DA-B36F-474F-A9AD-B9AC8319D27F}"/>
    <cellStyle name="Normal 4 4 3 3 4 2 3" xfId="12370" xr:uid="{054CDC05-39D3-40B2-A0F7-12ED0A366188}"/>
    <cellStyle name="Normal 4 4 3 3 4 3" xfId="6004" xr:uid="{00000000-0005-0000-0000-000099150000}"/>
    <cellStyle name="Normal 4 4 3 3 4 3 2" xfId="14443" xr:uid="{049A7D0D-8ADA-4DCB-9C62-1BC31F6DECF7}"/>
    <cellStyle name="Normal 4 4 3 3 4 4" xfId="10225" xr:uid="{9D376A2E-E738-438E-BA6A-07B8921483DD}"/>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7001" xr:uid="{BB9B4CC2-7F85-4FC6-8D49-EAEFB5E8557A}"/>
    <cellStyle name="Normal 4 4 3 3 5 2 3" xfId="12783" xr:uid="{1877A631-9CAC-4B16-B53F-2FE2D6389432}"/>
    <cellStyle name="Normal 4 4 3 3 5 3" xfId="6417" xr:uid="{00000000-0005-0000-0000-00009D150000}"/>
    <cellStyle name="Normal 4 4 3 3 5 3 2" xfId="14856" xr:uid="{3965516E-6D1E-41AA-B934-D3A06E890F33}"/>
    <cellStyle name="Normal 4 4 3 3 5 4" xfId="10638" xr:uid="{ACC4C929-D2FB-4398-92A1-4C08FE895113}"/>
    <cellStyle name="Normal 4 4 3 3 6" xfId="2546" xr:uid="{00000000-0005-0000-0000-00009E150000}"/>
    <cellStyle name="Normal 4 4 3 3 6 2" xfId="6830" xr:uid="{00000000-0005-0000-0000-00009F150000}"/>
    <cellStyle name="Normal 4 4 3 3 6 2 2" xfId="15269" xr:uid="{5578B873-8663-4368-94EC-3F035E50477C}"/>
    <cellStyle name="Normal 4 4 3 3 6 3" xfId="11051" xr:uid="{C13CF534-5103-4DEE-8ED7-031C012FC253}"/>
    <cellStyle name="Normal 4 4 3 3 7" xfId="4765" xr:uid="{00000000-0005-0000-0000-0000A0150000}"/>
    <cellStyle name="Normal 4 4 3 3 7 2" xfId="13204" xr:uid="{A09E48CB-B816-4357-B27B-657C716562B4}"/>
    <cellStyle name="Normal 4 4 3 3 8" xfId="8986" xr:uid="{566BC60F-646A-43AA-9E0F-497844DF45FD}"/>
    <cellStyle name="Normal 4 4 3 4" xfId="862" xr:uid="{00000000-0005-0000-0000-0000A1150000}"/>
    <cellStyle name="Normal 4 4 3 4 2" xfId="3097" xr:uid="{00000000-0005-0000-0000-0000A2150000}"/>
    <cellStyle name="Normal 4 4 3 4 2 2" xfId="7320" xr:uid="{00000000-0005-0000-0000-0000A3150000}"/>
    <cellStyle name="Normal 4 4 3 4 2 2 2" xfId="15759" xr:uid="{5C47A007-CE94-4318-B44B-39C79F5BFB4D}"/>
    <cellStyle name="Normal 4 4 3 4 2 3" xfId="11541" xr:uid="{B44B1D37-14BF-4341-9639-29FA0D79B3AE}"/>
    <cellStyle name="Normal 4 4 3 4 3" xfId="5175" xr:uid="{00000000-0005-0000-0000-0000A4150000}"/>
    <cellStyle name="Normal 4 4 3 4 3 2" xfId="13614" xr:uid="{529DBAA7-4ADE-4608-A36A-66FF829FFA7F}"/>
    <cellStyle name="Normal 4 4 3 4 4" xfId="9396" xr:uid="{6DEE8982-5498-4CE7-9CF4-1F3E2DE3254C}"/>
    <cellStyle name="Normal 4 4 3 5" xfId="1280" xr:uid="{00000000-0005-0000-0000-0000A5150000}"/>
    <cellStyle name="Normal 4 4 3 5 2" xfId="3510" xr:uid="{00000000-0005-0000-0000-0000A6150000}"/>
    <cellStyle name="Normal 4 4 3 5 2 2" xfId="7733" xr:uid="{00000000-0005-0000-0000-0000A7150000}"/>
    <cellStyle name="Normal 4 4 3 5 2 2 2" xfId="16172" xr:uid="{2847BC14-CA89-4888-9078-52BEC0640D3A}"/>
    <cellStyle name="Normal 4 4 3 5 2 3" xfId="11954" xr:uid="{3C3BD3F9-7257-4281-A423-FC3A1B2EFEAD}"/>
    <cellStyle name="Normal 4 4 3 5 3" xfId="5588" xr:uid="{00000000-0005-0000-0000-0000A8150000}"/>
    <cellStyle name="Normal 4 4 3 5 3 2" xfId="14027" xr:uid="{0D2949E6-398B-46AC-857C-97CA0B1D680E}"/>
    <cellStyle name="Normal 4 4 3 5 4" xfId="9809" xr:uid="{315E6EA7-3117-4428-9EE5-F5AC421AD84A}"/>
    <cellStyle name="Normal 4 4 3 6" xfId="1693" xr:uid="{00000000-0005-0000-0000-0000A9150000}"/>
    <cellStyle name="Normal 4 4 3 6 2" xfId="3923" xr:uid="{00000000-0005-0000-0000-0000AA150000}"/>
    <cellStyle name="Normal 4 4 3 6 2 2" xfId="8146" xr:uid="{00000000-0005-0000-0000-0000AB150000}"/>
    <cellStyle name="Normal 4 4 3 6 2 2 2" xfId="16585" xr:uid="{B9706FF4-AC21-45FC-A437-CB8C271932E1}"/>
    <cellStyle name="Normal 4 4 3 6 2 3" xfId="12367" xr:uid="{681AA055-49F9-45DC-AFE9-9892BC7FA35D}"/>
    <cellStyle name="Normal 4 4 3 6 3" xfId="6001" xr:uid="{00000000-0005-0000-0000-0000AC150000}"/>
    <cellStyle name="Normal 4 4 3 6 3 2" xfId="14440" xr:uid="{54F4D920-6F87-4B79-90D9-38C181D44A33}"/>
    <cellStyle name="Normal 4 4 3 6 4" xfId="10222" xr:uid="{882621D3-9312-4656-92F9-77EE537D4324}"/>
    <cellStyle name="Normal 4 4 3 7" xfId="2107" xr:uid="{00000000-0005-0000-0000-0000AD150000}"/>
    <cellStyle name="Normal 4 4 3 7 2" xfId="4336" xr:uid="{00000000-0005-0000-0000-0000AE150000}"/>
    <cellStyle name="Normal 4 4 3 7 2 2" xfId="8559" xr:uid="{00000000-0005-0000-0000-0000AF150000}"/>
    <cellStyle name="Normal 4 4 3 7 2 2 2" xfId="16998" xr:uid="{BEA687A6-2B01-4E31-BAC1-A5C309215B85}"/>
    <cellStyle name="Normal 4 4 3 7 2 3" xfId="12780" xr:uid="{63538C07-15D3-44F1-A6D4-94343C688672}"/>
    <cellStyle name="Normal 4 4 3 7 3" xfId="6414" xr:uid="{00000000-0005-0000-0000-0000B0150000}"/>
    <cellStyle name="Normal 4 4 3 7 3 2" xfId="14853" xr:uid="{12EF0072-2A29-48B8-80C2-89A90FCED947}"/>
    <cellStyle name="Normal 4 4 3 7 4" xfId="10635" xr:uid="{5804BB4C-AB79-4DE7-A90A-C2BDEAE98FBB}"/>
    <cellStyle name="Normal 4 4 3 8" xfId="2543" xr:uid="{00000000-0005-0000-0000-0000B1150000}"/>
    <cellStyle name="Normal 4 4 3 8 2" xfId="6827" xr:uid="{00000000-0005-0000-0000-0000B2150000}"/>
    <cellStyle name="Normal 4 4 3 8 2 2" xfId="15266" xr:uid="{77E17EF6-DDDA-4CBF-92DD-DA6C42752EB5}"/>
    <cellStyle name="Normal 4 4 3 8 3" xfId="11048" xr:uid="{57BA6591-30C5-4F64-9718-18E74CB1BAA0}"/>
    <cellStyle name="Normal 4 4 3 9" xfId="4762" xr:uid="{00000000-0005-0000-0000-0000B3150000}"/>
    <cellStyle name="Normal 4 4 3 9 2" xfId="13201" xr:uid="{40CE760C-DA34-452C-9314-2E26EEEA553B}"/>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4" xr:uid="{9B33FBAF-2A55-4811-8CB3-DB3AD8D8DC21}"/>
    <cellStyle name="Normal 4 4 4 2 2 2 3" xfId="11546" xr:uid="{3FCC6072-FA16-4889-ABBD-C7165418F7B3}"/>
    <cellStyle name="Normal 4 4 4 2 2 3" xfId="5180" xr:uid="{00000000-0005-0000-0000-0000B9150000}"/>
    <cellStyle name="Normal 4 4 4 2 2 3 2" xfId="13619" xr:uid="{D6EF3AC9-0C85-4A44-AF0B-179212A71049}"/>
    <cellStyle name="Normal 4 4 4 2 2 4" xfId="9401" xr:uid="{28251C09-6890-40CC-B4FA-658ECE564F6D}"/>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77" xr:uid="{CD6488EE-CA68-407A-AE41-6BA8A9532CCF}"/>
    <cellStyle name="Normal 4 4 4 2 3 2 3" xfId="11959" xr:uid="{59EC41C0-3A20-4D81-AC83-F020C882B5B0}"/>
    <cellStyle name="Normal 4 4 4 2 3 3" xfId="5593" xr:uid="{00000000-0005-0000-0000-0000BD150000}"/>
    <cellStyle name="Normal 4 4 4 2 3 3 2" xfId="14032" xr:uid="{9C580970-2BAF-413A-B965-8989BD1C64DC}"/>
    <cellStyle name="Normal 4 4 4 2 3 4" xfId="9814" xr:uid="{8C0ACA5C-4418-4A47-A336-1466F86583AA}"/>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90" xr:uid="{1BE225A9-D4F5-4FAC-BE5A-3032A64CD724}"/>
    <cellStyle name="Normal 4 4 4 2 4 2 3" xfId="12372" xr:uid="{07EC3AAC-B8EB-4533-BB19-E8D0FAB0AB9D}"/>
    <cellStyle name="Normal 4 4 4 2 4 3" xfId="6006" xr:uid="{00000000-0005-0000-0000-0000C1150000}"/>
    <cellStyle name="Normal 4 4 4 2 4 3 2" xfId="14445" xr:uid="{62B1EFC7-D33B-4E97-B6AE-BF7383546E75}"/>
    <cellStyle name="Normal 4 4 4 2 4 4" xfId="10227" xr:uid="{530180B7-585C-424E-93C5-B2156AD71E83}"/>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3" xr:uid="{2C55AE88-5729-4761-AA89-6F9D6F54D45C}"/>
    <cellStyle name="Normal 4 4 4 2 5 2 3" xfId="12785" xr:uid="{0B781069-C604-4878-8C9D-0613C6347181}"/>
    <cellStyle name="Normal 4 4 4 2 5 3" xfId="6419" xr:uid="{00000000-0005-0000-0000-0000C5150000}"/>
    <cellStyle name="Normal 4 4 4 2 5 3 2" xfId="14858" xr:uid="{0ACC6A62-FB08-44DF-BEA2-27C39D68540D}"/>
    <cellStyle name="Normal 4 4 4 2 5 4" xfId="10640" xr:uid="{BC064290-8365-4215-B4E2-922FCD9618E7}"/>
    <cellStyle name="Normal 4 4 4 2 6" xfId="2548" xr:uid="{00000000-0005-0000-0000-0000C6150000}"/>
    <cellStyle name="Normal 4 4 4 2 6 2" xfId="6832" xr:uid="{00000000-0005-0000-0000-0000C7150000}"/>
    <cellStyle name="Normal 4 4 4 2 6 2 2" xfId="15271" xr:uid="{13B32C88-A726-407B-909B-D4BE1AA3DCD0}"/>
    <cellStyle name="Normal 4 4 4 2 6 3" xfId="11053" xr:uid="{D1E5DC3C-21AC-4DAF-A61B-DC4FFE3F0746}"/>
    <cellStyle name="Normal 4 4 4 2 7" xfId="4767" xr:uid="{00000000-0005-0000-0000-0000C8150000}"/>
    <cellStyle name="Normal 4 4 4 2 7 2" xfId="13206" xr:uid="{B09113BE-DAF9-49EA-A571-00FD1B1DD6BA}"/>
    <cellStyle name="Normal 4 4 4 2 8" xfId="8988" xr:uid="{6D9FD467-B42B-43AF-9C7E-0831FD0B1DA0}"/>
    <cellStyle name="Normal 4 4 4 3" xfId="866" xr:uid="{00000000-0005-0000-0000-0000C9150000}"/>
    <cellStyle name="Normal 4 4 4 3 2" xfId="3101" xr:uid="{00000000-0005-0000-0000-0000CA150000}"/>
    <cellStyle name="Normal 4 4 4 3 2 2" xfId="7324" xr:uid="{00000000-0005-0000-0000-0000CB150000}"/>
    <cellStyle name="Normal 4 4 4 3 2 2 2" xfId="15763" xr:uid="{5C6757E1-F965-4D92-8470-BE15182F5E4F}"/>
    <cellStyle name="Normal 4 4 4 3 2 3" xfId="11545" xr:uid="{F67B3301-CCC3-4C91-ACAE-98B76EF0BE7E}"/>
    <cellStyle name="Normal 4 4 4 3 3" xfId="5179" xr:uid="{00000000-0005-0000-0000-0000CC150000}"/>
    <cellStyle name="Normal 4 4 4 3 3 2" xfId="13618" xr:uid="{8B6D0BCD-7488-4642-B169-3B0CDF63E371}"/>
    <cellStyle name="Normal 4 4 4 3 4" xfId="9400" xr:uid="{B21191B4-0FD3-434C-9750-ED3101F57F09}"/>
    <cellStyle name="Normal 4 4 4 4" xfId="1284" xr:uid="{00000000-0005-0000-0000-0000CD150000}"/>
    <cellStyle name="Normal 4 4 4 4 2" xfId="3514" xr:uid="{00000000-0005-0000-0000-0000CE150000}"/>
    <cellStyle name="Normal 4 4 4 4 2 2" xfId="7737" xr:uid="{00000000-0005-0000-0000-0000CF150000}"/>
    <cellStyle name="Normal 4 4 4 4 2 2 2" xfId="16176" xr:uid="{6C85E3DA-C631-4025-A28F-092E97EF4039}"/>
    <cellStyle name="Normal 4 4 4 4 2 3" xfId="11958" xr:uid="{C11B85D3-7532-431B-BEDB-E13624EC97C7}"/>
    <cellStyle name="Normal 4 4 4 4 3" xfId="5592" xr:uid="{00000000-0005-0000-0000-0000D0150000}"/>
    <cellStyle name="Normal 4 4 4 4 3 2" xfId="14031" xr:uid="{60FC9F98-619D-4673-889D-B4B4BFAF7768}"/>
    <cellStyle name="Normal 4 4 4 4 4" xfId="9813" xr:uid="{3306936D-232F-45A3-B89F-F7D2A87CD816}"/>
    <cellStyle name="Normal 4 4 4 5" xfId="1697" xr:uid="{00000000-0005-0000-0000-0000D1150000}"/>
    <cellStyle name="Normal 4 4 4 5 2" xfId="3927" xr:uid="{00000000-0005-0000-0000-0000D2150000}"/>
    <cellStyle name="Normal 4 4 4 5 2 2" xfId="8150" xr:uid="{00000000-0005-0000-0000-0000D3150000}"/>
    <cellStyle name="Normal 4 4 4 5 2 2 2" xfId="16589" xr:uid="{E2435C41-6E5C-430A-8803-0639CFE17C4B}"/>
    <cellStyle name="Normal 4 4 4 5 2 3" xfId="12371" xr:uid="{BBD45799-54A2-4009-9DB4-5FD9F8F646E6}"/>
    <cellStyle name="Normal 4 4 4 5 3" xfId="6005" xr:uid="{00000000-0005-0000-0000-0000D4150000}"/>
    <cellStyle name="Normal 4 4 4 5 3 2" xfId="14444" xr:uid="{C480548C-DD0E-4DC9-9009-E7C947A7F0E9}"/>
    <cellStyle name="Normal 4 4 4 5 4" xfId="10226" xr:uid="{44C601B2-E6CA-4B47-B3EC-163B9D5CF26F}"/>
    <cellStyle name="Normal 4 4 4 6" xfId="2111" xr:uid="{00000000-0005-0000-0000-0000D5150000}"/>
    <cellStyle name="Normal 4 4 4 6 2" xfId="4340" xr:uid="{00000000-0005-0000-0000-0000D6150000}"/>
    <cellStyle name="Normal 4 4 4 6 2 2" xfId="8563" xr:uid="{00000000-0005-0000-0000-0000D7150000}"/>
    <cellStyle name="Normal 4 4 4 6 2 2 2" xfId="17002" xr:uid="{C9D69D31-581F-4FC7-9508-03CE1D185354}"/>
    <cellStyle name="Normal 4 4 4 6 2 3" xfId="12784" xr:uid="{F10B9C00-2355-4611-86FE-500FEAEA3B84}"/>
    <cellStyle name="Normal 4 4 4 6 3" xfId="6418" xr:uid="{00000000-0005-0000-0000-0000D8150000}"/>
    <cellStyle name="Normal 4 4 4 6 3 2" xfId="14857" xr:uid="{7C6D1AE6-9089-401D-A23A-595527410E6D}"/>
    <cellStyle name="Normal 4 4 4 6 4" xfId="10639" xr:uid="{4FBB629C-587D-4D68-8A17-010BE8F05830}"/>
    <cellStyle name="Normal 4 4 4 7" xfId="2547" xr:uid="{00000000-0005-0000-0000-0000D9150000}"/>
    <cellStyle name="Normal 4 4 4 7 2" xfId="6831" xr:uid="{00000000-0005-0000-0000-0000DA150000}"/>
    <cellStyle name="Normal 4 4 4 7 2 2" xfId="15270" xr:uid="{CEB2E4FE-A27C-4E5E-AB12-951F105C60ED}"/>
    <cellStyle name="Normal 4 4 4 7 3" xfId="11052" xr:uid="{01CB3530-F608-42E3-9435-14C49B95C75B}"/>
    <cellStyle name="Normal 4 4 4 8" xfId="4766" xr:uid="{00000000-0005-0000-0000-0000DB150000}"/>
    <cellStyle name="Normal 4 4 4 8 2" xfId="13205" xr:uid="{E0E54C41-F687-47C5-B97D-15FC87C6A10A}"/>
    <cellStyle name="Normal 4 4 4 9" xfId="8987" xr:uid="{DCEA5DFA-6D7C-4FDF-97DA-426E0EB164E6}"/>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5765" xr:uid="{903A7A7B-56FF-4785-8218-36439F35F7D1}"/>
    <cellStyle name="Normal 4 4 5 2 2 3" xfId="11547" xr:uid="{C3E9BAB4-E5F2-4AC9-97B5-15541AC42A1A}"/>
    <cellStyle name="Normal 4 4 5 2 3" xfId="5181" xr:uid="{00000000-0005-0000-0000-0000E0150000}"/>
    <cellStyle name="Normal 4 4 5 2 3 2" xfId="13620" xr:uid="{004D3CF3-C1B0-48C3-B319-476D96D41C86}"/>
    <cellStyle name="Normal 4 4 5 2 4" xfId="9402" xr:uid="{0D2E5DE4-DB2C-42A0-AAB7-89BC1DCD6266}"/>
    <cellStyle name="Normal 4 4 5 3" xfId="1286" xr:uid="{00000000-0005-0000-0000-0000E1150000}"/>
    <cellStyle name="Normal 4 4 5 3 2" xfId="3516" xr:uid="{00000000-0005-0000-0000-0000E2150000}"/>
    <cellStyle name="Normal 4 4 5 3 2 2" xfId="7739" xr:uid="{00000000-0005-0000-0000-0000E3150000}"/>
    <cellStyle name="Normal 4 4 5 3 2 2 2" xfId="16178" xr:uid="{CD34467D-61AB-4F5B-A6A2-686DA09B6636}"/>
    <cellStyle name="Normal 4 4 5 3 2 3" xfId="11960" xr:uid="{DC164F8B-4705-4A4C-98D0-37B61E919D5A}"/>
    <cellStyle name="Normal 4 4 5 3 3" xfId="5594" xr:uid="{00000000-0005-0000-0000-0000E4150000}"/>
    <cellStyle name="Normal 4 4 5 3 3 2" xfId="14033" xr:uid="{261DE143-25DA-4C55-91AA-43B2CF5D8639}"/>
    <cellStyle name="Normal 4 4 5 3 4" xfId="9815" xr:uid="{63CD7130-9D19-47BE-812E-EA37D04D2289}"/>
    <cellStyle name="Normal 4 4 5 4" xfId="1699" xr:uid="{00000000-0005-0000-0000-0000E5150000}"/>
    <cellStyle name="Normal 4 4 5 4 2" xfId="3929" xr:uid="{00000000-0005-0000-0000-0000E6150000}"/>
    <cellStyle name="Normal 4 4 5 4 2 2" xfId="8152" xr:uid="{00000000-0005-0000-0000-0000E7150000}"/>
    <cellStyle name="Normal 4 4 5 4 2 2 2" xfId="16591" xr:uid="{43CA5908-EA5E-491E-A529-DEDC0FCD7AFB}"/>
    <cellStyle name="Normal 4 4 5 4 2 3" xfId="12373" xr:uid="{AB47BDC8-56B7-499D-831B-3D22B36EE37C}"/>
    <cellStyle name="Normal 4 4 5 4 3" xfId="6007" xr:uid="{00000000-0005-0000-0000-0000E8150000}"/>
    <cellStyle name="Normal 4 4 5 4 3 2" xfId="14446" xr:uid="{90864BAF-23FD-4E6B-83BC-5B434227817B}"/>
    <cellStyle name="Normal 4 4 5 4 4" xfId="10228" xr:uid="{AB454A22-CE23-462D-B5AE-7DD39F2F898C}"/>
    <cellStyle name="Normal 4 4 5 5" xfId="2113" xr:uid="{00000000-0005-0000-0000-0000E9150000}"/>
    <cellStyle name="Normal 4 4 5 5 2" xfId="4342" xr:uid="{00000000-0005-0000-0000-0000EA150000}"/>
    <cellStyle name="Normal 4 4 5 5 2 2" xfId="8565" xr:uid="{00000000-0005-0000-0000-0000EB150000}"/>
    <cellStyle name="Normal 4 4 5 5 2 2 2" xfId="17004" xr:uid="{66A1D50B-3040-4066-AEF3-8160CF89BABB}"/>
    <cellStyle name="Normal 4 4 5 5 2 3" xfId="12786" xr:uid="{B76DE82A-FBB9-4CB7-A552-AF6119FDCC30}"/>
    <cellStyle name="Normal 4 4 5 5 3" xfId="6420" xr:uid="{00000000-0005-0000-0000-0000EC150000}"/>
    <cellStyle name="Normal 4 4 5 5 3 2" xfId="14859" xr:uid="{79C9407D-B671-483E-9AC6-2C3296255EA2}"/>
    <cellStyle name="Normal 4 4 5 5 4" xfId="10641" xr:uid="{F17AB72F-131D-40FD-8B6A-D69482259681}"/>
    <cellStyle name="Normal 4 4 5 6" xfId="2549" xr:uid="{00000000-0005-0000-0000-0000ED150000}"/>
    <cellStyle name="Normal 4 4 5 6 2" xfId="6833" xr:uid="{00000000-0005-0000-0000-0000EE150000}"/>
    <cellStyle name="Normal 4 4 5 6 2 2" xfId="15272" xr:uid="{7F990425-2965-4126-9B6B-A97EE66BF0C6}"/>
    <cellStyle name="Normal 4 4 5 6 3" xfId="11054" xr:uid="{03B1E4B3-9243-4815-B578-2919A20427A4}"/>
    <cellStyle name="Normal 4 4 5 7" xfId="4768" xr:uid="{00000000-0005-0000-0000-0000EF150000}"/>
    <cellStyle name="Normal 4 4 5 7 2" xfId="13207" xr:uid="{7362D2DE-4281-4DB0-978C-51758DC89088}"/>
    <cellStyle name="Normal 4 4 5 8" xfId="8989" xr:uid="{0FE30A51-3EE4-4603-B912-FC8554107498}"/>
    <cellStyle name="Normal 4 4 6" xfId="853" xr:uid="{00000000-0005-0000-0000-0000F0150000}"/>
    <cellStyle name="Normal 4 4 6 2" xfId="3088" xr:uid="{00000000-0005-0000-0000-0000F1150000}"/>
    <cellStyle name="Normal 4 4 6 2 2" xfId="7311" xr:uid="{00000000-0005-0000-0000-0000F2150000}"/>
    <cellStyle name="Normal 4 4 6 2 2 2" xfId="15750" xr:uid="{08FE614F-4EE6-401A-B850-C3F10436ED9A}"/>
    <cellStyle name="Normal 4 4 6 2 3" xfId="11532" xr:uid="{E9F45331-93EA-41E6-BCC0-95CD388F1FF0}"/>
    <cellStyle name="Normal 4 4 6 3" xfId="5166" xr:uid="{00000000-0005-0000-0000-0000F3150000}"/>
    <cellStyle name="Normal 4 4 6 3 2" xfId="13605" xr:uid="{8F1AB17B-0B0B-4E37-9F2E-E66FEC1E7F1E}"/>
    <cellStyle name="Normal 4 4 6 4" xfId="9387" xr:uid="{66AF05E5-8434-451C-A3B1-355A346E4F4B}"/>
    <cellStyle name="Normal 4 4 7" xfId="1271" xr:uid="{00000000-0005-0000-0000-0000F4150000}"/>
    <cellStyle name="Normal 4 4 7 2" xfId="3501" xr:uid="{00000000-0005-0000-0000-0000F5150000}"/>
    <cellStyle name="Normal 4 4 7 2 2" xfId="7724" xr:uid="{00000000-0005-0000-0000-0000F6150000}"/>
    <cellStyle name="Normal 4 4 7 2 2 2" xfId="16163" xr:uid="{D8B74148-307F-4A5B-9909-71DD9E6D8488}"/>
    <cellStyle name="Normal 4 4 7 2 3" xfId="11945" xr:uid="{86AD8A65-1CCA-4BD0-B4B2-8C4577E6D323}"/>
    <cellStyle name="Normal 4 4 7 3" xfId="5579" xr:uid="{00000000-0005-0000-0000-0000F7150000}"/>
    <cellStyle name="Normal 4 4 7 3 2" xfId="14018" xr:uid="{1F088C25-95C4-4A2B-BA6B-13DF78E1345E}"/>
    <cellStyle name="Normal 4 4 7 4" xfId="9800" xr:uid="{899CBB1A-EF9F-4AC8-B0F4-D6BAA5BD41B9}"/>
    <cellStyle name="Normal 4 4 8" xfId="1684" xr:uid="{00000000-0005-0000-0000-0000F8150000}"/>
    <cellStyle name="Normal 4 4 8 2" xfId="3914" xr:uid="{00000000-0005-0000-0000-0000F9150000}"/>
    <cellStyle name="Normal 4 4 8 2 2" xfId="8137" xr:uid="{00000000-0005-0000-0000-0000FA150000}"/>
    <cellStyle name="Normal 4 4 8 2 2 2" xfId="16576" xr:uid="{35B75F7F-F68E-46E8-B89F-BC82C5BBD1CB}"/>
    <cellStyle name="Normal 4 4 8 2 3" xfId="12358" xr:uid="{2BD02388-D1A9-447B-B100-E24ADED13B33}"/>
    <cellStyle name="Normal 4 4 8 3" xfId="5992" xr:uid="{00000000-0005-0000-0000-0000FB150000}"/>
    <cellStyle name="Normal 4 4 8 3 2" xfId="14431" xr:uid="{CD33C4E5-9B1C-4265-8B3F-15474EB18814}"/>
    <cellStyle name="Normal 4 4 8 4" xfId="10213" xr:uid="{818D73A7-91B8-4D5E-88CD-D68CF63181DA}"/>
    <cellStyle name="Normal 4 4 9" xfId="2098" xr:uid="{00000000-0005-0000-0000-0000FC150000}"/>
    <cellStyle name="Normal 4 4 9 2" xfId="4327" xr:uid="{00000000-0005-0000-0000-0000FD150000}"/>
    <cellStyle name="Normal 4 4 9 2 2" xfId="8550" xr:uid="{00000000-0005-0000-0000-0000FE150000}"/>
    <cellStyle name="Normal 4 4 9 2 2 2" xfId="16989" xr:uid="{247127E3-46BB-4A4A-8B32-2DE4024C33F3}"/>
    <cellStyle name="Normal 4 4 9 2 3" xfId="12771" xr:uid="{9E075A5B-F7DC-477C-B627-0900E9519361}"/>
    <cellStyle name="Normal 4 4 9 3" xfId="6405" xr:uid="{00000000-0005-0000-0000-0000FF150000}"/>
    <cellStyle name="Normal 4 4 9 3 2" xfId="14844" xr:uid="{35B38215-D223-4E72-9547-6907B9E8194F}"/>
    <cellStyle name="Normal 4 4 9 4" xfId="10626" xr:uid="{3A76B5B5-A965-47BF-A79A-CC6FA3F3F8A2}"/>
    <cellStyle name="Normal 4 5" xfId="394" xr:uid="{00000000-0005-0000-0000-000000160000}"/>
    <cellStyle name="Normal 4 6" xfId="395" xr:uid="{00000000-0005-0000-0000-000001160000}"/>
    <cellStyle name="Normal 4 6 10" xfId="4769" xr:uid="{00000000-0005-0000-0000-000002160000}"/>
    <cellStyle name="Normal 4 6 10 2" xfId="13208" xr:uid="{13404309-731B-4E0D-BEFC-2E7E73AA064C}"/>
    <cellStyle name="Normal 4 6 11" xfId="8990" xr:uid="{23490F8A-ACAA-44FC-BF34-2EAAACA1A8E2}"/>
    <cellStyle name="Normal 4 6 2" xfId="396" xr:uid="{00000000-0005-0000-0000-000003160000}"/>
    <cellStyle name="Normal 4 6 2 10" xfId="8991" xr:uid="{12FFA10D-0943-4942-A879-7AE6B2358C1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69" xr:uid="{9DF679FB-405E-43EF-97DF-B1B3DF9BB87F}"/>
    <cellStyle name="Normal 4 6 2 2 2 2 2 3" xfId="11551" xr:uid="{0B1742A8-A970-4389-B226-FA0155EE5402}"/>
    <cellStyle name="Normal 4 6 2 2 2 2 3" xfId="5185" xr:uid="{00000000-0005-0000-0000-000009160000}"/>
    <cellStyle name="Normal 4 6 2 2 2 2 3 2" xfId="13624" xr:uid="{40F3ABB3-0C6D-416F-8F6B-87E91101FC35}"/>
    <cellStyle name="Normal 4 6 2 2 2 2 4" xfId="9406" xr:uid="{6BC548BD-CC99-4565-874C-94E5ED6FD9F4}"/>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82" xr:uid="{D5538735-DB33-4584-B573-A7150A8F2B1B}"/>
    <cellStyle name="Normal 4 6 2 2 2 3 2 3" xfId="11964" xr:uid="{A18B8421-C500-4FDE-968E-D19BE71CE49C}"/>
    <cellStyle name="Normal 4 6 2 2 2 3 3" xfId="5598" xr:uid="{00000000-0005-0000-0000-00000D160000}"/>
    <cellStyle name="Normal 4 6 2 2 2 3 3 2" xfId="14037" xr:uid="{46DDAC72-8D92-49FA-81BB-1C1715996249}"/>
    <cellStyle name="Normal 4 6 2 2 2 3 4" xfId="9819" xr:uid="{42E60209-8C57-4849-AEB9-80493932EBAA}"/>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5" xr:uid="{CA728AA0-2182-465E-89B7-FE66B2CEE16A}"/>
    <cellStyle name="Normal 4 6 2 2 2 4 2 3" xfId="12377" xr:uid="{153541BE-C8D7-4454-A039-DBC2CC4D89F9}"/>
    <cellStyle name="Normal 4 6 2 2 2 4 3" xfId="6011" xr:uid="{00000000-0005-0000-0000-000011160000}"/>
    <cellStyle name="Normal 4 6 2 2 2 4 3 2" xfId="14450" xr:uid="{0B79CA2F-59EB-4F25-B789-EF2EDDFB1975}"/>
    <cellStyle name="Normal 4 6 2 2 2 4 4" xfId="10232" xr:uid="{04CA1D19-FD2E-4784-8B29-E2836F0489CE}"/>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08" xr:uid="{32C1A4FF-2D88-4779-896D-D462431B70CE}"/>
    <cellStyle name="Normal 4 6 2 2 2 5 2 3" xfId="12790" xr:uid="{0FA917A6-E333-46BB-93CA-BC2F109DAF28}"/>
    <cellStyle name="Normal 4 6 2 2 2 5 3" xfId="6424" xr:uid="{00000000-0005-0000-0000-000015160000}"/>
    <cellStyle name="Normal 4 6 2 2 2 5 3 2" xfId="14863" xr:uid="{2F6E2FA7-F40E-47CF-8E68-3C677B0917FD}"/>
    <cellStyle name="Normal 4 6 2 2 2 5 4" xfId="10645" xr:uid="{37FB952A-D6C5-4791-82B8-90F712C188F6}"/>
    <cellStyle name="Normal 4 6 2 2 2 6" xfId="2553" xr:uid="{00000000-0005-0000-0000-000016160000}"/>
    <cellStyle name="Normal 4 6 2 2 2 6 2" xfId="6837" xr:uid="{00000000-0005-0000-0000-000017160000}"/>
    <cellStyle name="Normal 4 6 2 2 2 6 2 2" xfId="15276" xr:uid="{0239AB83-20DD-467E-B1B8-B89466CE0760}"/>
    <cellStyle name="Normal 4 6 2 2 2 6 3" xfId="11058" xr:uid="{96B3646F-F760-433F-9588-C574CB0AEF4B}"/>
    <cellStyle name="Normal 4 6 2 2 2 7" xfId="4772" xr:uid="{00000000-0005-0000-0000-000018160000}"/>
    <cellStyle name="Normal 4 6 2 2 2 7 2" xfId="13211" xr:uid="{178D8E1B-728E-4968-9693-49160688A51A}"/>
    <cellStyle name="Normal 4 6 2 2 2 8" xfId="8993" xr:uid="{32D208FA-9393-4D4C-979A-04C5366E76F2}"/>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68" xr:uid="{745F500D-946C-4D19-A22C-3B1DB68AE561}"/>
    <cellStyle name="Normal 4 6 2 2 3 2 3" xfId="11550" xr:uid="{89075047-0085-4C15-9145-F29E4A2877F2}"/>
    <cellStyle name="Normal 4 6 2 2 3 3" xfId="5184" xr:uid="{00000000-0005-0000-0000-00001C160000}"/>
    <cellStyle name="Normal 4 6 2 2 3 3 2" xfId="13623" xr:uid="{05D52D49-C752-46DA-891F-4C224DA47A39}"/>
    <cellStyle name="Normal 4 6 2 2 3 4" xfId="9405" xr:uid="{22AF5513-468E-4443-8C86-AC03F4DF0952}"/>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81" xr:uid="{E204C6F7-C994-476D-9273-F4D5639F9CBF}"/>
    <cellStyle name="Normal 4 6 2 2 4 2 3" xfId="11963" xr:uid="{571690E2-4291-42B6-8CAB-370D28390B75}"/>
    <cellStyle name="Normal 4 6 2 2 4 3" xfId="5597" xr:uid="{00000000-0005-0000-0000-000020160000}"/>
    <cellStyle name="Normal 4 6 2 2 4 3 2" xfId="14036" xr:uid="{A80DF0D7-2189-4D1B-B980-5BC2357DD996}"/>
    <cellStyle name="Normal 4 6 2 2 4 4" xfId="9818" xr:uid="{BA5CFFB4-5233-4363-85D3-04BA642135DE}"/>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4" xr:uid="{6EA7E9EB-5E73-46B8-9067-34A65DFAFECE}"/>
    <cellStyle name="Normal 4 6 2 2 5 2 3" xfId="12376" xr:uid="{3575AFB5-049B-46A9-9B52-E2C563AF98F6}"/>
    <cellStyle name="Normal 4 6 2 2 5 3" xfId="6010" xr:uid="{00000000-0005-0000-0000-000024160000}"/>
    <cellStyle name="Normal 4 6 2 2 5 3 2" xfId="14449" xr:uid="{6419A488-A0E6-48A6-9F0E-80438DC2A358}"/>
    <cellStyle name="Normal 4 6 2 2 5 4" xfId="10231" xr:uid="{0B9AB35B-9EF4-44B6-8659-7061F474513C}"/>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07" xr:uid="{22150117-AC66-479B-9B0C-CC67304FBCBA}"/>
    <cellStyle name="Normal 4 6 2 2 6 2 3" xfId="12789" xr:uid="{1D26DE52-D48E-45C7-9030-07B80E9FAE42}"/>
    <cellStyle name="Normal 4 6 2 2 6 3" xfId="6423" xr:uid="{00000000-0005-0000-0000-000028160000}"/>
    <cellStyle name="Normal 4 6 2 2 6 3 2" xfId="14862" xr:uid="{E071483A-5A63-4E53-8BC1-FDD37181E3B6}"/>
    <cellStyle name="Normal 4 6 2 2 6 4" xfId="10644" xr:uid="{BCFD8207-4991-412B-9775-201E4A0DC7F6}"/>
    <cellStyle name="Normal 4 6 2 2 7" xfId="2552" xr:uid="{00000000-0005-0000-0000-000029160000}"/>
    <cellStyle name="Normal 4 6 2 2 7 2" xfId="6836" xr:uid="{00000000-0005-0000-0000-00002A160000}"/>
    <cellStyle name="Normal 4 6 2 2 7 2 2" xfId="15275" xr:uid="{C40DBA37-6C5F-4B98-BFD0-E65207FB4A29}"/>
    <cellStyle name="Normal 4 6 2 2 7 3" xfId="11057" xr:uid="{FFE4994C-61AC-499F-9CD3-358CC6BA2BD9}"/>
    <cellStyle name="Normal 4 6 2 2 8" xfId="4771" xr:uid="{00000000-0005-0000-0000-00002B160000}"/>
    <cellStyle name="Normal 4 6 2 2 8 2" xfId="13210" xr:uid="{A02051E1-BAD4-4E55-A934-EF999ED80268}"/>
    <cellStyle name="Normal 4 6 2 2 9" xfId="8992" xr:uid="{C8E27A58-2293-4179-96BD-663F53BD7C02}"/>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70" xr:uid="{3A1FA656-099D-4E52-88C6-64834454F3AB}"/>
    <cellStyle name="Normal 4 6 2 3 2 2 3" xfId="11552" xr:uid="{53561D3F-9736-4023-9E86-0854EF8AA94B}"/>
    <cellStyle name="Normal 4 6 2 3 2 3" xfId="5186" xr:uid="{00000000-0005-0000-0000-000030160000}"/>
    <cellStyle name="Normal 4 6 2 3 2 3 2" xfId="13625" xr:uid="{D823126D-0A75-4385-810B-85F39E210305}"/>
    <cellStyle name="Normal 4 6 2 3 2 4" xfId="9407" xr:uid="{F611EF43-8360-410C-A6C3-5EE96DED9A2E}"/>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3" xr:uid="{6435AAF7-E327-44D7-8C17-AE37D6E1F15D}"/>
    <cellStyle name="Normal 4 6 2 3 3 2 3" xfId="11965" xr:uid="{D4F94D96-1C04-42F4-8E39-C7D6DD98396F}"/>
    <cellStyle name="Normal 4 6 2 3 3 3" xfId="5599" xr:uid="{00000000-0005-0000-0000-000034160000}"/>
    <cellStyle name="Normal 4 6 2 3 3 3 2" xfId="14038" xr:uid="{F36420B7-7B31-4B29-A193-3CF33E71D065}"/>
    <cellStyle name="Normal 4 6 2 3 3 4" xfId="9820" xr:uid="{AF8D7FEB-407F-4960-8C50-689955EC23AD}"/>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6" xr:uid="{5CCBD6BE-2D1F-4D33-B316-D82E6A74E3BF}"/>
    <cellStyle name="Normal 4 6 2 3 4 2 3" xfId="12378" xr:uid="{B871D209-792E-461F-9EDF-FB76586045F9}"/>
    <cellStyle name="Normal 4 6 2 3 4 3" xfId="6012" xr:uid="{00000000-0005-0000-0000-000038160000}"/>
    <cellStyle name="Normal 4 6 2 3 4 3 2" xfId="14451" xr:uid="{1482C8F4-2B45-4031-84C3-A12C9E7CA53C}"/>
    <cellStyle name="Normal 4 6 2 3 4 4" xfId="10233" xr:uid="{A69849A4-B61A-4730-807A-01AADE2D0BCF}"/>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09" xr:uid="{BD2C6587-8841-4B28-A01F-6ED69D07AF78}"/>
    <cellStyle name="Normal 4 6 2 3 5 2 3" xfId="12791" xr:uid="{F5829C6E-7600-47E2-9400-9B00D8F0AD22}"/>
    <cellStyle name="Normal 4 6 2 3 5 3" xfId="6425" xr:uid="{00000000-0005-0000-0000-00003C160000}"/>
    <cellStyle name="Normal 4 6 2 3 5 3 2" xfId="14864" xr:uid="{4F6FE402-8B12-40A7-B641-F1974AFB1A44}"/>
    <cellStyle name="Normal 4 6 2 3 5 4" xfId="10646" xr:uid="{31D73AD7-3B71-45E3-8CBF-DDDF9717FF53}"/>
    <cellStyle name="Normal 4 6 2 3 6" xfId="2554" xr:uid="{00000000-0005-0000-0000-00003D160000}"/>
    <cellStyle name="Normal 4 6 2 3 6 2" xfId="6838" xr:uid="{00000000-0005-0000-0000-00003E160000}"/>
    <cellStyle name="Normal 4 6 2 3 6 2 2" xfId="15277" xr:uid="{26702B13-5DB0-4BCF-B4AB-DC7BFDBF5930}"/>
    <cellStyle name="Normal 4 6 2 3 6 3" xfId="11059" xr:uid="{0907EA6E-4361-45D3-8030-3CCBA89AAEF9}"/>
    <cellStyle name="Normal 4 6 2 3 7" xfId="4773" xr:uid="{00000000-0005-0000-0000-00003F160000}"/>
    <cellStyle name="Normal 4 6 2 3 7 2" xfId="13212" xr:uid="{312744EA-088C-40B6-A650-D3A3902713BD}"/>
    <cellStyle name="Normal 4 6 2 3 8" xfId="8994" xr:uid="{EE8736F0-94D3-430C-AF47-59686BFEB7F7}"/>
    <cellStyle name="Normal 4 6 2 4" xfId="870" xr:uid="{00000000-0005-0000-0000-000040160000}"/>
    <cellStyle name="Normal 4 6 2 4 2" xfId="3105" xr:uid="{00000000-0005-0000-0000-000041160000}"/>
    <cellStyle name="Normal 4 6 2 4 2 2" xfId="7328" xr:uid="{00000000-0005-0000-0000-000042160000}"/>
    <cellStyle name="Normal 4 6 2 4 2 2 2" xfId="15767" xr:uid="{EB126C1B-1581-43D8-8B61-219CACC68E24}"/>
    <cellStyle name="Normal 4 6 2 4 2 3" xfId="11549" xr:uid="{A2EB624C-8FF7-4048-A449-399EC171A393}"/>
    <cellStyle name="Normal 4 6 2 4 3" xfId="5183" xr:uid="{00000000-0005-0000-0000-000043160000}"/>
    <cellStyle name="Normal 4 6 2 4 3 2" xfId="13622" xr:uid="{2F7BD909-02C6-481F-8A68-EA332739C0E7}"/>
    <cellStyle name="Normal 4 6 2 4 4" xfId="9404" xr:uid="{A0AE7B9B-C5D7-44C1-B0F9-B68DDDFF3705}"/>
    <cellStyle name="Normal 4 6 2 5" xfId="1288" xr:uid="{00000000-0005-0000-0000-000044160000}"/>
    <cellStyle name="Normal 4 6 2 5 2" xfId="3518" xr:uid="{00000000-0005-0000-0000-000045160000}"/>
    <cellStyle name="Normal 4 6 2 5 2 2" xfId="7741" xr:uid="{00000000-0005-0000-0000-000046160000}"/>
    <cellStyle name="Normal 4 6 2 5 2 2 2" xfId="16180" xr:uid="{51ADC292-368A-4BB2-91AC-73767F5A8BFD}"/>
    <cellStyle name="Normal 4 6 2 5 2 3" xfId="11962" xr:uid="{E07B01BC-DA16-451F-B889-24CD0785F14F}"/>
    <cellStyle name="Normal 4 6 2 5 3" xfId="5596" xr:uid="{00000000-0005-0000-0000-000047160000}"/>
    <cellStyle name="Normal 4 6 2 5 3 2" xfId="14035" xr:uid="{D34D8C48-0CFD-426E-965E-5DAE3A7779CA}"/>
    <cellStyle name="Normal 4 6 2 5 4" xfId="9817" xr:uid="{668CBA90-14FC-4E05-8224-D0333AFC9C0E}"/>
    <cellStyle name="Normal 4 6 2 6" xfId="1701" xr:uid="{00000000-0005-0000-0000-000048160000}"/>
    <cellStyle name="Normal 4 6 2 6 2" xfId="3931" xr:uid="{00000000-0005-0000-0000-000049160000}"/>
    <cellStyle name="Normal 4 6 2 6 2 2" xfId="8154" xr:uid="{00000000-0005-0000-0000-00004A160000}"/>
    <cellStyle name="Normal 4 6 2 6 2 2 2" xfId="16593" xr:uid="{786883BE-3102-4897-99E7-8E63DAC246F3}"/>
    <cellStyle name="Normal 4 6 2 6 2 3" xfId="12375" xr:uid="{AB9DDB1B-FEF9-4541-9D15-16822CEFBE44}"/>
    <cellStyle name="Normal 4 6 2 6 3" xfId="6009" xr:uid="{00000000-0005-0000-0000-00004B160000}"/>
    <cellStyle name="Normal 4 6 2 6 3 2" xfId="14448" xr:uid="{256CF202-AE3A-4032-91DF-0452009BF64A}"/>
    <cellStyle name="Normal 4 6 2 6 4" xfId="10230" xr:uid="{73B76FB1-181B-409F-8CC0-C9E9BB0AF7B0}"/>
    <cellStyle name="Normal 4 6 2 7" xfId="2115" xr:uid="{00000000-0005-0000-0000-00004C160000}"/>
    <cellStyle name="Normal 4 6 2 7 2" xfId="4344" xr:uid="{00000000-0005-0000-0000-00004D160000}"/>
    <cellStyle name="Normal 4 6 2 7 2 2" xfId="8567" xr:uid="{00000000-0005-0000-0000-00004E160000}"/>
    <cellStyle name="Normal 4 6 2 7 2 2 2" xfId="17006" xr:uid="{9B9E6633-B41E-4561-A459-6550409C5A55}"/>
    <cellStyle name="Normal 4 6 2 7 2 3" xfId="12788" xr:uid="{E2418D00-9DBD-4461-8A18-A34F1A04988E}"/>
    <cellStyle name="Normal 4 6 2 7 3" xfId="6422" xr:uid="{00000000-0005-0000-0000-00004F160000}"/>
    <cellStyle name="Normal 4 6 2 7 3 2" xfId="14861" xr:uid="{F15F7413-A870-4FD6-8648-F4DF6B1E4E02}"/>
    <cellStyle name="Normal 4 6 2 7 4" xfId="10643" xr:uid="{1D70B6A7-7487-42B0-A218-50970137B51E}"/>
    <cellStyle name="Normal 4 6 2 8" xfId="2551" xr:uid="{00000000-0005-0000-0000-000050160000}"/>
    <cellStyle name="Normal 4 6 2 8 2" xfId="6835" xr:uid="{00000000-0005-0000-0000-000051160000}"/>
    <cellStyle name="Normal 4 6 2 8 2 2" xfId="15274" xr:uid="{A6DE85F5-22D5-4E31-A154-434B621F5413}"/>
    <cellStyle name="Normal 4 6 2 8 3" xfId="11056" xr:uid="{6D4B5BC9-F77C-44F5-B6CA-6072784AA280}"/>
    <cellStyle name="Normal 4 6 2 9" xfId="4770" xr:uid="{00000000-0005-0000-0000-000052160000}"/>
    <cellStyle name="Normal 4 6 2 9 2" xfId="13209" xr:uid="{A79BD414-BA79-40EC-A112-821E1ACEFEDD}"/>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72" xr:uid="{CB570A00-F18D-4FAF-B5F6-AE350E4A15BB}"/>
    <cellStyle name="Normal 4 6 3 2 2 2 3" xfId="11554" xr:uid="{2E47290B-4AF7-43DF-92A1-D53480D986B8}"/>
    <cellStyle name="Normal 4 6 3 2 2 3" xfId="5188" xr:uid="{00000000-0005-0000-0000-000058160000}"/>
    <cellStyle name="Normal 4 6 3 2 2 3 2" xfId="13627" xr:uid="{22BC2DCE-E6AA-4E92-BD5D-F5837409AE60}"/>
    <cellStyle name="Normal 4 6 3 2 2 4" xfId="9409" xr:uid="{66A38934-3A3A-48F0-BC6F-6AACEDD097D5}"/>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5" xr:uid="{ED55F6BE-F2B2-4AB6-8DB0-753C1295290F}"/>
    <cellStyle name="Normal 4 6 3 2 3 2 3" xfId="11967" xr:uid="{4A153FFB-5B33-4ACD-886E-48B9DCD89885}"/>
    <cellStyle name="Normal 4 6 3 2 3 3" xfId="5601" xr:uid="{00000000-0005-0000-0000-00005C160000}"/>
    <cellStyle name="Normal 4 6 3 2 3 3 2" xfId="14040" xr:uid="{BBBD58B0-11BB-409E-ADBD-1B6FDD1B825C}"/>
    <cellStyle name="Normal 4 6 3 2 3 4" xfId="9822" xr:uid="{E6BF5E82-FE0E-4412-91C4-28B4AC202B03}"/>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598" xr:uid="{20B74158-6E59-4D4A-B6C7-01BFD0EA8B47}"/>
    <cellStyle name="Normal 4 6 3 2 4 2 3" xfId="12380" xr:uid="{6596A761-FB08-4F19-8C07-BA5D1149D9DF}"/>
    <cellStyle name="Normal 4 6 3 2 4 3" xfId="6014" xr:uid="{00000000-0005-0000-0000-000060160000}"/>
    <cellStyle name="Normal 4 6 3 2 4 3 2" xfId="14453" xr:uid="{B6695CB8-84A4-494B-BD52-5D03636C78EC}"/>
    <cellStyle name="Normal 4 6 3 2 4 4" xfId="10235" xr:uid="{436A168B-8387-4BC5-A132-68C2EF12E746}"/>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11" xr:uid="{7E4D37B3-FD31-4A44-ADE9-D66C0A1B584E}"/>
    <cellStyle name="Normal 4 6 3 2 5 2 3" xfId="12793" xr:uid="{B09FE6E6-BF0B-4FC7-9D09-B607754248F1}"/>
    <cellStyle name="Normal 4 6 3 2 5 3" xfId="6427" xr:uid="{00000000-0005-0000-0000-000064160000}"/>
    <cellStyle name="Normal 4 6 3 2 5 3 2" xfId="14866" xr:uid="{FF134F4A-C264-4F30-B1E0-B53ECB9F0287}"/>
    <cellStyle name="Normal 4 6 3 2 5 4" xfId="10648" xr:uid="{69CC876A-BC6B-45DD-B099-97CB2915470F}"/>
    <cellStyle name="Normal 4 6 3 2 6" xfId="2556" xr:uid="{00000000-0005-0000-0000-000065160000}"/>
    <cellStyle name="Normal 4 6 3 2 6 2" xfId="6840" xr:uid="{00000000-0005-0000-0000-000066160000}"/>
    <cellStyle name="Normal 4 6 3 2 6 2 2" xfId="15279" xr:uid="{3B67E14D-483F-40ED-95E1-E2D51B6CFA1D}"/>
    <cellStyle name="Normal 4 6 3 2 6 3" xfId="11061" xr:uid="{4369D1CD-9BB9-473F-9DB1-DF4A6E674401}"/>
    <cellStyle name="Normal 4 6 3 2 7" xfId="4775" xr:uid="{00000000-0005-0000-0000-000067160000}"/>
    <cellStyle name="Normal 4 6 3 2 7 2" xfId="13214" xr:uid="{62789A5A-F6AB-4479-A2BE-B090EE07BDC4}"/>
    <cellStyle name="Normal 4 6 3 2 8" xfId="8996" xr:uid="{2477960E-ADCB-4867-87FC-81EC2F0CD2D3}"/>
    <cellStyle name="Normal 4 6 3 3" xfId="874" xr:uid="{00000000-0005-0000-0000-000068160000}"/>
    <cellStyle name="Normal 4 6 3 3 2" xfId="3109" xr:uid="{00000000-0005-0000-0000-000069160000}"/>
    <cellStyle name="Normal 4 6 3 3 2 2" xfId="7332" xr:uid="{00000000-0005-0000-0000-00006A160000}"/>
    <cellStyle name="Normal 4 6 3 3 2 2 2" xfId="15771" xr:uid="{E7CBCC3A-974D-427D-854D-1A1E9AD43209}"/>
    <cellStyle name="Normal 4 6 3 3 2 3" xfId="11553" xr:uid="{26512B51-1F20-4A3B-88B1-1185BFFAA26D}"/>
    <cellStyle name="Normal 4 6 3 3 3" xfId="5187" xr:uid="{00000000-0005-0000-0000-00006B160000}"/>
    <cellStyle name="Normal 4 6 3 3 3 2" xfId="13626" xr:uid="{B04ADC06-ED33-4806-90A5-72D6C7F02450}"/>
    <cellStyle name="Normal 4 6 3 3 4" xfId="9408" xr:uid="{3F0F45FD-17AE-45D6-AA38-D40BE398CB92}"/>
    <cellStyle name="Normal 4 6 3 4" xfId="1292" xr:uid="{00000000-0005-0000-0000-00006C160000}"/>
    <cellStyle name="Normal 4 6 3 4 2" xfId="3522" xr:uid="{00000000-0005-0000-0000-00006D160000}"/>
    <cellStyle name="Normal 4 6 3 4 2 2" xfId="7745" xr:uid="{00000000-0005-0000-0000-00006E160000}"/>
    <cellStyle name="Normal 4 6 3 4 2 2 2" xfId="16184" xr:uid="{349684BD-E644-4DB5-9DBE-0687F11219D4}"/>
    <cellStyle name="Normal 4 6 3 4 2 3" xfId="11966" xr:uid="{41B4345B-A50C-4186-8D27-20EECAC34610}"/>
    <cellStyle name="Normal 4 6 3 4 3" xfId="5600" xr:uid="{00000000-0005-0000-0000-00006F160000}"/>
    <cellStyle name="Normal 4 6 3 4 3 2" xfId="14039" xr:uid="{D4A7C382-E27C-4927-92EA-971DA650793B}"/>
    <cellStyle name="Normal 4 6 3 4 4" xfId="9821" xr:uid="{FB0D36B0-A3F5-4E88-AB52-0EAACD87BC56}"/>
    <cellStyle name="Normal 4 6 3 5" xfId="1705" xr:uid="{00000000-0005-0000-0000-000070160000}"/>
    <cellStyle name="Normal 4 6 3 5 2" xfId="3935" xr:uid="{00000000-0005-0000-0000-000071160000}"/>
    <cellStyle name="Normal 4 6 3 5 2 2" xfId="8158" xr:uid="{00000000-0005-0000-0000-000072160000}"/>
    <cellStyle name="Normal 4 6 3 5 2 2 2" xfId="16597" xr:uid="{E2034003-5E7E-4FA4-BFEC-5AEC72728B9B}"/>
    <cellStyle name="Normal 4 6 3 5 2 3" xfId="12379" xr:uid="{EA4E9E71-2980-4C1D-B682-AB327E0B5676}"/>
    <cellStyle name="Normal 4 6 3 5 3" xfId="6013" xr:uid="{00000000-0005-0000-0000-000073160000}"/>
    <cellStyle name="Normal 4 6 3 5 3 2" xfId="14452" xr:uid="{E2943DE3-46E7-4548-B777-812D98449C42}"/>
    <cellStyle name="Normal 4 6 3 5 4" xfId="10234" xr:uid="{F30B65EE-C7B8-462E-9FDE-2D0C4F69670B}"/>
    <cellStyle name="Normal 4 6 3 6" xfId="2119" xr:uid="{00000000-0005-0000-0000-000074160000}"/>
    <cellStyle name="Normal 4 6 3 6 2" xfId="4348" xr:uid="{00000000-0005-0000-0000-000075160000}"/>
    <cellStyle name="Normal 4 6 3 6 2 2" xfId="8571" xr:uid="{00000000-0005-0000-0000-000076160000}"/>
    <cellStyle name="Normal 4 6 3 6 2 2 2" xfId="17010" xr:uid="{04D49F3A-8D2A-475C-9D37-02F0CF80469F}"/>
    <cellStyle name="Normal 4 6 3 6 2 3" xfId="12792" xr:uid="{8FC7EFD2-39FE-4E92-80E8-78C0CC725364}"/>
    <cellStyle name="Normal 4 6 3 6 3" xfId="6426" xr:uid="{00000000-0005-0000-0000-000077160000}"/>
    <cellStyle name="Normal 4 6 3 6 3 2" xfId="14865" xr:uid="{5A6F9398-CF35-4A49-B448-59086DF4706B}"/>
    <cellStyle name="Normal 4 6 3 6 4" xfId="10647" xr:uid="{719AAA17-056D-4F93-8C67-C61DC84F8196}"/>
    <cellStyle name="Normal 4 6 3 7" xfId="2555" xr:uid="{00000000-0005-0000-0000-000078160000}"/>
    <cellStyle name="Normal 4 6 3 7 2" xfId="6839" xr:uid="{00000000-0005-0000-0000-000079160000}"/>
    <cellStyle name="Normal 4 6 3 7 2 2" xfId="15278" xr:uid="{61891A28-6A1C-49BD-904F-E74E26C829C4}"/>
    <cellStyle name="Normal 4 6 3 7 3" xfId="11060" xr:uid="{1D338837-2E14-4E67-AFDD-25231C747684}"/>
    <cellStyle name="Normal 4 6 3 8" xfId="4774" xr:uid="{00000000-0005-0000-0000-00007A160000}"/>
    <cellStyle name="Normal 4 6 3 8 2" xfId="13213" xr:uid="{987C78FD-1ED7-448C-9FF9-77B82A98A775}"/>
    <cellStyle name="Normal 4 6 3 9" xfId="8995" xr:uid="{2D3990CA-E3D7-4A5D-A3C5-01A05757358A}"/>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5773" xr:uid="{73F88C9C-8357-4F10-BB20-E3681CB6358E}"/>
    <cellStyle name="Normal 4 6 4 2 2 3" xfId="11555" xr:uid="{803F3333-04D9-467D-830F-39A6995D61D4}"/>
    <cellStyle name="Normal 4 6 4 2 3" xfId="5189" xr:uid="{00000000-0005-0000-0000-00007F160000}"/>
    <cellStyle name="Normal 4 6 4 2 3 2" xfId="13628" xr:uid="{C29AAF3F-4140-47B2-A4B1-8B2159AAE91D}"/>
    <cellStyle name="Normal 4 6 4 2 4" xfId="9410" xr:uid="{67D7C92F-F13C-4D17-941F-EFCE4258CE4D}"/>
    <cellStyle name="Normal 4 6 4 3" xfId="1294" xr:uid="{00000000-0005-0000-0000-000080160000}"/>
    <cellStyle name="Normal 4 6 4 3 2" xfId="3524" xr:uid="{00000000-0005-0000-0000-000081160000}"/>
    <cellStyle name="Normal 4 6 4 3 2 2" xfId="7747" xr:uid="{00000000-0005-0000-0000-000082160000}"/>
    <cellStyle name="Normal 4 6 4 3 2 2 2" xfId="16186" xr:uid="{2005CDFB-6B59-473B-B88E-CF5B6F4C743F}"/>
    <cellStyle name="Normal 4 6 4 3 2 3" xfId="11968" xr:uid="{7B8B5668-6D09-4C1C-9ACD-9D69284EF69E}"/>
    <cellStyle name="Normal 4 6 4 3 3" xfId="5602" xr:uid="{00000000-0005-0000-0000-000083160000}"/>
    <cellStyle name="Normal 4 6 4 3 3 2" xfId="14041" xr:uid="{371B51C1-ED90-4E82-A51F-0F2BD9B71EBC}"/>
    <cellStyle name="Normal 4 6 4 3 4" xfId="9823" xr:uid="{24246D6C-3CBF-4935-943A-5686FEF73199}"/>
    <cellStyle name="Normal 4 6 4 4" xfId="1707" xr:uid="{00000000-0005-0000-0000-000084160000}"/>
    <cellStyle name="Normal 4 6 4 4 2" xfId="3937" xr:uid="{00000000-0005-0000-0000-000085160000}"/>
    <cellStyle name="Normal 4 6 4 4 2 2" xfId="8160" xr:uid="{00000000-0005-0000-0000-000086160000}"/>
    <cellStyle name="Normal 4 6 4 4 2 2 2" xfId="16599" xr:uid="{057CDAA5-F020-4319-AC83-FB67AC53F29D}"/>
    <cellStyle name="Normal 4 6 4 4 2 3" xfId="12381" xr:uid="{B53839F2-AFE2-4E0A-8538-588E94941105}"/>
    <cellStyle name="Normal 4 6 4 4 3" xfId="6015" xr:uid="{00000000-0005-0000-0000-000087160000}"/>
    <cellStyle name="Normal 4 6 4 4 3 2" xfId="14454" xr:uid="{89B4BF1B-831B-468C-A947-ADBD69C7980D}"/>
    <cellStyle name="Normal 4 6 4 4 4" xfId="10236" xr:uid="{7FCC12C1-1652-4EF6-A861-1E4D70CB66CF}"/>
    <cellStyle name="Normal 4 6 4 5" xfId="2121" xr:uid="{00000000-0005-0000-0000-000088160000}"/>
    <cellStyle name="Normal 4 6 4 5 2" xfId="4350" xr:uid="{00000000-0005-0000-0000-000089160000}"/>
    <cellStyle name="Normal 4 6 4 5 2 2" xfId="8573" xr:uid="{00000000-0005-0000-0000-00008A160000}"/>
    <cellStyle name="Normal 4 6 4 5 2 2 2" xfId="17012" xr:uid="{95C0100B-50BD-42A2-9FFF-B0A3F56B0D56}"/>
    <cellStyle name="Normal 4 6 4 5 2 3" xfId="12794" xr:uid="{28E45874-DA73-4D17-8F95-6B1E8396ABA9}"/>
    <cellStyle name="Normal 4 6 4 5 3" xfId="6428" xr:uid="{00000000-0005-0000-0000-00008B160000}"/>
    <cellStyle name="Normal 4 6 4 5 3 2" xfId="14867" xr:uid="{99777E42-6966-4317-9300-03AA1F48DCDA}"/>
    <cellStyle name="Normal 4 6 4 5 4" xfId="10649" xr:uid="{B86F1534-0B8E-401E-8FCC-AEF1DA5FF7C6}"/>
    <cellStyle name="Normal 4 6 4 6" xfId="2557" xr:uid="{00000000-0005-0000-0000-00008C160000}"/>
    <cellStyle name="Normal 4 6 4 6 2" xfId="6841" xr:uid="{00000000-0005-0000-0000-00008D160000}"/>
    <cellStyle name="Normal 4 6 4 6 2 2" xfId="15280" xr:uid="{E88401E8-AF04-4CAE-9E2E-EED7053E3E97}"/>
    <cellStyle name="Normal 4 6 4 6 3" xfId="11062" xr:uid="{BDF1B5B5-7F3F-412A-BFAA-DD58E7B15776}"/>
    <cellStyle name="Normal 4 6 4 7" xfId="4776" xr:uid="{00000000-0005-0000-0000-00008E160000}"/>
    <cellStyle name="Normal 4 6 4 7 2" xfId="13215" xr:uid="{06203650-EDB7-43A0-A20B-E600576F5376}"/>
    <cellStyle name="Normal 4 6 4 8" xfId="8997" xr:uid="{C89C9CA6-7899-4A4F-90AB-95DE7B89CEBE}"/>
    <cellStyle name="Normal 4 6 5" xfId="869" xr:uid="{00000000-0005-0000-0000-00008F160000}"/>
    <cellStyle name="Normal 4 6 5 2" xfId="3104" xr:uid="{00000000-0005-0000-0000-000090160000}"/>
    <cellStyle name="Normal 4 6 5 2 2" xfId="7327" xr:uid="{00000000-0005-0000-0000-000091160000}"/>
    <cellStyle name="Normal 4 6 5 2 2 2" xfId="15766" xr:uid="{4E32578B-8592-42F5-87CA-2CE17A344F41}"/>
    <cellStyle name="Normal 4 6 5 2 3" xfId="11548" xr:uid="{39E0A1B5-09C5-4755-B5C5-83806E8DF290}"/>
    <cellStyle name="Normal 4 6 5 3" xfId="5182" xr:uid="{00000000-0005-0000-0000-000092160000}"/>
    <cellStyle name="Normal 4 6 5 3 2" xfId="13621" xr:uid="{E32A174D-1D3A-4914-B8A2-201205D88872}"/>
    <cellStyle name="Normal 4 6 5 4" xfId="9403" xr:uid="{A85587C7-EB5D-4665-ACA9-10EEE4BA21AA}"/>
    <cellStyle name="Normal 4 6 6" xfId="1287" xr:uid="{00000000-0005-0000-0000-000093160000}"/>
    <cellStyle name="Normal 4 6 6 2" xfId="3517" xr:uid="{00000000-0005-0000-0000-000094160000}"/>
    <cellStyle name="Normal 4 6 6 2 2" xfId="7740" xr:uid="{00000000-0005-0000-0000-000095160000}"/>
    <cellStyle name="Normal 4 6 6 2 2 2" xfId="16179" xr:uid="{DE232ACB-90F4-44C8-9101-83F198AFDAB0}"/>
    <cellStyle name="Normal 4 6 6 2 3" xfId="11961" xr:uid="{89C15202-A2C6-4A64-B7F1-93894F8B1B5F}"/>
    <cellStyle name="Normal 4 6 6 3" xfId="5595" xr:uid="{00000000-0005-0000-0000-000096160000}"/>
    <cellStyle name="Normal 4 6 6 3 2" xfId="14034" xr:uid="{2DC8F0FC-808A-4486-AB90-A6DC5BE0904A}"/>
    <cellStyle name="Normal 4 6 6 4" xfId="9816" xr:uid="{4E83FB82-BFD2-4008-ABC7-151C56752024}"/>
    <cellStyle name="Normal 4 6 7" xfId="1700" xr:uid="{00000000-0005-0000-0000-000097160000}"/>
    <cellStyle name="Normal 4 6 7 2" xfId="3930" xr:uid="{00000000-0005-0000-0000-000098160000}"/>
    <cellStyle name="Normal 4 6 7 2 2" xfId="8153" xr:uid="{00000000-0005-0000-0000-000099160000}"/>
    <cellStyle name="Normal 4 6 7 2 2 2" xfId="16592" xr:uid="{20747815-1F65-415A-AAB4-378A1422F370}"/>
    <cellStyle name="Normal 4 6 7 2 3" xfId="12374" xr:uid="{2D10D1AA-2921-46B9-87BD-46B0F611AF47}"/>
    <cellStyle name="Normal 4 6 7 3" xfId="6008" xr:uid="{00000000-0005-0000-0000-00009A160000}"/>
    <cellStyle name="Normal 4 6 7 3 2" xfId="14447" xr:uid="{F93D42EC-5AD7-4114-A213-57B8607D090A}"/>
    <cellStyle name="Normal 4 6 7 4" xfId="10229" xr:uid="{219C947F-E6AF-40F0-9117-64C22748317C}"/>
    <cellStyle name="Normal 4 6 8" xfId="2114" xr:uid="{00000000-0005-0000-0000-00009B160000}"/>
    <cellStyle name="Normal 4 6 8 2" xfId="4343" xr:uid="{00000000-0005-0000-0000-00009C160000}"/>
    <cellStyle name="Normal 4 6 8 2 2" xfId="8566" xr:uid="{00000000-0005-0000-0000-00009D160000}"/>
    <cellStyle name="Normal 4 6 8 2 2 2" xfId="17005" xr:uid="{EB3E98F3-508E-47DE-A9D8-AAB3F6D34F3B}"/>
    <cellStyle name="Normal 4 6 8 2 3" xfId="12787" xr:uid="{7D27068A-D65D-4167-812A-C6ACCB93FC0C}"/>
    <cellStyle name="Normal 4 6 8 3" xfId="6421" xr:uid="{00000000-0005-0000-0000-00009E160000}"/>
    <cellStyle name="Normal 4 6 8 3 2" xfId="14860" xr:uid="{4E13D314-D811-4087-A0F6-01FA9C92C277}"/>
    <cellStyle name="Normal 4 6 8 4" xfId="10642" xr:uid="{D14C4D43-C2B6-4BDA-ACD2-71A20BC9ACBF}"/>
    <cellStyle name="Normal 4 6 9" xfId="2550" xr:uid="{00000000-0005-0000-0000-00009F160000}"/>
    <cellStyle name="Normal 4 6 9 2" xfId="6834" xr:uid="{00000000-0005-0000-0000-0000A0160000}"/>
    <cellStyle name="Normal 4 6 9 2 2" xfId="15273" xr:uid="{46632D12-0BD1-44C1-B0CB-61FD1CC9679A}"/>
    <cellStyle name="Normal 4 6 9 3" xfId="11055" xr:uid="{7203BDCD-5C64-4885-AC3B-54EBF7FEBE2D}"/>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5775" xr:uid="{33EAAEB1-F4AB-47AE-9A75-CF3693E2BD21}"/>
    <cellStyle name="Normal 4 7 2 2 2 3" xfId="11557" xr:uid="{F30230F0-EBAD-40E7-BD63-77AABA8EFFEC}"/>
    <cellStyle name="Normal 4 7 2 2 3" xfId="5191" xr:uid="{00000000-0005-0000-0000-0000A6160000}"/>
    <cellStyle name="Normal 4 7 2 2 3 2" xfId="13630" xr:uid="{218F6C95-9B45-473F-9FF0-64F1956CF525}"/>
    <cellStyle name="Normal 4 7 2 2 4" xfId="9412" xr:uid="{5FA3CF54-47C7-4DF9-B16C-AC1715F78232}"/>
    <cellStyle name="Normal 4 7 2 3" xfId="1296" xr:uid="{00000000-0005-0000-0000-0000A7160000}"/>
    <cellStyle name="Normal 4 7 2 3 2" xfId="3526" xr:uid="{00000000-0005-0000-0000-0000A8160000}"/>
    <cellStyle name="Normal 4 7 2 3 2 2" xfId="7749" xr:uid="{00000000-0005-0000-0000-0000A9160000}"/>
    <cellStyle name="Normal 4 7 2 3 2 2 2" xfId="16188" xr:uid="{78D5ACFC-B9EC-4F66-88B0-8056F2DC082A}"/>
    <cellStyle name="Normal 4 7 2 3 2 3" xfId="11970" xr:uid="{487B2D29-4630-44E1-9FA0-802DCA02163D}"/>
    <cellStyle name="Normal 4 7 2 3 3" xfId="5604" xr:uid="{00000000-0005-0000-0000-0000AA160000}"/>
    <cellStyle name="Normal 4 7 2 3 3 2" xfId="14043" xr:uid="{758DE7AA-F8A5-412D-8FDC-EC0B680352A9}"/>
    <cellStyle name="Normal 4 7 2 3 4" xfId="9825" xr:uid="{9CACF6FA-7D80-4311-91D6-0F69552F1730}"/>
    <cellStyle name="Normal 4 7 2 4" xfId="1709" xr:uid="{00000000-0005-0000-0000-0000AB160000}"/>
    <cellStyle name="Normal 4 7 2 4 2" xfId="3939" xr:uid="{00000000-0005-0000-0000-0000AC160000}"/>
    <cellStyle name="Normal 4 7 2 4 2 2" xfId="8162" xr:uid="{00000000-0005-0000-0000-0000AD160000}"/>
    <cellStyle name="Normal 4 7 2 4 2 2 2" xfId="16601" xr:uid="{5237BE36-164A-438D-B65E-CEBD0D78CF49}"/>
    <cellStyle name="Normal 4 7 2 4 2 3" xfId="12383" xr:uid="{66BF0FAB-6252-4889-8CC0-30BE51D3DCDA}"/>
    <cellStyle name="Normal 4 7 2 4 3" xfId="6017" xr:uid="{00000000-0005-0000-0000-0000AE160000}"/>
    <cellStyle name="Normal 4 7 2 4 3 2" xfId="14456" xr:uid="{33F7932A-8A41-4485-8F8A-048A5E90E86B}"/>
    <cellStyle name="Normal 4 7 2 4 4" xfId="10238" xr:uid="{EFAC0BF4-61FF-4B57-A9B8-AF9E1E86801A}"/>
    <cellStyle name="Normal 4 7 2 5" xfId="2123" xr:uid="{00000000-0005-0000-0000-0000AF160000}"/>
    <cellStyle name="Normal 4 7 2 5 2" xfId="4352" xr:uid="{00000000-0005-0000-0000-0000B0160000}"/>
    <cellStyle name="Normal 4 7 2 5 2 2" xfId="8575" xr:uid="{00000000-0005-0000-0000-0000B1160000}"/>
    <cellStyle name="Normal 4 7 2 5 2 2 2" xfId="17014" xr:uid="{FA2B8975-8638-4514-AA26-685C93C27D7C}"/>
    <cellStyle name="Normal 4 7 2 5 2 3" xfId="12796" xr:uid="{FB6F1DD4-2FDD-4D73-B472-B2571A7C14BE}"/>
    <cellStyle name="Normal 4 7 2 5 3" xfId="6430" xr:uid="{00000000-0005-0000-0000-0000B2160000}"/>
    <cellStyle name="Normal 4 7 2 5 3 2" xfId="14869" xr:uid="{FDD68D8F-A39F-4A7E-9A7B-A97071C86BB7}"/>
    <cellStyle name="Normal 4 7 2 5 4" xfId="10651" xr:uid="{A3D369ED-5CBF-409A-84DD-7E2465E5CB93}"/>
    <cellStyle name="Normal 4 7 2 6" xfId="2559" xr:uid="{00000000-0005-0000-0000-0000B3160000}"/>
    <cellStyle name="Normal 4 7 2 6 2" xfId="6843" xr:uid="{00000000-0005-0000-0000-0000B4160000}"/>
    <cellStyle name="Normal 4 7 2 6 2 2" xfId="15282" xr:uid="{95C87F5A-ECF1-432C-9CCD-0E10E5F2E2E2}"/>
    <cellStyle name="Normal 4 7 2 6 3" xfId="11064" xr:uid="{D955E483-5A68-43F4-B87C-149DB1C3ED6F}"/>
    <cellStyle name="Normal 4 7 2 7" xfId="4778" xr:uid="{00000000-0005-0000-0000-0000B5160000}"/>
    <cellStyle name="Normal 4 7 2 7 2" xfId="13217" xr:uid="{CBF56353-67C9-4B49-8A0B-A7A67BD17704}"/>
    <cellStyle name="Normal 4 7 2 8" xfId="8999" xr:uid="{2DE08F0B-0EC1-4132-9395-C1B68A204A71}"/>
    <cellStyle name="Normal 4 7 3" xfId="877" xr:uid="{00000000-0005-0000-0000-0000B6160000}"/>
    <cellStyle name="Normal 4 7 3 2" xfId="3112" xr:uid="{00000000-0005-0000-0000-0000B7160000}"/>
    <cellStyle name="Normal 4 7 3 2 2" xfId="7335" xr:uid="{00000000-0005-0000-0000-0000B8160000}"/>
    <cellStyle name="Normal 4 7 3 2 2 2" xfId="15774" xr:uid="{438A89C9-578C-445B-9DBC-9CC4AAA02750}"/>
    <cellStyle name="Normal 4 7 3 2 3" xfId="11556" xr:uid="{2D37D8B0-3819-4607-8476-528D78A0FB1C}"/>
    <cellStyle name="Normal 4 7 3 3" xfId="5190" xr:uid="{00000000-0005-0000-0000-0000B9160000}"/>
    <cellStyle name="Normal 4 7 3 3 2" xfId="13629" xr:uid="{1D6909C5-A5EE-4F75-B49E-95998A3D7E35}"/>
    <cellStyle name="Normal 4 7 3 4" xfId="9411" xr:uid="{CD35916B-4409-4AEF-B514-84090743A44B}"/>
    <cellStyle name="Normal 4 7 4" xfId="1295" xr:uid="{00000000-0005-0000-0000-0000BA160000}"/>
    <cellStyle name="Normal 4 7 4 2" xfId="3525" xr:uid="{00000000-0005-0000-0000-0000BB160000}"/>
    <cellStyle name="Normal 4 7 4 2 2" xfId="7748" xr:uid="{00000000-0005-0000-0000-0000BC160000}"/>
    <cellStyle name="Normal 4 7 4 2 2 2" xfId="16187" xr:uid="{E60E24A9-31CB-45B6-810F-2B8891E92F15}"/>
    <cellStyle name="Normal 4 7 4 2 3" xfId="11969" xr:uid="{B5A4B397-0676-450F-96D3-2F4A124B9AF3}"/>
    <cellStyle name="Normal 4 7 4 3" xfId="5603" xr:uid="{00000000-0005-0000-0000-0000BD160000}"/>
    <cellStyle name="Normal 4 7 4 3 2" xfId="14042" xr:uid="{F647011A-BFEB-4C52-8BFF-B670FC68DC23}"/>
    <cellStyle name="Normal 4 7 4 4" xfId="9824" xr:uid="{90EF4EF9-6523-44B8-8D9A-4A509CDD4F9A}"/>
    <cellStyle name="Normal 4 7 5" xfId="1708" xr:uid="{00000000-0005-0000-0000-0000BE160000}"/>
    <cellStyle name="Normal 4 7 5 2" xfId="3938" xr:uid="{00000000-0005-0000-0000-0000BF160000}"/>
    <cellStyle name="Normal 4 7 5 2 2" xfId="8161" xr:uid="{00000000-0005-0000-0000-0000C0160000}"/>
    <cellStyle name="Normal 4 7 5 2 2 2" xfId="16600" xr:uid="{8C46AF59-402E-4BC3-A30D-BA8ECE4AE649}"/>
    <cellStyle name="Normal 4 7 5 2 3" xfId="12382" xr:uid="{AFEA133C-B38D-4474-8AD0-82C58892E447}"/>
    <cellStyle name="Normal 4 7 5 3" xfId="6016" xr:uid="{00000000-0005-0000-0000-0000C1160000}"/>
    <cellStyle name="Normal 4 7 5 3 2" xfId="14455" xr:uid="{C1D7801D-D51F-4514-AC59-C35451DB28ED}"/>
    <cellStyle name="Normal 4 7 5 4" xfId="10237" xr:uid="{9F4F53B1-F65C-4CF0-8AD0-F207F6207468}"/>
    <cellStyle name="Normal 4 7 6" xfId="2122" xr:uid="{00000000-0005-0000-0000-0000C2160000}"/>
    <cellStyle name="Normal 4 7 6 2" xfId="4351" xr:uid="{00000000-0005-0000-0000-0000C3160000}"/>
    <cellStyle name="Normal 4 7 6 2 2" xfId="8574" xr:uid="{00000000-0005-0000-0000-0000C4160000}"/>
    <cellStyle name="Normal 4 7 6 2 2 2" xfId="17013" xr:uid="{42798F1D-74C6-43F6-935E-F234DC6A7B0A}"/>
    <cellStyle name="Normal 4 7 6 2 3" xfId="12795" xr:uid="{AD2C2F17-9BA3-4DF8-AC11-9EF06BFE12F8}"/>
    <cellStyle name="Normal 4 7 6 3" xfId="6429" xr:uid="{00000000-0005-0000-0000-0000C5160000}"/>
    <cellStyle name="Normal 4 7 6 3 2" xfId="14868" xr:uid="{2F035B88-1E36-47DA-BABD-69B9FF9D7927}"/>
    <cellStyle name="Normal 4 7 6 4" xfId="10650" xr:uid="{A280E019-1525-41F2-832E-A264E1ACC76A}"/>
    <cellStyle name="Normal 4 7 7" xfId="2558" xr:uid="{00000000-0005-0000-0000-0000C6160000}"/>
    <cellStyle name="Normal 4 7 7 2" xfId="6842" xr:uid="{00000000-0005-0000-0000-0000C7160000}"/>
    <cellStyle name="Normal 4 7 7 2 2" xfId="15281" xr:uid="{08950517-D152-41DD-9D21-8C25E2063E80}"/>
    <cellStyle name="Normal 4 7 7 3" xfId="11063" xr:uid="{F1678759-9B4C-452D-ACCE-511F63B37A0A}"/>
    <cellStyle name="Normal 4 7 8" xfId="4777" xr:uid="{00000000-0005-0000-0000-0000C8160000}"/>
    <cellStyle name="Normal 4 7 8 2" xfId="13216" xr:uid="{BE59E326-6FB2-4206-B897-14DDE531D2D0}"/>
    <cellStyle name="Normal 4 7 9" xfId="8998" xr:uid="{BEB88628-E868-4695-A7C1-EDE7F92ABDA3}"/>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5776" xr:uid="{A47230F0-433C-4BE0-BAED-13FE0221F78D}"/>
    <cellStyle name="Normal 4 8 2 2 3" xfId="11558" xr:uid="{87C731DF-492A-4591-9C11-FF9B9400DC10}"/>
    <cellStyle name="Normal 4 8 2 3" xfId="5192" xr:uid="{00000000-0005-0000-0000-0000CD160000}"/>
    <cellStyle name="Normal 4 8 2 3 2" xfId="13631" xr:uid="{F068B43B-7DAC-48EB-B078-E0205F7E9B62}"/>
    <cellStyle name="Normal 4 8 2 4" xfId="9413" xr:uid="{DD42E098-6CC6-4982-9984-3832B5ADCE29}"/>
    <cellStyle name="Normal 4 8 3" xfId="1297" xr:uid="{00000000-0005-0000-0000-0000CE160000}"/>
    <cellStyle name="Normal 4 8 3 2" xfId="3527" xr:uid="{00000000-0005-0000-0000-0000CF160000}"/>
    <cellStyle name="Normal 4 8 3 2 2" xfId="7750" xr:uid="{00000000-0005-0000-0000-0000D0160000}"/>
    <cellStyle name="Normal 4 8 3 2 2 2" xfId="16189" xr:uid="{30B2A949-C9B0-4003-8997-A1BF5E5CADCD}"/>
    <cellStyle name="Normal 4 8 3 2 3" xfId="11971" xr:uid="{B2558DC7-03E5-4B14-8066-0FE0C18B89DB}"/>
    <cellStyle name="Normal 4 8 3 3" xfId="5605" xr:uid="{00000000-0005-0000-0000-0000D1160000}"/>
    <cellStyle name="Normal 4 8 3 3 2" xfId="14044" xr:uid="{3960A557-64F1-476D-A5AF-0AAA300B6C52}"/>
    <cellStyle name="Normal 4 8 3 4" xfId="9826" xr:uid="{A5A59349-1CEF-40A9-BDB0-B68F924AEDFF}"/>
    <cellStyle name="Normal 4 8 4" xfId="1710" xr:uid="{00000000-0005-0000-0000-0000D2160000}"/>
    <cellStyle name="Normal 4 8 4 2" xfId="3940" xr:uid="{00000000-0005-0000-0000-0000D3160000}"/>
    <cellStyle name="Normal 4 8 4 2 2" xfId="8163" xr:uid="{00000000-0005-0000-0000-0000D4160000}"/>
    <cellStyle name="Normal 4 8 4 2 2 2" xfId="16602" xr:uid="{06F6C91C-5DAE-48C3-A846-AEC9753D3314}"/>
    <cellStyle name="Normal 4 8 4 2 3" xfId="12384" xr:uid="{911C39FD-4765-4239-B4D3-8A093AE74606}"/>
    <cellStyle name="Normal 4 8 4 3" xfId="6018" xr:uid="{00000000-0005-0000-0000-0000D5160000}"/>
    <cellStyle name="Normal 4 8 4 3 2" xfId="14457" xr:uid="{03472CA7-4295-4D0F-ADE5-8E64FB3CFB31}"/>
    <cellStyle name="Normal 4 8 4 4" xfId="10239" xr:uid="{1BDD58C8-A96F-4AA5-93B0-0014DDB8D4FF}"/>
    <cellStyle name="Normal 4 8 5" xfId="2124" xr:uid="{00000000-0005-0000-0000-0000D6160000}"/>
    <cellStyle name="Normal 4 8 5 2" xfId="4353" xr:uid="{00000000-0005-0000-0000-0000D7160000}"/>
    <cellStyle name="Normal 4 8 5 2 2" xfId="8576" xr:uid="{00000000-0005-0000-0000-0000D8160000}"/>
    <cellStyle name="Normal 4 8 5 2 2 2" xfId="17015" xr:uid="{B6D70FA6-CAA3-4C20-930F-D1725D3355BE}"/>
    <cellStyle name="Normal 4 8 5 2 3" xfId="12797" xr:uid="{41C47650-2B10-43FA-AF57-833D3413B379}"/>
    <cellStyle name="Normal 4 8 5 3" xfId="6431" xr:uid="{00000000-0005-0000-0000-0000D9160000}"/>
    <cellStyle name="Normal 4 8 5 3 2" xfId="14870" xr:uid="{EA6B4452-9FAF-44F2-B4D1-5B5864856DB0}"/>
    <cellStyle name="Normal 4 8 5 4" xfId="10652" xr:uid="{982F0EF0-29EA-46C1-8ECA-0033701D52EA}"/>
    <cellStyle name="Normal 4 8 6" xfId="2560" xr:uid="{00000000-0005-0000-0000-0000DA160000}"/>
    <cellStyle name="Normal 4 8 6 2" xfId="6844" xr:uid="{00000000-0005-0000-0000-0000DB160000}"/>
    <cellStyle name="Normal 4 8 6 2 2" xfId="15283" xr:uid="{C88893EB-CB0F-4F88-974C-022CBEAFED99}"/>
    <cellStyle name="Normal 4 8 6 3" xfId="11065" xr:uid="{CB86370A-D613-43E8-8E70-237F618F241F}"/>
    <cellStyle name="Normal 4 8 7" xfId="4779" xr:uid="{00000000-0005-0000-0000-0000DC160000}"/>
    <cellStyle name="Normal 4 8 7 2" xfId="13218" xr:uid="{91A89AC6-D93F-4701-895E-9F324AACFAE4}"/>
    <cellStyle name="Normal 4 8 8" xfId="9000" xr:uid="{A3147A26-7BCC-415C-B9F7-8C1AF04D85D9}"/>
    <cellStyle name="Normal 4 9" xfId="4716" xr:uid="{00000000-0005-0000-0000-0000DD160000}"/>
    <cellStyle name="Normal 4 9 2" xfId="13155" xr:uid="{23F242B6-6371-4175-AF32-3908151AAD05}"/>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3" xr:uid="{5EFE52A5-A3E7-4BAF-8F7F-9DF12F184A77}"/>
    <cellStyle name="Normal 5 10 2 3" xfId="12385" xr:uid="{A40AD373-8C8C-44B1-8F80-C753DD7B6CC7}"/>
    <cellStyle name="Normal 5 10 3" xfId="6019" xr:uid="{00000000-0005-0000-0000-0000E2160000}"/>
    <cellStyle name="Normal 5 10 3 2" xfId="14458" xr:uid="{C2A249D6-240B-416F-B868-194FC93F23C5}"/>
    <cellStyle name="Normal 5 10 4" xfId="10240" xr:uid="{B9F109EB-60E0-417E-8F2F-F379CBA10A34}"/>
    <cellStyle name="Normal 5 11" xfId="2125" xr:uid="{00000000-0005-0000-0000-0000E3160000}"/>
    <cellStyle name="Normal 5 11 2" xfId="4354" xr:uid="{00000000-0005-0000-0000-0000E4160000}"/>
    <cellStyle name="Normal 5 11 2 2" xfId="8577" xr:uid="{00000000-0005-0000-0000-0000E5160000}"/>
    <cellStyle name="Normal 5 11 2 2 2" xfId="17016" xr:uid="{F0BAEA60-EBDF-4B3E-B296-C6CF8337B6A2}"/>
    <cellStyle name="Normal 5 11 2 3" xfId="12798" xr:uid="{68283F34-3239-47D5-B747-5C31AA1D86BB}"/>
    <cellStyle name="Normal 5 11 3" xfId="6432" xr:uid="{00000000-0005-0000-0000-0000E6160000}"/>
    <cellStyle name="Normal 5 11 3 2" xfId="14871" xr:uid="{92893DED-BC4B-4548-94F9-49440095BC07}"/>
    <cellStyle name="Normal 5 11 4" xfId="10653" xr:uid="{6AFB4A44-8F52-4256-8A39-F064252D4BAD}"/>
    <cellStyle name="Normal 5 12" xfId="2561" xr:uid="{00000000-0005-0000-0000-0000E7160000}"/>
    <cellStyle name="Normal 5 12 2" xfId="6845" xr:uid="{00000000-0005-0000-0000-0000E8160000}"/>
    <cellStyle name="Normal 5 12 2 2" xfId="15284" xr:uid="{88B3081C-1856-4AA3-867A-8F5382A954AA}"/>
    <cellStyle name="Normal 5 12 3" xfId="11066" xr:uid="{8B29788B-3748-4FE2-9E6D-F5F05BC0EF1E}"/>
    <cellStyle name="Normal 5 13" xfId="4780" xr:uid="{00000000-0005-0000-0000-0000E9160000}"/>
    <cellStyle name="Normal 5 13 2" xfId="13219" xr:uid="{F6386059-6056-41E5-8513-CA411D6BD547}"/>
    <cellStyle name="Normal 5 14" xfId="9001" xr:uid="{19772F72-D990-40F0-90F3-9080EB473224}"/>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17" xr:uid="{BC87328C-953F-4F69-BA28-6B0E935E855C}"/>
    <cellStyle name="Normal 5 2 10 2 3" xfId="12799" xr:uid="{3F3DABC6-7542-4C4E-AE19-7937BBA6C5C7}"/>
    <cellStyle name="Normal 5 2 10 3" xfId="6433" xr:uid="{00000000-0005-0000-0000-0000EE160000}"/>
    <cellStyle name="Normal 5 2 10 3 2" xfId="14872" xr:uid="{1A9683FE-4F79-43F7-A6B7-B5AA2EA55B6E}"/>
    <cellStyle name="Normal 5 2 10 4" xfId="10654" xr:uid="{330A033A-ADFA-4FA1-BAD3-3F8A4DF896AC}"/>
    <cellStyle name="Normal 5 2 11" xfId="2562" xr:uid="{00000000-0005-0000-0000-0000EF160000}"/>
    <cellStyle name="Normal 5 2 11 2" xfId="6846" xr:uid="{00000000-0005-0000-0000-0000F0160000}"/>
    <cellStyle name="Normal 5 2 11 2 2" xfId="15285" xr:uid="{EC5D69E1-49D8-48DD-9CB4-46B01DDC8AD1}"/>
    <cellStyle name="Normal 5 2 11 3" xfId="11067" xr:uid="{DF9DA9D2-F5A6-4BD6-8F8A-F736A233E89F}"/>
    <cellStyle name="Normal 5 2 12" xfId="4781" xr:uid="{00000000-0005-0000-0000-0000F1160000}"/>
    <cellStyle name="Normal 5 2 12 2" xfId="13220" xr:uid="{D1425DFE-C174-4BB7-8E5B-26FE14431901}"/>
    <cellStyle name="Normal 5 2 13" xfId="9002" xr:uid="{718140CB-BE83-418E-AC5F-23ADDFCCA553}"/>
    <cellStyle name="Normal 5 2 2" xfId="408" xr:uid="{00000000-0005-0000-0000-0000F2160000}"/>
    <cellStyle name="Normal 5 2 2 10" xfId="2563" xr:uid="{00000000-0005-0000-0000-0000F3160000}"/>
    <cellStyle name="Normal 5 2 2 10 2" xfId="6847" xr:uid="{00000000-0005-0000-0000-0000F4160000}"/>
    <cellStyle name="Normal 5 2 2 10 2 2" xfId="15286" xr:uid="{C4E76E3C-8B44-4641-9BB0-44623C15C0C0}"/>
    <cellStyle name="Normal 5 2 2 10 3" xfId="11068" xr:uid="{76DF20BB-81ED-4FDA-B74A-F639E5D77016}"/>
    <cellStyle name="Normal 5 2 2 11" xfId="4782" xr:uid="{00000000-0005-0000-0000-0000F5160000}"/>
    <cellStyle name="Normal 5 2 2 11 2" xfId="13221" xr:uid="{8E646C28-15C2-4CE9-9582-BEBD121B549D}"/>
    <cellStyle name="Normal 5 2 2 12" xfId="9003" xr:uid="{346551AF-89F5-488B-AC5A-2D74226B970F}"/>
    <cellStyle name="Normal 5 2 2 2" xfId="409" xr:uid="{00000000-0005-0000-0000-0000F6160000}"/>
    <cellStyle name="Normal 5 2 2 2 10" xfId="4783" xr:uid="{00000000-0005-0000-0000-0000F7160000}"/>
    <cellStyle name="Normal 5 2 2 2 10 2" xfId="13222" xr:uid="{35CD92AB-B1C5-4570-BED4-447220124AD9}"/>
    <cellStyle name="Normal 5 2 2 2 11" xfId="9004" xr:uid="{753B1291-099A-4351-8BAF-4807D6256B6A}"/>
    <cellStyle name="Normal 5 2 2 2 2" xfId="410" xr:uid="{00000000-0005-0000-0000-0000F8160000}"/>
    <cellStyle name="Normal 5 2 2 2 2 10" xfId="9005" xr:uid="{A8E6FA0C-ADE1-457C-9098-C50F310C736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3" xr:uid="{B495ACDE-A3B6-4509-A965-5AD24260F9FA}"/>
    <cellStyle name="Normal 5 2 2 2 2 2 2 2 2 3" xfId="11565" xr:uid="{A099820B-3E2F-4FA7-9D3A-75390176E341}"/>
    <cellStyle name="Normal 5 2 2 2 2 2 2 2 3" xfId="5199" xr:uid="{00000000-0005-0000-0000-0000FE160000}"/>
    <cellStyle name="Normal 5 2 2 2 2 2 2 2 3 2" xfId="13638" xr:uid="{CE623096-C18F-4522-A34E-57AF17ED9A4F}"/>
    <cellStyle name="Normal 5 2 2 2 2 2 2 2 4" xfId="9420" xr:uid="{9149D094-326C-48DB-B3FD-37416062428B}"/>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6" xr:uid="{2DF331FE-F6A1-4C90-9B55-D0A5332332C8}"/>
    <cellStyle name="Normal 5 2 2 2 2 2 2 3 2 3" xfId="11978" xr:uid="{258ABA8B-BF67-458D-8D0B-A5B5F2C33760}"/>
    <cellStyle name="Normal 5 2 2 2 2 2 2 3 3" xfId="5612" xr:uid="{00000000-0005-0000-0000-000002170000}"/>
    <cellStyle name="Normal 5 2 2 2 2 2 2 3 3 2" xfId="14051" xr:uid="{76A90326-FA16-4980-9710-A944D9E96B9A}"/>
    <cellStyle name="Normal 5 2 2 2 2 2 2 3 4" xfId="9833" xr:uid="{76AED4DC-F572-4E5A-9AB9-7ABC231FE88A}"/>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09" xr:uid="{145365E2-0D56-46B1-ADBD-D96458B1E54F}"/>
    <cellStyle name="Normal 5 2 2 2 2 2 2 4 2 3" xfId="12391" xr:uid="{2AE59FC3-7B1D-4282-86B3-9317C434304B}"/>
    <cellStyle name="Normal 5 2 2 2 2 2 2 4 3" xfId="6025" xr:uid="{00000000-0005-0000-0000-000006170000}"/>
    <cellStyle name="Normal 5 2 2 2 2 2 2 4 3 2" xfId="14464" xr:uid="{C1EE428A-35E3-4F88-839F-DDDD1291A5CF}"/>
    <cellStyle name="Normal 5 2 2 2 2 2 2 4 4" xfId="10246" xr:uid="{925E4B93-0402-412F-885E-C7AF9FD1EF18}"/>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22" xr:uid="{53F38411-EC52-44FC-B22F-E5165FFEABDC}"/>
    <cellStyle name="Normal 5 2 2 2 2 2 2 5 2 3" xfId="12804" xr:uid="{9582B78D-EE1B-4C17-A853-F161461C2C64}"/>
    <cellStyle name="Normal 5 2 2 2 2 2 2 5 3" xfId="6438" xr:uid="{00000000-0005-0000-0000-00000A170000}"/>
    <cellStyle name="Normal 5 2 2 2 2 2 2 5 3 2" xfId="14877" xr:uid="{9640C4CE-5B81-4187-90E5-987FC2B4A4C5}"/>
    <cellStyle name="Normal 5 2 2 2 2 2 2 5 4" xfId="10659" xr:uid="{DCA1A8B3-BD6A-45B2-9841-C4ED6E4E8122}"/>
    <cellStyle name="Normal 5 2 2 2 2 2 2 6" xfId="2567" xr:uid="{00000000-0005-0000-0000-00000B170000}"/>
    <cellStyle name="Normal 5 2 2 2 2 2 2 6 2" xfId="6851" xr:uid="{00000000-0005-0000-0000-00000C170000}"/>
    <cellStyle name="Normal 5 2 2 2 2 2 2 6 2 2" xfId="15290" xr:uid="{64FA3FFE-D4F3-4FD0-ACFB-4515D1C93656}"/>
    <cellStyle name="Normal 5 2 2 2 2 2 2 6 3" xfId="11072" xr:uid="{CE42BBC0-C67F-48E2-84E1-55DA7359E041}"/>
    <cellStyle name="Normal 5 2 2 2 2 2 2 7" xfId="4786" xr:uid="{00000000-0005-0000-0000-00000D170000}"/>
    <cellStyle name="Normal 5 2 2 2 2 2 2 7 2" xfId="13225" xr:uid="{07932DAE-993A-4415-AC78-62A92A2D1681}"/>
    <cellStyle name="Normal 5 2 2 2 2 2 2 8" xfId="9007" xr:uid="{F0559F0D-F18C-421A-9010-4808552EE32A}"/>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82" xr:uid="{6CD611CC-753A-44BF-B454-1D6113E870D8}"/>
    <cellStyle name="Normal 5 2 2 2 2 2 3 2 3" xfId="11564" xr:uid="{E7C8E65A-E1DF-4512-99F3-8BACAA2664A9}"/>
    <cellStyle name="Normal 5 2 2 2 2 2 3 3" xfId="5198" xr:uid="{00000000-0005-0000-0000-000011170000}"/>
    <cellStyle name="Normal 5 2 2 2 2 2 3 3 2" xfId="13637" xr:uid="{C744579D-5D25-4E00-9421-C905657F002B}"/>
    <cellStyle name="Normal 5 2 2 2 2 2 3 4" xfId="9419" xr:uid="{8BB05D14-837D-4AF3-B87D-24F3B53229DE}"/>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5" xr:uid="{0578EA86-C70C-47C4-B92C-F1D8F698BF44}"/>
    <cellStyle name="Normal 5 2 2 2 2 2 4 2 3" xfId="11977" xr:uid="{C4B2BA7E-9461-40F1-BDBA-D1EFC2526A24}"/>
    <cellStyle name="Normal 5 2 2 2 2 2 4 3" xfId="5611" xr:uid="{00000000-0005-0000-0000-000015170000}"/>
    <cellStyle name="Normal 5 2 2 2 2 2 4 3 2" xfId="14050" xr:uid="{6692A44C-6869-4586-8AF3-E53E6DF87093}"/>
    <cellStyle name="Normal 5 2 2 2 2 2 4 4" xfId="9832" xr:uid="{C5133A3C-151E-41FC-9525-568E1072FB12}"/>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08" xr:uid="{6591D53C-349F-479F-BFAD-2870DC04482E}"/>
    <cellStyle name="Normal 5 2 2 2 2 2 5 2 3" xfId="12390" xr:uid="{77E2A042-18EC-454C-90F3-980046709B21}"/>
    <cellStyle name="Normal 5 2 2 2 2 2 5 3" xfId="6024" xr:uid="{00000000-0005-0000-0000-000019170000}"/>
    <cellStyle name="Normal 5 2 2 2 2 2 5 3 2" xfId="14463" xr:uid="{7A4FFCBA-55AA-47D4-BBEB-35C46503C236}"/>
    <cellStyle name="Normal 5 2 2 2 2 2 5 4" xfId="10245" xr:uid="{221D9D29-6C0D-4870-992E-4D71A5CF469C}"/>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21" xr:uid="{2BE87AEE-3324-4140-8085-675E5CBE2D51}"/>
    <cellStyle name="Normal 5 2 2 2 2 2 6 2 3" xfId="12803" xr:uid="{F1BAB0CE-5ECB-4F17-AA9D-8D038F878C57}"/>
    <cellStyle name="Normal 5 2 2 2 2 2 6 3" xfId="6437" xr:uid="{00000000-0005-0000-0000-00001D170000}"/>
    <cellStyle name="Normal 5 2 2 2 2 2 6 3 2" xfId="14876" xr:uid="{133C3E3B-6551-40A7-80A0-9DEED5025F3F}"/>
    <cellStyle name="Normal 5 2 2 2 2 2 6 4" xfId="10658" xr:uid="{774C1782-1601-488C-8E42-54B7A8C0BE89}"/>
    <cellStyle name="Normal 5 2 2 2 2 2 7" xfId="2566" xr:uid="{00000000-0005-0000-0000-00001E170000}"/>
    <cellStyle name="Normal 5 2 2 2 2 2 7 2" xfId="6850" xr:uid="{00000000-0005-0000-0000-00001F170000}"/>
    <cellStyle name="Normal 5 2 2 2 2 2 7 2 2" xfId="15289" xr:uid="{0EBB1905-00EC-4C56-A8D5-906C2AF767F6}"/>
    <cellStyle name="Normal 5 2 2 2 2 2 7 3" xfId="11071" xr:uid="{44E15B7D-DF00-414C-A0F9-20374B73D8E6}"/>
    <cellStyle name="Normal 5 2 2 2 2 2 8" xfId="4785" xr:uid="{00000000-0005-0000-0000-000020170000}"/>
    <cellStyle name="Normal 5 2 2 2 2 2 8 2" xfId="13224" xr:uid="{1F4106F5-4550-4EC1-8F51-ED58AC741DAE}"/>
    <cellStyle name="Normal 5 2 2 2 2 2 9" xfId="9006" xr:uid="{3BB53BD7-7086-4A47-82B8-218AAF83D75C}"/>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4" xr:uid="{6D5FF048-19B6-4EDB-A137-EB265B342505}"/>
    <cellStyle name="Normal 5 2 2 2 2 3 2 2 3" xfId="11566" xr:uid="{E696175C-AE9B-4A30-900D-83E595DD0A43}"/>
    <cellStyle name="Normal 5 2 2 2 2 3 2 3" xfId="5200" xr:uid="{00000000-0005-0000-0000-000025170000}"/>
    <cellStyle name="Normal 5 2 2 2 2 3 2 3 2" xfId="13639" xr:uid="{29951C9F-DD4D-48D1-BDAA-1B7EC7761114}"/>
    <cellStyle name="Normal 5 2 2 2 2 3 2 4" xfId="9421" xr:uid="{69DF663E-0373-4033-AE24-CBFE79F52C33}"/>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197" xr:uid="{D01B8D4D-A578-415F-8691-368695438D14}"/>
    <cellStyle name="Normal 5 2 2 2 2 3 3 2 3" xfId="11979" xr:uid="{B5D17E76-CE0F-44C0-B55F-7220B4B13AE4}"/>
    <cellStyle name="Normal 5 2 2 2 2 3 3 3" xfId="5613" xr:uid="{00000000-0005-0000-0000-000029170000}"/>
    <cellStyle name="Normal 5 2 2 2 2 3 3 3 2" xfId="14052" xr:uid="{F81DD2D8-3B88-4D1A-8EA6-3B074C551C37}"/>
    <cellStyle name="Normal 5 2 2 2 2 3 3 4" xfId="9834" xr:uid="{6BFBD757-6699-4D92-AEE2-D7E5433027F3}"/>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10" xr:uid="{E98A8C54-67E0-443A-8118-CF9D01C0FBDE}"/>
    <cellStyle name="Normal 5 2 2 2 2 3 4 2 3" xfId="12392" xr:uid="{50F9488E-5F4D-4CA8-9980-E690FAA761D0}"/>
    <cellStyle name="Normal 5 2 2 2 2 3 4 3" xfId="6026" xr:uid="{00000000-0005-0000-0000-00002D170000}"/>
    <cellStyle name="Normal 5 2 2 2 2 3 4 3 2" xfId="14465" xr:uid="{B4A1CF03-1409-4945-A759-0E5B422F93B5}"/>
    <cellStyle name="Normal 5 2 2 2 2 3 4 4" xfId="10247" xr:uid="{E1F9D369-B59D-433B-9268-70E5AE96DF4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3" xr:uid="{B9D71863-AABD-4C6C-B3AE-B0B6AA8244C6}"/>
    <cellStyle name="Normal 5 2 2 2 2 3 5 2 3" xfId="12805" xr:uid="{ED8BB0B9-BCC6-4C90-9D9A-C536A403CA96}"/>
    <cellStyle name="Normal 5 2 2 2 2 3 5 3" xfId="6439" xr:uid="{00000000-0005-0000-0000-000031170000}"/>
    <cellStyle name="Normal 5 2 2 2 2 3 5 3 2" xfId="14878" xr:uid="{0129CE02-CD94-4ECE-BFD7-7CD93A240856}"/>
    <cellStyle name="Normal 5 2 2 2 2 3 5 4" xfId="10660" xr:uid="{EEBD3299-FA9C-4772-8E21-7F8E2EAEC8E9}"/>
    <cellStyle name="Normal 5 2 2 2 2 3 6" xfId="2568" xr:uid="{00000000-0005-0000-0000-000032170000}"/>
    <cellStyle name="Normal 5 2 2 2 2 3 6 2" xfId="6852" xr:uid="{00000000-0005-0000-0000-000033170000}"/>
    <cellStyle name="Normal 5 2 2 2 2 3 6 2 2" xfId="15291" xr:uid="{69E9E4D7-AA66-47C1-8F14-89F49A83A326}"/>
    <cellStyle name="Normal 5 2 2 2 2 3 6 3" xfId="11073" xr:uid="{138D1967-8E6F-4D3B-ADA5-8E8FCC3508C8}"/>
    <cellStyle name="Normal 5 2 2 2 2 3 7" xfId="4787" xr:uid="{00000000-0005-0000-0000-000034170000}"/>
    <cellStyle name="Normal 5 2 2 2 2 3 7 2" xfId="13226" xr:uid="{38A6524F-987F-474B-8A4B-D735852BFEF8}"/>
    <cellStyle name="Normal 5 2 2 2 2 3 8" xfId="9008" xr:uid="{71685D35-DA7B-44FD-AB04-53AA8DF0AD84}"/>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81" xr:uid="{9A45E563-C875-42DC-B602-62543EF2A38E}"/>
    <cellStyle name="Normal 5 2 2 2 2 4 2 3" xfId="11563" xr:uid="{78B9488F-EA5D-479B-98C3-800C6CFB30AA}"/>
    <cellStyle name="Normal 5 2 2 2 2 4 3" xfId="5197" xr:uid="{00000000-0005-0000-0000-000038170000}"/>
    <cellStyle name="Normal 5 2 2 2 2 4 3 2" xfId="13636" xr:uid="{BABB3A75-52A6-4DB0-AC8D-4188F0CEEC66}"/>
    <cellStyle name="Normal 5 2 2 2 2 4 4" xfId="9418" xr:uid="{44CDF3F5-F88E-408E-BC26-E629A69A43F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4" xr:uid="{FF252C96-D4E1-4214-ABEE-977088408B9C}"/>
    <cellStyle name="Normal 5 2 2 2 2 5 2 3" xfId="11976" xr:uid="{C0F5C340-2C4C-4A91-B0C8-7D7EDFD6FFA7}"/>
    <cellStyle name="Normal 5 2 2 2 2 5 3" xfId="5610" xr:uid="{00000000-0005-0000-0000-00003C170000}"/>
    <cellStyle name="Normal 5 2 2 2 2 5 3 2" xfId="14049" xr:uid="{3312B659-1C02-43C0-A0A7-03736E854812}"/>
    <cellStyle name="Normal 5 2 2 2 2 5 4" xfId="9831" xr:uid="{48DA1CDB-1C0B-46BD-BA01-4E122BD54B26}"/>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07" xr:uid="{EA8DC412-7C69-4EF2-9078-7348BC6BF7B2}"/>
    <cellStyle name="Normal 5 2 2 2 2 6 2 3" xfId="12389" xr:uid="{EEC84159-795A-4E0C-B493-CDDE7DBB874A}"/>
    <cellStyle name="Normal 5 2 2 2 2 6 3" xfId="6023" xr:uid="{00000000-0005-0000-0000-000040170000}"/>
    <cellStyle name="Normal 5 2 2 2 2 6 3 2" xfId="14462" xr:uid="{68F92157-DA16-40E7-88E8-844717500994}"/>
    <cellStyle name="Normal 5 2 2 2 2 6 4" xfId="10244" xr:uid="{BD3D6677-E9E4-40E8-AF6E-1723479CA38D}"/>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20" xr:uid="{A6BBCF7A-C2B5-49E4-A062-A0ACFF771814}"/>
    <cellStyle name="Normal 5 2 2 2 2 7 2 3" xfId="12802" xr:uid="{1AB3C90C-5132-4455-A867-FC593F3F56D2}"/>
    <cellStyle name="Normal 5 2 2 2 2 7 3" xfId="6436" xr:uid="{00000000-0005-0000-0000-000044170000}"/>
    <cellStyle name="Normal 5 2 2 2 2 7 3 2" xfId="14875" xr:uid="{EAFE2FD0-074B-4E76-A578-DF6D61379AA4}"/>
    <cellStyle name="Normal 5 2 2 2 2 7 4" xfId="10657" xr:uid="{F05A78D9-BB23-4F23-B7A4-9E1311FF5A2D}"/>
    <cellStyle name="Normal 5 2 2 2 2 8" xfId="2565" xr:uid="{00000000-0005-0000-0000-000045170000}"/>
    <cellStyle name="Normal 5 2 2 2 2 8 2" xfId="6849" xr:uid="{00000000-0005-0000-0000-000046170000}"/>
    <cellStyle name="Normal 5 2 2 2 2 8 2 2" xfId="15288" xr:uid="{376C5E81-E202-4A81-A4F7-68C70247F0EA}"/>
    <cellStyle name="Normal 5 2 2 2 2 8 3" xfId="11070" xr:uid="{8AB1A3B0-5DBF-4FA2-A046-2C938AE26141}"/>
    <cellStyle name="Normal 5 2 2 2 2 9" xfId="4784" xr:uid="{00000000-0005-0000-0000-000047170000}"/>
    <cellStyle name="Normal 5 2 2 2 2 9 2" xfId="13223" xr:uid="{67D644C8-86ED-40BA-A3B0-08CCC65F1EA3}"/>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6" xr:uid="{B550AD40-57CA-4972-8649-D82C54D280BA}"/>
    <cellStyle name="Normal 5 2 2 2 3 2 2 2 3" xfId="11568" xr:uid="{8FB18CD5-C1A9-48B4-AF7C-A76031E9FBCC}"/>
    <cellStyle name="Normal 5 2 2 2 3 2 2 3" xfId="5202" xr:uid="{00000000-0005-0000-0000-00004D170000}"/>
    <cellStyle name="Normal 5 2 2 2 3 2 2 3 2" xfId="13641" xr:uid="{8C456860-3885-436D-8996-C9BBDA579928}"/>
    <cellStyle name="Normal 5 2 2 2 3 2 2 4" xfId="9423" xr:uid="{963E9FE3-3EB1-40D7-B10C-BDEEAE0D3C74}"/>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199" xr:uid="{53C255BA-7D9C-4242-8246-2233E76A5BF7}"/>
    <cellStyle name="Normal 5 2 2 2 3 2 3 2 3" xfId="11981" xr:uid="{084EA075-F9D2-4912-A0FD-32DC1AABEB57}"/>
    <cellStyle name="Normal 5 2 2 2 3 2 3 3" xfId="5615" xr:uid="{00000000-0005-0000-0000-000051170000}"/>
    <cellStyle name="Normal 5 2 2 2 3 2 3 3 2" xfId="14054" xr:uid="{5D9C35E1-58D0-4292-88F9-54D56B9E2FFF}"/>
    <cellStyle name="Normal 5 2 2 2 3 2 3 4" xfId="9836" xr:uid="{7FABC1CB-48B8-4EED-9DF9-3A7B178F4FC3}"/>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12" xr:uid="{02F0D91F-FD28-41D8-BAE6-C31FD757AC48}"/>
    <cellStyle name="Normal 5 2 2 2 3 2 4 2 3" xfId="12394" xr:uid="{61929103-576E-4569-809C-750625365B84}"/>
    <cellStyle name="Normal 5 2 2 2 3 2 4 3" xfId="6028" xr:uid="{00000000-0005-0000-0000-000055170000}"/>
    <cellStyle name="Normal 5 2 2 2 3 2 4 3 2" xfId="14467" xr:uid="{A0DB4388-4FEC-47F7-890C-C5906FE39D63}"/>
    <cellStyle name="Normal 5 2 2 2 3 2 4 4" xfId="10249" xr:uid="{12D05606-316C-4250-9144-A2D68970BD9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5" xr:uid="{E36B5752-5E41-4CE6-BFB8-CFEAECF1000B}"/>
    <cellStyle name="Normal 5 2 2 2 3 2 5 2 3" xfId="12807" xr:uid="{07F10BEF-B7A7-408E-876C-387E0044FA3F}"/>
    <cellStyle name="Normal 5 2 2 2 3 2 5 3" xfId="6441" xr:uid="{00000000-0005-0000-0000-000059170000}"/>
    <cellStyle name="Normal 5 2 2 2 3 2 5 3 2" xfId="14880" xr:uid="{22EBC1F2-FB38-4ECB-B662-59694E2130BC}"/>
    <cellStyle name="Normal 5 2 2 2 3 2 5 4" xfId="10662" xr:uid="{F437ADE1-68BE-4C67-BDA6-E266D8675627}"/>
    <cellStyle name="Normal 5 2 2 2 3 2 6" xfId="2570" xr:uid="{00000000-0005-0000-0000-00005A170000}"/>
    <cellStyle name="Normal 5 2 2 2 3 2 6 2" xfId="6854" xr:uid="{00000000-0005-0000-0000-00005B170000}"/>
    <cellStyle name="Normal 5 2 2 2 3 2 6 2 2" xfId="15293" xr:uid="{E5CAB46B-AC02-438F-B956-4685AAA8C7E4}"/>
    <cellStyle name="Normal 5 2 2 2 3 2 6 3" xfId="11075" xr:uid="{49D60EA7-1AB7-4A8F-973C-F8A18E2CB6C2}"/>
    <cellStyle name="Normal 5 2 2 2 3 2 7" xfId="4789" xr:uid="{00000000-0005-0000-0000-00005C170000}"/>
    <cellStyle name="Normal 5 2 2 2 3 2 7 2" xfId="13228" xr:uid="{C7747F08-EA4D-4C17-96F2-A468906ED5A6}"/>
    <cellStyle name="Normal 5 2 2 2 3 2 8" xfId="9010" xr:uid="{004ED906-F0D0-4450-ABC4-788921E5754E}"/>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5" xr:uid="{8143087A-ED15-469D-832D-D15CB7DF6B38}"/>
    <cellStyle name="Normal 5 2 2 2 3 3 2 3" xfId="11567" xr:uid="{6540D40E-25AA-476D-A636-DF5AE9AE60DE}"/>
    <cellStyle name="Normal 5 2 2 2 3 3 3" xfId="5201" xr:uid="{00000000-0005-0000-0000-000060170000}"/>
    <cellStyle name="Normal 5 2 2 2 3 3 3 2" xfId="13640" xr:uid="{BD24F78C-3368-4E30-BD1B-0E59B1FA8367}"/>
    <cellStyle name="Normal 5 2 2 2 3 3 4" xfId="9422" xr:uid="{8D32E16D-74DB-4AA8-8E82-7E8A2B784133}"/>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198" xr:uid="{2E101D55-535B-4373-8A99-7B4BA598FBA8}"/>
    <cellStyle name="Normal 5 2 2 2 3 4 2 3" xfId="11980" xr:uid="{FECCAA88-A608-41C0-8334-BA5482D5ED9E}"/>
    <cellStyle name="Normal 5 2 2 2 3 4 3" xfId="5614" xr:uid="{00000000-0005-0000-0000-000064170000}"/>
    <cellStyle name="Normal 5 2 2 2 3 4 3 2" xfId="14053" xr:uid="{2F4AFFE5-8B1E-4C68-A261-A9069C8EB209}"/>
    <cellStyle name="Normal 5 2 2 2 3 4 4" xfId="9835" xr:uid="{D02553F8-A43D-4F63-A11E-3628861386E9}"/>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11" xr:uid="{B874787D-2482-4DC2-B822-3EBF81E3540A}"/>
    <cellStyle name="Normal 5 2 2 2 3 5 2 3" xfId="12393" xr:uid="{11CC6001-65D2-464A-B66D-C70302816732}"/>
    <cellStyle name="Normal 5 2 2 2 3 5 3" xfId="6027" xr:uid="{00000000-0005-0000-0000-000068170000}"/>
    <cellStyle name="Normal 5 2 2 2 3 5 3 2" xfId="14466" xr:uid="{B2E53955-DD65-49B6-B048-ECE33DCC26F3}"/>
    <cellStyle name="Normal 5 2 2 2 3 5 4" xfId="10248" xr:uid="{0AF0F552-AD6F-431A-9120-6977B5CF9EC9}"/>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4" xr:uid="{89BC3AA2-BD01-4E71-95B4-BC48AC3FFEAC}"/>
    <cellStyle name="Normal 5 2 2 2 3 6 2 3" xfId="12806" xr:uid="{7CDAD840-A6D5-49FA-8246-76E4DC309B4B}"/>
    <cellStyle name="Normal 5 2 2 2 3 6 3" xfId="6440" xr:uid="{00000000-0005-0000-0000-00006C170000}"/>
    <cellStyle name="Normal 5 2 2 2 3 6 3 2" xfId="14879" xr:uid="{B46248A3-188B-4D3B-82A2-F10861111ED3}"/>
    <cellStyle name="Normal 5 2 2 2 3 6 4" xfId="10661" xr:uid="{804DCB40-B830-47F5-807B-71F66EA488A7}"/>
    <cellStyle name="Normal 5 2 2 2 3 7" xfId="2569" xr:uid="{00000000-0005-0000-0000-00006D170000}"/>
    <cellStyle name="Normal 5 2 2 2 3 7 2" xfId="6853" xr:uid="{00000000-0005-0000-0000-00006E170000}"/>
    <cellStyle name="Normal 5 2 2 2 3 7 2 2" xfId="15292" xr:uid="{4A3CA0CD-0115-4DC4-AA64-289BEC7BC3D4}"/>
    <cellStyle name="Normal 5 2 2 2 3 7 3" xfId="11074" xr:uid="{0139E7E4-8860-403A-8656-F2D8A1089D57}"/>
    <cellStyle name="Normal 5 2 2 2 3 8" xfId="4788" xr:uid="{00000000-0005-0000-0000-00006F170000}"/>
    <cellStyle name="Normal 5 2 2 2 3 8 2" xfId="13227" xr:uid="{F9D01EFD-8674-46B9-8F64-2404586B9150}"/>
    <cellStyle name="Normal 5 2 2 2 3 9" xfId="9009" xr:uid="{4AD65C1C-1796-4A5E-BB94-29DBF1E37BF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87" xr:uid="{82E8FB90-5562-41D4-9E0E-30AC4F3A35E8}"/>
    <cellStyle name="Normal 5 2 2 2 4 2 2 3" xfId="11569" xr:uid="{9C226A50-367B-4EC6-8B8C-DB2483E1AB65}"/>
    <cellStyle name="Normal 5 2 2 2 4 2 3" xfId="5203" xr:uid="{00000000-0005-0000-0000-000074170000}"/>
    <cellStyle name="Normal 5 2 2 2 4 2 3 2" xfId="13642" xr:uid="{31B8AFF9-9AAC-44B0-A85E-EB358F4C8CC8}"/>
    <cellStyle name="Normal 5 2 2 2 4 2 4" xfId="9424" xr:uid="{2830D676-F7D5-4F44-BDA1-83B3B9044E81}"/>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200" xr:uid="{DBA5A004-0D01-404C-B655-7F181123CD26}"/>
    <cellStyle name="Normal 5 2 2 2 4 3 2 3" xfId="11982" xr:uid="{ADBDDE17-44D3-43CD-98EA-F447D1EF80BA}"/>
    <cellStyle name="Normal 5 2 2 2 4 3 3" xfId="5616" xr:uid="{00000000-0005-0000-0000-000078170000}"/>
    <cellStyle name="Normal 5 2 2 2 4 3 3 2" xfId="14055" xr:uid="{280415F9-44E8-4F99-8B16-933EB69AC8F3}"/>
    <cellStyle name="Normal 5 2 2 2 4 3 4" xfId="9837" xr:uid="{E0AB4544-0E2A-4B1E-83CA-972FA88FD35C}"/>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3" xr:uid="{0378FCF3-572C-4A61-A0E3-28D9291654CB}"/>
    <cellStyle name="Normal 5 2 2 2 4 4 2 3" xfId="12395" xr:uid="{47A7A0FF-3A64-4954-8D04-C6225B4F1A3C}"/>
    <cellStyle name="Normal 5 2 2 2 4 4 3" xfId="6029" xr:uid="{00000000-0005-0000-0000-00007C170000}"/>
    <cellStyle name="Normal 5 2 2 2 4 4 3 2" xfId="14468" xr:uid="{AAE8393D-9D58-4420-B423-BCB932069D52}"/>
    <cellStyle name="Normal 5 2 2 2 4 4 4" xfId="10250" xr:uid="{7D21759F-3C69-4B04-8F18-F396563C7AB9}"/>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6" xr:uid="{D3CBE079-5121-4BFC-AB4F-E923E1ABB02D}"/>
    <cellStyle name="Normal 5 2 2 2 4 5 2 3" xfId="12808" xr:uid="{1CA9AACB-07FA-45A9-A51D-B3CE0C0BBD07}"/>
    <cellStyle name="Normal 5 2 2 2 4 5 3" xfId="6442" xr:uid="{00000000-0005-0000-0000-000080170000}"/>
    <cellStyle name="Normal 5 2 2 2 4 5 3 2" xfId="14881" xr:uid="{F70B5C91-EC5D-4FA2-B015-87FAB708D508}"/>
    <cellStyle name="Normal 5 2 2 2 4 5 4" xfId="10663" xr:uid="{2C12B0E5-B04A-448B-B324-82C3AF5154D3}"/>
    <cellStyle name="Normal 5 2 2 2 4 6" xfId="2571" xr:uid="{00000000-0005-0000-0000-000081170000}"/>
    <cellStyle name="Normal 5 2 2 2 4 6 2" xfId="6855" xr:uid="{00000000-0005-0000-0000-000082170000}"/>
    <cellStyle name="Normal 5 2 2 2 4 6 2 2" xfId="15294" xr:uid="{560CA54A-8024-44CF-AD71-25147F360C05}"/>
    <cellStyle name="Normal 5 2 2 2 4 6 3" xfId="11076" xr:uid="{DEF90042-E234-446C-BC41-B72465671C65}"/>
    <cellStyle name="Normal 5 2 2 2 4 7" xfId="4790" xr:uid="{00000000-0005-0000-0000-000083170000}"/>
    <cellStyle name="Normal 5 2 2 2 4 7 2" xfId="13229" xr:uid="{8356E2F3-CE95-448D-977B-68F4979E0DEA}"/>
    <cellStyle name="Normal 5 2 2 2 4 8" xfId="9011" xr:uid="{57B07D6A-8FE2-4D90-839A-2B8260C22237}"/>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80" xr:uid="{08852E3C-A139-42F0-9C0E-E492255E96E8}"/>
    <cellStyle name="Normal 5 2 2 2 5 2 3" xfId="11562" xr:uid="{A4D7614D-AD37-48A8-9638-6606982E5EE0}"/>
    <cellStyle name="Normal 5 2 2 2 5 3" xfId="5196" xr:uid="{00000000-0005-0000-0000-000087170000}"/>
    <cellStyle name="Normal 5 2 2 2 5 3 2" xfId="13635" xr:uid="{48069E1F-FAF9-404A-A053-20334B80FED8}"/>
    <cellStyle name="Normal 5 2 2 2 5 4" xfId="9417" xr:uid="{614F3BCC-ECEC-4463-94BE-C6B3040B0722}"/>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3" xr:uid="{4C136B91-8430-48E1-ACB5-6E9BBD4DEDFE}"/>
    <cellStyle name="Normal 5 2 2 2 6 2 3" xfId="11975" xr:uid="{E22AD7C4-7E15-4AD6-B76F-194D4F45CB45}"/>
    <cellStyle name="Normal 5 2 2 2 6 3" xfId="5609" xr:uid="{00000000-0005-0000-0000-00008B170000}"/>
    <cellStyle name="Normal 5 2 2 2 6 3 2" xfId="14048" xr:uid="{D70E55CD-82BC-4627-A763-5CF655B80619}"/>
    <cellStyle name="Normal 5 2 2 2 6 4" xfId="9830" xr:uid="{8419191F-6D85-40F5-AFC4-D82E112D618D}"/>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6" xr:uid="{AAB7A8D4-35E5-48AA-A822-09C4D7592222}"/>
    <cellStyle name="Normal 5 2 2 2 7 2 3" xfId="12388" xr:uid="{534459FE-620A-40A2-A940-8515A7CD905D}"/>
    <cellStyle name="Normal 5 2 2 2 7 3" xfId="6022" xr:uid="{00000000-0005-0000-0000-00008F170000}"/>
    <cellStyle name="Normal 5 2 2 2 7 3 2" xfId="14461" xr:uid="{0CE1CCD1-1F57-419A-87C4-1789DC665C92}"/>
    <cellStyle name="Normal 5 2 2 2 7 4" xfId="10243" xr:uid="{31CFC672-5BF0-49D5-9ED3-4A177BD33227}"/>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19" xr:uid="{34268409-BAD2-49B6-A816-263E874C93D4}"/>
    <cellStyle name="Normal 5 2 2 2 8 2 3" xfId="12801" xr:uid="{AD6EC498-9E8E-4B1D-9B56-623B344F19B5}"/>
    <cellStyle name="Normal 5 2 2 2 8 3" xfId="6435" xr:uid="{00000000-0005-0000-0000-000093170000}"/>
    <cellStyle name="Normal 5 2 2 2 8 3 2" xfId="14874" xr:uid="{C3D55BAC-B633-4713-9BC9-9884A0AAEE3B}"/>
    <cellStyle name="Normal 5 2 2 2 8 4" xfId="10656" xr:uid="{E8109534-62E0-4705-9CCC-EBC3C1DC2050}"/>
    <cellStyle name="Normal 5 2 2 2 9" xfId="2564" xr:uid="{00000000-0005-0000-0000-000094170000}"/>
    <cellStyle name="Normal 5 2 2 2 9 2" xfId="6848" xr:uid="{00000000-0005-0000-0000-000095170000}"/>
    <cellStyle name="Normal 5 2 2 2 9 2 2" xfId="15287" xr:uid="{E9E2ADDF-0144-4A25-8025-E182CAB04C9E}"/>
    <cellStyle name="Normal 5 2 2 2 9 3" xfId="11069" xr:uid="{E03543C5-5234-4BC2-B684-CC4D0180712B}"/>
    <cellStyle name="Normal 5 2 2 3" xfId="417" xr:uid="{00000000-0005-0000-0000-000096170000}"/>
    <cellStyle name="Normal 5 2 2 3 10" xfId="9012" xr:uid="{D7797F4A-5215-4648-B889-66DCF34B43F6}"/>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90" xr:uid="{B1BD2B91-0ABB-4FF6-873B-883908DE3C30}"/>
    <cellStyle name="Normal 5 2 2 3 2 2 2 2 3" xfId="11572" xr:uid="{6D4F88D4-EE35-4E3A-946E-42F1F52A4FE6}"/>
    <cellStyle name="Normal 5 2 2 3 2 2 2 3" xfId="5206" xr:uid="{00000000-0005-0000-0000-00009C170000}"/>
    <cellStyle name="Normal 5 2 2 3 2 2 2 3 2" xfId="13645" xr:uid="{A6A921C6-E1CC-432F-A9F6-54711C98901E}"/>
    <cellStyle name="Normal 5 2 2 3 2 2 2 4" xfId="9427" xr:uid="{1D9D0101-E0CE-4222-9740-04A9E5D1A653}"/>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3" xr:uid="{E887FC93-908E-4BF3-A390-BA8EB04A8ACC}"/>
    <cellStyle name="Normal 5 2 2 3 2 2 3 2 3" xfId="11985" xr:uid="{80C02990-5427-4C26-AFC3-B1D0C5FB3829}"/>
    <cellStyle name="Normal 5 2 2 3 2 2 3 3" xfId="5619" xr:uid="{00000000-0005-0000-0000-0000A0170000}"/>
    <cellStyle name="Normal 5 2 2 3 2 2 3 3 2" xfId="14058" xr:uid="{6CF27658-9B91-44E9-9051-4080244EF28B}"/>
    <cellStyle name="Normal 5 2 2 3 2 2 3 4" xfId="9840" xr:uid="{FA2BE1C8-1366-4A4B-B016-21974371871D}"/>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6" xr:uid="{F6DB5F1D-D650-4805-8F19-284D11227F58}"/>
    <cellStyle name="Normal 5 2 2 3 2 2 4 2 3" xfId="12398" xr:uid="{007B89D3-5E38-4B0D-9FF6-F08A874BBEE0}"/>
    <cellStyle name="Normal 5 2 2 3 2 2 4 3" xfId="6032" xr:uid="{00000000-0005-0000-0000-0000A4170000}"/>
    <cellStyle name="Normal 5 2 2 3 2 2 4 3 2" xfId="14471" xr:uid="{D57C4230-8F1D-4694-AD17-76BFED3329E9}"/>
    <cellStyle name="Normal 5 2 2 3 2 2 4 4" xfId="10253" xr:uid="{AEEA7E83-1B99-4AA7-AE10-BB7D530B59F6}"/>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29" xr:uid="{0956CD4E-4D34-4360-BA11-1E095BAC1DAF}"/>
    <cellStyle name="Normal 5 2 2 3 2 2 5 2 3" xfId="12811" xr:uid="{2DABAED5-A38A-4035-8288-49C6331EF94B}"/>
    <cellStyle name="Normal 5 2 2 3 2 2 5 3" xfId="6445" xr:uid="{00000000-0005-0000-0000-0000A8170000}"/>
    <cellStyle name="Normal 5 2 2 3 2 2 5 3 2" xfId="14884" xr:uid="{D70DCDA9-67B3-493C-B4DF-397A2230DABA}"/>
    <cellStyle name="Normal 5 2 2 3 2 2 5 4" xfId="10666" xr:uid="{7E51C1EA-55A4-4B61-933D-092CE5515556}"/>
    <cellStyle name="Normal 5 2 2 3 2 2 6" xfId="2574" xr:uid="{00000000-0005-0000-0000-0000A9170000}"/>
    <cellStyle name="Normal 5 2 2 3 2 2 6 2" xfId="6858" xr:uid="{00000000-0005-0000-0000-0000AA170000}"/>
    <cellStyle name="Normal 5 2 2 3 2 2 6 2 2" xfId="15297" xr:uid="{810D6B66-74A7-4001-BEEB-0E81B6DF80EE}"/>
    <cellStyle name="Normal 5 2 2 3 2 2 6 3" xfId="11079" xr:uid="{6367FC3C-55CB-4903-9815-9FF91330ADAC}"/>
    <cellStyle name="Normal 5 2 2 3 2 2 7" xfId="4793" xr:uid="{00000000-0005-0000-0000-0000AB170000}"/>
    <cellStyle name="Normal 5 2 2 3 2 2 7 2" xfId="13232" xr:uid="{29FD3737-60FE-42F4-97C4-1C3C5645FD5D}"/>
    <cellStyle name="Normal 5 2 2 3 2 2 8" xfId="9014" xr:uid="{04DB4A84-42B7-4167-9DDD-6DC2402771DC}"/>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89" xr:uid="{67A178DE-3D28-4D78-98F1-87DDB4B12298}"/>
    <cellStyle name="Normal 5 2 2 3 2 3 2 3" xfId="11571" xr:uid="{57162568-C249-4E50-B721-81405A976967}"/>
    <cellStyle name="Normal 5 2 2 3 2 3 3" xfId="5205" xr:uid="{00000000-0005-0000-0000-0000AF170000}"/>
    <cellStyle name="Normal 5 2 2 3 2 3 3 2" xfId="13644" xr:uid="{05BED96B-6BE5-45F3-91D9-DC294BC94AD5}"/>
    <cellStyle name="Normal 5 2 2 3 2 3 4" xfId="9426" xr:uid="{B333F721-FA9A-4A18-8224-A1B936E13C47}"/>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202" xr:uid="{ABE74D64-E8F9-4362-A9C5-DE1634814C67}"/>
    <cellStyle name="Normal 5 2 2 3 2 4 2 3" xfId="11984" xr:uid="{9B358A18-B12F-41B5-81C9-41BF35B61538}"/>
    <cellStyle name="Normal 5 2 2 3 2 4 3" xfId="5618" xr:uid="{00000000-0005-0000-0000-0000B3170000}"/>
    <cellStyle name="Normal 5 2 2 3 2 4 3 2" xfId="14057" xr:uid="{EA8792B3-D670-478F-AC78-82BF5F698F13}"/>
    <cellStyle name="Normal 5 2 2 3 2 4 4" xfId="9839" xr:uid="{5402B669-175E-4DF6-8D80-1AD4341EFDF7}"/>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5" xr:uid="{A7BDD972-4F6B-4AF0-8E3B-00F8FB549282}"/>
    <cellStyle name="Normal 5 2 2 3 2 5 2 3" xfId="12397" xr:uid="{A8FE64AD-DF16-4BFD-85FD-30A91EE5EF0E}"/>
    <cellStyle name="Normal 5 2 2 3 2 5 3" xfId="6031" xr:uid="{00000000-0005-0000-0000-0000B7170000}"/>
    <cellStyle name="Normal 5 2 2 3 2 5 3 2" xfId="14470" xr:uid="{2DD8F80C-F4CA-4A39-ACB9-7A8AC74B2A88}"/>
    <cellStyle name="Normal 5 2 2 3 2 5 4" xfId="10252" xr:uid="{581DFAA4-45A4-4380-A348-870540B80F1D}"/>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28" xr:uid="{1BC51203-A3E6-4654-802C-3256A87A1D3E}"/>
    <cellStyle name="Normal 5 2 2 3 2 6 2 3" xfId="12810" xr:uid="{E5F5FF79-2030-4698-90E1-370292E756DA}"/>
    <cellStyle name="Normal 5 2 2 3 2 6 3" xfId="6444" xr:uid="{00000000-0005-0000-0000-0000BB170000}"/>
    <cellStyle name="Normal 5 2 2 3 2 6 3 2" xfId="14883" xr:uid="{B5765CCD-E622-4981-93C3-4B9E6CACB522}"/>
    <cellStyle name="Normal 5 2 2 3 2 6 4" xfId="10665" xr:uid="{9D5C36EF-5828-4506-BF24-99F8A275BAB3}"/>
    <cellStyle name="Normal 5 2 2 3 2 7" xfId="2573" xr:uid="{00000000-0005-0000-0000-0000BC170000}"/>
    <cellStyle name="Normal 5 2 2 3 2 7 2" xfId="6857" xr:uid="{00000000-0005-0000-0000-0000BD170000}"/>
    <cellStyle name="Normal 5 2 2 3 2 7 2 2" xfId="15296" xr:uid="{6EB67820-F87A-4ABA-AA5E-8DD44A2949B4}"/>
    <cellStyle name="Normal 5 2 2 3 2 7 3" xfId="11078" xr:uid="{82A94440-7622-4B70-95A2-7663434193BE}"/>
    <cellStyle name="Normal 5 2 2 3 2 8" xfId="4792" xr:uid="{00000000-0005-0000-0000-0000BE170000}"/>
    <cellStyle name="Normal 5 2 2 3 2 8 2" xfId="13231" xr:uid="{D122F511-4BDB-4C8C-859F-C2B7EA1806C4}"/>
    <cellStyle name="Normal 5 2 2 3 2 9" xfId="9013" xr:uid="{0AEF7DD5-ED0B-40A0-BA5B-DE8EC49EE278}"/>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91" xr:uid="{0E7A3BAA-A6E0-44F4-A6D3-8DE49689F3E1}"/>
    <cellStyle name="Normal 5 2 2 3 3 2 2 3" xfId="11573" xr:uid="{F93E0E68-4089-49C4-BEC9-C2B36D5E2CFE}"/>
    <cellStyle name="Normal 5 2 2 3 3 2 3" xfId="5207" xr:uid="{00000000-0005-0000-0000-0000C3170000}"/>
    <cellStyle name="Normal 5 2 2 3 3 2 3 2" xfId="13646" xr:uid="{D585B2A1-A851-4E63-AAFB-A51EA4CE17FF}"/>
    <cellStyle name="Normal 5 2 2 3 3 2 4" xfId="9428" xr:uid="{9869277F-BBAF-4FA4-9319-F0B84726EA4B}"/>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4" xr:uid="{5AC78B04-C175-4195-816B-3DAC58DAE97C}"/>
    <cellStyle name="Normal 5 2 2 3 3 3 2 3" xfId="11986" xr:uid="{DB3DA9A4-B818-4AD4-9C36-A11BEDA277F4}"/>
    <cellStyle name="Normal 5 2 2 3 3 3 3" xfId="5620" xr:uid="{00000000-0005-0000-0000-0000C7170000}"/>
    <cellStyle name="Normal 5 2 2 3 3 3 3 2" xfId="14059" xr:uid="{C8972846-27B9-40DB-B233-889DAD98BD1B}"/>
    <cellStyle name="Normal 5 2 2 3 3 3 4" xfId="9841" xr:uid="{1F22A460-0E9B-448E-97A0-81C1A54113B7}"/>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17" xr:uid="{259129C1-D719-4C87-9733-C2982CC0FF65}"/>
    <cellStyle name="Normal 5 2 2 3 3 4 2 3" xfId="12399" xr:uid="{AEEFBB7E-0F30-422C-869A-60D135046AE1}"/>
    <cellStyle name="Normal 5 2 2 3 3 4 3" xfId="6033" xr:uid="{00000000-0005-0000-0000-0000CB170000}"/>
    <cellStyle name="Normal 5 2 2 3 3 4 3 2" xfId="14472" xr:uid="{00F728EB-8AFC-4668-961A-1370C5E7A178}"/>
    <cellStyle name="Normal 5 2 2 3 3 4 4" xfId="10254" xr:uid="{92627786-F2E2-4078-ACD4-6A4ED1E7C408}"/>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30" xr:uid="{B8BCF3A0-1762-4242-8D37-A7B7AC03060D}"/>
    <cellStyle name="Normal 5 2 2 3 3 5 2 3" xfId="12812" xr:uid="{62969227-29F3-4BB1-A12E-1C91CA24719B}"/>
    <cellStyle name="Normal 5 2 2 3 3 5 3" xfId="6446" xr:uid="{00000000-0005-0000-0000-0000CF170000}"/>
    <cellStyle name="Normal 5 2 2 3 3 5 3 2" xfId="14885" xr:uid="{C4B9EBEC-9F3F-4464-80B2-E33F14F61CAB}"/>
    <cellStyle name="Normal 5 2 2 3 3 5 4" xfId="10667" xr:uid="{2C558178-54F5-4D72-82E0-DF8BE825A5FE}"/>
    <cellStyle name="Normal 5 2 2 3 3 6" xfId="2575" xr:uid="{00000000-0005-0000-0000-0000D0170000}"/>
    <cellStyle name="Normal 5 2 2 3 3 6 2" xfId="6859" xr:uid="{00000000-0005-0000-0000-0000D1170000}"/>
    <cellStyle name="Normal 5 2 2 3 3 6 2 2" xfId="15298" xr:uid="{DB8874AA-546C-4145-ABAD-54EE03862820}"/>
    <cellStyle name="Normal 5 2 2 3 3 6 3" xfId="11080" xr:uid="{CD8EFB0E-5F9A-41BE-AFD0-5D10DC91CA11}"/>
    <cellStyle name="Normal 5 2 2 3 3 7" xfId="4794" xr:uid="{00000000-0005-0000-0000-0000D2170000}"/>
    <cellStyle name="Normal 5 2 2 3 3 7 2" xfId="13233" xr:uid="{5D39B806-BD31-496A-AF3C-35D47DBBC808}"/>
    <cellStyle name="Normal 5 2 2 3 3 8" xfId="9015" xr:uid="{11E3B225-7FDC-4E34-92C1-983542EC0A1A}"/>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88" xr:uid="{B6D5CA32-C801-4530-9062-C39D4CACD28F}"/>
    <cellStyle name="Normal 5 2 2 3 4 2 3" xfId="11570" xr:uid="{76A27B48-FB08-4822-AEB0-0CB6FC95211F}"/>
    <cellStyle name="Normal 5 2 2 3 4 3" xfId="5204" xr:uid="{00000000-0005-0000-0000-0000D6170000}"/>
    <cellStyle name="Normal 5 2 2 3 4 3 2" xfId="13643" xr:uid="{690A7F1A-B1B1-4F89-BE94-65098B0E64CC}"/>
    <cellStyle name="Normal 5 2 2 3 4 4" xfId="9425" xr:uid="{67F094F7-01FF-43FC-92E5-6188FF06B117}"/>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201" xr:uid="{0596BB65-4B67-4278-B895-DF398AED897E}"/>
    <cellStyle name="Normal 5 2 2 3 5 2 3" xfId="11983" xr:uid="{640F3E52-5ACE-4F14-AFF2-95D92B0F2DB4}"/>
    <cellStyle name="Normal 5 2 2 3 5 3" xfId="5617" xr:uid="{00000000-0005-0000-0000-0000DA170000}"/>
    <cellStyle name="Normal 5 2 2 3 5 3 2" xfId="14056" xr:uid="{D2DB91DF-879F-404B-98E8-B002695F0831}"/>
    <cellStyle name="Normal 5 2 2 3 5 4" xfId="9838" xr:uid="{CBD3208A-25BB-48C2-9BA2-362A6A4ECC4A}"/>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4" xr:uid="{DABF4E9C-A4A7-4D88-87FE-634A070930BC}"/>
    <cellStyle name="Normal 5 2 2 3 6 2 3" xfId="12396" xr:uid="{608E5986-2223-4388-80A3-9AB02B967C95}"/>
    <cellStyle name="Normal 5 2 2 3 6 3" xfId="6030" xr:uid="{00000000-0005-0000-0000-0000DE170000}"/>
    <cellStyle name="Normal 5 2 2 3 6 3 2" xfId="14469" xr:uid="{41ACF685-F283-4F2E-A980-4A23B9E0DA69}"/>
    <cellStyle name="Normal 5 2 2 3 6 4" xfId="10251" xr:uid="{4E421EBD-FB79-498D-BFE2-7B66616C1959}"/>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27" xr:uid="{380975CA-5FD5-412C-8176-004B9FF5D625}"/>
    <cellStyle name="Normal 5 2 2 3 7 2 3" xfId="12809" xr:uid="{2CE3A898-B7F1-4FE5-AFD2-4B643273A743}"/>
    <cellStyle name="Normal 5 2 2 3 7 3" xfId="6443" xr:uid="{00000000-0005-0000-0000-0000E2170000}"/>
    <cellStyle name="Normal 5 2 2 3 7 3 2" xfId="14882" xr:uid="{9AA8C719-A9FB-49DD-A836-E4D4BA885268}"/>
    <cellStyle name="Normal 5 2 2 3 7 4" xfId="10664" xr:uid="{91C5D357-2D75-41E7-AEAE-8555F6D18DB1}"/>
    <cellStyle name="Normal 5 2 2 3 8" xfId="2572" xr:uid="{00000000-0005-0000-0000-0000E3170000}"/>
    <cellStyle name="Normal 5 2 2 3 8 2" xfId="6856" xr:uid="{00000000-0005-0000-0000-0000E4170000}"/>
    <cellStyle name="Normal 5 2 2 3 8 2 2" xfId="15295" xr:uid="{ABEFD9C5-A1CC-4B51-A54D-15766393EC8F}"/>
    <cellStyle name="Normal 5 2 2 3 8 3" xfId="11077" xr:uid="{0D8D0F39-C47D-4B4A-857B-D24B7AC3E17D}"/>
    <cellStyle name="Normal 5 2 2 3 9" xfId="4791" xr:uid="{00000000-0005-0000-0000-0000E5170000}"/>
    <cellStyle name="Normal 5 2 2 3 9 2" xfId="13230" xr:uid="{53D85F42-38CA-4CA1-BE7C-7B4159B61E18}"/>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3" xr:uid="{9DB6E080-9AE9-41E0-8AE6-52A84C29CE1D}"/>
    <cellStyle name="Normal 5 2 2 4 2 2 2 3" xfId="11575" xr:uid="{D9252AA2-7633-4D41-9382-80F679687FA1}"/>
    <cellStyle name="Normal 5 2 2 4 2 2 3" xfId="5209" xr:uid="{00000000-0005-0000-0000-0000EB170000}"/>
    <cellStyle name="Normal 5 2 2 4 2 2 3 2" xfId="13648" xr:uid="{AF5BBD89-A6AA-4A92-93E4-420A27E6B662}"/>
    <cellStyle name="Normal 5 2 2 4 2 2 4" xfId="9430" xr:uid="{CAD3E69C-9077-4C0A-96A2-223603D1B574}"/>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6" xr:uid="{600E9E31-3110-4171-B640-F03D1200CF41}"/>
    <cellStyle name="Normal 5 2 2 4 2 3 2 3" xfId="11988" xr:uid="{2905864F-5011-4FD0-ADF6-02C1B815F759}"/>
    <cellStyle name="Normal 5 2 2 4 2 3 3" xfId="5622" xr:uid="{00000000-0005-0000-0000-0000EF170000}"/>
    <cellStyle name="Normal 5 2 2 4 2 3 3 2" xfId="14061" xr:uid="{1088441B-C8C9-4C54-ABCE-5D0C0941ACCD}"/>
    <cellStyle name="Normal 5 2 2 4 2 3 4" xfId="9843" xr:uid="{9B7FAA53-1E85-4A94-AD35-F7DF5984425C}"/>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19" xr:uid="{2248A03E-BB6A-4C9E-B548-BC486290606E}"/>
    <cellStyle name="Normal 5 2 2 4 2 4 2 3" xfId="12401" xr:uid="{FE203D3D-AFB5-4C43-89B4-53B79E2CED6B}"/>
    <cellStyle name="Normal 5 2 2 4 2 4 3" xfId="6035" xr:uid="{00000000-0005-0000-0000-0000F3170000}"/>
    <cellStyle name="Normal 5 2 2 4 2 4 3 2" xfId="14474" xr:uid="{053E88D1-BD3F-4FEE-AECF-F50DE68DE6CA}"/>
    <cellStyle name="Normal 5 2 2 4 2 4 4" xfId="10256" xr:uid="{31D31BA3-ACEF-44D4-8C40-AF4CA6E705B5}"/>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32" xr:uid="{746FBCC9-6169-4D55-BF19-04829EFC6E0F}"/>
    <cellStyle name="Normal 5 2 2 4 2 5 2 3" xfId="12814" xr:uid="{A04D0A19-05A6-425B-B346-8D207FF4BE0B}"/>
    <cellStyle name="Normal 5 2 2 4 2 5 3" xfId="6448" xr:uid="{00000000-0005-0000-0000-0000F7170000}"/>
    <cellStyle name="Normal 5 2 2 4 2 5 3 2" xfId="14887" xr:uid="{9C54D563-7CC1-4392-881A-2FF8A49A4043}"/>
    <cellStyle name="Normal 5 2 2 4 2 5 4" xfId="10669" xr:uid="{09C2B898-706D-46AC-ACE3-D5E148400CA5}"/>
    <cellStyle name="Normal 5 2 2 4 2 6" xfId="2577" xr:uid="{00000000-0005-0000-0000-0000F8170000}"/>
    <cellStyle name="Normal 5 2 2 4 2 6 2" xfId="6861" xr:uid="{00000000-0005-0000-0000-0000F9170000}"/>
    <cellStyle name="Normal 5 2 2 4 2 6 2 2" xfId="15300" xr:uid="{503290A4-4762-423A-B2D4-70D8A22FBD4F}"/>
    <cellStyle name="Normal 5 2 2 4 2 6 3" xfId="11082" xr:uid="{AB305E70-6628-407D-AF78-CFF3B7A53D59}"/>
    <cellStyle name="Normal 5 2 2 4 2 7" xfId="4796" xr:uid="{00000000-0005-0000-0000-0000FA170000}"/>
    <cellStyle name="Normal 5 2 2 4 2 7 2" xfId="13235" xr:uid="{06D0047A-4735-4849-8217-4CA5C2BE10D3}"/>
    <cellStyle name="Normal 5 2 2 4 2 8" xfId="9017" xr:uid="{87832FE7-A8FF-429A-82C2-C25E515BF923}"/>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92" xr:uid="{5C6362AF-1AD5-4208-80D7-CF5E16D8505A}"/>
    <cellStyle name="Normal 5 2 2 4 3 2 3" xfId="11574" xr:uid="{3F9BE2E4-EDFE-4B8A-BDE3-3312F0DA5F0F}"/>
    <cellStyle name="Normal 5 2 2 4 3 3" xfId="5208" xr:uid="{00000000-0005-0000-0000-0000FE170000}"/>
    <cellStyle name="Normal 5 2 2 4 3 3 2" xfId="13647" xr:uid="{54A988FA-DEC6-4D74-A335-96CF1ECB658C}"/>
    <cellStyle name="Normal 5 2 2 4 3 4" xfId="9429" xr:uid="{086F90CA-6F6B-4339-BF08-49638C8AC258}"/>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5" xr:uid="{321122B6-B50E-4D55-A0CE-943F0311A38F}"/>
    <cellStyle name="Normal 5 2 2 4 4 2 3" xfId="11987" xr:uid="{228F27D1-7B64-45B4-82D4-7B31FAF088A3}"/>
    <cellStyle name="Normal 5 2 2 4 4 3" xfId="5621" xr:uid="{00000000-0005-0000-0000-000002180000}"/>
    <cellStyle name="Normal 5 2 2 4 4 3 2" xfId="14060" xr:uid="{1676D9A6-A44D-40E3-883B-4441714D53B5}"/>
    <cellStyle name="Normal 5 2 2 4 4 4" xfId="9842" xr:uid="{5D580F3B-C6E7-4494-ADFC-8798AE52F1F6}"/>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18" xr:uid="{4A0C10B7-549B-4A52-88A2-9CD86FFE5986}"/>
    <cellStyle name="Normal 5 2 2 4 5 2 3" xfId="12400" xr:uid="{2E2478AD-EE38-4E6B-9E58-E5D799CB4539}"/>
    <cellStyle name="Normal 5 2 2 4 5 3" xfId="6034" xr:uid="{00000000-0005-0000-0000-000006180000}"/>
    <cellStyle name="Normal 5 2 2 4 5 3 2" xfId="14473" xr:uid="{90D3EF36-4DDB-489C-A03C-40B7D8A7AB0B}"/>
    <cellStyle name="Normal 5 2 2 4 5 4" xfId="10255" xr:uid="{703594A8-D684-45F8-845D-7A57B87B4B4D}"/>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31" xr:uid="{DBB276BE-386D-48EB-B679-ADC874EBC761}"/>
    <cellStyle name="Normal 5 2 2 4 6 2 3" xfId="12813" xr:uid="{F89BF611-7330-4B50-9255-9D9D0C697576}"/>
    <cellStyle name="Normal 5 2 2 4 6 3" xfId="6447" xr:uid="{00000000-0005-0000-0000-00000A180000}"/>
    <cellStyle name="Normal 5 2 2 4 6 3 2" xfId="14886" xr:uid="{217598C9-E089-45EB-BFA2-1C8D4877D5B9}"/>
    <cellStyle name="Normal 5 2 2 4 6 4" xfId="10668" xr:uid="{DAFC8C93-6B72-4D57-89E1-B148E08B8CA1}"/>
    <cellStyle name="Normal 5 2 2 4 7" xfId="2576" xr:uid="{00000000-0005-0000-0000-00000B180000}"/>
    <cellStyle name="Normal 5 2 2 4 7 2" xfId="6860" xr:uid="{00000000-0005-0000-0000-00000C180000}"/>
    <cellStyle name="Normal 5 2 2 4 7 2 2" xfId="15299" xr:uid="{C12CE967-D33F-42DB-AD4B-FD99E94AAE97}"/>
    <cellStyle name="Normal 5 2 2 4 7 3" xfId="11081" xr:uid="{D996CA30-B25B-4BE9-9D62-FCE0F6DCAFE8}"/>
    <cellStyle name="Normal 5 2 2 4 8" xfId="4795" xr:uid="{00000000-0005-0000-0000-00000D180000}"/>
    <cellStyle name="Normal 5 2 2 4 8 2" xfId="13234" xr:uid="{B1F75A88-6AA7-42F6-BB88-40EA88C0F521}"/>
    <cellStyle name="Normal 5 2 2 4 9" xfId="9016" xr:uid="{E422EB83-6044-4420-A9C1-42290942E5E4}"/>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4" xr:uid="{C93CB982-AD9A-44DD-98F4-BF7044C9F79E}"/>
    <cellStyle name="Normal 5 2 2 5 2 2 3" xfId="11576" xr:uid="{1C4B8036-A4ED-46B0-B4B4-384B78ED9A99}"/>
    <cellStyle name="Normal 5 2 2 5 2 3" xfId="5210" xr:uid="{00000000-0005-0000-0000-000012180000}"/>
    <cellStyle name="Normal 5 2 2 5 2 3 2" xfId="13649" xr:uid="{ADCC7FCE-4F95-48BD-B2DC-D06BE4FB545E}"/>
    <cellStyle name="Normal 5 2 2 5 2 4" xfId="9431" xr:uid="{BD5CE210-2C79-43D4-8D85-9F25728091F1}"/>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07" xr:uid="{6F952703-257D-46D1-B3D4-B64C27E6A673}"/>
    <cellStyle name="Normal 5 2 2 5 3 2 3" xfId="11989" xr:uid="{8BAD3DE1-3826-4526-9AA5-B174904AB89D}"/>
    <cellStyle name="Normal 5 2 2 5 3 3" xfId="5623" xr:uid="{00000000-0005-0000-0000-000016180000}"/>
    <cellStyle name="Normal 5 2 2 5 3 3 2" xfId="14062" xr:uid="{AD558D30-349C-4DF1-9B14-763C7BEAFB96}"/>
    <cellStyle name="Normal 5 2 2 5 3 4" xfId="9844" xr:uid="{26DA240A-778B-4EF9-A0CA-00B696DBCDC5}"/>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20" xr:uid="{AB7CD028-3BB0-415D-B55E-C9633396CFA6}"/>
    <cellStyle name="Normal 5 2 2 5 4 2 3" xfId="12402" xr:uid="{714C56C3-C661-40EF-AE93-704F432CED75}"/>
    <cellStyle name="Normal 5 2 2 5 4 3" xfId="6036" xr:uid="{00000000-0005-0000-0000-00001A180000}"/>
    <cellStyle name="Normal 5 2 2 5 4 3 2" xfId="14475" xr:uid="{A02F4828-C55E-460D-8D80-DB3DAEC416E8}"/>
    <cellStyle name="Normal 5 2 2 5 4 4" xfId="10257" xr:uid="{9436E169-BA78-4308-87B7-ECCC3805C48F}"/>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3" xr:uid="{35DF2FBE-A335-4B51-BAB2-BD26886B3063}"/>
    <cellStyle name="Normal 5 2 2 5 5 2 3" xfId="12815" xr:uid="{010E9362-9080-4105-9002-EDF611F2BDB7}"/>
    <cellStyle name="Normal 5 2 2 5 5 3" xfId="6449" xr:uid="{00000000-0005-0000-0000-00001E180000}"/>
    <cellStyle name="Normal 5 2 2 5 5 3 2" xfId="14888" xr:uid="{48ECA115-89BC-4606-B730-4AEC54404E57}"/>
    <cellStyle name="Normal 5 2 2 5 5 4" xfId="10670" xr:uid="{BDB8CB01-B0F2-401B-A251-6A96B16F326D}"/>
    <cellStyle name="Normal 5 2 2 5 6" xfId="2578" xr:uid="{00000000-0005-0000-0000-00001F180000}"/>
    <cellStyle name="Normal 5 2 2 5 6 2" xfId="6862" xr:uid="{00000000-0005-0000-0000-000020180000}"/>
    <cellStyle name="Normal 5 2 2 5 6 2 2" xfId="15301" xr:uid="{A21EB6C8-5B67-4E08-AA3D-23C23FEA9FE4}"/>
    <cellStyle name="Normal 5 2 2 5 6 3" xfId="11083" xr:uid="{BD855D40-2E1D-49A4-A8CD-61DBBC716B2E}"/>
    <cellStyle name="Normal 5 2 2 5 7" xfId="4797" xr:uid="{00000000-0005-0000-0000-000021180000}"/>
    <cellStyle name="Normal 5 2 2 5 7 2" xfId="13236" xr:uid="{97902852-247E-4AF9-9A6B-7B0EF4BC8988}"/>
    <cellStyle name="Normal 5 2 2 5 8" xfId="9018" xr:uid="{B9EF5B8E-52BB-480C-A856-711347169D59}"/>
    <cellStyle name="Normal 5 2 2 6" xfId="882" xr:uid="{00000000-0005-0000-0000-000022180000}"/>
    <cellStyle name="Normal 5 2 2 6 2" xfId="3117" xr:uid="{00000000-0005-0000-0000-000023180000}"/>
    <cellStyle name="Normal 5 2 2 6 2 2" xfId="7340" xr:uid="{00000000-0005-0000-0000-000024180000}"/>
    <cellStyle name="Normal 5 2 2 6 2 2 2" xfId="15779" xr:uid="{AF570077-99B1-4506-82D1-3E8369A28234}"/>
    <cellStyle name="Normal 5 2 2 6 2 3" xfId="11561" xr:uid="{7F5EA44C-3D13-4976-8C7D-A8AFB6D29A89}"/>
    <cellStyle name="Normal 5 2 2 6 3" xfId="5195" xr:uid="{00000000-0005-0000-0000-000025180000}"/>
    <cellStyle name="Normal 5 2 2 6 3 2" xfId="13634" xr:uid="{C974F322-F6EE-4A2D-9CA2-F37BEB2CE8C4}"/>
    <cellStyle name="Normal 5 2 2 6 4" xfId="9416" xr:uid="{D88DCA4F-A149-42EC-936E-FC609B3827BC}"/>
    <cellStyle name="Normal 5 2 2 7" xfId="1300" xr:uid="{00000000-0005-0000-0000-000026180000}"/>
    <cellStyle name="Normal 5 2 2 7 2" xfId="3530" xr:uid="{00000000-0005-0000-0000-000027180000}"/>
    <cellStyle name="Normal 5 2 2 7 2 2" xfId="7753" xr:uid="{00000000-0005-0000-0000-000028180000}"/>
    <cellStyle name="Normal 5 2 2 7 2 2 2" xfId="16192" xr:uid="{ECD3E24C-2BCC-44C7-B35F-4059102E16E2}"/>
    <cellStyle name="Normal 5 2 2 7 2 3" xfId="11974" xr:uid="{37AE3335-5A36-4DF2-89B3-5C59A4B87761}"/>
    <cellStyle name="Normal 5 2 2 7 3" xfId="5608" xr:uid="{00000000-0005-0000-0000-000029180000}"/>
    <cellStyle name="Normal 5 2 2 7 3 2" xfId="14047" xr:uid="{4D477492-FAF4-4CC0-B644-B85455518D6E}"/>
    <cellStyle name="Normal 5 2 2 7 4" xfId="9829" xr:uid="{A2DD84D8-E90A-491F-91C7-8B0CC81B9845}"/>
    <cellStyle name="Normal 5 2 2 8" xfId="1713" xr:uid="{00000000-0005-0000-0000-00002A180000}"/>
    <cellStyle name="Normal 5 2 2 8 2" xfId="3943" xr:uid="{00000000-0005-0000-0000-00002B180000}"/>
    <cellStyle name="Normal 5 2 2 8 2 2" xfId="8166" xr:uid="{00000000-0005-0000-0000-00002C180000}"/>
    <cellStyle name="Normal 5 2 2 8 2 2 2" xfId="16605" xr:uid="{56E86D3E-E206-464D-A24E-341D4E455B0C}"/>
    <cellStyle name="Normal 5 2 2 8 2 3" xfId="12387" xr:uid="{20EBCCD4-7269-40A3-95D1-4858FE9A9FC3}"/>
    <cellStyle name="Normal 5 2 2 8 3" xfId="6021" xr:uid="{00000000-0005-0000-0000-00002D180000}"/>
    <cellStyle name="Normal 5 2 2 8 3 2" xfId="14460" xr:uid="{6F24F0E6-568B-4335-99A8-1DF72E1EEF0D}"/>
    <cellStyle name="Normal 5 2 2 8 4" xfId="10242" xr:uid="{7E23724D-FCF9-4E9C-994C-7FED6DDC4D30}"/>
    <cellStyle name="Normal 5 2 2 9" xfId="2127" xr:uid="{00000000-0005-0000-0000-00002E180000}"/>
    <cellStyle name="Normal 5 2 2 9 2" xfId="4356" xr:uid="{00000000-0005-0000-0000-00002F180000}"/>
    <cellStyle name="Normal 5 2 2 9 2 2" xfId="8579" xr:uid="{00000000-0005-0000-0000-000030180000}"/>
    <cellStyle name="Normal 5 2 2 9 2 2 2" xfId="17018" xr:uid="{3EC0AA1C-9FFB-477F-8CC2-2D8209A511CF}"/>
    <cellStyle name="Normal 5 2 2 9 2 3" xfId="12800" xr:uid="{25A9B192-8B05-408D-B59D-DE3F2C3A59B8}"/>
    <cellStyle name="Normal 5 2 2 9 3" xfId="6434" xr:uid="{00000000-0005-0000-0000-000031180000}"/>
    <cellStyle name="Normal 5 2 2 9 3 2" xfId="14873" xr:uid="{1CCC3334-456A-499F-A41D-23F5FA2CA626}"/>
    <cellStyle name="Normal 5 2 2 9 4" xfId="10655" xr:uid="{FEB6803E-A382-480E-AD79-6AF4CA22C3D2}"/>
    <cellStyle name="Normal 5 2 3" xfId="424" xr:uid="{00000000-0005-0000-0000-000032180000}"/>
    <cellStyle name="Normal 5 2 3 10" xfId="4798" xr:uid="{00000000-0005-0000-0000-000033180000}"/>
    <cellStyle name="Normal 5 2 3 10 2" xfId="13237" xr:uid="{84A39AF1-2A49-4799-976E-D25EB9CCE8A5}"/>
    <cellStyle name="Normal 5 2 3 11" xfId="9019" xr:uid="{18A17F46-8B53-4801-96A6-ABCA38991D71}"/>
    <cellStyle name="Normal 5 2 3 2" xfId="425" xr:uid="{00000000-0005-0000-0000-000034180000}"/>
    <cellStyle name="Normal 5 2 3 2 10" xfId="9020" xr:uid="{AFACF6FE-6596-4603-B632-B59AE7D029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798" xr:uid="{14834C6E-8642-4C34-9402-1FA6747A45DE}"/>
    <cellStyle name="Normal 5 2 3 2 2 2 2 2 3" xfId="11580" xr:uid="{32D93897-EB3E-48BD-916B-0F5B1E567328}"/>
    <cellStyle name="Normal 5 2 3 2 2 2 2 3" xfId="5214" xr:uid="{00000000-0005-0000-0000-00003A180000}"/>
    <cellStyle name="Normal 5 2 3 2 2 2 2 3 2" xfId="13653" xr:uid="{55CBCF67-63FC-4EC2-AF58-BEF67B7EE4C4}"/>
    <cellStyle name="Normal 5 2 3 2 2 2 2 4" xfId="9435" xr:uid="{844DDB50-76DD-43D2-9856-791C4D2A1DB1}"/>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11" xr:uid="{83EFAFEA-1194-40B8-933D-5EE4840D98C3}"/>
    <cellStyle name="Normal 5 2 3 2 2 2 3 2 3" xfId="11993" xr:uid="{FD9C2009-D151-4D01-8AD6-EB6E2CA6D94C}"/>
    <cellStyle name="Normal 5 2 3 2 2 2 3 3" xfId="5627" xr:uid="{00000000-0005-0000-0000-00003E180000}"/>
    <cellStyle name="Normal 5 2 3 2 2 2 3 3 2" xfId="14066" xr:uid="{3906FD14-287C-43CE-8730-AE703984A4BE}"/>
    <cellStyle name="Normal 5 2 3 2 2 2 3 4" xfId="9848" xr:uid="{216117D6-0D4A-47F8-B96E-9BEF5A8CAE76}"/>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4" xr:uid="{462BCAFA-88A6-4959-8480-1BD5CE029DF4}"/>
    <cellStyle name="Normal 5 2 3 2 2 2 4 2 3" xfId="12406" xr:uid="{3161DD2B-A8C9-4F68-A4ED-ED76B96E927E}"/>
    <cellStyle name="Normal 5 2 3 2 2 2 4 3" xfId="6040" xr:uid="{00000000-0005-0000-0000-000042180000}"/>
    <cellStyle name="Normal 5 2 3 2 2 2 4 3 2" xfId="14479" xr:uid="{2AB95027-3EC6-48DC-A43F-4C20E294607D}"/>
    <cellStyle name="Normal 5 2 3 2 2 2 4 4" xfId="10261" xr:uid="{76E18B0E-3FBE-4D29-AA85-DC61843004CB}"/>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37" xr:uid="{A61B32B0-02E8-4DEC-BDCD-7F47554EF033}"/>
    <cellStyle name="Normal 5 2 3 2 2 2 5 2 3" xfId="12819" xr:uid="{7F1CAABB-0332-40AF-9766-A674992C3797}"/>
    <cellStyle name="Normal 5 2 3 2 2 2 5 3" xfId="6453" xr:uid="{00000000-0005-0000-0000-000046180000}"/>
    <cellStyle name="Normal 5 2 3 2 2 2 5 3 2" xfId="14892" xr:uid="{CDB6848B-F421-40A0-9F59-644EACDA22F3}"/>
    <cellStyle name="Normal 5 2 3 2 2 2 5 4" xfId="10674" xr:uid="{5E150291-EC1B-434E-BE08-1D5028ABA967}"/>
    <cellStyle name="Normal 5 2 3 2 2 2 6" xfId="2582" xr:uid="{00000000-0005-0000-0000-000047180000}"/>
    <cellStyle name="Normal 5 2 3 2 2 2 6 2" xfId="6866" xr:uid="{00000000-0005-0000-0000-000048180000}"/>
    <cellStyle name="Normal 5 2 3 2 2 2 6 2 2" xfId="15305" xr:uid="{D5803916-B338-4B2F-992F-867712162406}"/>
    <cellStyle name="Normal 5 2 3 2 2 2 6 3" xfId="11087" xr:uid="{A68380CF-C38F-4EE5-A7FC-C26414B4A205}"/>
    <cellStyle name="Normal 5 2 3 2 2 2 7" xfId="4801" xr:uid="{00000000-0005-0000-0000-000049180000}"/>
    <cellStyle name="Normal 5 2 3 2 2 2 7 2" xfId="13240" xr:uid="{59D95DB0-1ED9-42CA-9318-8149FF8FD19E}"/>
    <cellStyle name="Normal 5 2 3 2 2 2 8" xfId="9022" xr:uid="{474F229E-AADC-48ED-80B1-5C24F03483E3}"/>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797" xr:uid="{B5D09C74-DC82-4097-94A9-E8B487CDE131}"/>
    <cellStyle name="Normal 5 2 3 2 2 3 2 3" xfId="11579" xr:uid="{A80C596C-178F-45BA-BCCA-AA0B713E0BEE}"/>
    <cellStyle name="Normal 5 2 3 2 2 3 3" xfId="5213" xr:uid="{00000000-0005-0000-0000-00004D180000}"/>
    <cellStyle name="Normal 5 2 3 2 2 3 3 2" xfId="13652" xr:uid="{B203388D-5226-4AFF-BD12-615313CA1500}"/>
    <cellStyle name="Normal 5 2 3 2 2 3 4" xfId="9434" xr:uid="{EC1C4DB9-B2C3-475C-BD51-E4E35296F81E}"/>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10" xr:uid="{0CEAC404-198D-4956-B700-0859A2A98674}"/>
    <cellStyle name="Normal 5 2 3 2 2 4 2 3" xfId="11992" xr:uid="{7EF0059A-943D-4437-904B-5671648962CE}"/>
    <cellStyle name="Normal 5 2 3 2 2 4 3" xfId="5626" xr:uid="{00000000-0005-0000-0000-000051180000}"/>
    <cellStyle name="Normal 5 2 3 2 2 4 3 2" xfId="14065" xr:uid="{3B533924-63F4-4CAA-8136-ED5313C79B0D}"/>
    <cellStyle name="Normal 5 2 3 2 2 4 4" xfId="9847" xr:uid="{CF64ACC2-45FA-420C-ACA6-26E2AFE040C5}"/>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3" xr:uid="{23C1FE27-AEC6-4E3F-886D-2A198781EF63}"/>
    <cellStyle name="Normal 5 2 3 2 2 5 2 3" xfId="12405" xr:uid="{E866F63B-24EA-49E3-A253-7ACB496428FC}"/>
    <cellStyle name="Normal 5 2 3 2 2 5 3" xfId="6039" xr:uid="{00000000-0005-0000-0000-000055180000}"/>
    <cellStyle name="Normal 5 2 3 2 2 5 3 2" xfId="14478" xr:uid="{69D036AE-D178-45CA-A4B8-004AD868944D}"/>
    <cellStyle name="Normal 5 2 3 2 2 5 4" xfId="10260" xr:uid="{5FD3D55F-B118-4D47-8AFC-9A64FF6D5F54}"/>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6" xr:uid="{FB5E9FE6-EC5D-4E56-AD09-B2AF3EE86D22}"/>
    <cellStyle name="Normal 5 2 3 2 2 6 2 3" xfId="12818" xr:uid="{8B703012-612F-42EE-A46F-3B19A44B83EB}"/>
    <cellStyle name="Normal 5 2 3 2 2 6 3" xfId="6452" xr:uid="{00000000-0005-0000-0000-000059180000}"/>
    <cellStyle name="Normal 5 2 3 2 2 6 3 2" xfId="14891" xr:uid="{53CDE66A-2BEB-42A9-8CA9-03A0155B1B30}"/>
    <cellStyle name="Normal 5 2 3 2 2 6 4" xfId="10673" xr:uid="{67117828-157E-4BD4-942A-C794A06C0D43}"/>
    <cellStyle name="Normal 5 2 3 2 2 7" xfId="2581" xr:uid="{00000000-0005-0000-0000-00005A180000}"/>
    <cellStyle name="Normal 5 2 3 2 2 7 2" xfId="6865" xr:uid="{00000000-0005-0000-0000-00005B180000}"/>
    <cellStyle name="Normal 5 2 3 2 2 7 2 2" xfId="15304" xr:uid="{8273BA53-4EA7-4854-8B5F-D1859C1480EF}"/>
    <cellStyle name="Normal 5 2 3 2 2 7 3" xfId="11086" xr:uid="{25E8455E-2E08-4ECA-B452-5D1D9D5F41D2}"/>
    <cellStyle name="Normal 5 2 3 2 2 8" xfId="4800" xr:uid="{00000000-0005-0000-0000-00005C180000}"/>
    <cellStyle name="Normal 5 2 3 2 2 8 2" xfId="13239" xr:uid="{3121F366-890A-4105-B81C-5E32376E9BFA}"/>
    <cellStyle name="Normal 5 2 3 2 2 9" xfId="9021" xr:uid="{70DE03B1-DB6F-4892-873E-E133C0984828}"/>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799" xr:uid="{6EF73269-D422-4183-8D85-1224BE23203E}"/>
    <cellStyle name="Normal 5 2 3 2 3 2 2 3" xfId="11581" xr:uid="{5A965C66-932C-459D-8385-97CEA33AFC92}"/>
    <cellStyle name="Normal 5 2 3 2 3 2 3" xfId="5215" xr:uid="{00000000-0005-0000-0000-000061180000}"/>
    <cellStyle name="Normal 5 2 3 2 3 2 3 2" xfId="13654" xr:uid="{510BADBE-3B3E-4496-A6FC-BB6EB88F38E1}"/>
    <cellStyle name="Normal 5 2 3 2 3 2 4" xfId="9436" xr:uid="{F87AE6CC-DAE3-427C-ACDB-BF03BB2B50FF}"/>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12" xr:uid="{20B3C613-C39A-49DC-BAA1-1F93D7A0CE0F}"/>
    <cellStyle name="Normal 5 2 3 2 3 3 2 3" xfId="11994" xr:uid="{79BCF51E-DC7B-423F-82D7-AD69FC9CCF86}"/>
    <cellStyle name="Normal 5 2 3 2 3 3 3" xfId="5628" xr:uid="{00000000-0005-0000-0000-000065180000}"/>
    <cellStyle name="Normal 5 2 3 2 3 3 3 2" xfId="14067" xr:uid="{E301CD7A-CD0E-4088-A3E6-03094E948D72}"/>
    <cellStyle name="Normal 5 2 3 2 3 3 4" xfId="9849" xr:uid="{E12E6C33-A903-410A-88E8-4220B7CF8652}"/>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5" xr:uid="{194924CE-4475-4C05-94A6-B7DD197FAAF2}"/>
    <cellStyle name="Normal 5 2 3 2 3 4 2 3" xfId="12407" xr:uid="{42556326-78CD-45CC-A75A-E3B1119B91AB}"/>
    <cellStyle name="Normal 5 2 3 2 3 4 3" xfId="6041" xr:uid="{00000000-0005-0000-0000-000069180000}"/>
    <cellStyle name="Normal 5 2 3 2 3 4 3 2" xfId="14480" xr:uid="{BBA0C786-29C1-474D-BD29-36C5E0766803}"/>
    <cellStyle name="Normal 5 2 3 2 3 4 4" xfId="10262" xr:uid="{5F6EF508-3E6D-40F5-81A7-38549D76DACC}"/>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38" xr:uid="{721495F0-FEED-46AC-9638-00213DF34087}"/>
    <cellStyle name="Normal 5 2 3 2 3 5 2 3" xfId="12820" xr:uid="{F2CDECE3-7E09-41E3-905F-8E0AC43D34B8}"/>
    <cellStyle name="Normal 5 2 3 2 3 5 3" xfId="6454" xr:uid="{00000000-0005-0000-0000-00006D180000}"/>
    <cellStyle name="Normal 5 2 3 2 3 5 3 2" xfId="14893" xr:uid="{66E90AE9-0BAA-453E-BA2C-9F986BB0B13E}"/>
    <cellStyle name="Normal 5 2 3 2 3 5 4" xfId="10675" xr:uid="{428C76B2-35C6-40D0-A771-3E804F2907C6}"/>
    <cellStyle name="Normal 5 2 3 2 3 6" xfId="2583" xr:uid="{00000000-0005-0000-0000-00006E180000}"/>
    <cellStyle name="Normal 5 2 3 2 3 6 2" xfId="6867" xr:uid="{00000000-0005-0000-0000-00006F180000}"/>
    <cellStyle name="Normal 5 2 3 2 3 6 2 2" xfId="15306" xr:uid="{05E93075-0B0C-4E44-B39B-A21DBA8F16F1}"/>
    <cellStyle name="Normal 5 2 3 2 3 6 3" xfId="11088" xr:uid="{5AE40063-8C1F-427D-8442-B33C68AE9D7E}"/>
    <cellStyle name="Normal 5 2 3 2 3 7" xfId="4802" xr:uid="{00000000-0005-0000-0000-000070180000}"/>
    <cellStyle name="Normal 5 2 3 2 3 7 2" xfId="13241" xr:uid="{8C72DB7C-D0F8-4B61-8341-E8BF18A95C6A}"/>
    <cellStyle name="Normal 5 2 3 2 3 8" xfId="9023" xr:uid="{F185D637-5D34-4ECC-974B-49DD67D5C9B8}"/>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6" xr:uid="{0BFF0D1A-715C-413C-870B-AE74669DBADC}"/>
    <cellStyle name="Normal 5 2 3 2 4 2 3" xfId="11578" xr:uid="{400D16BE-61CC-4B42-94B1-0760540D6874}"/>
    <cellStyle name="Normal 5 2 3 2 4 3" xfId="5212" xr:uid="{00000000-0005-0000-0000-000074180000}"/>
    <cellStyle name="Normal 5 2 3 2 4 3 2" xfId="13651" xr:uid="{6E10E357-CE22-418B-B7FE-AD2A529CD34D}"/>
    <cellStyle name="Normal 5 2 3 2 4 4" xfId="9433" xr:uid="{E2E61D38-A75F-472E-BFF1-74B535F0E521}"/>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09" xr:uid="{ADCC35B1-0BC3-4D8B-9A4F-6457216691CB}"/>
    <cellStyle name="Normal 5 2 3 2 5 2 3" xfId="11991" xr:uid="{76F25424-E5C1-4FF1-B2C9-979199C46340}"/>
    <cellStyle name="Normal 5 2 3 2 5 3" xfId="5625" xr:uid="{00000000-0005-0000-0000-000078180000}"/>
    <cellStyle name="Normal 5 2 3 2 5 3 2" xfId="14064" xr:uid="{023EE766-A4C3-4E44-BCF4-5081417831A4}"/>
    <cellStyle name="Normal 5 2 3 2 5 4" xfId="9846" xr:uid="{53AFD912-81EE-40CB-9ABE-104C799C3998}"/>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22" xr:uid="{26432553-5A4F-4F0A-85E9-83E2002022B5}"/>
    <cellStyle name="Normal 5 2 3 2 6 2 3" xfId="12404" xr:uid="{872DDBEC-CC80-4AB9-995F-6B35F4A22C03}"/>
    <cellStyle name="Normal 5 2 3 2 6 3" xfId="6038" xr:uid="{00000000-0005-0000-0000-00007C180000}"/>
    <cellStyle name="Normal 5 2 3 2 6 3 2" xfId="14477" xr:uid="{CFF80D5B-0AC8-4352-8D7E-908BAE76F094}"/>
    <cellStyle name="Normal 5 2 3 2 6 4" xfId="10259" xr:uid="{100C40CC-52E8-4088-8F91-D11CE49A5556}"/>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5" xr:uid="{5E96585F-3CF1-4D52-8A34-79B21C3DA8E5}"/>
    <cellStyle name="Normal 5 2 3 2 7 2 3" xfId="12817" xr:uid="{6941142A-0E02-41CC-AFBC-E69DC6E25AE0}"/>
    <cellStyle name="Normal 5 2 3 2 7 3" xfId="6451" xr:uid="{00000000-0005-0000-0000-000080180000}"/>
    <cellStyle name="Normal 5 2 3 2 7 3 2" xfId="14890" xr:uid="{DBBFCC7D-2269-4B17-AA28-EB860ACFC8C8}"/>
    <cellStyle name="Normal 5 2 3 2 7 4" xfId="10672" xr:uid="{9A510E51-7422-4037-A6FE-06BA16965F84}"/>
    <cellStyle name="Normal 5 2 3 2 8" xfId="2580" xr:uid="{00000000-0005-0000-0000-000081180000}"/>
    <cellStyle name="Normal 5 2 3 2 8 2" xfId="6864" xr:uid="{00000000-0005-0000-0000-000082180000}"/>
    <cellStyle name="Normal 5 2 3 2 8 2 2" xfId="15303" xr:uid="{4817FC19-0AE4-4F09-8804-C5A05B82DDE6}"/>
    <cellStyle name="Normal 5 2 3 2 8 3" xfId="11085" xr:uid="{994491F9-B50B-442A-9F9C-06BA97A86F77}"/>
    <cellStyle name="Normal 5 2 3 2 9" xfId="4799" xr:uid="{00000000-0005-0000-0000-000083180000}"/>
    <cellStyle name="Normal 5 2 3 2 9 2" xfId="13238" xr:uid="{C391E72C-BD27-4F50-AF73-8797E2B1DE9A}"/>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801" xr:uid="{088B2FA8-F29A-44DB-858E-3007DB1E8277}"/>
    <cellStyle name="Normal 5 2 3 3 2 2 2 3" xfId="11583" xr:uid="{E999E215-3C00-48E3-87F3-B7E42347048D}"/>
    <cellStyle name="Normal 5 2 3 3 2 2 3" xfId="5217" xr:uid="{00000000-0005-0000-0000-000089180000}"/>
    <cellStyle name="Normal 5 2 3 3 2 2 3 2" xfId="13656" xr:uid="{26A16EBB-1521-48B0-80C1-DABFFCE51D89}"/>
    <cellStyle name="Normal 5 2 3 3 2 2 4" xfId="9438" xr:uid="{9D8B40C8-9C86-4293-BC70-D7F020F427E5}"/>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4" xr:uid="{B94452C0-D060-4C5A-A81E-B98D83740B43}"/>
    <cellStyle name="Normal 5 2 3 3 2 3 2 3" xfId="11996" xr:uid="{D871BA39-737F-43E5-BDA5-E4D0ABC34987}"/>
    <cellStyle name="Normal 5 2 3 3 2 3 3" xfId="5630" xr:uid="{00000000-0005-0000-0000-00008D180000}"/>
    <cellStyle name="Normal 5 2 3 3 2 3 3 2" xfId="14069" xr:uid="{E7A513A6-A630-4C9C-ABDF-B9FB766DE741}"/>
    <cellStyle name="Normal 5 2 3 3 2 3 4" xfId="9851" xr:uid="{13A67951-05B5-4EAD-8DB0-E132C2946565}"/>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27" xr:uid="{723476F5-CDE4-4679-AE05-33E026446D55}"/>
    <cellStyle name="Normal 5 2 3 3 2 4 2 3" xfId="12409" xr:uid="{36F5BAC1-7CC0-4488-A527-641B68C70F6C}"/>
    <cellStyle name="Normal 5 2 3 3 2 4 3" xfId="6043" xr:uid="{00000000-0005-0000-0000-000091180000}"/>
    <cellStyle name="Normal 5 2 3 3 2 4 3 2" xfId="14482" xr:uid="{DAE85B51-B811-4292-8434-D7A6AC1EF800}"/>
    <cellStyle name="Normal 5 2 3 3 2 4 4" xfId="10264" xr:uid="{45FF16A3-D580-407E-9423-F8F18657C1BB}"/>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40" xr:uid="{DBA0EC0B-2527-4152-A5CB-E0F65013013C}"/>
    <cellStyle name="Normal 5 2 3 3 2 5 2 3" xfId="12822" xr:uid="{006D5002-35FD-4ADF-BF38-150466E2576E}"/>
    <cellStyle name="Normal 5 2 3 3 2 5 3" xfId="6456" xr:uid="{00000000-0005-0000-0000-000095180000}"/>
    <cellStyle name="Normal 5 2 3 3 2 5 3 2" xfId="14895" xr:uid="{E3E04A12-1E79-489C-B719-BA54E72ABCDC}"/>
    <cellStyle name="Normal 5 2 3 3 2 5 4" xfId="10677" xr:uid="{EDF5BA58-36D1-4D90-A5C0-4B9A4A7460F5}"/>
    <cellStyle name="Normal 5 2 3 3 2 6" xfId="2585" xr:uid="{00000000-0005-0000-0000-000096180000}"/>
    <cellStyle name="Normal 5 2 3 3 2 6 2" xfId="6869" xr:uid="{00000000-0005-0000-0000-000097180000}"/>
    <cellStyle name="Normal 5 2 3 3 2 6 2 2" xfId="15308" xr:uid="{3414849A-AAA7-41BD-889F-79A2D1634A72}"/>
    <cellStyle name="Normal 5 2 3 3 2 6 3" xfId="11090" xr:uid="{E9AFA5EE-F42F-412B-A6D7-68F3C5976B46}"/>
    <cellStyle name="Normal 5 2 3 3 2 7" xfId="4804" xr:uid="{00000000-0005-0000-0000-000098180000}"/>
    <cellStyle name="Normal 5 2 3 3 2 7 2" xfId="13243" xr:uid="{EF463258-35F9-4C82-B868-75FDF0E58F35}"/>
    <cellStyle name="Normal 5 2 3 3 2 8" xfId="9025" xr:uid="{F7A611E3-957D-409E-9890-4AAA6F65824F}"/>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800" xr:uid="{34D11FC2-0862-4842-9008-FE86AAF52015}"/>
    <cellStyle name="Normal 5 2 3 3 3 2 3" xfId="11582" xr:uid="{408BEA9B-9E4C-4A57-B24B-82B46F50402E}"/>
    <cellStyle name="Normal 5 2 3 3 3 3" xfId="5216" xr:uid="{00000000-0005-0000-0000-00009C180000}"/>
    <cellStyle name="Normal 5 2 3 3 3 3 2" xfId="13655" xr:uid="{73A6C677-9AC7-4786-B954-4CABD7174E83}"/>
    <cellStyle name="Normal 5 2 3 3 3 4" xfId="9437" xr:uid="{05E19F83-172B-4EB5-8A4C-CD6D778590DD}"/>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3" xr:uid="{B05E06F3-5228-4549-B19E-C944B5574B99}"/>
    <cellStyle name="Normal 5 2 3 3 4 2 3" xfId="11995" xr:uid="{BFC8C537-7222-4E51-BC0D-26E1ADB4A832}"/>
    <cellStyle name="Normal 5 2 3 3 4 3" xfId="5629" xr:uid="{00000000-0005-0000-0000-0000A0180000}"/>
    <cellStyle name="Normal 5 2 3 3 4 3 2" xfId="14068" xr:uid="{8E1EEE2D-0875-4487-9810-084CE2545368}"/>
    <cellStyle name="Normal 5 2 3 3 4 4" xfId="9850" xr:uid="{9F363128-2FBA-42F5-BD32-254CBB0E0C2F}"/>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6" xr:uid="{AF2AD87A-499E-4E36-B20A-CB2CC967B608}"/>
    <cellStyle name="Normal 5 2 3 3 5 2 3" xfId="12408" xr:uid="{638A3596-B96A-47F8-ADFC-764321495195}"/>
    <cellStyle name="Normal 5 2 3 3 5 3" xfId="6042" xr:uid="{00000000-0005-0000-0000-0000A4180000}"/>
    <cellStyle name="Normal 5 2 3 3 5 3 2" xfId="14481" xr:uid="{29B897C6-AA7E-4A8B-80BF-F35EB102224F}"/>
    <cellStyle name="Normal 5 2 3 3 5 4" xfId="10263" xr:uid="{A281F2D3-6DCB-4989-8647-61EFE1671C83}"/>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39" xr:uid="{6C50C006-7F43-4F14-A4B2-17296AFED523}"/>
    <cellStyle name="Normal 5 2 3 3 6 2 3" xfId="12821" xr:uid="{7AB344E2-AA58-44D3-9C09-6B230FD34EAC}"/>
    <cellStyle name="Normal 5 2 3 3 6 3" xfId="6455" xr:uid="{00000000-0005-0000-0000-0000A8180000}"/>
    <cellStyle name="Normal 5 2 3 3 6 3 2" xfId="14894" xr:uid="{D1C78261-2B71-4B15-A622-C8FACD8363F2}"/>
    <cellStyle name="Normal 5 2 3 3 6 4" xfId="10676" xr:uid="{963A8733-0236-4C65-949A-AA5802969151}"/>
    <cellStyle name="Normal 5 2 3 3 7" xfId="2584" xr:uid="{00000000-0005-0000-0000-0000A9180000}"/>
    <cellStyle name="Normal 5 2 3 3 7 2" xfId="6868" xr:uid="{00000000-0005-0000-0000-0000AA180000}"/>
    <cellStyle name="Normal 5 2 3 3 7 2 2" xfId="15307" xr:uid="{E324AB86-50C5-4E60-BB07-4B00B45E4734}"/>
    <cellStyle name="Normal 5 2 3 3 7 3" xfId="11089" xr:uid="{76A11744-6E31-472E-9C41-0FBED15A82AB}"/>
    <cellStyle name="Normal 5 2 3 3 8" xfId="4803" xr:uid="{00000000-0005-0000-0000-0000AB180000}"/>
    <cellStyle name="Normal 5 2 3 3 8 2" xfId="13242" xr:uid="{165C7424-4E70-48D2-86A2-1E73615BBF81}"/>
    <cellStyle name="Normal 5 2 3 3 9" xfId="9024" xr:uid="{9C4E5DCB-ABC3-4FDC-A11A-2727EAB3D87E}"/>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802" xr:uid="{9B4D8654-3E51-43B6-B759-7C2E3768749E}"/>
    <cellStyle name="Normal 5 2 3 4 2 2 3" xfId="11584" xr:uid="{741E25A2-C4D1-492B-B1C3-2312A87F0C42}"/>
    <cellStyle name="Normal 5 2 3 4 2 3" xfId="5218" xr:uid="{00000000-0005-0000-0000-0000B0180000}"/>
    <cellStyle name="Normal 5 2 3 4 2 3 2" xfId="13657" xr:uid="{936F7035-9A4E-4080-A919-BFD4D7DA0C0A}"/>
    <cellStyle name="Normal 5 2 3 4 2 4" xfId="9439" xr:uid="{72BF97B8-A990-473E-B2F7-FC1E47A996D8}"/>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5" xr:uid="{80EF3947-2343-420B-BC63-ACC5B7D21D2F}"/>
    <cellStyle name="Normal 5 2 3 4 3 2 3" xfId="11997" xr:uid="{EC0080B9-A666-4ECE-8F76-1B7190B561F4}"/>
    <cellStyle name="Normal 5 2 3 4 3 3" xfId="5631" xr:uid="{00000000-0005-0000-0000-0000B4180000}"/>
    <cellStyle name="Normal 5 2 3 4 3 3 2" xfId="14070" xr:uid="{009F29F0-AC59-4F52-B8A9-F7F654EE1A27}"/>
    <cellStyle name="Normal 5 2 3 4 3 4" xfId="9852" xr:uid="{041A5439-11E5-4610-8F45-0DBF4052C61C}"/>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28" xr:uid="{94CC0B86-626B-43BF-84F7-0C73F728B4CA}"/>
    <cellStyle name="Normal 5 2 3 4 4 2 3" xfId="12410" xr:uid="{B81AC37A-1A85-4FD1-97C3-13E0035A84D2}"/>
    <cellStyle name="Normal 5 2 3 4 4 3" xfId="6044" xr:uid="{00000000-0005-0000-0000-0000B8180000}"/>
    <cellStyle name="Normal 5 2 3 4 4 3 2" xfId="14483" xr:uid="{7721B902-1D9B-45D3-A521-18A7454F9E80}"/>
    <cellStyle name="Normal 5 2 3 4 4 4" xfId="10265" xr:uid="{0F57523B-D81B-4F01-A633-008D858A3B83}"/>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41" xr:uid="{BAEA5D99-5780-4BC3-BD09-A08104C14D4A}"/>
    <cellStyle name="Normal 5 2 3 4 5 2 3" xfId="12823" xr:uid="{AC645460-A2F7-4165-992D-098A40700990}"/>
    <cellStyle name="Normal 5 2 3 4 5 3" xfId="6457" xr:uid="{00000000-0005-0000-0000-0000BC180000}"/>
    <cellStyle name="Normal 5 2 3 4 5 3 2" xfId="14896" xr:uid="{79087F94-6601-435E-BAF2-0F44ED46F0B1}"/>
    <cellStyle name="Normal 5 2 3 4 5 4" xfId="10678" xr:uid="{5C75CC46-14BB-453C-AA8A-33EECE09E22C}"/>
    <cellStyle name="Normal 5 2 3 4 6" xfId="2586" xr:uid="{00000000-0005-0000-0000-0000BD180000}"/>
    <cellStyle name="Normal 5 2 3 4 6 2" xfId="6870" xr:uid="{00000000-0005-0000-0000-0000BE180000}"/>
    <cellStyle name="Normal 5 2 3 4 6 2 2" xfId="15309" xr:uid="{D1174F62-73DA-4EAA-9752-5B05BC761585}"/>
    <cellStyle name="Normal 5 2 3 4 6 3" xfId="11091" xr:uid="{D8AE6A71-EA91-4192-A012-1A151F2143F0}"/>
    <cellStyle name="Normal 5 2 3 4 7" xfId="4805" xr:uid="{00000000-0005-0000-0000-0000BF180000}"/>
    <cellStyle name="Normal 5 2 3 4 7 2" xfId="13244" xr:uid="{04C1EA43-9E89-4CE9-9757-743072BAA19D}"/>
    <cellStyle name="Normal 5 2 3 4 8" xfId="9026" xr:uid="{20EB73DD-E85A-410E-ACAB-BCABEB0D6CE9}"/>
    <cellStyle name="Normal 5 2 3 5" xfId="898" xr:uid="{00000000-0005-0000-0000-0000C0180000}"/>
    <cellStyle name="Normal 5 2 3 5 2" xfId="3133" xr:uid="{00000000-0005-0000-0000-0000C1180000}"/>
    <cellStyle name="Normal 5 2 3 5 2 2" xfId="7356" xr:uid="{00000000-0005-0000-0000-0000C2180000}"/>
    <cellStyle name="Normal 5 2 3 5 2 2 2" xfId="15795" xr:uid="{F5C5165C-08A8-4DB3-B068-F9372219FDB2}"/>
    <cellStyle name="Normal 5 2 3 5 2 3" xfId="11577" xr:uid="{29D724E4-58A7-4555-AEE7-176BBB779A55}"/>
    <cellStyle name="Normal 5 2 3 5 3" xfId="5211" xr:uid="{00000000-0005-0000-0000-0000C3180000}"/>
    <cellStyle name="Normal 5 2 3 5 3 2" xfId="13650" xr:uid="{AB68E0F7-13FA-43E3-8AA7-0D8BF6609F9E}"/>
    <cellStyle name="Normal 5 2 3 5 4" xfId="9432" xr:uid="{1C15F0D7-7675-43AF-8899-328326C34FB2}"/>
    <cellStyle name="Normal 5 2 3 6" xfId="1316" xr:uid="{00000000-0005-0000-0000-0000C4180000}"/>
    <cellStyle name="Normal 5 2 3 6 2" xfId="3546" xr:uid="{00000000-0005-0000-0000-0000C5180000}"/>
    <cellStyle name="Normal 5 2 3 6 2 2" xfId="7769" xr:uid="{00000000-0005-0000-0000-0000C6180000}"/>
    <cellStyle name="Normal 5 2 3 6 2 2 2" xfId="16208" xr:uid="{0137BFC5-0F61-4AA7-9032-A25DA4741BAB}"/>
    <cellStyle name="Normal 5 2 3 6 2 3" xfId="11990" xr:uid="{73D54E23-726E-4980-AD6A-E1195D5F724C}"/>
    <cellStyle name="Normal 5 2 3 6 3" xfId="5624" xr:uid="{00000000-0005-0000-0000-0000C7180000}"/>
    <cellStyle name="Normal 5 2 3 6 3 2" xfId="14063" xr:uid="{E7973073-D2D3-42F2-8D72-200726CE9A57}"/>
    <cellStyle name="Normal 5 2 3 6 4" xfId="9845" xr:uid="{0225998D-0484-42B0-9B2C-7AE2ADB04754}"/>
    <cellStyle name="Normal 5 2 3 7" xfId="1729" xr:uid="{00000000-0005-0000-0000-0000C8180000}"/>
    <cellStyle name="Normal 5 2 3 7 2" xfId="3959" xr:uid="{00000000-0005-0000-0000-0000C9180000}"/>
    <cellStyle name="Normal 5 2 3 7 2 2" xfId="8182" xr:uid="{00000000-0005-0000-0000-0000CA180000}"/>
    <cellStyle name="Normal 5 2 3 7 2 2 2" xfId="16621" xr:uid="{7399D360-037E-4044-BC1C-C0D6DA9D7081}"/>
    <cellStyle name="Normal 5 2 3 7 2 3" xfId="12403" xr:uid="{38380899-0823-41C4-B7E5-B7633DDE6911}"/>
    <cellStyle name="Normal 5 2 3 7 3" xfId="6037" xr:uid="{00000000-0005-0000-0000-0000CB180000}"/>
    <cellStyle name="Normal 5 2 3 7 3 2" xfId="14476" xr:uid="{2DB1C73E-5C9B-4473-8E49-DF0D4F414966}"/>
    <cellStyle name="Normal 5 2 3 7 4" xfId="10258" xr:uid="{19DDCE90-5382-4820-B622-8A77A68146A8}"/>
    <cellStyle name="Normal 5 2 3 8" xfId="2143" xr:uid="{00000000-0005-0000-0000-0000CC180000}"/>
    <cellStyle name="Normal 5 2 3 8 2" xfId="4372" xr:uid="{00000000-0005-0000-0000-0000CD180000}"/>
    <cellStyle name="Normal 5 2 3 8 2 2" xfId="8595" xr:uid="{00000000-0005-0000-0000-0000CE180000}"/>
    <cellStyle name="Normal 5 2 3 8 2 2 2" xfId="17034" xr:uid="{5EA08F4C-FA27-49FE-A995-06D9F978D47A}"/>
    <cellStyle name="Normal 5 2 3 8 2 3" xfId="12816" xr:uid="{0C62A473-884B-4C6F-8703-BB6BF91CE354}"/>
    <cellStyle name="Normal 5 2 3 8 3" xfId="6450" xr:uid="{00000000-0005-0000-0000-0000CF180000}"/>
    <cellStyle name="Normal 5 2 3 8 3 2" xfId="14889" xr:uid="{217D3BD7-2340-4716-8679-5181A6B15E48}"/>
    <cellStyle name="Normal 5 2 3 8 4" xfId="10671" xr:uid="{0E945365-03FC-4AD3-B4E1-E83B4C6F6569}"/>
    <cellStyle name="Normal 5 2 3 9" xfId="2579" xr:uid="{00000000-0005-0000-0000-0000D0180000}"/>
    <cellStyle name="Normal 5 2 3 9 2" xfId="6863" xr:uid="{00000000-0005-0000-0000-0000D1180000}"/>
    <cellStyle name="Normal 5 2 3 9 2 2" xfId="15302" xr:uid="{07DB7D2C-7074-41E1-8510-87E4233AD35F}"/>
    <cellStyle name="Normal 5 2 3 9 3" xfId="11084" xr:uid="{B15FACC9-DCCA-4B85-8ADB-C755C9533C2D}"/>
    <cellStyle name="Normal 5 2 4" xfId="432" xr:uid="{00000000-0005-0000-0000-0000D2180000}"/>
    <cellStyle name="Normal 5 2 4 10" xfId="9027" xr:uid="{A255470B-18FB-4EB9-B0B6-8B8FFAF73401}"/>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5" xr:uid="{952D1B65-7A5A-4A54-AF2F-76368B7D8569}"/>
    <cellStyle name="Normal 5 2 4 2 2 2 2 3" xfId="11587" xr:uid="{98F8A641-0833-4F31-8F94-CD8A3374047D}"/>
    <cellStyle name="Normal 5 2 4 2 2 2 3" xfId="5221" xr:uid="{00000000-0005-0000-0000-0000D8180000}"/>
    <cellStyle name="Normal 5 2 4 2 2 2 3 2" xfId="13660" xr:uid="{F2A681E6-F4C5-4825-93FA-3DF157E04D5B}"/>
    <cellStyle name="Normal 5 2 4 2 2 2 4" xfId="9442" xr:uid="{D347D25D-14C2-40F9-9DEC-C5405D33DB3F}"/>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18" xr:uid="{3DCA2615-11F7-4CF9-83E8-7EFA31F82B76}"/>
    <cellStyle name="Normal 5 2 4 2 2 3 2 3" xfId="12000" xr:uid="{355ED987-9F41-4F1D-8AED-7C9A6A73BADE}"/>
    <cellStyle name="Normal 5 2 4 2 2 3 3" xfId="5634" xr:uid="{00000000-0005-0000-0000-0000DC180000}"/>
    <cellStyle name="Normal 5 2 4 2 2 3 3 2" xfId="14073" xr:uid="{BFEF4AA2-F315-42F3-BFB5-0DAF2145AA40}"/>
    <cellStyle name="Normal 5 2 4 2 2 3 4" xfId="9855" xr:uid="{27349C61-4D1E-4A81-ABF0-F5768545AAA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31" xr:uid="{9C8BD973-3028-4672-AC0E-7EABD13F1D74}"/>
    <cellStyle name="Normal 5 2 4 2 2 4 2 3" xfId="12413" xr:uid="{DFCC5724-EFD4-474D-A7C9-ED7664E7D92A}"/>
    <cellStyle name="Normal 5 2 4 2 2 4 3" xfId="6047" xr:uid="{00000000-0005-0000-0000-0000E0180000}"/>
    <cellStyle name="Normal 5 2 4 2 2 4 3 2" xfId="14486" xr:uid="{125CC876-735F-46CC-BF06-36C4EAF4E5EC}"/>
    <cellStyle name="Normal 5 2 4 2 2 4 4" xfId="10268" xr:uid="{AA7C687C-F724-4295-9E86-C859349194BB}"/>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4" xr:uid="{3827ED5E-025B-49F3-8069-8C6DAA7B9055}"/>
    <cellStyle name="Normal 5 2 4 2 2 5 2 3" xfId="12826" xr:uid="{183480F1-1E31-41FC-A158-E0E42F076603}"/>
    <cellStyle name="Normal 5 2 4 2 2 5 3" xfId="6460" xr:uid="{00000000-0005-0000-0000-0000E4180000}"/>
    <cellStyle name="Normal 5 2 4 2 2 5 3 2" xfId="14899" xr:uid="{33461464-95F1-4265-A439-F41E3006533F}"/>
    <cellStyle name="Normal 5 2 4 2 2 5 4" xfId="10681" xr:uid="{12EF2625-43C3-424D-8846-CD47DBA5E8D3}"/>
    <cellStyle name="Normal 5 2 4 2 2 6" xfId="2589" xr:uid="{00000000-0005-0000-0000-0000E5180000}"/>
    <cellStyle name="Normal 5 2 4 2 2 6 2" xfId="6873" xr:uid="{00000000-0005-0000-0000-0000E6180000}"/>
    <cellStyle name="Normal 5 2 4 2 2 6 2 2" xfId="15312" xr:uid="{8F73447B-6F7B-4523-948F-D2A7354411B1}"/>
    <cellStyle name="Normal 5 2 4 2 2 6 3" xfId="11094" xr:uid="{B1F98B93-53DA-418D-89A7-5645EA494AA1}"/>
    <cellStyle name="Normal 5 2 4 2 2 7" xfId="4808" xr:uid="{00000000-0005-0000-0000-0000E7180000}"/>
    <cellStyle name="Normal 5 2 4 2 2 7 2" xfId="13247" xr:uid="{4A70880E-2D10-4AD6-A47A-A745AE5A93E5}"/>
    <cellStyle name="Normal 5 2 4 2 2 8" xfId="9029" xr:uid="{9B56A247-F4F2-424D-83CC-ED513CA59F44}"/>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4" xr:uid="{2585B735-E9CC-4828-ABD5-167A46C4D0A1}"/>
    <cellStyle name="Normal 5 2 4 2 3 2 3" xfId="11586" xr:uid="{7A7891B6-FECD-4159-A57C-7C4B1CCAA6A4}"/>
    <cellStyle name="Normal 5 2 4 2 3 3" xfId="5220" xr:uid="{00000000-0005-0000-0000-0000EB180000}"/>
    <cellStyle name="Normal 5 2 4 2 3 3 2" xfId="13659" xr:uid="{BE8CA0E2-E423-40F4-A972-BA506D38B293}"/>
    <cellStyle name="Normal 5 2 4 2 3 4" xfId="9441" xr:uid="{4C0A5065-BBAE-406A-9633-85D00433C5C1}"/>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17" xr:uid="{39A2BE68-44B2-4B5E-B02D-2BAD653C15E3}"/>
    <cellStyle name="Normal 5 2 4 2 4 2 3" xfId="11999" xr:uid="{EE68E366-310D-4F2E-9103-F8C799C4B899}"/>
    <cellStyle name="Normal 5 2 4 2 4 3" xfId="5633" xr:uid="{00000000-0005-0000-0000-0000EF180000}"/>
    <cellStyle name="Normal 5 2 4 2 4 3 2" xfId="14072" xr:uid="{1D474752-BE0C-4FE2-84BB-7CEF8B05E3FC}"/>
    <cellStyle name="Normal 5 2 4 2 4 4" xfId="9854" xr:uid="{09B5E415-A3DB-456E-88C6-1C365EB448BA}"/>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30" xr:uid="{D2564306-8D66-4407-9431-E5618F86461B}"/>
    <cellStyle name="Normal 5 2 4 2 5 2 3" xfId="12412" xr:uid="{F886160F-0146-43A8-BCBA-85E64FF3E66A}"/>
    <cellStyle name="Normal 5 2 4 2 5 3" xfId="6046" xr:uid="{00000000-0005-0000-0000-0000F3180000}"/>
    <cellStyle name="Normal 5 2 4 2 5 3 2" xfId="14485" xr:uid="{E232A8D0-8461-45B7-ACEA-08B13126A154}"/>
    <cellStyle name="Normal 5 2 4 2 5 4" xfId="10267" xr:uid="{ADD2EB03-0F2D-4DEA-B299-40131F42F342}"/>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3" xr:uid="{615DB9EF-5998-42EA-B3FF-9EE951403C9D}"/>
    <cellStyle name="Normal 5 2 4 2 6 2 3" xfId="12825" xr:uid="{573BB995-A8DD-4D94-A060-297D0B3A01E8}"/>
    <cellStyle name="Normal 5 2 4 2 6 3" xfId="6459" xr:uid="{00000000-0005-0000-0000-0000F7180000}"/>
    <cellStyle name="Normal 5 2 4 2 6 3 2" xfId="14898" xr:uid="{69DA3FA7-9CC9-4447-9ACB-3A8A4DE4FEE3}"/>
    <cellStyle name="Normal 5 2 4 2 6 4" xfId="10680" xr:uid="{2E5FDFC6-6D3E-4A67-832C-8C9BBF30C3BF}"/>
    <cellStyle name="Normal 5 2 4 2 7" xfId="2588" xr:uid="{00000000-0005-0000-0000-0000F8180000}"/>
    <cellStyle name="Normal 5 2 4 2 7 2" xfId="6872" xr:uid="{00000000-0005-0000-0000-0000F9180000}"/>
    <cellStyle name="Normal 5 2 4 2 7 2 2" xfId="15311" xr:uid="{989E55C9-CF94-428B-A88A-E4AC788F18D7}"/>
    <cellStyle name="Normal 5 2 4 2 7 3" xfId="11093" xr:uid="{526846D5-67FA-4BF6-8D71-C6914DF822E3}"/>
    <cellStyle name="Normal 5 2 4 2 8" xfId="4807" xr:uid="{00000000-0005-0000-0000-0000FA180000}"/>
    <cellStyle name="Normal 5 2 4 2 8 2" xfId="13246" xr:uid="{78B21181-2084-4313-A080-E0D58CE9B410}"/>
    <cellStyle name="Normal 5 2 4 2 9" xfId="9028" xr:uid="{996EF857-2F63-4BE2-8D20-ADAF3586F4FD}"/>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6" xr:uid="{332558B8-E184-46DC-B324-22ADD39C5ABE}"/>
    <cellStyle name="Normal 5 2 4 3 2 2 3" xfId="11588" xr:uid="{CD316429-E921-459C-A391-CA123ABC8D17}"/>
    <cellStyle name="Normal 5 2 4 3 2 3" xfId="5222" xr:uid="{00000000-0005-0000-0000-0000FF180000}"/>
    <cellStyle name="Normal 5 2 4 3 2 3 2" xfId="13661" xr:uid="{006E893E-8D91-4A4E-812A-47E64DBF46CE}"/>
    <cellStyle name="Normal 5 2 4 3 2 4" xfId="9443" xr:uid="{543C8B0A-BDF6-4C3B-98AF-E0149A40A30D}"/>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19" xr:uid="{6DD38CA6-6C71-4129-9115-B4F254559CE2}"/>
    <cellStyle name="Normal 5 2 4 3 3 2 3" xfId="12001" xr:uid="{BE3439AC-40EF-466E-BEA7-377CFFE25198}"/>
    <cellStyle name="Normal 5 2 4 3 3 3" xfId="5635" xr:uid="{00000000-0005-0000-0000-000003190000}"/>
    <cellStyle name="Normal 5 2 4 3 3 3 2" xfId="14074" xr:uid="{A3AE84BC-A9A5-4AFB-BC73-86038F5A070B}"/>
    <cellStyle name="Normal 5 2 4 3 3 4" xfId="9856" xr:uid="{C66F13C1-A7AC-4E01-8B9F-CD4AB7484A57}"/>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32" xr:uid="{CF803EC0-719A-43A8-AAD1-A3D2359D1BEE}"/>
    <cellStyle name="Normal 5 2 4 3 4 2 3" xfId="12414" xr:uid="{4A2C3F19-9F6F-4FCA-A50A-5816876D2039}"/>
    <cellStyle name="Normal 5 2 4 3 4 3" xfId="6048" xr:uid="{00000000-0005-0000-0000-000007190000}"/>
    <cellStyle name="Normal 5 2 4 3 4 3 2" xfId="14487" xr:uid="{4881E1E4-B85A-4ADF-A006-93234B0EB221}"/>
    <cellStyle name="Normal 5 2 4 3 4 4" xfId="10269" xr:uid="{3BD1A677-EFF9-4C7B-8C77-41D93AAA6BB1}"/>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5" xr:uid="{48AC18E9-16D6-4887-B7E3-378CBDD4032A}"/>
    <cellStyle name="Normal 5 2 4 3 5 2 3" xfId="12827" xr:uid="{075676FC-CC29-4F35-AF80-3098B870448F}"/>
    <cellStyle name="Normal 5 2 4 3 5 3" xfId="6461" xr:uid="{00000000-0005-0000-0000-00000B190000}"/>
    <cellStyle name="Normal 5 2 4 3 5 3 2" xfId="14900" xr:uid="{9C21A7D6-19D3-43CD-BC8D-37D1193CCA3A}"/>
    <cellStyle name="Normal 5 2 4 3 5 4" xfId="10682" xr:uid="{3F8EB584-AB16-4890-926A-8835B9446A17}"/>
    <cellStyle name="Normal 5 2 4 3 6" xfId="2590" xr:uid="{00000000-0005-0000-0000-00000C190000}"/>
    <cellStyle name="Normal 5 2 4 3 6 2" xfId="6874" xr:uid="{00000000-0005-0000-0000-00000D190000}"/>
    <cellStyle name="Normal 5 2 4 3 6 2 2" xfId="15313" xr:uid="{2F350948-B6E3-4914-8A7C-576A401985FC}"/>
    <cellStyle name="Normal 5 2 4 3 6 3" xfId="11095" xr:uid="{B0BAC7C9-D5AE-4628-9F41-E7CC851452C0}"/>
    <cellStyle name="Normal 5 2 4 3 7" xfId="4809" xr:uid="{00000000-0005-0000-0000-00000E190000}"/>
    <cellStyle name="Normal 5 2 4 3 7 2" xfId="13248" xr:uid="{A9CB7422-1CB1-4630-B25C-13FAB9834AD7}"/>
    <cellStyle name="Normal 5 2 4 3 8" xfId="9030" xr:uid="{43D037F4-0A07-4F9E-87AA-5B656DDA86FE}"/>
    <cellStyle name="Normal 5 2 4 4" xfId="906" xr:uid="{00000000-0005-0000-0000-00000F190000}"/>
    <cellStyle name="Normal 5 2 4 4 2" xfId="3141" xr:uid="{00000000-0005-0000-0000-000010190000}"/>
    <cellStyle name="Normal 5 2 4 4 2 2" xfId="7364" xr:uid="{00000000-0005-0000-0000-000011190000}"/>
    <cellStyle name="Normal 5 2 4 4 2 2 2" xfId="15803" xr:uid="{4C6A8CD0-0643-42F2-8108-8E364AAD8138}"/>
    <cellStyle name="Normal 5 2 4 4 2 3" xfId="11585" xr:uid="{E33F63C0-1723-4A86-890E-627384A96EF1}"/>
    <cellStyle name="Normal 5 2 4 4 3" xfId="5219" xr:uid="{00000000-0005-0000-0000-000012190000}"/>
    <cellStyle name="Normal 5 2 4 4 3 2" xfId="13658" xr:uid="{0C0A4968-BCFE-45E8-BEF2-C11F56565866}"/>
    <cellStyle name="Normal 5 2 4 4 4" xfId="9440" xr:uid="{C6ADF68B-99D7-4CD4-9FC2-EB9CA31B7587}"/>
    <cellStyle name="Normal 5 2 4 5" xfId="1324" xr:uid="{00000000-0005-0000-0000-000013190000}"/>
    <cellStyle name="Normal 5 2 4 5 2" xfId="3554" xr:uid="{00000000-0005-0000-0000-000014190000}"/>
    <cellStyle name="Normal 5 2 4 5 2 2" xfId="7777" xr:uid="{00000000-0005-0000-0000-000015190000}"/>
    <cellStyle name="Normal 5 2 4 5 2 2 2" xfId="16216" xr:uid="{478608D6-907B-450F-98B9-91635B176446}"/>
    <cellStyle name="Normal 5 2 4 5 2 3" xfId="11998" xr:uid="{1020CD2B-232D-467D-9756-77DE90AC76E5}"/>
    <cellStyle name="Normal 5 2 4 5 3" xfId="5632" xr:uid="{00000000-0005-0000-0000-000016190000}"/>
    <cellStyle name="Normal 5 2 4 5 3 2" xfId="14071" xr:uid="{3E8CE1FA-238E-4BB5-8344-A640EAA219E4}"/>
    <cellStyle name="Normal 5 2 4 5 4" xfId="9853" xr:uid="{1E5D3546-9BE7-4BC3-AB8D-FC568AD33163}"/>
    <cellStyle name="Normal 5 2 4 6" xfId="1737" xr:uid="{00000000-0005-0000-0000-000017190000}"/>
    <cellStyle name="Normal 5 2 4 6 2" xfId="3967" xr:uid="{00000000-0005-0000-0000-000018190000}"/>
    <cellStyle name="Normal 5 2 4 6 2 2" xfId="8190" xr:uid="{00000000-0005-0000-0000-000019190000}"/>
    <cellStyle name="Normal 5 2 4 6 2 2 2" xfId="16629" xr:uid="{20D44ECE-F0B1-4551-A11B-53147B6E83A5}"/>
    <cellStyle name="Normal 5 2 4 6 2 3" xfId="12411" xr:uid="{BD6AC6AF-2AF8-471E-8457-2A8B7B1180B4}"/>
    <cellStyle name="Normal 5 2 4 6 3" xfId="6045" xr:uid="{00000000-0005-0000-0000-00001A190000}"/>
    <cellStyle name="Normal 5 2 4 6 3 2" xfId="14484" xr:uid="{768D28E0-A04D-4768-9C87-E9DD52A6EBFF}"/>
    <cellStyle name="Normal 5 2 4 6 4" xfId="10266" xr:uid="{BC8F04DA-6B22-49E3-9AB9-59795369EC1D}"/>
    <cellStyle name="Normal 5 2 4 7" xfId="2151" xr:uid="{00000000-0005-0000-0000-00001B190000}"/>
    <cellStyle name="Normal 5 2 4 7 2" xfId="4380" xr:uid="{00000000-0005-0000-0000-00001C190000}"/>
    <cellStyle name="Normal 5 2 4 7 2 2" xfId="8603" xr:uid="{00000000-0005-0000-0000-00001D190000}"/>
    <cellStyle name="Normal 5 2 4 7 2 2 2" xfId="17042" xr:uid="{D0B7720C-043B-4C4A-A751-1D576D78D2B0}"/>
    <cellStyle name="Normal 5 2 4 7 2 3" xfId="12824" xr:uid="{A569D2BF-6CE1-4C24-887D-E45856F030FD}"/>
    <cellStyle name="Normal 5 2 4 7 3" xfId="6458" xr:uid="{00000000-0005-0000-0000-00001E190000}"/>
    <cellStyle name="Normal 5 2 4 7 3 2" xfId="14897" xr:uid="{4E34578A-5CE3-4CB8-881C-AECC41031C6D}"/>
    <cellStyle name="Normal 5 2 4 7 4" xfId="10679" xr:uid="{8F0BC9F8-6956-4D56-B07F-CCA9490C199F}"/>
    <cellStyle name="Normal 5 2 4 8" xfId="2587" xr:uid="{00000000-0005-0000-0000-00001F190000}"/>
    <cellStyle name="Normal 5 2 4 8 2" xfId="6871" xr:uid="{00000000-0005-0000-0000-000020190000}"/>
    <cellStyle name="Normal 5 2 4 8 2 2" xfId="15310" xr:uid="{9DD9C8D5-3260-44E7-9C3E-CF28E39C3978}"/>
    <cellStyle name="Normal 5 2 4 8 3" xfId="11092" xr:uid="{9B1C25AA-E456-414D-AC8F-C21F9586AAC6}"/>
    <cellStyle name="Normal 5 2 4 9" xfId="4806" xr:uid="{00000000-0005-0000-0000-000021190000}"/>
    <cellStyle name="Normal 5 2 4 9 2" xfId="13245" xr:uid="{0BF1BBD9-A37C-43B2-A1AE-5529316E1EBE}"/>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08" xr:uid="{55D64A3A-B8EC-45F8-8CFE-706D0F0B0ECC}"/>
    <cellStyle name="Normal 5 2 5 2 2 2 3" xfId="11590" xr:uid="{458C6964-81F7-48FD-B994-4DF8D5B50A62}"/>
    <cellStyle name="Normal 5 2 5 2 2 3" xfId="5224" xr:uid="{00000000-0005-0000-0000-000027190000}"/>
    <cellStyle name="Normal 5 2 5 2 2 3 2" xfId="13663" xr:uid="{56ED955A-DE5F-4F85-A81F-CFD6A0278D7E}"/>
    <cellStyle name="Normal 5 2 5 2 2 4" xfId="9445" xr:uid="{65D50E60-675D-49A7-BA67-434BF07F8986}"/>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21" xr:uid="{D416897C-5F45-47EC-9803-1EC324DA896B}"/>
    <cellStyle name="Normal 5 2 5 2 3 2 3" xfId="12003" xr:uid="{020662FF-E0F4-411F-95EE-8E8A6EF29994}"/>
    <cellStyle name="Normal 5 2 5 2 3 3" xfId="5637" xr:uid="{00000000-0005-0000-0000-00002B190000}"/>
    <cellStyle name="Normal 5 2 5 2 3 3 2" xfId="14076" xr:uid="{82491CE8-7EE3-4429-A9A0-DCF4EDF3BE55}"/>
    <cellStyle name="Normal 5 2 5 2 3 4" xfId="9858" xr:uid="{E52FECFD-FD41-4E84-9223-E6D58EA7EA6F}"/>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4" xr:uid="{299441DF-37FC-4734-9942-CD9A9F5E08BA}"/>
    <cellStyle name="Normal 5 2 5 2 4 2 3" xfId="12416" xr:uid="{E5916409-7159-45BB-B0A1-B3D7A08B2DD9}"/>
    <cellStyle name="Normal 5 2 5 2 4 3" xfId="6050" xr:uid="{00000000-0005-0000-0000-00002F190000}"/>
    <cellStyle name="Normal 5 2 5 2 4 3 2" xfId="14489" xr:uid="{2D4AB4DD-7487-4485-B56C-FCCC70271121}"/>
    <cellStyle name="Normal 5 2 5 2 4 4" xfId="10271" xr:uid="{84FBADF1-F27D-4C43-B398-62D7962F33B3}"/>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47" xr:uid="{7FB8D59F-2511-4D12-ADB1-A0E248B382F2}"/>
    <cellStyle name="Normal 5 2 5 2 5 2 3" xfId="12829" xr:uid="{8ABE0DF6-DCE0-4AB3-9D0D-EB3C7297A893}"/>
    <cellStyle name="Normal 5 2 5 2 5 3" xfId="6463" xr:uid="{00000000-0005-0000-0000-000033190000}"/>
    <cellStyle name="Normal 5 2 5 2 5 3 2" xfId="14902" xr:uid="{0B41E301-1D61-4BFD-97F0-4544DC4C3470}"/>
    <cellStyle name="Normal 5 2 5 2 5 4" xfId="10684" xr:uid="{503E0F5E-19FF-476F-A801-BE9107521245}"/>
    <cellStyle name="Normal 5 2 5 2 6" xfId="2592" xr:uid="{00000000-0005-0000-0000-000034190000}"/>
    <cellStyle name="Normal 5 2 5 2 6 2" xfId="6876" xr:uid="{00000000-0005-0000-0000-000035190000}"/>
    <cellStyle name="Normal 5 2 5 2 6 2 2" xfId="15315" xr:uid="{73345DD0-9739-4402-8977-0D8A91E63BA7}"/>
    <cellStyle name="Normal 5 2 5 2 6 3" xfId="11097" xr:uid="{366BED31-5D15-406F-9A6F-9A87BD69B60C}"/>
    <cellStyle name="Normal 5 2 5 2 7" xfId="4811" xr:uid="{00000000-0005-0000-0000-000036190000}"/>
    <cellStyle name="Normal 5 2 5 2 7 2" xfId="13250" xr:uid="{2257FCDA-D23C-45C5-96C8-FC52F8945457}"/>
    <cellStyle name="Normal 5 2 5 2 8" xfId="9032" xr:uid="{3FDFE847-8303-4379-8A61-A54EDC28BBD7}"/>
    <cellStyle name="Normal 5 2 5 3" xfId="910" xr:uid="{00000000-0005-0000-0000-000037190000}"/>
    <cellStyle name="Normal 5 2 5 3 2" xfId="3145" xr:uid="{00000000-0005-0000-0000-000038190000}"/>
    <cellStyle name="Normal 5 2 5 3 2 2" xfId="7368" xr:uid="{00000000-0005-0000-0000-000039190000}"/>
    <cellStyle name="Normal 5 2 5 3 2 2 2" xfId="15807" xr:uid="{E696F79F-5F3F-4EBC-93FB-404EC6DAE009}"/>
    <cellStyle name="Normal 5 2 5 3 2 3" xfId="11589" xr:uid="{F03FCAF3-0675-46FA-BB28-C7BCCECB9C9B}"/>
    <cellStyle name="Normal 5 2 5 3 3" xfId="5223" xr:uid="{00000000-0005-0000-0000-00003A190000}"/>
    <cellStyle name="Normal 5 2 5 3 3 2" xfId="13662" xr:uid="{BBDB6338-2B76-41D5-AA99-B3B29405BA4C}"/>
    <cellStyle name="Normal 5 2 5 3 4" xfId="9444" xr:uid="{0CB63DA8-C812-48EB-AAFC-EC51788FB780}"/>
    <cellStyle name="Normal 5 2 5 4" xfId="1328" xr:uid="{00000000-0005-0000-0000-00003B190000}"/>
    <cellStyle name="Normal 5 2 5 4 2" xfId="3558" xr:uid="{00000000-0005-0000-0000-00003C190000}"/>
    <cellStyle name="Normal 5 2 5 4 2 2" xfId="7781" xr:uid="{00000000-0005-0000-0000-00003D190000}"/>
    <cellStyle name="Normal 5 2 5 4 2 2 2" xfId="16220" xr:uid="{2D1C5BAB-820B-4CD9-AF9F-A2754CB4E321}"/>
    <cellStyle name="Normal 5 2 5 4 2 3" xfId="12002" xr:uid="{FA2D982D-D405-472B-840E-D53ED7C42E39}"/>
    <cellStyle name="Normal 5 2 5 4 3" xfId="5636" xr:uid="{00000000-0005-0000-0000-00003E190000}"/>
    <cellStyle name="Normal 5 2 5 4 3 2" xfId="14075" xr:uid="{05CCFFA3-B5BC-4352-B26F-E5A36F8D0654}"/>
    <cellStyle name="Normal 5 2 5 4 4" xfId="9857" xr:uid="{A25967D2-6AB3-483E-8ABE-FCF32D8DA371}"/>
    <cellStyle name="Normal 5 2 5 5" xfId="1741" xr:uid="{00000000-0005-0000-0000-00003F190000}"/>
    <cellStyle name="Normal 5 2 5 5 2" xfId="3971" xr:uid="{00000000-0005-0000-0000-000040190000}"/>
    <cellStyle name="Normal 5 2 5 5 2 2" xfId="8194" xr:uid="{00000000-0005-0000-0000-000041190000}"/>
    <cellStyle name="Normal 5 2 5 5 2 2 2" xfId="16633" xr:uid="{D6E67FC5-13D2-4113-97C3-866F8B7F81E9}"/>
    <cellStyle name="Normal 5 2 5 5 2 3" xfId="12415" xr:uid="{89FAA87F-9E56-4303-90DD-1AEAC554D50B}"/>
    <cellStyle name="Normal 5 2 5 5 3" xfId="6049" xr:uid="{00000000-0005-0000-0000-000042190000}"/>
    <cellStyle name="Normal 5 2 5 5 3 2" xfId="14488" xr:uid="{058EAE14-3FB0-479E-99FC-4E44375BF084}"/>
    <cellStyle name="Normal 5 2 5 5 4" xfId="10270" xr:uid="{5DF820BA-0BBB-47D7-9CAF-408648B50606}"/>
    <cellStyle name="Normal 5 2 5 6" xfId="2155" xr:uid="{00000000-0005-0000-0000-000043190000}"/>
    <cellStyle name="Normal 5 2 5 6 2" xfId="4384" xr:uid="{00000000-0005-0000-0000-000044190000}"/>
    <cellStyle name="Normal 5 2 5 6 2 2" xfId="8607" xr:uid="{00000000-0005-0000-0000-000045190000}"/>
    <cellStyle name="Normal 5 2 5 6 2 2 2" xfId="17046" xr:uid="{03E26993-7CF2-4AFD-9472-7ED9B7D1BA62}"/>
    <cellStyle name="Normal 5 2 5 6 2 3" xfId="12828" xr:uid="{A3320615-1CE7-4790-AFBA-E4250A9F34EE}"/>
    <cellStyle name="Normal 5 2 5 6 3" xfId="6462" xr:uid="{00000000-0005-0000-0000-000046190000}"/>
    <cellStyle name="Normal 5 2 5 6 3 2" xfId="14901" xr:uid="{8BE63207-7267-4A84-99D2-957FA6B767A5}"/>
    <cellStyle name="Normal 5 2 5 6 4" xfId="10683" xr:uid="{72BA0670-2C96-4BEB-B616-D72AECA1CFFE}"/>
    <cellStyle name="Normal 5 2 5 7" xfId="2591" xr:uid="{00000000-0005-0000-0000-000047190000}"/>
    <cellStyle name="Normal 5 2 5 7 2" xfId="6875" xr:uid="{00000000-0005-0000-0000-000048190000}"/>
    <cellStyle name="Normal 5 2 5 7 2 2" xfId="15314" xr:uid="{FAF755D9-D29B-4D21-903C-47F984D99F96}"/>
    <cellStyle name="Normal 5 2 5 7 3" xfId="11096" xr:uid="{D54DC6BE-2A3C-467D-9DB1-D5686A776981}"/>
    <cellStyle name="Normal 5 2 5 8" xfId="4810" xr:uid="{00000000-0005-0000-0000-000049190000}"/>
    <cellStyle name="Normal 5 2 5 8 2" xfId="13249" xr:uid="{433D5F72-7676-427B-8AD6-60D9246F9F38}"/>
    <cellStyle name="Normal 5 2 5 9" xfId="9031" xr:uid="{4E9BBBE0-374E-4178-8464-82FD63A90E5F}"/>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5809" xr:uid="{4753A488-3444-41AA-9E93-C6B8360D10F4}"/>
    <cellStyle name="Normal 5 2 6 2 2 3" xfId="11591" xr:uid="{6B9C92B1-B2D2-4E92-B83C-AC63F347F08C}"/>
    <cellStyle name="Normal 5 2 6 2 3" xfId="5225" xr:uid="{00000000-0005-0000-0000-00004E190000}"/>
    <cellStyle name="Normal 5 2 6 2 3 2" xfId="13664" xr:uid="{330227EF-490C-4DBF-9D06-197E22394165}"/>
    <cellStyle name="Normal 5 2 6 2 4" xfId="9446" xr:uid="{5E7C3C9A-E2A8-424C-972F-3EEBB8ABA521}"/>
    <cellStyle name="Normal 5 2 6 3" xfId="1330" xr:uid="{00000000-0005-0000-0000-00004F190000}"/>
    <cellStyle name="Normal 5 2 6 3 2" xfId="3560" xr:uid="{00000000-0005-0000-0000-000050190000}"/>
    <cellStyle name="Normal 5 2 6 3 2 2" xfId="7783" xr:uid="{00000000-0005-0000-0000-000051190000}"/>
    <cellStyle name="Normal 5 2 6 3 2 2 2" xfId="16222" xr:uid="{8889B6FF-BF29-4E19-B6F5-B19934E0B60C}"/>
    <cellStyle name="Normal 5 2 6 3 2 3" xfId="12004" xr:uid="{DF727FA9-DEA8-4542-A59B-C2304D14EF98}"/>
    <cellStyle name="Normal 5 2 6 3 3" xfId="5638" xr:uid="{00000000-0005-0000-0000-000052190000}"/>
    <cellStyle name="Normal 5 2 6 3 3 2" xfId="14077" xr:uid="{16A9FE14-B447-4FBA-8630-A44725E291BC}"/>
    <cellStyle name="Normal 5 2 6 3 4" xfId="9859" xr:uid="{5F633327-0782-4148-BCCA-E67463188040}"/>
    <cellStyle name="Normal 5 2 6 4" xfId="1743" xr:uid="{00000000-0005-0000-0000-000053190000}"/>
    <cellStyle name="Normal 5 2 6 4 2" xfId="3973" xr:uid="{00000000-0005-0000-0000-000054190000}"/>
    <cellStyle name="Normal 5 2 6 4 2 2" xfId="8196" xr:uid="{00000000-0005-0000-0000-000055190000}"/>
    <cellStyle name="Normal 5 2 6 4 2 2 2" xfId="16635" xr:uid="{1B6EAFC9-5131-4F8F-B4C4-EA748FE5883F}"/>
    <cellStyle name="Normal 5 2 6 4 2 3" xfId="12417" xr:uid="{5E53288C-A080-45D9-8501-5EF20433E5B7}"/>
    <cellStyle name="Normal 5 2 6 4 3" xfId="6051" xr:uid="{00000000-0005-0000-0000-000056190000}"/>
    <cellStyle name="Normal 5 2 6 4 3 2" xfId="14490" xr:uid="{83D00B32-BC34-45F5-8783-471C7AC7E669}"/>
    <cellStyle name="Normal 5 2 6 4 4" xfId="10272" xr:uid="{9B871CD4-DCFA-4099-92AD-F79343EE7B13}"/>
    <cellStyle name="Normal 5 2 6 5" xfId="2157" xr:uid="{00000000-0005-0000-0000-000057190000}"/>
    <cellStyle name="Normal 5 2 6 5 2" xfId="4386" xr:uid="{00000000-0005-0000-0000-000058190000}"/>
    <cellStyle name="Normal 5 2 6 5 2 2" xfId="8609" xr:uid="{00000000-0005-0000-0000-000059190000}"/>
    <cellStyle name="Normal 5 2 6 5 2 2 2" xfId="17048" xr:uid="{290E5204-56D8-416B-8FCA-BDC059EBBC0D}"/>
    <cellStyle name="Normal 5 2 6 5 2 3" xfId="12830" xr:uid="{44B7E763-325F-44BA-AB65-2AED24E3E4A7}"/>
    <cellStyle name="Normal 5 2 6 5 3" xfId="6464" xr:uid="{00000000-0005-0000-0000-00005A190000}"/>
    <cellStyle name="Normal 5 2 6 5 3 2" xfId="14903" xr:uid="{1983A451-B820-4AA9-B450-A11875FC943E}"/>
    <cellStyle name="Normal 5 2 6 5 4" xfId="10685" xr:uid="{B3100BFD-6A9B-4F26-B99B-EAFDAE0CC708}"/>
    <cellStyle name="Normal 5 2 6 6" xfId="2593" xr:uid="{00000000-0005-0000-0000-00005B190000}"/>
    <cellStyle name="Normal 5 2 6 6 2" xfId="6877" xr:uid="{00000000-0005-0000-0000-00005C190000}"/>
    <cellStyle name="Normal 5 2 6 6 2 2" xfId="15316" xr:uid="{9675268F-2472-4785-88D0-95933FFAA1BE}"/>
    <cellStyle name="Normal 5 2 6 6 3" xfId="11098" xr:uid="{60695679-8EF6-4B79-A8D7-BB828564EBBB}"/>
    <cellStyle name="Normal 5 2 6 7" xfId="4812" xr:uid="{00000000-0005-0000-0000-00005D190000}"/>
    <cellStyle name="Normal 5 2 6 7 2" xfId="13251" xr:uid="{5F12C587-3A70-40DA-83AF-22BAB1EC886F}"/>
    <cellStyle name="Normal 5 2 6 8" xfId="9033" xr:uid="{E2E10303-7E79-4BF9-8620-0268414C686E}"/>
    <cellStyle name="Normal 5 2 7" xfId="881" xr:uid="{00000000-0005-0000-0000-00005E190000}"/>
    <cellStyle name="Normal 5 2 7 2" xfId="3116" xr:uid="{00000000-0005-0000-0000-00005F190000}"/>
    <cellStyle name="Normal 5 2 7 2 2" xfId="7339" xr:uid="{00000000-0005-0000-0000-000060190000}"/>
    <cellStyle name="Normal 5 2 7 2 2 2" xfId="15778" xr:uid="{FEAE5572-8C06-4872-82DC-C5F51A3E6F9C}"/>
    <cellStyle name="Normal 5 2 7 2 3" xfId="11560" xr:uid="{19FBC01D-67B0-41F8-B201-A344DA3912CB}"/>
    <cellStyle name="Normal 5 2 7 3" xfId="5194" xr:uid="{00000000-0005-0000-0000-000061190000}"/>
    <cellStyle name="Normal 5 2 7 3 2" xfId="13633" xr:uid="{99CA79A6-FFFC-48DF-A202-5C696963365A}"/>
    <cellStyle name="Normal 5 2 7 4" xfId="9415" xr:uid="{8614A800-1EBD-4F02-90A6-9C80BB0628A4}"/>
    <cellStyle name="Normal 5 2 8" xfId="1299" xr:uid="{00000000-0005-0000-0000-000062190000}"/>
    <cellStyle name="Normal 5 2 8 2" xfId="3529" xr:uid="{00000000-0005-0000-0000-000063190000}"/>
    <cellStyle name="Normal 5 2 8 2 2" xfId="7752" xr:uid="{00000000-0005-0000-0000-000064190000}"/>
    <cellStyle name="Normal 5 2 8 2 2 2" xfId="16191" xr:uid="{CC19B3BC-1F79-4A57-8FD9-F7B1D6815F28}"/>
    <cellStyle name="Normal 5 2 8 2 3" xfId="11973" xr:uid="{301219CE-BFA6-4F86-9314-5BB6A8CC3B2C}"/>
    <cellStyle name="Normal 5 2 8 3" xfId="5607" xr:uid="{00000000-0005-0000-0000-000065190000}"/>
    <cellStyle name="Normal 5 2 8 3 2" xfId="14046" xr:uid="{BC59E2B0-CC0E-4495-9F39-14C4DA611931}"/>
    <cellStyle name="Normal 5 2 8 4" xfId="9828" xr:uid="{FEF68F51-FF02-4B39-B62A-CF7470DF9E09}"/>
    <cellStyle name="Normal 5 2 9" xfId="1712" xr:uid="{00000000-0005-0000-0000-000066190000}"/>
    <cellStyle name="Normal 5 2 9 2" xfId="3942" xr:uid="{00000000-0005-0000-0000-000067190000}"/>
    <cellStyle name="Normal 5 2 9 2 2" xfId="8165" xr:uid="{00000000-0005-0000-0000-000068190000}"/>
    <cellStyle name="Normal 5 2 9 2 2 2" xfId="16604" xr:uid="{25CEE0A8-835A-49C6-91E9-02F57D995DAF}"/>
    <cellStyle name="Normal 5 2 9 2 3" xfId="12386" xr:uid="{2990E588-FFF5-4980-AF17-A2C3450CB087}"/>
    <cellStyle name="Normal 5 2 9 3" xfId="6020" xr:uid="{00000000-0005-0000-0000-000069190000}"/>
    <cellStyle name="Normal 5 2 9 3 2" xfId="14459" xr:uid="{D3C1389F-2F33-4129-AA73-B0D2C2005F36}"/>
    <cellStyle name="Normal 5 2 9 4" xfId="10241" xr:uid="{AE0A1A3C-5654-4B2C-A28C-958F12759D04}"/>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49" xr:uid="{67956D49-C794-4F20-8A84-82836EF426AA}"/>
    <cellStyle name="Normal 5 3 10 2 3" xfId="12831" xr:uid="{EB3FF62C-D7B4-4A83-A5F8-C9C372834A17}"/>
    <cellStyle name="Normal 5 3 10 3" xfId="6465" xr:uid="{00000000-0005-0000-0000-00006E190000}"/>
    <cellStyle name="Normal 5 3 10 3 2" xfId="14904" xr:uid="{CA5FB541-71AC-4451-8A5F-211C79EE59E1}"/>
    <cellStyle name="Normal 5 3 10 4" xfId="10686" xr:uid="{4A8905A6-4D5B-4B56-B995-D943B10509F0}"/>
    <cellStyle name="Normal 5 3 11" xfId="2594" xr:uid="{00000000-0005-0000-0000-00006F190000}"/>
    <cellStyle name="Normal 5 3 11 2" xfId="6878" xr:uid="{00000000-0005-0000-0000-000070190000}"/>
    <cellStyle name="Normal 5 3 11 2 2" xfId="15317" xr:uid="{5736D509-85CF-48E6-8BA6-2F5217D6D99B}"/>
    <cellStyle name="Normal 5 3 11 3" xfId="11099" xr:uid="{2803F333-9D8B-4D3A-BC97-11E2E4136C7F}"/>
    <cellStyle name="Normal 5 3 12" xfId="4813" xr:uid="{00000000-0005-0000-0000-000071190000}"/>
    <cellStyle name="Normal 5 3 12 2" xfId="13252" xr:uid="{BB4967AC-04A2-4338-B687-69687AD40854}"/>
    <cellStyle name="Normal 5 3 13" xfId="9034" xr:uid="{227F1B95-E2D9-44C9-BAF2-8E3A10A0CB05}"/>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3" xr:uid="{71036107-CEF1-4D8C-A797-AB6FD319E5F4}"/>
    <cellStyle name="Normal 5 3 3 11" xfId="9035" xr:uid="{9F99EF05-DF83-4D46-BDBB-DABC1CFF7A58}"/>
    <cellStyle name="Normal 5 3 3 2" xfId="442" xr:uid="{00000000-0005-0000-0000-000076190000}"/>
    <cellStyle name="Normal 5 3 3 2 10" xfId="9036" xr:uid="{3CCA3CB0-FEAE-4937-B632-9359F19887E7}"/>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4" xr:uid="{FFABB1EB-56EB-4D7F-B94E-BD2ECC81B8E4}"/>
    <cellStyle name="Normal 5 3 3 2 2 2 2 2 3" xfId="11596" xr:uid="{FDA37C49-2F55-4CF5-875E-BD3ACCC76230}"/>
    <cellStyle name="Normal 5 3 3 2 2 2 2 3" xfId="5230" xr:uid="{00000000-0005-0000-0000-00007C190000}"/>
    <cellStyle name="Normal 5 3 3 2 2 2 2 3 2" xfId="13669" xr:uid="{EDF256A7-DDC4-44CF-90B0-F5BA549D2434}"/>
    <cellStyle name="Normal 5 3 3 2 2 2 2 4" xfId="9451" xr:uid="{98C060D5-8AFD-40E8-9F90-C48E9CB4BBB7}"/>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27" xr:uid="{92688D7E-35DD-4F6F-8F5C-2E13B6CF0D85}"/>
    <cellStyle name="Normal 5 3 3 2 2 2 3 2 3" xfId="12009" xr:uid="{F28AA8E2-7FDD-404D-BAE9-C6A8587A7A89}"/>
    <cellStyle name="Normal 5 3 3 2 2 2 3 3" xfId="5643" xr:uid="{00000000-0005-0000-0000-000080190000}"/>
    <cellStyle name="Normal 5 3 3 2 2 2 3 3 2" xfId="14082" xr:uid="{661DDF0B-455C-4D0D-AE9F-7BF3EE01C596}"/>
    <cellStyle name="Normal 5 3 3 2 2 2 3 4" xfId="9864" xr:uid="{7F65815C-43DC-425B-B206-96C38359F17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40" xr:uid="{8480E501-9BB9-4645-BB20-4F1A6F576DA8}"/>
    <cellStyle name="Normal 5 3 3 2 2 2 4 2 3" xfId="12422" xr:uid="{7FA0EA42-AAD3-4BAB-B866-3DA174340A10}"/>
    <cellStyle name="Normal 5 3 3 2 2 2 4 3" xfId="6056" xr:uid="{00000000-0005-0000-0000-000084190000}"/>
    <cellStyle name="Normal 5 3 3 2 2 2 4 3 2" xfId="14495" xr:uid="{D0A3C72E-D39D-441B-89F4-9C86C1F6F6D0}"/>
    <cellStyle name="Normal 5 3 3 2 2 2 4 4" xfId="10277" xr:uid="{783A211B-95EA-45DE-80D6-62FB753DFCAE}"/>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3" xr:uid="{72CAB6B6-8D4B-4869-AE17-C4E3CB1A20F8}"/>
    <cellStyle name="Normal 5 3 3 2 2 2 5 2 3" xfId="12835" xr:uid="{714282F3-04A7-4871-8EA2-A31B2D97D391}"/>
    <cellStyle name="Normal 5 3 3 2 2 2 5 3" xfId="6469" xr:uid="{00000000-0005-0000-0000-000088190000}"/>
    <cellStyle name="Normal 5 3 3 2 2 2 5 3 2" xfId="14908" xr:uid="{D4F868FA-D97D-40A0-87E8-0852DF62FE8C}"/>
    <cellStyle name="Normal 5 3 3 2 2 2 5 4" xfId="10690" xr:uid="{5E1386D2-3640-4ED3-B881-6AE65677CDA4}"/>
    <cellStyle name="Normal 5 3 3 2 2 2 6" xfId="2598" xr:uid="{00000000-0005-0000-0000-000089190000}"/>
    <cellStyle name="Normal 5 3 3 2 2 2 6 2" xfId="6882" xr:uid="{00000000-0005-0000-0000-00008A190000}"/>
    <cellStyle name="Normal 5 3 3 2 2 2 6 2 2" xfId="15321" xr:uid="{3B0D415A-4144-4FC6-B8C0-89E1963C9318}"/>
    <cellStyle name="Normal 5 3 3 2 2 2 6 3" xfId="11103" xr:uid="{44C08FB5-2178-47FF-A484-54A1CDB83B47}"/>
    <cellStyle name="Normal 5 3 3 2 2 2 7" xfId="4817" xr:uid="{00000000-0005-0000-0000-00008B190000}"/>
    <cellStyle name="Normal 5 3 3 2 2 2 7 2" xfId="13256" xr:uid="{4DA6352A-7954-4566-BEC4-442869556A71}"/>
    <cellStyle name="Normal 5 3 3 2 2 2 8" xfId="9038" xr:uid="{878C2292-D2A8-4528-9E18-6E98B1F5EEC6}"/>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3" xr:uid="{EC9E86C3-9F82-4860-BD12-ECA1521918BD}"/>
    <cellStyle name="Normal 5 3 3 2 2 3 2 3" xfId="11595" xr:uid="{89BA4804-A50D-4BEE-BB23-3BC3B94AC645}"/>
    <cellStyle name="Normal 5 3 3 2 2 3 3" xfId="5229" xr:uid="{00000000-0005-0000-0000-00008F190000}"/>
    <cellStyle name="Normal 5 3 3 2 2 3 3 2" xfId="13668" xr:uid="{AE118BC3-62C9-46F2-8DF2-0DD1F32FD8D4}"/>
    <cellStyle name="Normal 5 3 3 2 2 3 4" xfId="9450" xr:uid="{3209C199-1D91-49C4-9A31-D91342C92BFB}"/>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6" xr:uid="{9F65FB35-D3E1-4A9E-BE8A-723B882EFF05}"/>
    <cellStyle name="Normal 5 3 3 2 2 4 2 3" xfId="12008" xr:uid="{D38B3119-6880-4178-84DF-4C37AF15C487}"/>
    <cellStyle name="Normal 5 3 3 2 2 4 3" xfId="5642" xr:uid="{00000000-0005-0000-0000-000093190000}"/>
    <cellStyle name="Normal 5 3 3 2 2 4 3 2" xfId="14081" xr:uid="{D3B13996-16EB-42FB-9045-D5B3EC95FC10}"/>
    <cellStyle name="Normal 5 3 3 2 2 4 4" xfId="9863" xr:uid="{66860EB7-14B5-421B-B309-ADD2A41DC0D9}"/>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39" xr:uid="{A3C0594E-50FA-4E60-8DB0-BDABB5AE622C}"/>
    <cellStyle name="Normal 5 3 3 2 2 5 2 3" xfId="12421" xr:uid="{254EB7C3-BBCB-43A2-BC9A-2AAF6656836B}"/>
    <cellStyle name="Normal 5 3 3 2 2 5 3" xfId="6055" xr:uid="{00000000-0005-0000-0000-000097190000}"/>
    <cellStyle name="Normal 5 3 3 2 2 5 3 2" xfId="14494" xr:uid="{41F0F5B3-885C-4151-976D-1A6BE9C52CC3}"/>
    <cellStyle name="Normal 5 3 3 2 2 5 4" xfId="10276" xr:uid="{9FA80B2F-A93C-4E12-B957-93F7522FF6FF}"/>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52" xr:uid="{20081947-8BB8-47CE-90FC-05FA2BAF348F}"/>
    <cellStyle name="Normal 5 3 3 2 2 6 2 3" xfId="12834" xr:uid="{BDCFE715-DDE1-4ECF-9763-D8A9207B4634}"/>
    <cellStyle name="Normal 5 3 3 2 2 6 3" xfId="6468" xr:uid="{00000000-0005-0000-0000-00009B190000}"/>
    <cellStyle name="Normal 5 3 3 2 2 6 3 2" xfId="14907" xr:uid="{A199F24F-4BB3-43AF-857F-FEED4BF60EE8}"/>
    <cellStyle name="Normal 5 3 3 2 2 6 4" xfId="10689" xr:uid="{3CFFE331-6679-41B6-8A98-F2B3E0785280}"/>
    <cellStyle name="Normal 5 3 3 2 2 7" xfId="2597" xr:uid="{00000000-0005-0000-0000-00009C190000}"/>
    <cellStyle name="Normal 5 3 3 2 2 7 2" xfId="6881" xr:uid="{00000000-0005-0000-0000-00009D190000}"/>
    <cellStyle name="Normal 5 3 3 2 2 7 2 2" xfId="15320" xr:uid="{73F350A1-6FA7-43B3-AD08-8B96DBF9FEF9}"/>
    <cellStyle name="Normal 5 3 3 2 2 7 3" xfId="11102" xr:uid="{46869B0D-82EC-4441-A2F9-A933F7EF9067}"/>
    <cellStyle name="Normal 5 3 3 2 2 8" xfId="4816" xr:uid="{00000000-0005-0000-0000-00009E190000}"/>
    <cellStyle name="Normal 5 3 3 2 2 8 2" xfId="13255" xr:uid="{74CA5F7C-F98D-4E81-B3D9-17D7E064B214}"/>
    <cellStyle name="Normal 5 3 3 2 2 9" xfId="9037" xr:uid="{7A83E35E-7145-452B-BB3D-6587F76CDDE3}"/>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5" xr:uid="{8B443628-E2FC-4A15-A853-45D23152C77F}"/>
    <cellStyle name="Normal 5 3 3 2 3 2 2 3" xfId="11597" xr:uid="{414B9E97-F599-4744-9007-32FA82B14B92}"/>
    <cellStyle name="Normal 5 3 3 2 3 2 3" xfId="5231" xr:uid="{00000000-0005-0000-0000-0000A3190000}"/>
    <cellStyle name="Normal 5 3 3 2 3 2 3 2" xfId="13670" xr:uid="{06845FC7-B177-4AE2-8C1D-1B3E917E1650}"/>
    <cellStyle name="Normal 5 3 3 2 3 2 4" xfId="9452" xr:uid="{B509425A-D143-4A08-A972-75E4F65CA5B8}"/>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28" xr:uid="{EC3F2E50-3E8A-4884-ABF5-38B6D86490D6}"/>
    <cellStyle name="Normal 5 3 3 2 3 3 2 3" xfId="12010" xr:uid="{0D89E7FF-06DC-48F9-8334-049369F4955C}"/>
    <cellStyle name="Normal 5 3 3 2 3 3 3" xfId="5644" xr:uid="{00000000-0005-0000-0000-0000A7190000}"/>
    <cellStyle name="Normal 5 3 3 2 3 3 3 2" xfId="14083" xr:uid="{7DBCE475-895A-4E61-83E0-C44D29976BF7}"/>
    <cellStyle name="Normal 5 3 3 2 3 3 4" xfId="9865" xr:uid="{6A7C5CB3-5CBD-4738-A12D-3D751741CB64}"/>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41" xr:uid="{A115AB08-BE02-4A4F-87AA-42474EF7FD49}"/>
    <cellStyle name="Normal 5 3 3 2 3 4 2 3" xfId="12423" xr:uid="{86D9D2C4-5A02-45EF-9B8F-97CB212AC354}"/>
    <cellStyle name="Normal 5 3 3 2 3 4 3" xfId="6057" xr:uid="{00000000-0005-0000-0000-0000AB190000}"/>
    <cellStyle name="Normal 5 3 3 2 3 4 3 2" xfId="14496" xr:uid="{36F7C273-35B2-4DF1-8977-144C13BFC0AC}"/>
    <cellStyle name="Normal 5 3 3 2 3 4 4" xfId="10278" xr:uid="{DBD1CB9D-8671-4C30-92D2-E705330975F8}"/>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4" xr:uid="{CF821DE5-D2CD-4D71-A4F3-858AD9AB2C5F}"/>
    <cellStyle name="Normal 5 3 3 2 3 5 2 3" xfId="12836" xr:uid="{A03645D6-6AA3-491E-AC2F-2C95F06DFD3D}"/>
    <cellStyle name="Normal 5 3 3 2 3 5 3" xfId="6470" xr:uid="{00000000-0005-0000-0000-0000AF190000}"/>
    <cellStyle name="Normal 5 3 3 2 3 5 3 2" xfId="14909" xr:uid="{91DE4F57-6C3C-4F42-A0A1-A305E9D0866C}"/>
    <cellStyle name="Normal 5 3 3 2 3 5 4" xfId="10691" xr:uid="{DF12CA04-F3E6-4B96-BC9F-739407E6AA8D}"/>
    <cellStyle name="Normal 5 3 3 2 3 6" xfId="2599" xr:uid="{00000000-0005-0000-0000-0000B0190000}"/>
    <cellStyle name="Normal 5 3 3 2 3 6 2" xfId="6883" xr:uid="{00000000-0005-0000-0000-0000B1190000}"/>
    <cellStyle name="Normal 5 3 3 2 3 6 2 2" xfId="15322" xr:uid="{64988B25-9DD9-4F21-9883-766164225386}"/>
    <cellStyle name="Normal 5 3 3 2 3 6 3" xfId="11104" xr:uid="{80C2E615-93DF-4277-8AA5-86F5581E71F6}"/>
    <cellStyle name="Normal 5 3 3 2 3 7" xfId="4818" xr:uid="{00000000-0005-0000-0000-0000B2190000}"/>
    <cellStyle name="Normal 5 3 3 2 3 7 2" xfId="13257" xr:uid="{52B6934A-B3A1-4609-B65B-29714DB0035D}"/>
    <cellStyle name="Normal 5 3 3 2 3 8" xfId="9039" xr:uid="{EE04FBBD-D164-45EE-8EDB-ABD574EA95E2}"/>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12" xr:uid="{021F00A6-A511-401A-B5EC-A12B7736615D}"/>
    <cellStyle name="Normal 5 3 3 2 4 2 3" xfId="11594" xr:uid="{1E8AF473-1CE6-4900-A61F-5ED3EBE719CD}"/>
    <cellStyle name="Normal 5 3 3 2 4 3" xfId="5228" xr:uid="{00000000-0005-0000-0000-0000B6190000}"/>
    <cellStyle name="Normal 5 3 3 2 4 3 2" xfId="13667" xr:uid="{446E2327-A899-4D82-BEF7-F13F8E7092B3}"/>
    <cellStyle name="Normal 5 3 3 2 4 4" xfId="9449" xr:uid="{8E277A78-439D-4F99-B28A-3B5FDD8A06C0}"/>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5" xr:uid="{6649E1F3-0F2C-45EB-91B9-6875FDFBCD19}"/>
    <cellStyle name="Normal 5 3 3 2 5 2 3" xfId="12007" xr:uid="{B401A114-8A6A-4726-909F-EF7A362B2152}"/>
    <cellStyle name="Normal 5 3 3 2 5 3" xfId="5641" xr:uid="{00000000-0005-0000-0000-0000BA190000}"/>
    <cellStyle name="Normal 5 3 3 2 5 3 2" xfId="14080" xr:uid="{AFAF8FB9-FFA2-4000-BD03-E4388C87BED2}"/>
    <cellStyle name="Normal 5 3 3 2 5 4" xfId="9862" xr:uid="{7A17BFFA-A748-4B9F-8C84-0083EBB25BF0}"/>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38" xr:uid="{13463C09-B323-4AA5-9968-AF93FF0C300C}"/>
    <cellStyle name="Normal 5 3 3 2 6 2 3" xfId="12420" xr:uid="{304B1863-4DE8-4D10-9D96-F67A2AC03BE2}"/>
    <cellStyle name="Normal 5 3 3 2 6 3" xfId="6054" xr:uid="{00000000-0005-0000-0000-0000BE190000}"/>
    <cellStyle name="Normal 5 3 3 2 6 3 2" xfId="14493" xr:uid="{A8333ED9-329E-48EC-95FD-F3A7D9C7C290}"/>
    <cellStyle name="Normal 5 3 3 2 6 4" xfId="10275" xr:uid="{3590D92E-2416-47E2-A435-1BD7D7CD8F52}"/>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51" xr:uid="{A81CBB94-0A0F-4577-8184-F4C4F7E6AA78}"/>
    <cellStyle name="Normal 5 3 3 2 7 2 3" xfId="12833" xr:uid="{205C8305-11B0-46D2-918E-1CC10C1756A8}"/>
    <cellStyle name="Normal 5 3 3 2 7 3" xfId="6467" xr:uid="{00000000-0005-0000-0000-0000C2190000}"/>
    <cellStyle name="Normal 5 3 3 2 7 3 2" xfId="14906" xr:uid="{14598D59-A584-40E4-A624-FAA452786676}"/>
    <cellStyle name="Normal 5 3 3 2 7 4" xfId="10688" xr:uid="{E2D0A4DA-8D86-40B9-BB6E-71ACC6ED08CF}"/>
    <cellStyle name="Normal 5 3 3 2 8" xfId="2596" xr:uid="{00000000-0005-0000-0000-0000C3190000}"/>
    <cellStyle name="Normal 5 3 3 2 8 2" xfId="6880" xr:uid="{00000000-0005-0000-0000-0000C4190000}"/>
    <cellStyle name="Normal 5 3 3 2 8 2 2" xfId="15319" xr:uid="{BFCCF5F3-B2EE-4942-BB0E-C16B10A3270E}"/>
    <cellStyle name="Normal 5 3 3 2 8 3" xfId="11101" xr:uid="{22247FF4-8CA3-4382-94CD-2A64E5E02FEE}"/>
    <cellStyle name="Normal 5 3 3 2 9" xfId="4815" xr:uid="{00000000-0005-0000-0000-0000C5190000}"/>
    <cellStyle name="Normal 5 3 3 2 9 2" xfId="13254" xr:uid="{D5CF2829-9B60-4305-BA45-E0986F4BBA7D}"/>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17" xr:uid="{E6E14AAC-D6A9-4103-974A-55F7110C85D9}"/>
    <cellStyle name="Normal 5 3 3 3 2 2 2 3" xfId="11599" xr:uid="{5880C915-24C7-4136-A9BC-E86109137DD0}"/>
    <cellStyle name="Normal 5 3 3 3 2 2 3" xfId="5233" xr:uid="{00000000-0005-0000-0000-0000CB190000}"/>
    <cellStyle name="Normal 5 3 3 3 2 2 3 2" xfId="13672" xr:uid="{8967D467-F0E6-4931-898E-14B13C93AA05}"/>
    <cellStyle name="Normal 5 3 3 3 2 2 4" xfId="9454" xr:uid="{5214C463-B914-4861-ABB5-FEDC1C52A5D7}"/>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30" xr:uid="{A8BE6800-3D13-4A22-A7D5-BF31523EDEE3}"/>
    <cellStyle name="Normal 5 3 3 3 2 3 2 3" xfId="12012" xr:uid="{BC8E277F-010A-40D4-A9D7-BACBC0FB876B}"/>
    <cellStyle name="Normal 5 3 3 3 2 3 3" xfId="5646" xr:uid="{00000000-0005-0000-0000-0000CF190000}"/>
    <cellStyle name="Normal 5 3 3 3 2 3 3 2" xfId="14085" xr:uid="{58305462-D054-41E1-8081-C43BC242481D}"/>
    <cellStyle name="Normal 5 3 3 3 2 3 4" xfId="9867" xr:uid="{8D52E283-643F-4F26-9A48-612601139ABD}"/>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3" xr:uid="{1032E079-73D8-4A54-9E2F-66F73C45171C}"/>
    <cellStyle name="Normal 5 3 3 3 2 4 2 3" xfId="12425" xr:uid="{A9CC89F7-8293-4689-BB2B-149ED5094616}"/>
    <cellStyle name="Normal 5 3 3 3 2 4 3" xfId="6059" xr:uid="{00000000-0005-0000-0000-0000D3190000}"/>
    <cellStyle name="Normal 5 3 3 3 2 4 3 2" xfId="14498" xr:uid="{026248CF-D11D-4704-B6C3-BB4A8D87767B}"/>
    <cellStyle name="Normal 5 3 3 3 2 4 4" xfId="10280" xr:uid="{B95C9D75-326A-4A1A-8F4D-68EC4648288C}"/>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6" xr:uid="{69C5FFC3-6EE1-491E-8253-79A9DADD0F61}"/>
    <cellStyle name="Normal 5 3 3 3 2 5 2 3" xfId="12838" xr:uid="{DEE163A8-5988-4856-B534-368EE8DB048B}"/>
    <cellStyle name="Normal 5 3 3 3 2 5 3" xfId="6472" xr:uid="{00000000-0005-0000-0000-0000D7190000}"/>
    <cellStyle name="Normal 5 3 3 3 2 5 3 2" xfId="14911" xr:uid="{9A24F8DB-38C5-4F49-B156-67185E9984D3}"/>
    <cellStyle name="Normal 5 3 3 3 2 5 4" xfId="10693" xr:uid="{ABD15295-7235-4AF1-A46C-F97A7297F8F9}"/>
    <cellStyle name="Normal 5 3 3 3 2 6" xfId="2601" xr:uid="{00000000-0005-0000-0000-0000D8190000}"/>
    <cellStyle name="Normal 5 3 3 3 2 6 2" xfId="6885" xr:uid="{00000000-0005-0000-0000-0000D9190000}"/>
    <cellStyle name="Normal 5 3 3 3 2 6 2 2" xfId="15324" xr:uid="{571BFCC3-75BC-4D0A-A737-5A01DC8A4502}"/>
    <cellStyle name="Normal 5 3 3 3 2 6 3" xfId="11106" xr:uid="{CF4C2304-E3EF-417B-A97F-AB76F206CDC5}"/>
    <cellStyle name="Normal 5 3 3 3 2 7" xfId="4820" xr:uid="{00000000-0005-0000-0000-0000DA190000}"/>
    <cellStyle name="Normal 5 3 3 3 2 7 2" xfId="13259" xr:uid="{88182E9E-87F8-4418-BE9C-A31E77A53BC0}"/>
    <cellStyle name="Normal 5 3 3 3 2 8" xfId="9041" xr:uid="{B70F93C1-7A7D-41D8-8EF8-8C7E756289F2}"/>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6" xr:uid="{A4CB409C-0B20-4E3D-A6D0-E9814EC2B75A}"/>
    <cellStyle name="Normal 5 3 3 3 3 2 3" xfId="11598" xr:uid="{905C9E08-3D1B-420B-AA15-4FF3EEE96328}"/>
    <cellStyle name="Normal 5 3 3 3 3 3" xfId="5232" xr:uid="{00000000-0005-0000-0000-0000DE190000}"/>
    <cellStyle name="Normal 5 3 3 3 3 3 2" xfId="13671" xr:uid="{58C41A41-3F6A-4C38-BFBB-744B8E223590}"/>
    <cellStyle name="Normal 5 3 3 3 3 4" xfId="9453" xr:uid="{5A93E171-F7BD-40B3-8ABB-97B6E93ACE78}"/>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29" xr:uid="{9CF8500F-6B10-44EE-8CA3-5A3AF96AFCA4}"/>
    <cellStyle name="Normal 5 3 3 3 4 2 3" xfId="12011" xr:uid="{F3E98C89-E321-4366-A313-C822DF6A9F6E}"/>
    <cellStyle name="Normal 5 3 3 3 4 3" xfId="5645" xr:uid="{00000000-0005-0000-0000-0000E2190000}"/>
    <cellStyle name="Normal 5 3 3 3 4 3 2" xfId="14084" xr:uid="{2EF6AA2F-89FB-4401-B61E-24934396BDD3}"/>
    <cellStyle name="Normal 5 3 3 3 4 4" xfId="9866" xr:uid="{E8ACB5A3-D97E-4321-B823-7AD86A815463}"/>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42" xr:uid="{0C8A56E8-6EF4-4299-85B4-A062257AC5D0}"/>
    <cellStyle name="Normal 5 3 3 3 5 2 3" xfId="12424" xr:uid="{C00F83DD-A9C5-4CBC-A662-8630B10F04B2}"/>
    <cellStyle name="Normal 5 3 3 3 5 3" xfId="6058" xr:uid="{00000000-0005-0000-0000-0000E6190000}"/>
    <cellStyle name="Normal 5 3 3 3 5 3 2" xfId="14497" xr:uid="{6C2B6D66-0B73-47A4-9841-436709AE2253}"/>
    <cellStyle name="Normal 5 3 3 3 5 4" xfId="10279" xr:uid="{901EA95A-4C93-4969-815F-77F250439DEF}"/>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5" xr:uid="{625A1824-206B-4BA1-8470-775CD1112EB5}"/>
    <cellStyle name="Normal 5 3 3 3 6 2 3" xfId="12837" xr:uid="{65204A2D-BEA2-4F1C-AADC-B3068D456E29}"/>
    <cellStyle name="Normal 5 3 3 3 6 3" xfId="6471" xr:uid="{00000000-0005-0000-0000-0000EA190000}"/>
    <cellStyle name="Normal 5 3 3 3 6 3 2" xfId="14910" xr:uid="{58705681-9CF3-4B33-A0C9-D76294AF72F8}"/>
    <cellStyle name="Normal 5 3 3 3 6 4" xfId="10692" xr:uid="{A37785AC-3129-4F47-9432-A5F406D4A929}"/>
    <cellStyle name="Normal 5 3 3 3 7" xfId="2600" xr:uid="{00000000-0005-0000-0000-0000EB190000}"/>
    <cellStyle name="Normal 5 3 3 3 7 2" xfId="6884" xr:uid="{00000000-0005-0000-0000-0000EC190000}"/>
    <cellStyle name="Normal 5 3 3 3 7 2 2" xfId="15323" xr:uid="{B0D47376-26AE-49A7-9D55-A7A3927B92A1}"/>
    <cellStyle name="Normal 5 3 3 3 7 3" xfId="11105" xr:uid="{D3EE63E9-6B52-4B11-95D1-590C85E44A43}"/>
    <cellStyle name="Normal 5 3 3 3 8" xfId="4819" xr:uid="{00000000-0005-0000-0000-0000ED190000}"/>
    <cellStyle name="Normal 5 3 3 3 8 2" xfId="13258" xr:uid="{4BE7D944-6308-47B2-9156-038D35E96209}"/>
    <cellStyle name="Normal 5 3 3 3 9" xfId="9040" xr:uid="{901FF8F8-FA45-43D2-9D0E-E5BF9DF8ECAB}"/>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18" xr:uid="{16638221-B299-4804-8700-0DE398E4388D}"/>
    <cellStyle name="Normal 5 3 3 4 2 2 3" xfId="11600" xr:uid="{9F54C0D2-2EEA-47C0-94CE-F2D858D46EB6}"/>
    <cellStyle name="Normal 5 3 3 4 2 3" xfId="5234" xr:uid="{00000000-0005-0000-0000-0000F2190000}"/>
    <cellStyle name="Normal 5 3 3 4 2 3 2" xfId="13673" xr:uid="{A781449A-1D6B-4CE0-AE37-971BDCB8A7B7}"/>
    <cellStyle name="Normal 5 3 3 4 2 4" xfId="9455" xr:uid="{4E1206FE-3DF5-48EB-AA04-D240FCCE79E0}"/>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31" xr:uid="{BC83CB07-E88C-44D2-914D-3306468F0D52}"/>
    <cellStyle name="Normal 5 3 3 4 3 2 3" xfId="12013" xr:uid="{58838FF9-EAFC-4A20-8663-FC2696DA42ED}"/>
    <cellStyle name="Normal 5 3 3 4 3 3" xfId="5647" xr:uid="{00000000-0005-0000-0000-0000F6190000}"/>
    <cellStyle name="Normal 5 3 3 4 3 3 2" xfId="14086" xr:uid="{2175F8E5-FFF2-4D41-B9A4-D7C5324B6247}"/>
    <cellStyle name="Normal 5 3 3 4 3 4" xfId="9868" xr:uid="{9CF0A031-4CC6-41EF-98FB-88C711FA2C86}"/>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4" xr:uid="{7F4664FA-EE7A-425B-A997-8B18E289D677}"/>
    <cellStyle name="Normal 5 3 3 4 4 2 3" xfId="12426" xr:uid="{E0D25D7C-F5F1-4EB2-B034-75C63C3D91C2}"/>
    <cellStyle name="Normal 5 3 3 4 4 3" xfId="6060" xr:uid="{00000000-0005-0000-0000-0000FA190000}"/>
    <cellStyle name="Normal 5 3 3 4 4 3 2" xfId="14499" xr:uid="{0E2D0B06-F641-42BA-A116-F1FCA01D46C5}"/>
    <cellStyle name="Normal 5 3 3 4 4 4" xfId="10281" xr:uid="{E719DEC8-FEE9-4648-BBDD-A7F08E1982B1}"/>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57" xr:uid="{1729A9BD-3EEA-4BD7-91DF-5D818EF31F54}"/>
    <cellStyle name="Normal 5 3 3 4 5 2 3" xfId="12839" xr:uid="{E7BA1F52-5CBA-41B8-A765-3E21CAB53D8E}"/>
    <cellStyle name="Normal 5 3 3 4 5 3" xfId="6473" xr:uid="{00000000-0005-0000-0000-0000FE190000}"/>
    <cellStyle name="Normal 5 3 3 4 5 3 2" xfId="14912" xr:uid="{C5265872-8F10-4D8B-A614-08D68D6324C6}"/>
    <cellStyle name="Normal 5 3 3 4 5 4" xfId="10694" xr:uid="{C5A440ED-E152-4EB5-9D37-EB65C0CE9179}"/>
    <cellStyle name="Normal 5 3 3 4 6" xfId="2602" xr:uid="{00000000-0005-0000-0000-0000FF190000}"/>
    <cellStyle name="Normal 5 3 3 4 6 2" xfId="6886" xr:uid="{00000000-0005-0000-0000-0000001A0000}"/>
    <cellStyle name="Normal 5 3 3 4 6 2 2" xfId="15325" xr:uid="{6651C4BF-05F5-4F11-B53D-699A41C778BB}"/>
    <cellStyle name="Normal 5 3 3 4 6 3" xfId="11107" xr:uid="{C5BB64CA-47A1-450C-BF02-195A50006CAB}"/>
    <cellStyle name="Normal 5 3 3 4 7" xfId="4821" xr:uid="{00000000-0005-0000-0000-0000011A0000}"/>
    <cellStyle name="Normal 5 3 3 4 7 2" xfId="13260" xr:uid="{EB5E8BDD-95C3-42D8-92DF-F1DD595B413D}"/>
    <cellStyle name="Normal 5 3 3 4 8" xfId="9042" xr:uid="{B56DB459-CB2A-473D-A4EA-3BFC71944EAD}"/>
    <cellStyle name="Normal 5 3 3 5" xfId="915" xr:uid="{00000000-0005-0000-0000-0000021A0000}"/>
    <cellStyle name="Normal 5 3 3 5 2" xfId="3149" xr:uid="{00000000-0005-0000-0000-0000031A0000}"/>
    <cellStyle name="Normal 5 3 3 5 2 2" xfId="7372" xr:uid="{00000000-0005-0000-0000-0000041A0000}"/>
    <cellStyle name="Normal 5 3 3 5 2 2 2" xfId="15811" xr:uid="{C2D73096-5945-47AF-8E4A-7D04EF732528}"/>
    <cellStyle name="Normal 5 3 3 5 2 3" xfId="11593" xr:uid="{FF69FD24-5AA0-4FE1-90A1-BA534175CC22}"/>
    <cellStyle name="Normal 5 3 3 5 3" xfId="5227" xr:uid="{00000000-0005-0000-0000-0000051A0000}"/>
    <cellStyle name="Normal 5 3 3 5 3 2" xfId="13666" xr:uid="{A496B2EE-56BF-4EC7-B14A-A7139CF48B77}"/>
    <cellStyle name="Normal 5 3 3 5 4" xfId="9448" xr:uid="{D924924A-F9CB-4B2A-A318-2BBB8C86C9B4}"/>
    <cellStyle name="Normal 5 3 3 6" xfId="1332" xr:uid="{00000000-0005-0000-0000-0000061A0000}"/>
    <cellStyle name="Normal 5 3 3 6 2" xfId="3562" xr:uid="{00000000-0005-0000-0000-0000071A0000}"/>
    <cellStyle name="Normal 5 3 3 6 2 2" xfId="7785" xr:uid="{00000000-0005-0000-0000-0000081A0000}"/>
    <cellStyle name="Normal 5 3 3 6 2 2 2" xfId="16224" xr:uid="{4889A3E4-4167-4182-B920-830B8AB7CA3F}"/>
    <cellStyle name="Normal 5 3 3 6 2 3" xfId="12006" xr:uid="{31BB4DE4-EAAD-4562-A2D3-E6F0502D53A5}"/>
    <cellStyle name="Normal 5 3 3 6 3" xfId="5640" xr:uid="{00000000-0005-0000-0000-0000091A0000}"/>
    <cellStyle name="Normal 5 3 3 6 3 2" xfId="14079" xr:uid="{91DC710F-AD42-40F6-B38F-934FCCA18A41}"/>
    <cellStyle name="Normal 5 3 3 6 4" xfId="9861" xr:uid="{A14F55CD-C2DA-44A7-9171-E78DCBA04308}"/>
    <cellStyle name="Normal 5 3 3 7" xfId="1745" xr:uid="{00000000-0005-0000-0000-00000A1A0000}"/>
    <cellStyle name="Normal 5 3 3 7 2" xfId="3975" xr:uid="{00000000-0005-0000-0000-00000B1A0000}"/>
    <cellStyle name="Normal 5 3 3 7 2 2" xfId="8198" xr:uid="{00000000-0005-0000-0000-00000C1A0000}"/>
    <cellStyle name="Normal 5 3 3 7 2 2 2" xfId="16637" xr:uid="{8935FDE3-523A-4F3E-BB30-188054F35CBF}"/>
    <cellStyle name="Normal 5 3 3 7 2 3" xfId="12419" xr:uid="{DFC30960-AD37-4C0B-8DBB-50D8C9CA30BB}"/>
    <cellStyle name="Normal 5 3 3 7 3" xfId="6053" xr:uid="{00000000-0005-0000-0000-00000D1A0000}"/>
    <cellStyle name="Normal 5 3 3 7 3 2" xfId="14492" xr:uid="{278A02B8-0983-4556-A775-C635DEDDD7B1}"/>
    <cellStyle name="Normal 5 3 3 7 4" xfId="10274" xr:uid="{7FD84D87-BD4B-4399-B943-D80ED94641A6}"/>
    <cellStyle name="Normal 5 3 3 8" xfId="2159" xr:uid="{00000000-0005-0000-0000-00000E1A0000}"/>
    <cellStyle name="Normal 5 3 3 8 2" xfId="4388" xr:uid="{00000000-0005-0000-0000-00000F1A0000}"/>
    <cellStyle name="Normal 5 3 3 8 2 2" xfId="8611" xr:uid="{00000000-0005-0000-0000-0000101A0000}"/>
    <cellStyle name="Normal 5 3 3 8 2 2 2" xfId="17050" xr:uid="{C7ACB07C-182D-4C7E-B754-862DDD4ECE80}"/>
    <cellStyle name="Normal 5 3 3 8 2 3" xfId="12832" xr:uid="{3862548D-F856-4A19-BCD1-4461CFF5EC92}"/>
    <cellStyle name="Normal 5 3 3 8 3" xfId="6466" xr:uid="{00000000-0005-0000-0000-0000111A0000}"/>
    <cellStyle name="Normal 5 3 3 8 3 2" xfId="14905" xr:uid="{63587FAE-4F34-4493-94CB-3AE8304E8D3F}"/>
    <cellStyle name="Normal 5 3 3 8 4" xfId="10687" xr:uid="{2C9CDA05-6DA0-4A70-AE01-94CD1DC10A02}"/>
    <cellStyle name="Normal 5 3 3 9" xfId="2595" xr:uid="{00000000-0005-0000-0000-0000121A0000}"/>
    <cellStyle name="Normal 5 3 3 9 2" xfId="6879" xr:uid="{00000000-0005-0000-0000-0000131A0000}"/>
    <cellStyle name="Normal 5 3 3 9 2 2" xfId="15318" xr:uid="{14E4BC4A-9F91-4FF1-9441-618A45A86132}"/>
    <cellStyle name="Normal 5 3 3 9 3" xfId="11100" xr:uid="{6A4DB27D-1C6D-45AA-AA8F-42FF0876D940}"/>
    <cellStyle name="Normal 5 3 4" xfId="449" xr:uid="{00000000-0005-0000-0000-0000141A0000}"/>
    <cellStyle name="Normal 5 3 4 10" xfId="9043" xr:uid="{48413E47-20EB-4F57-844A-595B75A09895}"/>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21" xr:uid="{CD669C02-AA9F-4045-8334-5DDBF83B9EFB}"/>
    <cellStyle name="Normal 5 3 4 2 2 2 2 3" xfId="11603" xr:uid="{03E6CE19-8224-4832-8D79-7F043C933A19}"/>
    <cellStyle name="Normal 5 3 4 2 2 2 3" xfId="5237" xr:uid="{00000000-0005-0000-0000-00001A1A0000}"/>
    <cellStyle name="Normal 5 3 4 2 2 2 3 2" xfId="13676" xr:uid="{D34FD284-0DDA-44CC-8D4B-E01B78675A3C}"/>
    <cellStyle name="Normal 5 3 4 2 2 2 4" xfId="9458" xr:uid="{EB3521F7-E6E9-440A-B460-5D4C423C8BCC}"/>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4" xr:uid="{D24A954B-B0CF-40C3-8884-B29517861014}"/>
    <cellStyle name="Normal 5 3 4 2 2 3 2 3" xfId="12016" xr:uid="{ABBD0DD1-C7CB-47EB-B0D5-6C996024211C}"/>
    <cellStyle name="Normal 5 3 4 2 2 3 3" xfId="5650" xr:uid="{00000000-0005-0000-0000-00001E1A0000}"/>
    <cellStyle name="Normal 5 3 4 2 2 3 3 2" xfId="14089" xr:uid="{91D46462-75DA-4D0C-B620-230723DE4D40}"/>
    <cellStyle name="Normal 5 3 4 2 2 3 4" xfId="9871" xr:uid="{D85A6107-930A-4B10-88C8-A06443AD184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47" xr:uid="{D9769CE1-1E01-46CD-83EB-2CA72B5EA826}"/>
    <cellStyle name="Normal 5 3 4 2 2 4 2 3" xfId="12429" xr:uid="{6FD18CDE-B452-4EEE-8AC0-0B84E70A79A9}"/>
    <cellStyle name="Normal 5 3 4 2 2 4 3" xfId="6063" xr:uid="{00000000-0005-0000-0000-0000221A0000}"/>
    <cellStyle name="Normal 5 3 4 2 2 4 3 2" xfId="14502" xr:uid="{62B40C86-8BEE-42A4-83A7-719DCF6EB78F}"/>
    <cellStyle name="Normal 5 3 4 2 2 4 4" xfId="10284" xr:uid="{F327F674-6E2A-4258-A1CF-12E4EBB4065C}"/>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60" xr:uid="{CB83E49A-506C-414F-ADF0-11130D1B9DBA}"/>
    <cellStyle name="Normal 5 3 4 2 2 5 2 3" xfId="12842" xr:uid="{5C9C334D-01C9-4BBA-82A8-C4C0EE27E173}"/>
    <cellStyle name="Normal 5 3 4 2 2 5 3" xfId="6476" xr:uid="{00000000-0005-0000-0000-0000261A0000}"/>
    <cellStyle name="Normal 5 3 4 2 2 5 3 2" xfId="14915" xr:uid="{2D02DC87-344E-4100-B46E-6081558DBCFF}"/>
    <cellStyle name="Normal 5 3 4 2 2 5 4" xfId="10697" xr:uid="{97A9F11F-D049-42AD-942F-966CFD414380}"/>
    <cellStyle name="Normal 5 3 4 2 2 6" xfId="2605" xr:uid="{00000000-0005-0000-0000-0000271A0000}"/>
    <cellStyle name="Normal 5 3 4 2 2 6 2" xfId="6889" xr:uid="{00000000-0005-0000-0000-0000281A0000}"/>
    <cellStyle name="Normal 5 3 4 2 2 6 2 2" xfId="15328" xr:uid="{965E3507-D4A2-4DBD-AF18-C286C2D8BDD4}"/>
    <cellStyle name="Normal 5 3 4 2 2 6 3" xfId="11110" xr:uid="{904B5E5E-B689-46FB-9558-11918E1D5213}"/>
    <cellStyle name="Normal 5 3 4 2 2 7" xfId="4824" xr:uid="{00000000-0005-0000-0000-0000291A0000}"/>
    <cellStyle name="Normal 5 3 4 2 2 7 2" xfId="13263" xr:uid="{FCF6110D-CF7D-4518-90D8-8EB7CC908D19}"/>
    <cellStyle name="Normal 5 3 4 2 2 8" xfId="9045" xr:uid="{FBE40423-5054-47B1-A86D-E03619666815}"/>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20" xr:uid="{37AD31DC-A125-4E3B-AB4A-B8A57F4A3A4F}"/>
    <cellStyle name="Normal 5 3 4 2 3 2 3" xfId="11602" xr:uid="{4152435F-249B-4CFE-9828-464DB817691C}"/>
    <cellStyle name="Normal 5 3 4 2 3 3" xfId="5236" xr:uid="{00000000-0005-0000-0000-00002D1A0000}"/>
    <cellStyle name="Normal 5 3 4 2 3 3 2" xfId="13675" xr:uid="{8A0F9533-4BA1-44D0-9B83-9CD205B3FAF7}"/>
    <cellStyle name="Normal 5 3 4 2 3 4" xfId="9457" xr:uid="{1C4F9443-621B-4C71-9B12-3FED5CCD5EFF}"/>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3" xr:uid="{1F4E0EAF-5E7E-48C9-A808-600EE75D4435}"/>
    <cellStyle name="Normal 5 3 4 2 4 2 3" xfId="12015" xr:uid="{D2E0DFD1-1EB6-4980-A83A-01D026DCDF93}"/>
    <cellStyle name="Normal 5 3 4 2 4 3" xfId="5649" xr:uid="{00000000-0005-0000-0000-0000311A0000}"/>
    <cellStyle name="Normal 5 3 4 2 4 3 2" xfId="14088" xr:uid="{C55E0783-6F94-467C-AF09-C4D6541DCB61}"/>
    <cellStyle name="Normal 5 3 4 2 4 4" xfId="9870" xr:uid="{3F2FF2FA-3D31-4515-B64C-5A1CE5AEFD3B}"/>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6" xr:uid="{C55DFA9E-B170-456A-8367-57E35B9F7885}"/>
    <cellStyle name="Normal 5 3 4 2 5 2 3" xfId="12428" xr:uid="{BF0E295D-837C-4D07-A960-8512DCB88CEE}"/>
    <cellStyle name="Normal 5 3 4 2 5 3" xfId="6062" xr:uid="{00000000-0005-0000-0000-0000351A0000}"/>
    <cellStyle name="Normal 5 3 4 2 5 3 2" xfId="14501" xr:uid="{F6500C27-BB7D-4E11-A492-5504525AD9C0}"/>
    <cellStyle name="Normal 5 3 4 2 5 4" xfId="10283" xr:uid="{39226977-0C91-4652-90B2-720D940DCA58}"/>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59" xr:uid="{B3D3D455-F7CA-4F51-AD8B-0657DAA6CBB8}"/>
    <cellStyle name="Normal 5 3 4 2 6 2 3" xfId="12841" xr:uid="{0F480729-2181-46B3-9E00-41453DD7D49A}"/>
    <cellStyle name="Normal 5 3 4 2 6 3" xfId="6475" xr:uid="{00000000-0005-0000-0000-0000391A0000}"/>
    <cellStyle name="Normal 5 3 4 2 6 3 2" xfId="14914" xr:uid="{A1994A98-F225-46B4-A4AF-C2F6D1E82BEC}"/>
    <cellStyle name="Normal 5 3 4 2 6 4" xfId="10696" xr:uid="{E4675752-D0D0-415D-A8D8-EF98B7781879}"/>
    <cellStyle name="Normal 5 3 4 2 7" xfId="2604" xr:uid="{00000000-0005-0000-0000-00003A1A0000}"/>
    <cellStyle name="Normal 5 3 4 2 7 2" xfId="6888" xr:uid="{00000000-0005-0000-0000-00003B1A0000}"/>
    <cellStyle name="Normal 5 3 4 2 7 2 2" xfId="15327" xr:uid="{8D11F283-FE67-4686-AA12-F81BF704153F}"/>
    <cellStyle name="Normal 5 3 4 2 7 3" xfId="11109" xr:uid="{42FD82DF-7535-4B42-932C-6C948E9191A2}"/>
    <cellStyle name="Normal 5 3 4 2 8" xfId="4823" xr:uid="{00000000-0005-0000-0000-00003C1A0000}"/>
    <cellStyle name="Normal 5 3 4 2 8 2" xfId="13262" xr:uid="{A0EA10E2-5B67-4502-AA1D-E4B351DD12CF}"/>
    <cellStyle name="Normal 5 3 4 2 9" xfId="9044" xr:uid="{BE5E38C5-CBEF-46E3-9061-F3F97CD7491A}"/>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22" xr:uid="{A24A3C8E-1C01-4FAA-9663-334669D24BC1}"/>
    <cellStyle name="Normal 5 3 4 3 2 2 3" xfId="11604" xr:uid="{D26792C2-F03E-4AF6-9483-1D79339BB2D1}"/>
    <cellStyle name="Normal 5 3 4 3 2 3" xfId="5238" xr:uid="{00000000-0005-0000-0000-0000411A0000}"/>
    <cellStyle name="Normal 5 3 4 3 2 3 2" xfId="13677" xr:uid="{673B21BD-E616-4A4C-876B-90B8576F9956}"/>
    <cellStyle name="Normal 5 3 4 3 2 4" xfId="9459" xr:uid="{DB58F3C7-6084-48D4-A905-AFCE9277068A}"/>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5" xr:uid="{EEB76CC6-2662-4772-BE7A-C67A70408745}"/>
    <cellStyle name="Normal 5 3 4 3 3 2 3" xfId="12017" xr:uid="{DFF20110-2FFD-45E8-A808-70E479FA662F}"/>
    <cellStyle name="Normal 5 3 4 3 3 3" xfId="5651" xr:uid="{00000000-0005-0000-0000-0000451A0000}"/>
    <cellStyle name="Normal 5 3 4 3 3 3 2" xfId="14090" xr:uid="{52975AE5-90FA-4FE2-8A5D-0BD9F3688FD5}"/>
    <cellStyle name="Normal 5 3 4 3 3 4" xfId="9872" xr:uid="{70FEA2DA-7D67-42B3-BDDB-24D36017D52A}"/>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48" xr:uid="{D7FEFB5B-8169-4DD9-9287-DCDF5E82FCAF}"/>
    <cellStyle name="Normal 5 3 4 3 4 2 3" xfId="12430" xr:uid="{91C1C6E8-861B-4099-9C0F-9D9DB708995A}"/>
    <cellStyle name="Normal 5 3 4 3 4 3" xfId="6064" xr:uid="{00000000-0005-0000-0000-0000491A0000}"/>
    <cellStyle name="Normal 5 3 4 3 4 3 2" xfId="14503" xr:uid="{C37B5120-5529-4E60-B18D-F31D4472B2FC}"/>
    <cellStyle name="Normal 5 3 4 3 4 4" xfId="10285" xr:uid="{F0394BDD-6845-433B-B9AE-2977673914B7}"/>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61" xr:uid="{A255F059-FB04-4D1F-AC81-A287B3235BD4}"/>
    <cellStyle name="Normal 5 3 4 3 5 2 3" xfId="12843" xr:uid="{7A148325-DE0B-475A-A561-33BCD70EB778}"/>
    <cellStyle name="Normal 5 3 4 3 5 3" xfId="6477" xr:uid="{00000000-0005-0000-0000-00004D1A0000}"/>
    <cellStyle name="Normal 5 3 4 3 5 3 2" xfId="14916" xr:uid="{8271B0D5-E11D-4E60-A418-64427F29F972}"/>
    <cellStyle name="Normal 5 3 4 3 5 4" xfId="10698" xr:uid="{A51C64F5-7109-4BD4-9E4E-BCEA3EABE758}"/>
    <cellStyle name="Normal 5 3 4 3 6" xfId="2606" xr:uid="{00000000-0005-0000-0000-00004E1A0000}"/>
    <cellStyle name="Normal 5 3 4 3 6 2" xfId="6890" xr:uid="{00000000-0005-0000-0000-00004F1A0000}"/>
    <cellStyle name="Normal 5 3 4 3 6 2 2" xfId="15329" xr:uid="{565001B5-4689-4319-A999-E9BB64E772CA}"/>
    <cellStyle name="Normal 5 3 4 3 6 3" xfId="11111" xr:uid="{85F96DDC-37E9-412C-821F-6F10E1B33481}"/>
    <cellStyle name="Normal 5 3 4 3 7" xfId="4825" xr:uid="{00000000-0005-0000-0000-0000501A0000}"/>
    <cellStyle name="Normal 5 3 4 3 7 2" xfId="13264" xr:uid="{BE3F5B11-9578-4A6C-8BC0-9BAB1C78A84F}"/>
    <cellStyle name="Normal 5 3 4 3 8" xfId="9046" xr:uid="{40AC1F17-A6E4-4D62-8E20-AA622622CC2A}"/>
    <cellStyle name="Normal 5 3 4 4" xfId="923" xr:uid="{00000000-0005-0000-0000-0000511A0000}"/>
    <cellStyle name="Normal 5 3 4 4 2" xfId="3157" xr:uid="{00000000-0005-0000-0000-0000521A0000}"/>
    <cellStyle name="Normal 5 3 4 4 2 2" xfId="7380" xr:uid="{00000000-0005-0000-0000-0000531A0000}"/>
    <cellStyle name="Normal 5 3 4 4 2 2 2" xfId="15819" xr:uid="{35FC0F40-1354-4993-9884-CF2E26658E56}"/>
    <cellStyle name="Normal 5 3 4 4 2 3" xfId="11601" xr:uid="{BFA52A92-0D13-4C1E-A9ED-98CF109D625B}"/>
    <cellStyle name="Normal 5 3 4 4 3" xfId="5235" xr:uid="{00000000-0005-0000-0000-0000541A0000}"/>
    <cellStyle name="Normal 5 3 4 4 3 2" xfId="13674" xr:uid="{EFAB1836-7B11-4531-B9B7-249E94604647}"/>
    <cellStyle name="Normal 5 3 4 4 4" xfId="9456" xr:uid="{9B2586A1-7AD4-4CFC-8E17-B398B272C508}"/>
    <cellStyle name="Normal 5 3 4 5" xfId="1340" xr:uid="{00000000-0005-0000-0000-0000551A0000}"/>
    <cellStyle name="Normal 5 3 4 5 2" xfId="3570" xr:uid="{00000000-0005-0000-0000-0000561A0000}"/>
    <cellStyle name="Normal 5 3 4 5 2 2" xfId="7793" xr:uid="{00000000-0005-0000-0000-0000571A0000}"/>
    <cellStyle name="Normal 5 3 4 5 2 2 2" xfId="16232" xr:uid="{3304D1E2-8873-4C92-878F-999BFB60B742}"/>
    <cellStyle name="Normal 5 3 4 5 2 3" xfId="12014" xr:uid="{2ACF483C-1EC2-416D-A84D-CD914A0F73E0}"/>
    <cellStyle name="Normal 5 3 4 5 3" xfId="5648" xr:uid="{00000000-0005-0000-0000-0000581A0000}"/>
    <cellStyle name="Normal 5 3 4 5 3 2" xfId="14087" xr:uid="{C1ADBE70-1A6C-4532-96F6-4E12FFCDBB35}"/>
    <cellStyle name="Normal 5 3 4 5 4" xfId="9869" xr:uid="{2509B6A3-8476-4F82-92EC-66F197A91A0A}"/>
    <cellStyle name="Normal 5 3 4 6" xfId="1753" xr:uid="{00000000-0005-0000-0000-0000591A0000}"/>
    <cellStyle name="Normal 5 3 4 6 2" xfId="3983" xr:uid="{00000000-0005-0000-0000-00005A1A0000}"/>
    <cellStyle name="Normal 5 3 4 6 2 2" xfId="8206" xr:uid="{00000000-0005-0000-0000-00005B1A0000}"/>
    <cellStyle name="Normal 5 3 4 6 2 2 2" xfId="16645" xr:uid="{48E64DC0-B21A-49EA-B3C8-D397FCF2DAD2}"/>
    <cellStyle name="Normal 5 3 4 6 2 3" xfId="12427" xr:uid="{EA84DAF5-8FDD-44EB-9202-15DA7791E7C2}"/>
    <cellStyle name="Normal 5 3 4 6 3" xfId="6061" xr:uid="{00000000-0005-0000-0000-00005C1A0000}"/>
    <cellStyle name="Normal 5 3 4 6 3 2" xfId="14500" xr:uid="{5DE0D3C3-1B4A-4DC6-A4C0-0EF53D970F57}"/>
    <cellStyle name="Normal 5 3 4 6 4" xfId="10282" xr:uid="{57B83F12-CB92-4A7A-9797-A7BD8E527F98}"/>
    <cellStyle name="Normal 5 3 4 7" xfId="2167" xr:uid="{00000000-0005-0000-0000-00005D1A0000}"/>
    <cellStyle name="Normal 5 3 4 7 2" xfId="4396" xr:uid="{00000000-0005-0000-0000-00005E1A0000}"/>
    <cellStyle name="Normal 5 3 4 7 2 2" xfId="8619" xr:uid="{00000000-0005-0000-0000-00005F1A0000}"/>
    <cellStyle name="Normal 5 3 4 7 2 2 2" xfId="17058" xr:uid="{3A41ECBD-4E95-44E8-9EC0-122EDFC4835D}"/>
    <cellStyle name="Normal 5 3 4 7 2 3" xfId="12840" xr:uid="{355B2398-FA0D-448A-B108-D2E8CF84D286}"/>
    <cellStyle name="Normal 5 3 4 7 3" xfId="6474" xr:uid="{00000000-0005-0000-0000-0000601A0000}"/>
    <cellStyle name="Normal 5 3 4 7 3 2" xfId="14913" xr:uid="{F1EDD3FF-BC84-4275-A6CD-B3879BE77EC7}"/>
    <cellStyle name="Normal 5 3 4 7 4" xfId="10695" xr:uid="{E7206B26-2155-4290-88E8-EDD770578615}"/>
    <cellStyle name="Normal 5 3 4 8" xfId="2603" xr:uid="{00000000-0005-0000-0000-0000611A0000}"/>
    <cellStyle name="Normal 5 3 4 8 2" xfId="6887" xr:uid="{00000000-0005-0000-0000-0000621A0000}"/>
    <cellStyle name="Normal 5 3 4 8 2 2" xfId="15326" xr:uid="{277A9E9B-A44F-42FA-965E-B5BEFBAE314C}"/>
    <cellStyle name="Normal 5 3 4 8 3" xfId="11108" xr:uid="{6E79CF88-5882-4D0C-BE75-135C788591EC}"/>
    <cellStyle name="Normal 5 3 4 9" xfId="4822" xr:uid="{00000000-0005-0000-0000-0000631A0000}"/>
    <cellStyle name="Normal 5 3 4 9 2" xfId="13261" xr:uid="{DE945503-54EB-41F1-8D94-5F42D335E9DE}"/>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4" xr:uid="{3DB1D7B8-419D-42ED-A967-E5E6E4272463}"/>
    <cellStyle name="Normal 5 3 5 2 2 2 3" xfId="11606" xr:uid="{126695AB-6D39-4682-A0CB-3294A1FF832E}"/>
    <cellStyle name="Normal 5 3 5 2 2 3" xfId="5240" xr:uid="{00000000-0005-0000-0000-0000691A0000}"/>
    <cellStyle name="Normal 5 3 5 2 2 3 2" xfId="13679" xr:uid="{7CCFF9CB-E60C-4C5C-85FA-6F5147D613E8}"/>
    <cellStyle name="Normal 5 3 5 2 2 4" xfId="9461" xr:uid="{785E2C33-84D1-4E1D-B47B-9756DE6FC2B3}"/>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37" xr:uid="{A2818464-2F88-42B9-B9B6-C9F233C43963}"/>
    <cellStyle name="Normal 5 3 5 2 3 2 3" xfId="12019" xr:uid="{DDC291FA-E5F5-405C-AD44-821DE1D0203D}"/>
    <cellStyle name="Normal 5 3 5 2 3 3" xfId="5653" xr:uid="{00000000-0005-0000-0000-00006D1A0000}"/>
    <cellStyle name="Normal 5 3 5 2 3 3 2" xfId="14092" xr:uid="{20306B4B-C6AF-43D8-A96D-647B5770397E}"/>
    <cellStyle name="Normal 5 3 5 2 3 4" xfId="9874" xr:uid="{BAEBE85C-6A8B-4F9C-968D-11D806B0D55A}"/>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50" xr:uid="{1D4EF780-D8DA-4343-BDDE-A39B54240260}"/>
    <cellStyle name="Normal 5 3 5 2 4 2 3" xfId="12432" xr:uid="{0A61224B-3716-48C7-B6D8-CF88B20731A7}"/>
    <cellStyle name="Normal 5 3 5 2 4 3" xfId="6066" xr:uid="{00000000-0005-0000-0000-0000711A0000}"/>
    <cellStyle name="Normal 5 3 5 2 4 3 2" xfId="14505" xr:uid="{1E93A055-D202-44E4-BD2B-C966CA600B97}"/>
    <cellStyle name="Normal 5 3 5 2 4 4" xfId="10287" xr:uid="{9CED26F4-7C0E-4968-B596-7687CC978EEF}"/>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3" xr:uid="{4C8EBFAE-73BA-422F-8DFD-EFD44CC2901A}"/>
    <cellStyle name="Normal 5 3 5 2 5 2 3" xfId="12845" xr:uid="{2D2DF116-5169-418B-9542-B52EBD131544}"/>
    <cellStyle name="Normal 5 3 5 2 5 3" xfId="6479" xr:uid="{00000000-0005-0000-0000-0000751A0000}"/>
    <cellStyle name="Normal 5 3 5 2 5 3 2" xfId="14918" xr:uid="{9DACD9A9-4444-4C6B-B705-0D38D58A06B5}"/>
    <cellStyle name="Normal 5 3 5 2 5 4" xfId="10700" xr:uid="{45BED966-6E7F-4C76-90FB-7B5AE497DB4F}"/>
    <cellStyle name="Normal 5 3 5 2 6" xfId="2608" xr:uid="{00000000-0005-0000-0000-0000761A0000}"/>
    <cellStyle name="Normal 5 3 5 2 6 2" xfId="6892" xr:uid="{00000000-0005-0000-0000-0000771A0000}"/>
    <cellStyle name="Normal 5 3 5 2 6 2 2" xfId="15331" xr:uid="{AC4E598F-61B1-48E9-B083-C9B2D3D51503}"/>
    <cellStyle name="Normal 5 3 5 2 6 3" xfId="11113" xr:uid="{45ECC935-B94A-4F1E-A449-52A2EC115F86}"/>
    <cellStyle name="Normal 5 3 5 2 7" xfId="4827" xr:uid="{00000000-0005-0000-0000-0000781A0000}"/>
    <cellStyle name="Normal 5 3 5 2 7 2" xfId="13266" xr:uid="{6E997534-D310-4A78-B0A6-2E56893485FA}"/>
    <cellStyle name="Normal 5 3 5 2 8" xfId="9048" xr:uid="{4A46116F-6CC0-4BCC-89F7-03A7C62C401F}"/>
    <cellStyle name="Normal 5 3 5 3" xfId="927" xr:uid="{00000000-0005-0000-0000-0000791A0000}"/>
    <cellStyle name="Normal 5 3 5 3 2" xfId="3161" xr:uid="{00000000-0005-0000-0000-00007A1A0000}"/>
    <cellStyle name="Normal 5 3 5 3 2 2" xfId="7384" xr:uid="{00000000-0005-0000-0000-00007B1A0000}"/>
    <cellStyle name="Normal 5 3 5 3 2 2 2" xfId="15823" xr:uid="{85FCF607-E852-42B0-A240-3FB31E3695DC}"/>
    <cellStyle name="Normal 5 3 5 3 2 3" xfId="11605" xr:uid="{60057BCD-CE70-47C9-9104-27FCDEC68BA8}"/>
    <cellStyle name="Normal 5 3 5 3 3" xfId="5239" xr:uid="{00000000-0005-0000-0000-00007C1A0000}"/>
    <cellStyle name="Normal 5 3 5 3 3 2" xfId="13678" xr:uid="{1EF038CF-1A91-4858-BE2A-B810D9865333}"/>
    <cellStyle name="Normal 5 3 5 3 4" xfId="9460" xr:uid="{32EE55F5-4EFB-4F3E-BF67-B64442BD3DCF}"/>
    <cellStyle name="Normal 5 3 5 4" xfId="1344" xr:uid="{00000000-0005-0000-0000-00007D1A0000}"/>
    <cellStyle name="Normal 5 3 5 4 2" xfId="3574" xr:uid="{00000000-0005-0000-0000-00007E1A0000}"/>
    <cellStyle name="Normal 5 3 5 4 2 2" xfId="7797" xr:uid="{00000000-0005-0000-0000-00007F1A0000}"/>
    <cellStyle name="Normal 5 3 5 4 2 2 2" xfId="16236" xr:uid="{5CCF78C3-739B-4C7D-9A8A-EE10A11B69D8}"/>
    <cellStyle name="Normal 5 3 5 4 2 3" xfId="12018" xr:uid="{829716EC-7308-4672-BEF1-222EE4DABAF7}"/>
    <cellStyle name="Normal 5 3 5 4 3" xfId="5652" xr:uid="{00000000-0005-0000-0000-0000801A0000}"/>
    <cellStyle name="Normal 5 3 5 4 3 2" xfId="14091" xr:uid="{5BD089ED-34CA-4594-96B1-82F7A32387E8}"/>
    <cellStyle name="Normal 5 3 5 4 4" xfId="9873" xr:uid="{D86E8F47-34FE-4A00-9AFC-BCB217CD78CE}"/>
    <cellStyle name="Normal 5 3 5 5" xfId="1757" xr:uid="{00000000-0005-0000-0000-0000811A0000}"/>
    <cellStyle name="Normal 5 3 5 5 2" xfId="3987" xr:uid="{00000000-0005-0000-0000-0000821A0000}"/>
    <cellStyle name="Normal 5 3 5 5 2 2" xfId="8210" xr:uid="{00000000-0005-0000-0000-0000831A0000}"/>
    <cellStyle name="Normal 5 3 5 5 2 2 2" xfId="16649" xr:uid="{23693E99-7A04-44ED-A8F8-912CAE7A51A2}"/>
    <cellStyle name="Normal 5 3 5 5 2 3" xfId="12431" xr:uid="{D7F6E043-02EF-448C-A653-F5D61297ACE4}"/>
    <cellStyle name="Normal 5 3 5 5 3" xfId="6065" xr:uid="{00000000-0005-0000-0000-0000841A0000}"/>
    <cellStyle name="Normal 5 3 5 5 3 2" xfId="14504" xr:uid="{024AC142-4604-434C-A53F-96524C44AACD}"/>
    <cellStyle name="Normal 5 3 5 5 4" xfId="10286" xr:uid="{22F90A5B-405E-4BC6-AE9D-8E78013DB663}"/>
    <cellStyle name="Normal 5 3 5 6" xfId="2171" xr:uid="{00000000-0005-0000-0000-0000851A0000}"/>
    <cellStyle name="Normal 5 3 5 6 2" xfId="4400" xr:uid="{00000000-0005-0000-0000-0000861A0000}"/>
    <cellStyle name="Normal 5 3 5 6 2 2" xfId="8623" xr:uid="{00000000-0005-0000-0000-0000871A0000}"/>
    <cellStyle name="Normal 5 3 5 6 2 2 2" xfId="17062" xr:uid="{063FBA16-3CBB-4EC1-98DB-BB3677982F68}"/>
    <cellStyle name="Normal 5 3 5 6 2 3" xfId="12844" xr:uid="{1FB0D652-2290-4BF6-9469-4C60BB6D4EB8}"/>
    <cellStyle name="Normal 5 3 5 6 3" xfId="6478" xr:uid="{00000000-0005-0000-0000-0000881A0000}"/>
    <cellStyle name="Normal 5 3 5 6 3 2" xfId="14917" xr:uid="{677C9D84-DFCB-4207-BBDC-E16DF9318128}"/>
    <cellStyle name="Normal 5 3 5 6 4" xfId="10699" xr:uid="{2CAD92AD-B4FF-40C4-A711-614E1AEFFF44}"/>
    <cellStyle name="Normal 5 3 5 7" xfId="2607" xr:uid="{00000000-0005-0000-0000-0000891A0000}"/>
    <cellStyle name="Normal 5 3 5 7 2" xfId="6891" xr:uid="{00000000-0005-0000-0000-00008A1A0000}"/>
    <cellStyle name="Normal 5 3 5 7 2 2" xfId="15330" xr:uid="{E9C4FE87-9660-4F64-A32F-6180B5B40491}"/>
    <cellStyle name="Normal 5 3 5 7 3" xfId="11112" xr:uid="{2B450301-7DF9-41EA-B9AF-7F341DC14152}"/>
    <cellStyle name="Normal 5 3 5 8" xfId="4826" xr:uid="{00000000-0005-0000-0000-00008B1A0000}"/>
    <cellStyle name="Normal 5 3 5 8 2" xfId="13265" xr:uid="{54A3F1E7-C482-4620-8564-FCFA7403241F}"/>
    <cellStyle name="Normal 5 3 5 9" xfId="9047" xr:uid="{3C2F538D-81EB-4779-8ADF-D095B7CF39F1}"/>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5825" xr:uid="{F5075806-B983-4B56-A7C2-AD7C875CF9D1}"/>
    <cellStyle name="Normal 5 3 6 2 2 3" xfId="11607" xr:uid="{BD448C51-34B2-4D1A-8A52-DCDD4D1B1D27}"/>
    <cellStyle name="Normal 5 3 6 2 3" xfId="5241" xr:uid="{00000000-0005-0000-0000-0000901A0000}"/>
    <cellStyle name="Normal 5 3 6 2 3 2" xfId="13680" xr:uid="{707EB059-B5FF-492D-A3D5-A135200D4425}"/>
    <cellStyle name="Normal 5 3 6 2 4" xfId="9462" xr:uid="{0A5F1FBF-231D-4929-BB31-DD28F26A68A2}"/>
    <cellStyle name="Normal 5 3 6 3" xfId="1346" xr:uid="{00000000-0005-0000-0000-0000911A0000}"/>
    <cellStyle name="Normal 5 3 6 3 2" xfId="3576" xr:uid="{00000000-0005-0000-0000-0000921A0000}"/>
    <cellStyle name="Normal 5 3 6 3 2 2" xfId="7799" xr:uid="{00000000-0005-0000-0000-0000931A0000}"/>
    <cellStyle name="Normal 5 3 6 3 2 2 2" xfId="16238" xr:uid="{0E58D43B-378A-43B1-BDE9-CF0192E38A09}"/>
    <cellStyle name="Normal 5 3 6 3 2 3" xfId="12020" xr:uid="{2B03B932-1A1A-4DDB-B01A-E899E4ED4EBB}"/>
    <cellStyle name="Normal 5 3 6 3 3" xfId="5654" xr:uid="{00000000-0005-0000-0000-0000941A0000}"/>
    <cellStyle name="Normal 5 3 6 3 3 2" xfId="14093" xr:uid="{21F20A12-E452-4DCE-87E6-5688BBC57D0A}"/>
    <cellStyle name="Normal 5 3 6 3 4" xfId="9875" xr:uid="{26A54479-E102-493E-AAB6-952295D859BD}"/>
    <cellStyle name="Normal 5 3 6 4" xfId="1759" xr:uid="{00000000-0005-0000-0000-0000951A0000}"/>
    <cellStyle name="Normal 5 3 6 4 2" xfId="3989" xr:uid="{00000000-0005-0000-0000-0000961A0000}"/>
    <cellStyle name="Normal 5 3 6 4 2 2" xfId="8212" xr:uid="{00000000-0005-0000-0000-0000971A0000}"/>
    <cellStyle name="Normal 5 3 6 4 2 2 2" xfId="16651" xr:uid="{BAFB46DA-8BE3-4B4D-A9DA-2FB9E54E911F}"/>
    <cellStyle name="Normal 5 3 6 4 2 3" xfId="12433" xr:uid="{CB8427C4-AF32-4799-A1D0-24D4AE384E62}"/>
    <cellStyle name="Normal 5 3 6 4 3" xfId="6067" xr:uid="{00000000-0005-0000-0000-0000981A0000}"/>
    <cellStyle name="Normal 5 3 6 4 3 2" xfId="14506" xr:uid="{7D842A47-4960-400A-A759-FA581559CD50}"/>
    <cellStyle name="Normal 5 3 6 4 4" xfId="10288" xr:uid="{F6044EE7-3193-4675-9FF9-9DB19A4DAAC2}"/>
    <cellStyle name="Normal 5 3 6 5" xfId="2173" xr:uid="{00000000-0005-0000-0000-0000991A0000}"/>
    <cellStyle name="Normal 5 3 6 5 2" xfId="4402" xr:uid="{00000000-0005-0000-0000-00009A1A0000}"/>
    <cellStyle name="Normal 5 3 6 5 2 2" xfId="8625" xr:uid="{00000000-0005-0000-0000-00009B1A0000}"/>
    <cellStyle name="Normal 5 3 6 5 2 2 2" xfId="17064" xr:uid="{231A1280-D447-4851-9686-ED8C94B63A60}"/>
    <cellStyle name="Normal 5 3 6 5 2 3" xfId="12846" xr:uid="{B5D20FFB-415D-4405-AF8E-C03A0168F4C4}"/>
    <cellStyle name="Normal 5 3 6 5 3" xfId="6480" xr:uid="{00000000-0005-0000-0000-00009C1A0000}"/>
    <cellStyle name="Normal 5 3 6 5 3 2" xfId="14919" xr:uid="{1DD4305B-ED26-4DC8-B7ED-DFCB13B48BF7}"/>
    <cellStyle name="Normal 5 3 6 5 4" xfId="10701" xr:uid="{7CD8545C-8CB4-40E8-A095-75ED2E578DA5}"/>
    <cellStyle name="Normal 5 3 6 6" xfId="2609" xr:uid="{00000000-0005-0000-0000-00009D1A0000}"/>
    <cellStyle name="Normal 5 3 6 6 2" xfId="6893" xr:uid="{00000000-0005-0000-0000-00009E1A0000}"/>
    <cellStyle name="Normal 5 3 6 6 2 2" xfId="15332" xr:uid="{39F1A03B-52DE-4780-81FC-E08CEEF21A97}"/>
    <cellStyle name="Normal 5 3 6 6 3" xfId="11114" xr:uid="{1E83C814-4546-4E9B-BC86-25D5FDA8985A}"/>
    <cellStyle name="Normal 5 3 6 7" xfId="4828" xr:uid="{00000000-0005-0000-0000-00009F1A0000}"/>
    <cellStyle name="Normal 5 3 6 7 2" xfId="13267" xr:uid="{4670AB34-98A0-4C52-90CF-F5740B53545A}"/>
    <cellStyle name="Normal 5 3 6 8" xfId="9049" xr:uid="{89E9C4E5-1890-4875-9877-F23C8870399D}"/>
    <cellStyle name="Normal 5 3 7" xfId="913" xr:uid="{00000000-0005-0000-0000-0000A01A0000}"/>
    <cellStyle name="Normal 5 3 7 2" xfId="3148" xr:uid="{00000000-0005-0000-0000-0000A11A0000}"/>
    <cellStyle name="Normal 5 3 7 2 2" xfId="7371" xr:uid="{00000000-0005-0000-0000-0000A21A0000}"/>
    <cellStyle name="Normal 5 3 7 2 2 2" xfId="15810" xr:uid="{8142112E-D7C1-4A36-BF75-6FAC23D25577}"/>
    <cellStyle name="Normal 5 3 7 2 3" xfId="11592" xr:uid="{2408FC28-D6D1-4E18-97B6-F9495D86B076}"/>
    <cellStyle name="Normal 5 3 7 3" xfId="5226" xr:uid="{00000000-0005-0000-0000-0000A31A0000}"/>
    <cellStyle name="Normal 5 3 7 3 2" xfId="13665" xr:uid="{21E938D0-3EB5-4DA6-B99E-CCAFB21858B4}"/>
    <cellStyle name="Normal 5 3 7 4" xfId="9447" xr:uid="{5ABA4B2D-9A51-4766-8F31-733E2A057EDF}"/>
    <cellStyle name="Normal 5 3 8" xfId="1331" xr:uid="{00000000-0005-0000-0000-0000A41A0000}"/>
    <cellStyle name="Normal 5 3 8 2" xfId="3561" xr:uid="{00000000-0005-0000-0000-0000A51A0000}"/>
    <cellStyle name="Normal 5 3 8 2 2" xfId="7784" xr:uid="{00000000-0005-0000-0000-0000A61A0000}"/>
    <cellStyle name="Normal 5 3 8 2 2 2" xfId="16223" xr:uid="{8A7CAFA1-200C-46DD-A8FE-59DDAF8E8709}"/>
    <cellStyle name="Normal 5 3 8 2 3" xfId="12005" xr:uid="{545D37FC-014A-4E92-9E1E-EFB05393B350}"/>
    <cellStyle name="Normal 5 3 8 3" xfId="5639" xr:uid="{00000000-0005-0000-0000-0000A71A0000}"/>
    <cellStyle name="Normal 5 3 8 3 2" xfId="14078" xr:uid="{27104152-F6ED-41D9-87E2-7C66B75ABEE7}"/>
    <cellStyle name="Normal 5 3 8 4" xfId="9860" xr:uid="{FCBCF248-DA17-485E-9FC7-5B0AEE1341CD}"/>
    <cellStyle name="Normal 5 3 9" xfId="1744" xr:uid="{00000000-0005-0000-0000-0000A81A0000}"/>
    <cellStyle name="Normal 5 3 9 2" xfId="3974" xr:uid="{00000000-0005-0000-0000-0000A91A0000}"/>
    <cellStyle name="Normal 5 3 9 2 2" xfId="8197" xr:uid="{00000000-0005-0000-0000-0000AA1A0000}"/>
    <cellStyle name="Normal 5 3 9 2 2 2" xfId="16636" xr:uid="{3506E1D2-6EF5-4128-B684-C06225B94FEA}"/>
    <cellStyle name="Normal 5 3 9 2 3" xfId="12418" xr:uid="{F7A5B836-BC84-49F1-87B9-63B9C42578DF}"/>
    <cellStyle name="Normal 5 3 9 3" xfId="6052" xr:uid="{00000000-0005-0000-0000-0000AB1A0000}"/>
    <cellStyle name="Normal 5 3 9 3 2" xfId="14491" xr:uid="{1F505836-D8AF-402D-A391-7EEEFC75A853}"/>
    <cellStyle name="Normal 5 3 9 4" xfId="10273" xr:uid="{0C2387DD-AC86-4FC7-80D1-28512CD6105A}"/>
    <cellStyle name="Normal 5 4" xfId="456" xr:uid="{00000000-0005-0000-0000-0000AC1A0000}"/>
    <cellStyle name="Normal 5 4 10" xfId="4829" xr:uid="{00000000-0005-0000-0000-0000AD1A0000}"/>
    <cellStyle name="Normal 5 4 10 2" xfId="13268" xr:uid="{842AC8E2-54C7-4CA7-B63A-6ECEDFBCD512}"/>
    <cellStyle name="Normal 5 4 11" xfId="9050" xr:uid="{0C8294E1-D335-46C3-A406-65CB5C18BAE0}"/>
    <cellStyle name="Normal 5 4 2" xfId="457" xr:uid="{00000000-0005-0000-0000-0000AE1A0000}"/>
    <cellStyle name="Normal 5 4 2 10" xfId="9051" xr:uid="{BF6FE55E-020D-4EDD-9C32-DA19B38035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29" xr:uid="{6A7160A5-6FDF-4E2F-8AB3-80E0433F2169}"/>
    <cellStyle name="Normal 5 4 2 2 2 2 2 3" xfId="11611" xr:uid="{A9823C14-0681-491B-BAA6-EC54FEF308D6}"/>
    <cellStyle name="Normal 5 4 2 2 2 2 3" xfId="5245" xr:uid="{00000000-0005-0000-0000-0000B41A0000}"/>
    <cellStyle name="Normal 5 4 2 2 2 2 3 2" xfId="13684" xr:uid="{B572D761-9AFD-445E-95F5-4E2E40587E1B}"/>
    <cellStyle name="Normal 5 4 2 2 2 2 4" xfId="9466" xr:uid="{1FBBC486-4360-4642-97E4-E6D1A47D58C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42" xr:uid="{0854DDD4-C4EF-415A-B959-AEFF16521C84}"/>
    <cellStyle name="Normal 5 4 2 2 2 3 2 3" xfId="12024" xr:uid="{6C0908F5-54D5-48A2-838E-3443996B6694}"/>
    <cellStyle name="Normal 5 4 2 2 2 3 3" xfId="5658" xr:uid="{00000000-0005-0000-0000-0000B81A0000}"/>
    <cellStyle name="Normal 5 4 2 2 2 3 3 2" xfId="14097" xr:uid="{A5D90633-0C0B-4E62-B4AC-896ABE98E7B3}"/>
    <cellStyle name="Normal 5 4 2 2 2 3 4" xfId="9879" xr:uid="{0DFFCBA2-850D-4C97-815D-ED2535FE29AA}"/>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5" xr:uid="{DBA00127-6537-42BE-9F30-0039264B00AC}"/>
    <cellStyle name="Normal 5 4 2 2 2 4 2 3" xfId="12437" xr:uid="{AC49F5D6-C789-49C6-8E66-EDFD86768141}"/>
    <cellStyle name="Normal 5 4 2 2 2 4 3" xfId="6071" xr:uid="{00000000-0005-0000-0000-0000BC1A0000}"/>
    <cellStyle name="Normal 5 4 2 2 2 4 3 2" xfId="14510" xr:uid="{87DAC7F0-1CE8-4607-B0FF-FE914FE3E498}"/>
    <cellStyle name="Normal 5 4 2 2 2 4 4" xfId="10292" xr:uid="{B63EBE25-1031-4E6D-BF51-74FCF8BA9A5D}"/>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68" xr:uid="{884AFF3A-E4CC-4C01-9CD3-346E5A8ED853}"/>
    <cellStyle name="Normal 5 4 2 2 2 5 2 3" xfId="12850" xr:uid="{69BBBD0F-6036-49F6-A019-DCA33194BB8A}"/>
    <cellStyle name="Normal 5 4 2 2 2 5 3" xfId="6484" xr:uid="{00000000-0005-0000-0000-0000C01A0000}"/>
    <cellStyle name="Normal 5 4 2 2 2 5 3 2" xfId="14923" xr:uid="{62A31FF2-858F-40EB-AF87-1BAE4F6AEEF4}"/>
    <cellStyle name="Normal 5 4 2 2 2 5 4" xfId="10705" xr:uid="{D12037A2-9BC4-4E72-B6E1-D8801B7DBDB6}"/>
    <cellStyle name="Normal 5 4 2 2 2 6" xfId="2613" xr:uid="{00000000-0005-0000-0000-0000C11A0000}"/>
    <cellStyle name="Normal 5 4 2 2 2 6 2" xfId="6897" xr:uid="{00000000-0005-0000-0000-0000C21A0000}"/>
    <cellStyle name="Normal 5 4 2 2 2 6 2 2" xfId="15336" xr:uid="{846ABA0E-D726-4F3E-B607-676C7784509E}"/>
    <cellStyle name="Normal 5 4 2 2 2 6 3" xfId="11118" xr:uid="{CCB4A133-88C4-41F8-A821-5633D40AEDD8}"/>
    <cellStyle name="Normal 5 4 2 2 2 7" xfId="4832" xr:uid="{00000000-0005-0000-0000-0000C31A0000}"/>
    <cellStyle name="Normal 5 4 2 2 2 7 2" xfId="13271" xr:uid="{4C4B7A5D-6AD8-4425-8709-ED6F7AB4B669}"/>
    <cellStyle name="Normal 5 4 2 2 2 8" xfId="9053" xr:uid="{0B2D2B72-AE36-4C7D-9CAF-C03C3DD03A68}"/>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28" xr:uid="{5E653F20-95FB-4AB8-B281-AF9743FF3826}"/>
    <cellStyle name="Normal 5 4 2 2 3 2 3" xfId="11610" xr:uid="{BFB7A4B4-C7DF-4684-9B69-9B703CD38291}"/>
    <cellStyle name="Normal 5 4 2 2 3 3" xfId="5244" xr:uid="{00000000-0005-0000-0000-0000C71A0000}"/>
    <cellStyle name="Normal 5 4 2 2 3 3 2" xfId="13683" xr:uid="{5DAC88AA-3720-4F8B-B4C4-BD30160F4B81}"/>
    <cellStyle name="Normal 5 4 2 2 3 4" xfId="9465" xr:uid="{EE89F1A6-105B-40AA-92B5-29F856FB5110}"/>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41" xr:uid="{A417D4D5-E251-429C-BE1F-4405203D4E25}"/>
    <cellStyle name="Normal 5 4 2 2 4 2 3" xfId="12023" xr:uid="{EE50BC3B-35FA-44D3-B33B-C00C610E9F42}"/>
    <cellStyle name="Normal 5 4 2 2 4 3" xfId="5657" xr:uid="{00000000-0005-0000-0000-0000CB1A0000}"/>
    <cellStyle name="Normal 5 4 2 2 4 3 2" xfId="14096" xr:uid="{3201AF73-3A37-4ABE-9FC5-F471E979E19B}"/>
    <cellStyle name="Normal 5 4 2 2 4 4" xfId="9878" xr:uid="{37FDE112-C20C-48B0-BC0E-B26DA6F79D51}"/>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4" xr:uid="{BD16D3AF-C777-48D0-B3AF-5B934D2AA864}"/>
    <cellStyle name="Normal 5 4 2 2 5 2 3" xfId="12436" xr:uid="{4D0458CA-BE7B-4627-8ECB-9F6AC2ED53DE}"/>
    <cellStyle name="Normal 5 4 2 2 5 3" xfId="6070" xr:uid="{00000000-0005-0000-0000-0000CF1A0000}"/>
    <cellStyle name="Normal 5 4 2 2 5 3 2" xfId="14509" xr:uid="{05C5AAD0-2626-4F2B-9407-6F7B0F031BA7}"/>
    <cellStyle name="Normal 5 4 2 2 5 4" xfId="10291" xr:uid="{00C69FF1-73B0-4902-8252-CC04EF57DBC6}"/>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67" xr:uid="{118F08A8-0980-4B81-BD69-2BB173756766}"/>
    <cellStyle name="Normal 5 4 2 2 6 2 3" xfId="12849" xr:uid="{683657B6-FC32-4F03-95B0-E27EB37DD3C0}"/>
    <cellStyle name="Normal 5 4 2 2 6 3" xfId="6483" xr:uid="{00000000-0005-0000-0000-0000D31A0000}"/>
    <cellStyle name="Normal 5 4 2 2 6 3 2" xfId="14922" xr:uid="{F5B46096-A840-4BC3-9367-97D8EF8F3E34}"/>
    <cellStyle name="Normal 5 4 2 2 6 4" xfId="10704" xr:uid="{B1F485B4-18D7-419F-8E1C-A54C48151F3D}"/>
    <cellStyle name="Normal 5 4 2 2 7" xfId="2612" xr:uid="{00000000-0005-0000-0000-0000D41A0000}"/>
    <cellStyle name="Normal 5 4 2 2 7 2" xfId="6896" xr:uid="{00000000-0005-0000-0000-0000D51A0000}"/>
    <cellStyle name="Normal 5 4 2 2 7 2 2" xfId="15335" xr:uid="{6BCFCE31-425D-4D5D-88A9-9E16D0306076}"/>
    <cellStyle name="Normal 5 4 2 2 7 3" xfId="11117" xr:uid="{A23457AB-6165-4A6E-BA96-6605220FABB1}"/>
    <cellStyle name="Normal 5 4 2 2 8" xfId="4831" xr:uid="{00000000-0005-0000-0000-0000D61A0000}"/>
    <cellStyle name="Normal 5 4 2 2 8 2" xfId="13270" xr:uid="{83A6C417-A231-4C21-87C4-9C921E4F6EEE}"/>
    <cellStyle name="Normal 5 4 2 2 9" xfId="9052" xr:uid="{F7B045E5-6C00-463B-9EE6-B0C5C181877F}"/>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30" xr:uid="{AAF85CCE-34F6-40DB-A3F4-DEA991E9D402}"/>
    <cellStyle name="Normal 5 4 2 3 2 2 3" xfId="11612" xr:uid="{C4EA60EC-AA1F-411D-BF1B-1051F5FCFF80}"/>
    <cellStyle name="Normal 5 4 2 3 2 3" xfId="5246" xr:uid="{00000000-0005-0000-0000-0000DB1A0000}"/>
    <cellStyle name="Normal 5 4 2 3 2 3 2" xfId="13685" xr:uid="{65B6F73F-7EFF-4BA9-B5FB-535B42CDF44E}"/>
    <cellStyle name="Normal 5 4 2 3 2 4" xfId="9467" xr:uid="{3863E58A-8881-4E93-B65D-2C61050A7632}"/>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3" xr:uid="{22995DBC-3767-4DDD-9549-D34F8C90EABB}"/>
    <cellStyle name="Normal 5 4 2 3 3 2 3" xfId="12025" xr:uid="{805E4712-3ACA-4D92-826A-46D3880FDCB3}"/>
    <cellStyle name="Normal 5 4 2 3 3 3" xfId="5659" xr:uid="{00000000-0005-0000-0000-0000DF1A0000}"/>
    <cellStyle name="Normal 5 4 2 3 3 3 2" xfId="14098" xr:uid="{449C0BE2-D320-4051-9122-EE64594759E3}"/>
    <cellStyle name="Normal 5 4 2 3 3 4" xfId="9880" xr:uid="{1A1A4C9D-19C7-4A9A-9B1C-7B02D22EDA52}"/>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6" xr:uid="{8AF476D1-8364-45DA-82E9-7334188D7730}"/>
    <cellStyle name="Normal 5 4 2 3 4 2 3" xfId="12438" xr:uid="{8B9AA1FD-1B90-42D7-A065-E2C7F48E99DF}"/>
    <cellStyle name="Normal 5 4 2 3 4 3" xfId="6072" xr:uid="{00000000-0005-0000-0000-0000E31A0000}"/>
    <cellStyle name="Normal 5 4 2 3 4 3 2" xfId="14511" xr:uid="{3BBE4B3F-8611-4A34-98B7-98C1AE5BE52D}"/>
    <cellStyle name="Normal 5 4 2 3 4 4" xfId="10293" xr:uid="{BD55F4A8-3BDD-4434-BE0B-41C59D8A2D5D}"/>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69" xr:uid="{7F4C6277-D415-4085-B962-168D9082A34C}"/>
    <cellStyle name="Normal 5 4 2 3 5 2 3" xfId="12851" xr:uid="{DBA030BE-C6BA-431E-BDB5-8427F7F9CC3F}"/>
    <cellStyle name="Normal 5 4 2 3 5 3" xfId="6485" xr:uid="{00000000-0005-0000-0000-0000E71A0000}"/>
    <cellStyle name="Normal 5 4 2 3 5 3 2" xfId="14924" xr:uid="{DA5C4CBC-C3B2-48B5-878B-1D10EABE1CEE}"/>
    <cellStyle name="Normal 5 4 2 3 5 4" xfId="10706" xr:uid="{3A853B73-94E7-47CC-9E7F-4D09A51748A9}"/>
    <cellStyle name="Normal 5 4 2 3 6" xfId="2614" xr:uid="{00000000-0005-0000-0000-0000E81A0000}"/>
    <cellStyle name="Normal 5 4 2 3 6 2" xfId="6898" xr:uid="{00000000-0005-0000-0000-0000E91A0000}"/>
    <cellStyle name="Normal 5 4 2 3 6 2 2" xfId="15337" xr:uid="{999028E2-78DB-4D59-888E-6E1B3B6E6916}"/>
    <cellStyle name="Normal 5 4 2 3 6 3" xfId="11119" xr:uid="{FBDF13A6-04AC-4FA5-9383-74C6F24E6BB1}"/>
    <cellStyle name="Normal 5 4 2 3 7" xfId="4833" xr:uid="{00000000-0005-0000-0000-0000EA1A0000}"/>
    <cellStyle name="Normal 5 4 2 3 7 2" xfId="13272" xr:uid="{29EDBB63-CCD1-42E7-BC7B-D8463C53CAFE}"/>
    <cellStyle name="Normal 5 4 2 3 8" xfId="9054" xr:uid="{80F03DC8-260D-4680-BAF1-53F88933B69E}"/>
    <cellStyle name="Normal 5 4 2 4" xfId="931" xr:uid="{00000000-0005-0000-0000-0000EB1A0000}"/>
    <cellStyle name="Normal 5 4 2 4 2" xfId="3165" xr:uid="{00000000-0005-0000-0000-0000EC1A0000}"/>
    <cellStyle name="Normal 5 4 2 4 2 2" xfId="7388" xr:uid="{00000000-0005-0000-0000-0000ED1A0000}"/>
    <cellStyle name="Normal 5 4 2 4 2 2 2" xfId="15827" xr:uid="{3576BB16-A65C-48F6-9078-4EB6D7CA178E}"/>
    <cellStyle name="Normal 5 4 2 4 2 3" xfId="11609" xr:uid="{5107B3AE-F126-4816-BFEC-AD8876422A96}"/>
    <cellStyle name="Normal 5 4 2 4 3" xfId="5243" xr:uid="{00000000-0005-0000-0000-0000EE1A0000}"/>
    <cellStyle name="Normal 5 4 2 4 3 2" xfId="13682" xr:uid="{D2262615-3406-4C3F-A6B8-CFCAF8DC58B6}"/>
    <cellStyle name="Normal 5 4 2 4 4" xfId="9464" xr:uid="{9B3E4592-1124-4CC6-8D50-BBC6229F9970}"/>
    <cellStyle name="Normal 5 4 2 5" xfId="1348" xr:uid="{00000000-0005-0000-0000-0000EF1A0000}"/>
    <cellStyle name="Normal 5 4 2 5 2" xfId="3578" xr:uid="{00000000-0005-0000-0000-0000F01A0000}"/>
    <cellStyle name="Normal 5 4 2 5 2 2" xfId="7801" xr:uid="{00000000-0005-0000-0000-0000F11A0000}"/>
    <cellStyle name="Normal 5 4 2 5 2 2 2" xfId="16240" xr:uid="{CF79CB52-112F-45EB-8DDB-97510241E93A}"/>
    <cellStyle name="Normal 5 4 2 5 2 3" xfId="12022" xr:uid="{6A27D1EE-382C-43DC-947B-EB8F534799CB}"/>
    <cellStyle name="Normal 5 4 2 5 3" xfId="5656" xr:uid="{00000000-0005-0000-0000-0000F21A0000}"/>
    <cellStyle name="Normal 5 4 2 5 3 2" xfId="14095" xr:uid="{48192E4E-2E4C-4446-B613-8D04CA704A69}"/>
    <cellStyle name="Normal 5 4 2 5 4" xfId="9877" xr:uid="{9128461C-BF73-47CC-A34B-1A5BF8A06024}"/>
    <cellStyle name="Normal 5 4 2 6" xfId="1761" xr:uid="{00000000-0005-0000-0000-0000F31A0000}"/>
    <cellStyle name="Normal 5 4 2 6 2" xfId="3991" xr:uid="{00000000-0005-0000-0000-0000F41A0000}"/>
    <cellStyle name="Normal 5 4 2 6 2 2" xfId="8214" xr:uid="{00000000-0005-0000-0000-0000F51A0000}"/>
    <cellStyle name="Normal 5 4 2 6 2 2 2" xfId="16653" xr:uid="{BBD5362A-1CB7-4BFC-9E43-F2B948D2B5EE}"/>
    <cellStyle name="Normal 5 4 2 6 2 3" xfId="12435" xr:uid="{902D508B-13A3-47AF-A1D5-71A5804EE58E}"/>
    <cellStyle name="Normal 5 4 2 6 3" xfId="6069" xr:uid="{00000000-0005-0000-0000-0000F61A0000}"/>
    <cellStyle name="Normal 5 4 2 6 3 2" xfId="14508" xr:uid="{CBB679F6-3927-4764-9FFE-A930D911E77D}"/>
    <cellStyle name="Normal 5 4 2 6 4" xfId="10290" xr:uid="{CCD5A107-8467-4FA3-96C7-3BDD5486D1C1}"/>
    <cellStyle name="Normal 5 4 2 7" xfId="2175" xr:uid="{00000000-0005-0000-0000-0000F71A0000}"/>
    <cellStyle name="Normal 5 4 2 7 2" xfId="4404" xr:uid="{00000000-0005-0000-0000-0000F81A0000}"/>
    <cellStyle name="Normal 5 4 2 7 2 2" xfId="8627" xr:uid="{00000000-0005-0000-0000-0000F91A0000}"/>
    <cellStyle name="Normal 5 4 2 7 2 2 2" xfId="17066" xr:uid="{74807A29-7AA5-4BDF-BED7-414314630427}"/>
    <cellStyle name="Normal 5 4 2 7 2 3" xfId="12848" xr:uid="{7A02E5A1-FE1C-45AD-8A85-E05A9A805350}"/>
    <cellStyle name="Normal 5 4 2 7 3" xfId="6482" xr:uid="{00000000-0005-0000-0000-0000FA1A0000}"/>
    <cellStyle name="Normal 5 4 2 7 3 2" xfId="14921" xr:uid="{5291CD64-9BBA-4CE9-8DE3-E51795C8D96E}"/>
    <cellStyle name="Normal 5 4 2 7 4" xfId="10703" xr:uid="{518F9EE7-5762-44A8-B293-BCE56AAE6159}"/>
    <cellStyle name="Normal 5 4 2 8" xfId="2611" xr:uid="{00000000-0005-0000-0000-0000FB1A0000}"/>
    <cellStyle name="Normal 5 4 2 8 2" xfId="6895" xr:uid="{00000000-0005-0000-0000-0000FC1A0000}"/>
    <cellStyle name="Normal 5 4 2 8 2 2" xfId="15334" xr:uid="{629B464B-2368-4B8C-83E7-BB87E31A31A0}"/>
    <cellStyle name="Normal 5 4 2 8 3" xfId="11116" xr:uid="{1BFE654D-1BC1-4773-A682-E4BE9754F4EA}"/>
    <cellStyle name="Normal 5 4 2 9" xfId="4830" xr:uid="{00000000-0005-0000-0000-0000FD1A0000}"/>
    <cellStyle name="Normal 5 4 2 9 2" xfId="13269" xr:uid="{1BAEC0FE-CCBB-46E1-98B7-7277A93F53F9}"/>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32" xr:uid="{C19C31E5-3700-40EA-A780-0AAA91EC988E}"/>
    <cellStyle name="Normal 5 4 3 2 2 2 3" xfId="11614" xr:uid="{0422EE30-A279-418F-9CDC-C06DA419EBFF}"/>
    <cellStyle name="Normal 5 4 3 2 2 3" xfId="5248" xr:uid="{00000000-0005-0000-0000-0000031B0000}"/>
    <cellStyle name="Normal 5 4 3 2 2 3 2" xfId="13687" xr:uid="{A7C75D74-CC7A-454E-88DA-146599E3F968}"/>
    <cellStyle name="Normal 5 4 3 2 2 4" xfId="9469" xr:uid="{F583E565-DCEF-4176-9088-4AB995558248}"/>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5" xr:uid="{B99DEC89-DBF6-4D55-8F39-A127A9412CC8}"/>
    <cellStyle name="Normal 5 4 3 2 3 2 3" xfId="12027" xr:uid="{79A9CB4A-37E3-4345-8108-4D1F44FB7C90}"/>
    <cellStyle name="Normal 5 4 3 2 3 3" xfId="5661" xr:uid="{00000000-0005-0000-0000-0000071B0000}"/>
    <cellStyle name="Normal 5 4 3 2 3 3 2" xfId="14100" xr:uid="{4A46850A-D96A-4E26-9397-69FA014AFD6F}"/>
    <cellStyle name="Normal 5 4 3 2 3 4" xfId="9882" xr:uid="{84DFF27C-9A32-4CB8-B540-C161B1C8420D}"/>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58" xr:uid="{D03F897A-A71D-4DA8-B496-4304F25F5FD5}"/>
    <cellStyle name="Normal 5 4 3 2 4 2 3" xfId="12440" xr:uid="{8AA545F4-9F56-433D-B438-BFC2BAD99892}"/>
    <cellStyle name="Normal 5 4 3 2 4 3" xfId="6074" xr:uid="{00000000-0005-0000-0000-00000B1B0000}"/>
    <cellStyle name="Normal 5 4 3 2 4 3 2" xfId="14513" xr:uid="{6CA84B41-A1F7-4272-ADB8-849DAD46C359}"/>
    <cellStyle name="Normal 5 4 3 2 4 4" xfId="10295" xr:uid="{66F8C359-6F72-4C39-858E-D28229EEF8E3}"/>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71" xr:uid="{6337F2E0-66CD-4FC5-8D58-7E624811130C}"/>
    <cellStyle name="Normal 5 4 3 2 5 2 3" xfId="12853" xr:uid="{A9C1D8A9-51EA-4922-B5F1-8C6FEB57AA0B}"/>
    <cellStyle name="Normal 5 4 3 2 5 3" xfId="6487" xr:uid="{00000000-0005-0000-0000-00000F1B0000}"/>
    <cellStyle name="Normal 5 4 3 2 5 3 2" xfId="14926" xr:uid="{4E754145-CD65-40A2-B4D2-4378E3C50BB3}"/>
    <cellStyle name="Normal 5 4 3 2 5 4" xfId="10708" xr:uid="{07227B1B-608D-44CC-B101-27AF75D5CF08}"/>
    <cellStyle name="Normal 5 4 3 2 6" xfId="2616" xr:uid="{00000000-0005-0000-0000-0000101B0000}"/>
    <cellStyle name="Normal 5 4 3 2 6 2" xfId="6900" xr:uid="{00000000-0005-0000-0000-0000111B0000}"/>
    <cellStyle name="Normal 5 4 3 2 6 2 2" xfId="15339" xr:uid="{4B5FC6D8-3FCE-4BDC-BB75-8D3826A1FC17}"/>
    <cellStyle name="Normal 5 4 3 2 6 3" xfId="11121" xr:uid="{7ED06B06-984D-4BB6-833D-39D4C68CD50F}"/>
    <cellStyle name="Normal 5 4 3 2 7" xfId="4835" xr:uid="{00000000-0005-0000-0000-0000121B0000}"/>
    <cellStyle name="Normal 5 4 3 2 7 2" xfId="13274" xr:uid="{7DE91558-7F5B-4AE7-B496-04CC0205CC99}"/>
    <cellStyle name="Normal 5 4 3 2 8" xfId="9056" xr:uid="{F70FA0E1-B348-470E-9FD6-5889E6B1F8C3}"/>
    <cellStyle name="Normal 5 4 3 3" xfId="935" xr:uid="{00000000-0005-0000-0000-0000131B0000}"/>
    <cellStyle name="Normal 5 4 3 3 2" xfId="3169" xr:uid="{00000000-0005-0000-0000-0000141B0000}"/>
    <cellStyle name="Normal 5 4 3 3 2 2" xfId="7392" xr:uid="{00000000-0005-0000-0000-0000151B0000}"/>
    <cellStyle name="Normal 5 4 3 3 2 2 2" xfId="15831" xr:uid="{06BE105D-4E68-49D0-87BC-099BE840CC02}"/>
    <cellStyle name="Normal 5 4 3 3 2 3" xfId="11613" xr:uid="{F84592A8-55BB-4486-A6F6-C2577C916599}"/>
    <cellStyle name="Normal 5 4 3 3 3" xfId="5247" xr:uid="{00000000-0005-0000-0000-0000161B0000}"/>
    <cellStyle name="Normal 5 4 3 3 3 2" xfId="13686" xr:uid="{D3F4764E-791F-4642-A5BA-8BDAFF002B81}"/>
    <cellStyle name="Normal 5 4 3 3 4" xfId="9468" xr:uid="{5DFCB471-D3FB-4245-A49F-137C4A5757D1}"/>
    <cellStyle name="Normal 5 4 3 4" xfId="1352" xr:uid="{00000000-0005-0000-0000-0000171B0000}"/>
    <cellStyle name="Normal 5 4 3 4 2" xfId="3582" xr:uid="{00000000-0005-0000-0000-0000181B0000}"/>
    <cellStyle name="Normal 5 4 3 4 2 2" xfId="7805" xr:uid="{00000000-0005-0000-0000-0000191B0000}"/>
    <cellStyle name="Normal 5 4 3 4 2 2 2" xfId="16244" xr:uid="{C09AED5C-4551-4D2A-AFD7-59CE3E3F0614}"/>
    <cellStyle name="Normal 5 4 3 4 2 3" xfId="12026" xr:uid="{229517FF-46CD-4B05-BA31-287FF60FC780}"/>
    <cellStyle name="Normal 5 4 3 4 3" xfId="5660" xr:uid="{00000000-0005-0000-0000-00001A1B0000}"/>
    <cellStyle name="Normal 5 4 3 4 3 2" xfId="14099" xr:uid="{97BF147C-B95C-46F4-9BB8-82EE03A99179}"/>
    <cellStyle name="Normal 5 4 3 4 4" xfId="9881" xr:uid="{82832B1A-A605-4957-9407-2720CAD3C738}"/>
    <cellStyle name="Normal 5 4 3 5" xfId="1765" xr:uid="{00000000-0005-0000-0000-00001B1B0000}"/>
    <cellStyle name="Normal 5 4 3 5 2" xfId="3995" xr:uid="{00000000-0005-0000-0000-00001C1B0000}"/>
    <cellStyle name="Normal 5 4 3 5 2 2" xfId="8218" xr:uid="{00000000-0005-0000-0000-00001D1B0000}"/>
    <cellStyle name="Normal 5 4 3 5 2 2 2" xfId="16657" xr:uid="{6AB28FE4-DD31-4227-9FBA-9A09C9F5B575}"/>
    <cellStyle name="Normal 5 4 3 5 2 3" xfId="12439" xr:uid="{0207E8F9-63FC-49A7-81DF-534E7A8A01CE}"/>
    <cellStyle name="Normal 5 4 3 5 3" xfId="6073" xr:uid="{00000000-0005-0000-0000-00001E1B0000}"/>
    <cellStyle name="Normal 5 4 3 5 3 2" xfId="14512" xr:uid="{8D7118BF-F97E-4623-8573-1AB89770E911}"/>
    <cellStyle name="Normal 5 4 3 5 4" xfId="10294" xr:uid="{EEDF0802-5AA9-493C-B0A0-F89BBD99332A}"/>
    <cellStyle name="Normal 5 4 3 6" xfId="2179" xr:uid="{00000000-0005-0000-0000-00001F1B0000}"/>
    <cellStyle name="Normal 5 4 3 6 2" xfId="4408" xr:uid="{00000000-0005-0000-0000-0000201B0000}"/>
    <cellStyle name="Normal 5 4 3 6 2 2" xfId="8631" xr:uid="{00000000-0005-0000-0000-0000211B0000}"/>
    <cellStyle name="Normal 5 4 3 6 2 2 2" xfId="17070" xr:uid="{E71A3912-D083-4EAC-8FF0-8DB8DC4623FE}"/>
    <cellStyle name="Normal 5 4 3 6 2 3" xfId="12852" xr:uid="{76553552-245A-496F-B1DD-0EBBCF689C26}"/>
    <cellStyle name="Normal 5 4 3 6 3" xfId="6486" xr:uid="{00000000-0005-0000-0000-0000221B0000}"/>
    <cellStyle name="Normal 5 4 3 6 3 2" xfId="14925" xr:uid="{1C9F71FB-2B45-4077-A3BA-969F3D664B75}"/>
    <cellStyle name="Normal 5 4 3 6 4" xfId="10707" xr:uid="{A06D5AF9-A37E-48D6-943C-DBE7420E60D4}"/>
    <cellStyle name="Normal 5 4 3 7" xfId="2615" xr:uid="{00000000-0005-0000-0000-0000231B0000}"/>
    <cellStyle name="Normal 5 4 3 7 2" xfId="6899" xr:uid="{00000000-0005-0000-0000-0000241B0000}"/>
    <cellStyle name="Normal 5 4 3 7 2 2" xfId="15338" xr:uid="{403AF6B4-65BE-4BD4-A5D2-FE15F8056980}"/>
    <cellStyle name="Normal 5 4 3 7 3" xfId="11120" xr:uid="{3CF3D1C4-5BE9-4CE1-AE8F-0567B3DF525F}"/>
    <cellStyle name="Normal 5 4 3 8" xfId="4834" xr:uid="{00000000-0005-0000-0000-0000251B0000}"/>
    <cellStyle name="Normal 5 4 3 8 2" xfId="13273" xr:uid="{5618D8E1-0B7B-4531-95EF-B77B91B21EE7}"/>
    <cellStyle name="Normal 5 4 3 9" xfId="9055" xr:uid="{0E189839-2CE8-46DD-894D-ED20497AA487}"/>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5833" xr:uid="{74CD4F70-6305-443E-8642-7EEE2DCAB10A}"/>
    <cellStyle name="Normal 5 4 4 2 2 3" xfId="11615" xr:uid="{09552FC1-F395-4E9A-9AB2-91FD3EFA7BE6}"/>
    <cellStyle name="Normal 5 4 4 2 3" xfId="5249" xr:uid="{00000000-0005-0000-0000-00002A1B0000}"/>
    <cellStyle name="Normal 5 4 4 2 3 2" xfId="13688" xr:uid="{DE28DF2B-D719-4061-B9B0-BB57427DF825}"/>
    <cellStyle name="Normal 5 4 4 2 4" xfId="9470" xr:uid="{7DEEFD2F-A9A4-4B2B-A50C-0058ACADB6E2}"/>
    <cellStyle name="Normal 5 4 4 3" xfId="1354" xr:uid="{00000000-0005-0000-0000-00002B1B0000}"/>
    <cellStyle name="Normal 5 4 4 3 2" xfId="3584" xr:uid="{00000000-0005-0000-0000-00002C1B0000}"/>
    <cellStyle name="Normal 5 4 4 3 2 2" xfId="7807" xr:uid="{00000000-0005-0000-0000-00002D1B0000}"/>
    <cellStyle name="Normal 5 4 4 3 2 2 2" xfId="16246" xr:uid="{6F4F3C50-55DA-42D1-A01B-C12769ABCD71}"/>
    <cellStyle name="Normal 5 4 4 3 2 3" xfId="12028" xr:uid="{DF521425-BC3E-4957-8F38-A1CE4480055C}"/>
    <cellStyle name="Normal 5 4 4 3 3" xfId="5662" xr:uid="{00000000-0005-0000-0000-00002E1B0000}"/>
    <cellStyle name="Normal 5 4 4 3 3 2" xfId="14101" xr:uid="{204AE5E0-EADB-4475-9545-D5D7299E2E22}"/>
    <cellStyle name="Normal 5 4 4 3 4" xfId="9883" xr:uid="{41CDD143-6819-40CF-B915-625485F1CD1E}"/>
    <cellStyle name="Normal 5 4 4 4" xfId="1767" xr:uid="{00000000-0005-0000-0000-00002F1B0000}"/>
    <cellStyle name="Normal 5 4 4 4 2" xfId="3997" xr:uid="{00000000-0005-0000-0000-0000301B0000}"/>
    <cellStyle name="Normal 5 4 4 4 2 2" xfId="8220" xr:uid="{00000000-0005-0000-0000-0000311B0000}"/>
    <cellStyle name="Normal 5 4 4 4 2 2 2" xfId="16659" xr:uid="{9AFB71E4-8AFF-4C6F-BAED-A329884DCD25}"/>
    <cellStyle name="Normal 5 4 4 4 2 3" xfId="12441" xr:uid="{A533C6C0-7D1C-432B-9017-D19D48BBBF7D}"/>
    <cellStyle name="Normal 5 4 4 4 3" xfId="6075" xr:uid="{00000000-0005-0000-0000-0000321B0000}"/>
    <cellStyle name="Normal 5 4 4 4 3 2" xfId="14514" xr:uid="{9FECFAA3-4A8E-46A6-859D-86C0B12F52FB}"/>
    <cellStyle name="Normal 5 4 4 4 4" xfId="10296" xr:uid="{C6CED1E5-CC20-4662-AB29-1723C4EE44BD}"/>
    <cellStyle name="Normal 5 4 4 5" xfId="2181" xr:uid="{00000000-0005-0000-0000-0000331B0000}"/>
    <cellStyle name="Normal 5 4 4 5 2" xfId="4410" xr:uid="{00000000-0005-0000-0000-0000341B0000}"/>
    <cellStyle name="Normal 5 4 4 5 2 2" xfId="8633" xr:uid="{00000000-0005-0000-0000-0000351B0000}"/>
    <cellStyle name="Normal 5 4 4 5 2 2 2" xfId="17072" xr:uid="{6261613F-FCCB-4AFA-83AC-03736B06A105}"/>
    <cellStyle name="Normal 5 4 4 5 2 3" xfId="12854" xr:uid="{C1F232BC-CA6C-482B-A3A3-68A91896EAB7}"/>
    <cellStyle name="Normal 5 4 4 5 3" xfId="6488" xr:uid="{00000000-0005-0000-0000-0000361B0000}"/>
    <cellStyle name="Normal 5 4 4 5 3 2" xfId="14927" xr:uid="{31F0A17E-A53C-4408-86F2-030DE9595C26}"/>
    <cellStyle name="Normal 5 4 4 5 4" xfId="10709" xr:uid="{3226AD31-8897-4284-AA48-71B8186F5DAB}"/>
    <cellStyle name="Normal 5 4 4 6" xfId="2617" xr:uid="{00000000-0005-0000-0000-0000371B0000}"/>
    <cellStyle name="Normal 5 4 4 6 2" xfId="6901" xr:uid="{00000000-0005-0000-0000-0000381B0000}"/>
    <cellStyle name="Normal 5 4 4 6 2 2" xfId="15340" xr:uid="{15C874E8-237B-427B-97A4-7BC60C8B871A}"/>
    <cellStyle name="Normal 5 4 4 6 3" xfId="11122" xr:uid="{14232C33-927C-46DC-A3C0-7959CE21A3AE}"/>
    <cellStyle name="Normal 5 4 4 7" xfId="4836" xr:uid="{00000000-0005-0000-0000-0000391B0000}"/>
    <cellStyle name="Normal 5 4 4 7 2" xfId="13275" xr:uid="{9DB27903-AA10-4473-BEE5-EE1E05EAD71B}"/>
    <cellStyle name="Normal 5 4 4 8" xfId="9057" xr:uid="{376CC1A2-8E13-43B1-AD0D-B7115867BEDD}"/>
    <cellStyle name="Normal 5 4 5" xfId="930" xr:uid="{00000000-0005-0000-0000-00003A1B0000}"/>
    <cellStyle name="Normal 5 4 5 2" xfId="3164" xr:uid="{00000000-0005-0000-0000-00003B1B0000}"/>
    <cellStyle name="Normal 5 4 5 2 2" xfId="7387" xr:uid="{00000000-0005-0000-0000-00003C1B0000}"/>
    <cellStyle name="Normal 5 4 5 2 2 2" xfId="15826" xr:uid="{371E6862-788C-4634-9416-AE084A8EF262}"/>
    <cellStyle name="Normal 5 4 5 2 3" xfId="11608" xr:uid="{E91A11B8-53CE-4852-A8BA-B4879F1FDD7C}"/>
    <cellStyle name="Normal 5 4 5 3" xfId="5242" xr:uid="{00000000-0005-0000-0000-00003D1B0000}"/>
    <cellStyle name="Normal 5 4 5 3 2" xfId="13681" xr:uid="{36BE69E3-3714-4979-ACC5-4B26CC4ECBB0}"/>
    <cellStyle name="Normal 5 4 5 4" xfId="9463" xr:uid="{74D8DE2F-E5DC-4855-B916-83BA2986923F}"/>
    <cellStyle name="Normal 5 4 6" xfId="1347" xr:uid="{00000000-0005-0000-0000-00003E1B0000}"/>
    <cellStyle name="Normal 5 4 6 2" xfId="3577" xr:uid="{00000000-0005-0000-0000-00003F1B0000}"/>
    <cellStyle name="Normal 5 4 6 2 2" xfId="7800" xr:uid="{00000000-0005-0000-0000-0000401B0000}"/>
    <cellStyle name="Normal 5 4 6 2 2 2" xfId="16239" xr:uid="{D723E7A5-1CE0-4432-8386-0CDD4D5D0605}"/>
    <cellStyle name="Normal 5 4 6 2 3" xfId="12021" xr:uid="{441BF3CA-236E-4113-83E5-FCF05BD7CEA0}"/>
    <cellStyle name="Normal 5 4 6 3" xfId="5655" xr:uid="{00000000-0005-0000-0000-0000411B0000}"/>
    <cellStyle name="Normal 5 4 6 3 2" xfId="14094" xr:uid="{0B67009E-734F-4DCF-A3CA-0F1BEEDB3B37}"/>
    <cellStyle name="Normal 5 4 6 4" xfId="9876" xr:uid="{0727714F-B763-453B-95F1-8BBC11F97CBA}"/>
    <cellStyle name="Normal 5 4 7" xfId="1760" xr:uid="{00000000-0005-0000-0000-0000421B0000}"/>
    <cellStyle name="Normal 5 4 7 2" xfId="3990" xr:uid="{00000000-0005-0000-0000-0000431B0000}"/>
    <cellStyle name="Normal 5 4 7 2 2" xfId="8213" xr:uid="{00000000-0005-0000-0000-0000441B0000}"/>
    <cellStyle name="Normal 5 4 7 2 2 2" xfId="16652" xr:uid="{1F21F56A-59FF-4529-81DB-359FC65DE924}"/>
    <cellStyle name="Normal 5 4 7 2 3" xfId="12434" xr:uid="{3C84214E-41EF-47D3-97E1-901BCE8E2F1B}"/>
    <cellStyle name="Normal 5 4 7 3" xfId="6068" xr:uid="{00000000-0005-0000-0000-0000451B0000}"/>
    <cellStyle name="Normal 5 4 7 3 2" xfId="14507" xr:uid="{DE4AEF9D-1FED-4271-8BC6-875B608CBA96}"/>
    <cellStyle name="Normal 5 4 7 4" xfId="10289" xr:uid="{31D31725-64D1-4A69-9B7C-C8049EC53A68}"/>
    <cellStyle name="Normal 5 4 8" xfId="2174" xr:uid="{00000000-0005-0000-0000-0000461B0000}"/>
    <cellStyle name="Normal 5 4 8 2" xfId="4403" xr:uid="{00000000-0005-0000-0000-0000471B0000}"/>
    <cellStyle name="Normal 5 4 8 2 2" xfId="8626" xr:uid="{00000000-0005-0000-0000-0000481B0000}"/>
    <cellStyle name="Normal 5 4 8 2 2 2" xfId="17065" xr:uid="{A78B48D9-9912-41EB-AB53-F22F2FB2F0A9}"/>
    <cellStyle name="Normal 5 4 8 2 3" xfId="12847" xr:uid="{B50EA4AD-B1B5-423E-BE80-B362076C9F30}"/>
    <cellStyle name="Normal 5 4 8 3" xfId="6481" xr:uid="{00000000-0005-0000-0000-0000491B0000}"/>
    <cellStyle name="Normal 5 4 8 3 2" xfId="14920" xr:uid="{6D7B60DA-4CC6-491B-8196-B0FDDFDDB86C}"/>
    <cellStyle name="Normal 5 4 8 4" xfId="10702" xr:uid="{BA466061-7577-4106-B379-618C41272526}"/>
    <cellStyle name="Normal 5 4 9" xfId="2610" xr:uid="{00000000-0005-0000-0000-00004A1B0000}"/>
    <cellStyle name="Normal 5 4 9 2" xfId="6894" xr:uid="{00000000-0005-0000-0000-00004B1B0000}"/>
    <cellStyle name="Normal 5 4 9 2 2" xfId="15333" xr:uid="{DCDD8F05-6F7F-4B72-814F-15C7338F33DC}"/>
    <cellStyle name="Normal 5 4 9 3" xfId="11115" xr:uid="{AACA930C-4F8A-4B54-8ACF-1CBF510D04AE}"/>
    <cellStyle name="Normal 5 5" xfId="464" xr:uid="{00000000-0005-0000-0000-00004C1B0000}"/>
    <cellStyle name="Normal 5 5 10" xfId="9058" xr:uid="{96B99FFF-EE5F-46CC-BA5B-41C251845BD5}"/>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6" xr:uid="{FA627766-8120-4EB2-811B-159B6BBC2E4A}"/>
    <cellStyle name="Normal 5 5 2 2 2 2 3" xfId="11618" xr:uid="{9040AB8C-321A-4905-84D2-9A1F81D7A434}"/>
    <cellStyle name="Normal 5 5 2 2 2 3" xfId="5252" xr:uid="{00000000-0005-0000-0000-0000521B0000}"/>
    <cellStyle name="Normal 5 5 2 2 2 3 2" xfId="13691" xr:uid="{04FF5BB3-95F1-4346-B2F3-E982B3C55888}"/>
    <cellStyle name="Normal 5 5 2 2 2 4" xfId="9473" xr:uid="{E2D6EE1C-AA32-416B-BE04-CCD50F6A2256}"/>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49" xr:uid="{415DCB22-B4C0-4093-A15E-F6698EE08479}"/>
    <cellStyle name="Normal 5 5 2 2 3 2 3" xfId="12031" xr:uid="{3FEEDD44-8DF4-410B-B9AD-BE54AB758259}"/>
    <cellStyle name="Normal 5 5 2 2 3 3" xfId="5665" xr:uid="{00000000-0005-0000-0000-0000561B0000}"/>
    <cellStyle name="Normal 5 5 2 2 3 3 2" xfId="14104" xr:uid="{F831023E-E562-46A2-A8DC-B1DFA3F88401}"/>
    <cellStyle name="Normal 5 5 2 2 3 4" xfId="9886" xr:uid="{25A32FDC-9083-487B-8C90-B37EF0F39581}"/>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62" xr:uid="{EB0F06B9-6E0D-4FE5-96C5-DE3D48BD694F}"/>
    <cellStyle name="Normal 5 5 2 2 4 2 3" xfId="12444" xr:uid="{B4C33F6A-7081-46E6-9E6D-791E9E3E44A4}"/>
    <cellStyle name="Normal 5 5 2 2 4 3" xfId="6078" xr:uid="{00000000-0005-0000-0000-00005A1B0000}"/>
    <cellStyle name="Normal 5 5 2 2 4 3 2" xfId="14517" xr:uid="{AC84A9DF-A2C0-4FC7-8815-222391772363}"/>
    <cellStyle name="Normal 5 5 2 2 4 4" xfId="10299" xr:uid="{80FEF8CC-6723-43A7-B47C-37719EEB30CB}"/>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5" xr:uid="{F3EF67E2-BF45-4209-9F79-E37981E613E6}"/>
    <cellStyle name="Normal 5 5 2 2 5 2 3" xfId="12857" xr:uid="{3618B7EF-14CD-4303-BA3D-DE30E68E7CE6}"/>
    <cellStyle name="Normal 5 5 2 2 5 3" xfId="6491" xr:uid="{00000000-0005-0000-0000-00005E1B0000}"/>
    <cellStyle name="Normal 5 5 2 2 5 3 2" xfId="14930" xr:uid="{09D98FA2-69D6-46F2-BBEE-4366F32FEDC3}"/>
    <cellStyle name="Normal 5 5 2 2 5 4" xfId="10712" xr:uid="{25BE50A1-4B55-4A7F-9094-A47B436D1E2B}"/>
    <cellStyle name="Normal 5 5 2 2 6" xfId="2620" xr:uid="{00000000-0005-0000-0000-00005F1B0000}"/>
    <cellStyle name="Normal 5 5 2 2 6 2" xfId="6904" xr:uid="{00000000-0005-0000-0000-0000601B0000}"/>
    <cellStyle name="Normal 5 5 2 2 6 2 2" xfId="15343" xr:uid="{E5FCE4B1-C0FD-4DE8-B8F9-91F87BA5F715}"/>
    <cellStyle name="Normal 5 5 2 2 6 3" xfId="11125" xr:uid="{32B45F3E-58FD-4BFD-981E-4233B4CA6D5B}"/>
    <cellStyle name="Normal 5 5 2 2 7" xfId="4839" xr:uid="{00000000-0005-0000-0000-0000611B0000}"/>
    <cellStyle name="Normal 5 5 2 2 7 2" xfId="13278" xr:uid="{2F929C3D-7B84-48E8-8BF7-B0EDC232260C}"/>
    <cellStyle name="Normal 5 5 2 2 8" xfId="9060" xr:uid="{75E7E69C-F2B1-43D4-B992-898191C8C00D}"/>
    <cellStyle name="Normal 5 5 2 3" xfId="939" xr:uid="{00000000-0005-0000-0000-0000621B0000}"/>
    <cellStyle name="Normal 5 5 2 3 2" xfId="3173" xr:uid="{00000000-0005-0000-0000-0000631B0000}"/>
    <cellStyle name="Normal 5 5 2 3 2 2" xfId="7396" xr:uid="{00000000-0005-0000-0000-0000641B0000}"/>
    <cellStyle name="Normal 5 5 2 3 2 2 2" xfId="15835" xr:uid="{BA2384A3-9BCD-4B38-BD7A-FDCB1EEA0F9E}"/>
    <cellStyle name="Normal 5 5 2 3 2 3" xfId="11617" xr:uid="{86AB13FF-591E-40A0-A006-744A25CFE2E3}"/>
    <cellStyle name="Normal 5 5 2 3 3" xfId="5251" xr:uid="{00000000-0005-0000-0000-0000651B0000}"/>
    <cellStyle name="Normal 5 5 2 3 3 2" xfId="13690" xr:uid="{582AF38A-56F8-461D-A7B7-44AD0FBF5C32}"/>
    <cellStyle name="Normal 5 5 2 3 4" xfId="9472" xr:uid="{E1BEC27D-11DC-4039-8CBC-E2FC4468FBA3}"/>
    <cellStyle name="Normal 5 5 2 4" xfId="1356" xr:uid="{00000000-0005-0000-0000-0000661B0000}"/>
    <cellStyle name="Normal 5 5 2 4 2" xfId="3586" xr:uid="{00000000-0005-0000-0000-0000671B0000}"/>
    <cellStyle name="Normal 5 5 2 4 2 2" xfId="7809" xr:uid="{00000000-0005-0000-0000-0000681B0000}"/>
    <cellStyle name="Normal 5 5 2 4 2 2 2" xfId="16248" xr:uid="{B362F77C-8FDF-460F-80BB-56FA5D751BF4}"/>
    <cellStyle name="Normal 5 5 2 4 2 3" xfId="12030" xr:uid="{A21EC28A-D7CC-4306-AE65-F52C03CA3229}"/>
    <cellStyle name="Normal 5 5 2 4 3" xfId="5664" xr:uid="{00000000-0005-0000-0000-0000691B0000}"/>
    <cellStyle name="Normal 5 5 2 4 3 2" xfId="14103" xr:uid="{4627DEC4-3B13-40A5-ABDB-5DFBFB223B82}"/>
    <cellStyle name="Normal 5 5 2 4 4" xfId="9885" xr:uid="{0A76AC94-CE2C-4252-8FC1-15B8B915C8D4}"/>
    <cellStyle name="Normal 5 5 2 5" xfId="1769" xr:uid="{00000000-0005-0000-0000-00006A1B0000}"/>
    <cellStyle name="Normal 5 5 2 5 2" xfId="3999" xr:uid="{00000000-0005-0000-0000-00006B1B0000}"/>
    <cellStyle name="Normal 5 5 2 5 2 2" xfId="8222" xr:uid="{00000000-0005-0000-0000-00006C1B0000}"/>
    <cellStyle name="Normal 5 5 2 5 2 2 2" xfId="16661" xr:uid="{7E5E689E-D0DB-41D8-A5A3-EE0A332B2D65}"/>
    <cellStyle name="Normal 5 5 2 5 2 3" xfId="12443" xr:uid="{A8D8058E-AF5F-4E01-A997-D871BE187B98}"/>
    <cellStyle name="Normal 5 5 2 5 3" xfId="6077" xr:uid="{00000000-0005-0000-0000-00006D1B0000}"/>
    <cellStyle name="Normal 5 5 2 5 3 2" xfId="14516" xr:uid="{6ADE3FE8-CE66-46BD-8961-76160E095F48}"/>
    <cellStyle name="Normal 5 5 2 5 4" xfId="10298" xr:uid="{36289037-B7B3-4381-9025-1AD84C7A5A97}"/>
    <cellStyle name="Normal 5 5 2 6" xfId="2183" xr:uid="{00000000-0005-0000-0000-00006E1B0000}"/>
    <cellStyle name="Normal 5 5 2 6 2" xfId="4412" xr:uid="{00000000-0005-0000-0000-00006F1B0000}"/>
    <cellStyle name="Normal 5 5 2 6 2 2" xfId="8635" xr:uid="{00000000-0005-0000-0000-0000701B0000}"/>
    <cellStyle name="Normal 5 5 2 6 2 2 2" xfId="17074" xr:uid="{9F19B9A8-BEE5-4A67-B033-49468AF03113}"/>
    <cellStyle name="Normal 5 5 2 6 2 3" xfId="12856" xr:uid="{DD58FE50-22E2-4C4F-90E8-2C068F077F98}"/>
    <cellStyle name="Normal 5 5 2 6 3" xfId="6490" xr:uid="{00000000-0005-0000-0000-0000711B0000}"/>
    <cellStyle name="Normal 5 5 2 6 3 2" xfId="14929" xr:uid="{23878162-31FB-4B92-A79B-38F482FB5A5E}"/>
    <cellStyle name="Normal 5 5 2 6 4" xfId="10711" xr:uid="{D348314B-ED3B-4BDA-BD8D-B4B65D515187}"/>
    <cellStyle name="Normal 5 5 2 7" xfId="2619" xr:uid="{00000000-0005-0000-0000-0000721B0000}"/>
    <cellStyle name="Normal 5 5 2 7 2" xfId="6903" xr:uid="{00000000-0005-0000-0000-0000731B0000}"/>
    <cellStyle name="Normal 5 5 2 7 2 2" xfId="15342" xr:uid="{A8E3D76E-D3AF-4117-9E73-F20F36430CF0}"/>
    <cellStyle name="Normal 5 5 2 7 3" xfId="11124" xr:uid="{41B59D06-8C2E-413E-A07B-268CEAD3A927}"/>
    <cellStyle name="Normal 5 5 2 8" xfId="4838" xr:uid="{00000000-0005-0000-0000-0000741B0000}"/>
    <cellStyle name="Normal 5 5 2 8 2" xfId="13277" xr:uid="{851B8A2A-C194-4DA2-8B12-331FF89188F8}"/>
    <cellStyle name="Normal 5 5 2 9" xfId="9059" xr:uid="{1C93967F-8049-4B20-ABB3-7C4AF67FA77E}"/>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5837" xr:uid="{AFFA5B24-4CE2-4718-A460-3D7887E8750B}"/>
    <cellStyle name="Normal 5 5 3 2 2 3" xfId="11619" xr:uid="{974560E7-6476-41BE-B91E-7B507CAD153A}"/>
    <cellStyle name="Normal 5 5 3 2 3" xfId="5253" xr:uid="{00000000-0005-0000-0000-0000791B0000}"/>
    <cellStyle name="Normal 5 5 3 2 3 2" xfId="13692" xr:uid="{3CFA4738-0E8F-4413-86C8-2B9F5BA3CFE2}"/>
    <cellStyle name="Normal 5 5 3 2 4" xfId="9474" xr:uid="{4F836BDC-A489-4956-A058-1F028D29C1F7}"/>
    <cellStyle name="Normal 5 5 3 3" xfId="1358" xr:uid="{00000000-0005-0000-0000-00007A1B0000}"/>
    <cellStyle name="Normal 5 5 3 3 2" xfId="3588" xr:uid="{00000000-0005-0000-0000-00007B1B0000}"/>
    <cellStyle name="Normal 5 5 3 3 2 2" xfId="7811" xr:uid="{00000000-0005-0000-0000-00007C1B0000}"/>
    <cellStyle name="Normal 5 5 3 3 2 2 2" xfId="16250" xr:uid="{05F60566-962E-4742-A3E7-30817601AA83}"/>
    <cellStyle name="Normal 5 5 3 3 2 3" xfId="12032" xr:uid="{EE1DB2E4-4D8E-430A-962C-31C342B6691A}"/>
    <cellStyle name="Normal 5 5 3 3 3" xfId="5666" xr:uid="{00000000-0005-0000-0000-00007D1B0000}"/>
    <cellStyle name="Normal 5 5 3 3 3 2" xfId="14105" xr:uid="{EEE973EA-36D1-4FA1-B901-D9E2CFA3ED21}"/>
    <cellStyle name="Normal 5 5 3 3 4" xfId="9887" xr:uid="{F0005DB9-01B1-4D12-9415-50A71787AF1A}"/>
    <cellStyle name="Normal 5 5 3 4" xfId="1771" xr:uid="{00000000-0005-0000-0000-00007E1B0000}"/>
    <cellStyle name="Normal 5 5 3 4 2" xfId="4001" xr:uid="{00000000-0005-0000-0000-00007F1B0000}"/>
    <cellStyle name="Normal 5 5 3 4 2 2" xfId="8224" xr:uid="{00000000-0005-0000-0000-0000801B0000}"/>
    <cellStyle name="Normal 5 5 3 4 2 2 2" xfId="16663" xr:uid="{C1AF4C5E-7173-48D4-9168-1D108EC89429}"/>
    <cellStyle name="Normal 5 5 3 4 2 3" xfId="12445" xr:uid="{0B2F9F6B-9DF7-484C-B6AF-676AE26C9C38}"/>
    <cellStyle name="Normal 5 5 3 4 3" xfId="6079" xr:uid="{00000000-0005-0000-0000-0000811B0000}"/>
    <cellStyle name="Normal 5 5 3 4 3 2" xfId="14518" xr:uid="{AF63350F-D46C-4B61-B490-C65BAA0B640D}"/>
    <cellStyle name="Normal 5 5 3 4 4" xfId="10300" xr:uid="{7CB698AB-7868-4F63-86B0-584033005A72}"/>
    <cellStyle name="Normal 5 5 3 5" xfId="2185" xr:uid="{00000000-0005-0000-0000-0000821B0000}"/>
    <cellStyle name="Normal 5 5 3 5 2" xfId="4414" xr:uid="{00000000-0005-0000-0000-0000831B0000}"/>
    <cellStyle name="Normal 5 5 3 5 2 2" xfId="8637" xr:uid="{00000000-0005-0000-0000-0000841B0000}"/>
    <cellStyle name="Normal 5 5 3 5 2 2 2" xfId="17076" xr:uid="{80D7C49C-EF6D-412E-9C49-350733713008}"/>
    <cellStyle name="Normal 5 5 3 5 2 3" xfId="12858" xr:uid="{56CD7389-A60C-444D-BBFE-BD19A1A94DA5}"/>
    <cellStyle name="Normal 5 5 3 5 3" xfId="6492" xr:uid="{00000000-0005-0000-0000-0000851B0000}"/>
    <cellStyle name="Normal 5 5 3 5 3 2" xfId="14931" xr:uid="{87E9C107-655E-4DA2-83C3-470B2B01766A}"/>
    <cellStyle name="Normal 5 5 3 5 4" xfId="10713" xr:uid="{748DF766-D21E-4B14-A978-FCEE5CED07CD}"/>
    <cellStyle name="Normal 5 5 3 6" xfId="2621" xr:uid="{00000000-0005-0000-0000-0000861B0000}"/>
    <cellStyle name="Normal 5 5 3 6 2" xfId="6905" xr:uid="{00000000-0005-0000-0000-0000871B0000}"/>
    <cellStyle name="Normal 5 5 3 6 2 2" xfId="15344" xr:uid="{D92B2F92-498F-4C19-9142-C929BDEE9CA6}"/>
    <cellStyle name="Normal 5 5 3 6 3" xfId="11126" xr:uid="{F9E1E05C-8315-4CC9-BD10-E4C429C0D91E}"/>
    <cellStyle name="Normal 5 5 3 7" xfId="4840" xr:uid="{00000000-0005-0000-0000-0000881B0000}"/>
    <cellStyle name="Normal 5 5 3 7 2" xfId="13279" xr:uid="{27CCA66D-0C4E-4253-862A-9A27C910F3F6}"/>
    <cellStyle name="Normal 5 5 3 8" xfId="9061" xr:uid="{7E7B15D7-BB32-477E-AD95-32ECAA1B7673}"/>
    <cellStyle name="Normal 5 5 4" xfId="938" xr:uid="{00000000-0005-0000-0000-0000891B0000}"/>
    <cellStyle name="Normal 5 5 4 2" xfId="3172" xr:uid="{00000000-0005-0000-0000-00008A1B0000}"/>
    <cellStyle name="Normal 5 5 4 2 2" xfId="7395" xr:uid="{00000000-0005-0000-0000-00008B1B0000}"/>
    <cellStyle name="Normal 5 5 4 2 2 2" xfId="15834" xr:uid="{F67E334E-CC78-484F-82E5-D6650C7A5680}"/>
    <cellStyle name="Normal 5 5 4 2 3" xfId="11616" xr:uid="{2949B865-945D-4426-939D-403F9CD9E6AE}"/>
    <cellStyle name="Normal 5 5 4 3" xfId="5250" xr:uid="{00000000-0005-0000-0000-00008C1B0000}"/>
    <cellStyle name="Normal 5 5 4 3 2" xfId="13689" xr:uid="{C703F566-D1DC-4E22-955A-F2EC206074F8}"/>
    <cellStyle name="Normal 5 5 4 4" xfId="9471" xr:uid="{334FB834-990A-4421-B14F-EA2FD79C4D60}"/>
    <cellStyle name="Normal 5 5 5" xfId="1355" xr:uid="{00000000-0005-0000-0000-00008D1B0000}"/>
    <cellStyle name="Normal 5 5 5 2" xfId="3585" xr:uid="{00000000-0005-0000-0000-00008E1B0000}"/>
    <cellStyle name="Normal 5 5 5 2 2" xfId="7808" xr:uid="{00000000-0005-0000-0000-00008F1B0000}"/>
    <cellStyle name="Normal 5 5 5 2 2 2" xfId="16247" xr:uid="{F86628E5-1C4C-4413-B9F2-123C8872D0BA}"/>
    <cellStyle name="Normal 5 5 5 2 3" xfId="12029" xr:uid="{3E30CC71-F788-4F81-85B1-64D8E1F9939A}"/>
    <cellStyle name="Normal 5 5 5 3" xfId="5663" xr:uid="{00000000-0005-0000-0000-0000901B0000}"/>
    <cellStyle name="Normal 5 5 5 3 2" xfId="14102" xr:uid="{BE7C9CB6-D06D-4C79-8B70-9A9A7E592B90}"/>
    <cellStyle name="Normal 5 5 5 4" xfId="9884" xr:uid="{D22C4C8E-2F59-4651-BCF2-F198F2DACD93}"/>
    <cellStyle name="Normal 5 5 6" xfId="1768" xr:uid="{00000000-0005-0000-0000-0000911B0000}"/>
    <cellStyle name="Normal 5 5 6 2" xfId="3998" xr:uid="{00000000-0005-0000-0000-0000921B0000}"/>
    <cellStyle name="Normal 5 5 6 2 2" xfId="8221" xr:uid="{00000000-0005-0000-0000-0000931B0000}"/>
    <cellStyle name="Normal 5 5 6 2 2 2" xfId="16660" xr:uid="{DA66DBF4-36DE-4CAB-A7FB-3B6B06EE3195}"/>
    <cellStyle name="Normal 5 5 6 2 3" xfId="12442" xr:uid="{210C2B8D-1B33-496B-A3B8-F07B76F1605F}"/>
    <cellStyle name="Normal 5 5 6 3" xfId="6076" xr:uid="{00000000-0005-0000-0000-0000941B0000}"/>
    <cellStyle name="Normal 5 5 6 3 2" xfId="14515" xr:uid="{60F216E5-46CE-482C-86AE-C61BA1E9D14B}"/>
    <cellStyle name="Normal 5 5 6 4" xfId="10297" xr:uid="{62889132-F565-4806-BCC5-7D6E8C058E44}"/>
    <cellStyle name="Normal 5 5 7" xfId="2182" xr:uid="{00000000-0005-0000-0000-0000951B0000}"/>
    <cellStyle name="Normal 5 5 7 2" xfId="4411" xr:uid="{00000000-0005-0000-0000-0000961B0000}"/>
    <cellStyle name="Normal 5 5 7 2 2" xfId="8634" xr:uid="{00000000-0005-0000-0000-0000971B0000}"/>
    <cellStyle name="Normal 5 5 7 2 2 2" xfId="17073" xr:uid="{7FEDAF14-16F9-468C-912C-C1F2A7EEB6D8}"/>
    <cellStyle name="Normal 5 5 7 2 3" xfId="12855" xr:uid="{4A2353E1-E1B6-4077-B197-BC712895E5DB}"/>
    <cellStyle name="Normal 5 5 7 3" xfId="6489" xr:uid="{00000000-0005-0000-0000-0000981B0000}"/>
    <cellStyle name="Normal 5 5 7 3 2" xfId="14928" xr:uid="{A922B790-C1DF-4AE1-A2B0-9167CCAF2A61}"/>
    <cellStyle name="Normal 5 5 7 4" xfId="10710" xr:uid="{865D8BD3-4F28-4182-9A72-364C5A8D6F59}"/>
    <cellStyle name="Normal 5 5 8" xfId="2618" xr:uid="{00000000-0005-0000-0000-0000991B0000}"/>
    <cellStyle name="Normal 5 5 8 2" xfId="6902" xr:uid="{00000000-0005-0000-0000-00009A1B0000}"/>
    <cellStyle name="Normal 5 5 8 2 2" xfId="15341" xr:uid="{0F70D85A-69B0-4CE7-81D4-119A67CA2FB6}"/>
    <cellStyle name="Normal 5 5 8 3" xfId="11123" xr:uid="{F49259D8-C7A9-42AE-B091-BC72A077691C}"/>
    <cellStyle name="Normal 5 5 9" xfId="4837" xr:uid="{00000000-0005-0000-0000-00009B1B0000}"/>
    <cellStyle name="Normal 5 5 9 2" xfId="13276" xr:uid="{89D49EB8-B6F6-4E86-8EF1-28F784389512}"/>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5839" xr:uid="{F726DF2B-9719-41EA-BB89-D5AE82FF1AD6}"/>
    <cellStyle name="Normal 5 6 2 2 2 3" xfId="11621" xr:uid="{A03B69B4-A3C3-4D70-8E5D-87E05F00B359}"/>
    <cellStyle name="Normal 5 6 2 2 3" xfId="5255" xr:uid="{00000000-0005-0000-0000-0000A11B0000}"/>
    <cellStyle name="Normal 5 6 2 2 3 2" xfId="13694" xr:uid="{2C29F058-E886-45A1-B96B-1896FAF79858}"/>
    <cellStyle name="Normal 5 6 2 2 4" xfId="9476" xr:uid="{8544D4C9-AE57-4430-B5E4-764F40878923}"/>
    <cellStyle name="Normal 5 6 2 3" xfId="1360" xr:uid="{00000000-0005-0000-0000-0000A21B0000}"/>
    <cellStyle name="Normal 5 6 2 3 2" xfId="3590" xr:uid="{00000000-0005-0000-0000-0000A31B0000}"/>
    <cellStyle name="Normal 5 6 2 3 2 2" xfId="7813" xr:uid="{00000000-0005-0000-0000-0000A41B0000}"/>
    <cellStyle name="Normal 5 6 2 3 2 2 2" xfId="16252" xr:uid="{2465188A-AB0B-4F76-9AB2-D6873203CA04}"/>
    <cellStyle name="Normal 5 6 2 3 2 3" xfId="12034" xr:uid="{4220228E-2CDC-4346-A412-D718CBDF483C}"/>
    <cellStyle name="Normal 5 6 2 3 3" xfId="5668" xr:uid="{00000000-0005-0000-0000-0000A51B0000}"/>
    <cellStyle name="Normal 5 6 2 3 3 2" xfId="14107" xr:uid="{7BC2375D-5902-463E-A782-A377A717079C}"/>
    <cellStyle name="Normal 5 6 2 3 4" xfId="9889" xr:uid="{72254CA8-B707-4EF5-AD8E-0CB5191AE074}"/>
    <cellStyle name="Normal 5 6 2 4" xfId="1773" xr:uid="{00000000-0005-0000-0000-0000A61B0000}"/>
    <cellStyle name="Normal 5 6 2 4 2" xfId="4003" xr:uid="{00000000-0005-0000-0000-0000A71B0000}"/>
    <cellStyle name="Normal 5 6 2 4 2 2" xfId="8226" xr:uid="{00000000-0005-0000-0000-0000A81B0000}"/>
    <cellStyle name="Normal 5 6 2 4 2 2 2" xfId="16665" xr:uid="{62E48AD5-3177-404C-8424-72E3DF47558C}"/>
    <cellStyle name="Normal 5 6 2 4 2 3" xfId="12447" xr:uid="{8B5B18C5-BDCD-4FAE-B69A-5997DA53C329}"/>
    <cellStyle name="Normal 5 6 2 4 3" xfId="6081" xr:uid="{00000000-0005-0000-0000-0000A91B0000}"/>
    <cellStyle name="Normal 5 6 2 4 3 2" xfId="14520" xr:uid="{2818DF38-A3D6-4222-A28D-7F46B6FF0683}"/>
    <cellStyle name="Normal 5 6 2 4 4" xfId="10302" xr:uid="{B4139739-1D0E-4463-B356-E094E83EA461}"/>
    <cellStyle name="Normal 5 6 2 5" xfId="2187" xr:uid="{00000000-0005-0000-0000-0000AA1B0000}"/>
    <cellStyle name="Normal 5 6 2 5 2" xfId="4416" xr:uid="{00000000-0005-0000-0000-0000AB1B0000}"/>
    <cellStyle name="Normal 5 6 2 5 2 2" xfId="8639" xr:uid="{00000000-0005-0000-0000-0000AC1B0000}"/>
    <cellStyle name="Normal 5 6 2 5 2 2 2" xfId="17078" xr:uid="{1BF1BFEA-9ADE-4937-9824-FD2695A8BA7D}"/>
    <cellStyle name="Normal 5 6 2 5 2 3" xfId="12860" xr:uid="{0CF4AB0B-28F1-4AE7-94E6-B2E519B6A63F}"/>
    <cellStyle name="Normal 5 6 2 5 3" xfId="6494" xr:uid="{00000000-0005-0000-0000-0000AD1B0000}"/>
    <cellStyle name="Normal 5 6 2 5 3 2" xfId="14933" xr:uid="{54183A5F-3C59-4750-B157-14B63ED93190}"/>
    <cellStyle name="Normal 5 6 2 5 4" xfId="10715" xr:uid="{6864036B-902C-4E35-80F0-415F5D168B67}"/>
    <cellStyle name="Normal 5 6 2 6" xfId="2623" xr:uid="{00000000-0005-0000-0000-0000AE1B0000}"/>
    <cellStyle name="Normal 5 6 2 6 2" xfId="6907" xr:uid="{00000000-0005-0000-0000-0000AF1B0000}"/>
    <cellStyle name="Normal 5 6 2 6 2 2" xfId="15346" xr:uid="{92893E21-D590-4970-90F2-379697A7B1F6}"/>
    <cellStyle name="Normal 5 6 2 6 3" xfId="11128" xr:uid="{FA78C483-736A-478C-9E7F-9EC2BA7599AE}"/>
    <cellStyle name="Normal 5 6 2 7" xfId="4842" xr:uid="{00000000-0005-0000-0000-0000B01B0000}"/>
    <cellStyle name="Normal 5 6 2 7 2" xfId="13281" xr:uid="{8AB4B666-B22B-46A3-B6A6-E98CC395CB42}"/>
    <cellStyle name="Normal 5 6 2 8" xfId="9063" xr:uid="{65BEB3D1-C73A-4BAF-AEB1-9276E47C2B97}"/>
    <cellStyle name="Normal 5 6 3" xfId="942" xr:uid="{00000000-0005-0000-0000-0000B11B0000}"/>
    <cellStyle name="Normal 5 6 3 2" xfId="3176" xr:uid="{00000000-0005-0000-0000-0000B21B0000}"/>
    <cellStyle name="Normal 5 6 3 2 2" xfId="7399" xr:uid="{00000000-0005-0000-0000-0000B31B0000}"/>
    <cellStyle name="Normal 5 6 3 2 2 2" xfId="15838" xr:uid="{74EB9D23-03BD-4780-8C94-02475008AEB5}"/>
    <cellStyle name="Normal 5 6 3 2 3" xfId="11620" xr:uid="{CAA8CFB5-C8C9-492E-9381-8D6DE8F063EB}"/>
    <cellStyle name="Normal 5 6 3 3" xfId="5254" xr:uid="{00000000-0005-0000-0000-0000B41B0000}"/>
    <cellStyle name="Normal 5 6 3 3 2" xfId="13693" xr:uid="{91D9DF52-5CEA-4FD1-BE37-B4FB676A6531}"/>
    <cellStyle name="Normal 5 6 3 4" xfId="9475" xr:uid="{E6EF3B43-0D95-4A3A-BD1F-D7A5345ED1A8}"/>
    <cellStyle name="Normal 5 6 4" xfId="1359" xr:uid="{00000000-0005-0000-0000-0000B51B0000}"/>
    <cellStyle name="Normal 5 6 4 2" xfId="3589" xr:uid="{00000000-0005-0000-0000-0000B61B0000}"/>
    <cellStyle name="Normal 5 6 4 2 2" xfId="7812" xr:uid="{00000000-0005-0000-0000-0000B71B0000}"/>
    <cellStyle name="Normal 5 6 4 2 2 2" xfId="16251" xr:uid="{30DDD69E-325F-4BA2-813B-564A63D87629}"/>
    <cellStyle name="Normal 5 6 4 2 3" xfId="12033" xr:uid="{82AF739E-DC01-438D-A54A-BDE6D6AA1A4A}"/>
    <cellStyle name="Normal 5 6 4 3" xfId="5667" xr:uid="{00000000-0005-0000-0000-0000B81B0000}"/>
    <cellStyle name="Normal 5 6 4 3 2" xfId="14106" xr:uid="{F9C372C4-1409-413B-851C-814F32F29318}"/>
    <cellStyle name="Normal 5 6 4 4" xfId="9888" xr:uid="{E7F825A0-D125-4411-A210-67F011D236F2}"/>
    <cellStyle name="Normal 5 6 5" xfId="1772" xr:uid="{00000000-0005-0000-0000-0000B91B0000}"/>
    <cellStyle name="Normal 5 6 5 2" xfId="4002" xr:uid="{00000000-0005-0000-0000-0000BA1B0000}"/>
    <cellStyle name="Normal 5 6 5 2 2" xfId="8225" xr:uid="{00000000-0005-0000-0000-0000BB1B0000}"/>
    <cellStyle name="Normal 5 6 5 2 2 2" xfId="16664" xr:uid="{F61083BC-6E37-4061-9A75-FCFB6B682077}"/>
    <cellStyle name="Normal 5 6 5 2 3" xfId="12446" xr:uid="{C7286CF2-0112-4534-8ABD-747C77138838}"/>
    <cellStyle name="Normal 5 6 5 3" xfId="6080" xr:uid="{00000000-0005-0000-0000-0000BC1B0000}"/>
    <cellStyle name="Normal 5 6 5 3 2" xfId="14519" xr:uid="{DE8BA983-0859-45FC-B873-6F7DAC3BB158}"/>
    <cellStyle name="Normal 5 6 5 4" xfId="10301" xr:uid="{42743840-1C8A-467C-B361-B6F21ED18A5E}"/>
    <cellStyle name="Normal 5 6 6" xfId="2186" xr:uid="{00000000-0005-0000-0000-0000BD1B0000}"/>
    <cellStyle name="Normal 5 6 6 2" xfId="4415" xr:uid="{00000000-0005-0000-0000-0000BE1B0000}"/>
    <cellStyle name="Normal 5 6 6 2 2" xfId="8638" xr:uid="{00000000-0005-0000-0000-0000BF1B0000}"/>
    <cellStyle name="Normal 5 6 6 2 2 2" xfId="17077" xr:uid="{BF7D4148-DCB9-490B-91BE-8BC871EA0C2D}"/>
    <cellStyle name="Normal 5 6 6 2 3" xfId="12859" xr:uid="{E06D8791-C960-4A79-BA29-FF263D625792}"/>
    <cellStyle name="Normal 5 6 6 3" xfId="6493" xr:uid="{00000000-0005-0000-0000-0000C01B0000}"/>
    <cellStyle name="Normal 5 6 6 3 2" xfId="14932" xr:uid="{A46B764C-9E32-4B6A-A8A1-41032FD58774}"/>
    <cellStyle name="Normal 5 6 6 4" xfId="10714" xr:uid="{858F185C-06FD-450B-9387-4AEF6376D28F}"/>
    <cellStyle name="Normal 5 6 7" xfId="2622" xr:uid="{00000000-0005-0000-0000-0000C11B0000}"/>
    <cellStyle name="Normal 5 6 7 2" xfId="6906" xr:uid="{00000000-0005-0000-0000-0000C21B0000}"/>
    <cellStyle name="Normal 5 6 7 2 2" xfId="15345" xr:uid="{1A2C4A30-EA36-4446-86DA-813F6B90A1FF}"/>
    <cellStyle name="Normal 5 6 7 3" xfId="11127" xr:uid="{74FA9879-5F0C-400A-8669-96E00D43B91A}"/>
    <cellStyle name="Normal 5 6 8" xfId="4841" xr:uid="{00000000-0005-0000-0000-0000C31B0000}"/>
    <cellStyle name="Normal 5 6 8 2" xfId="13280" xr:uid="{962AD768-6AC4-434F-A727-4A70255C7054}"/>
    <cellStyle name="Normal 5 6 9" xfId="9062" xr:uid="{3341EC92-A7F6-43F3-AAE6-7CA49B6CECFE}"/>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5840" xr:uid="{744A78EF-20F6-424E-8996-B92E5B347205}"/>
    <cellStyle name="Normal 5 7 2 2 3" xfId="11622" xr:uid="{3721958E-2CA0-4894-940F-37A04C25B198}"/>
    <cellStyle name="Normal 5 7 2 3" xfId="5256" xr:uid="{00000000-0005-0000-0000-0000C81B0000}"/>
    <cellStyle name="Normal 5 7 2 3 2" xfId="13695" xr:uid="{C3D60214-057A-47B1-9A83-035472504EED}"/>
    <cellStyle name="Normal 5 7 2 4" xfId="9477" xr:uid="{7BDA8750-798A-44DF-BDAE-ED0C5AF2DB66}"/>
    <cellStyle name="Normal 5 7 3" xfId="1361" xr:uid="{00000000-0005-0000-0000-0000C91B0000}"/>
    <cellStyle name="Normal 5 7 3 2" xfId="3591" xr:uid="{00000000-0005-0000-0000-0000CA1B0000}"/>
    <cellStyle name="Normal 5 7 3 2 2" xfId="7814" xr:uid="{00000000-0005-0000-0000-0000CB1B0000}"/>
    <cellStyle name="Normal 5 7 3 2 2 2" xfId="16253" xr:uid="{28B50B06-FEAC-405D-8C07-18757C5F287C}"/>
    <cellStyle name="Normal 5 7 3 2 3" xfId="12035" xr:uid="{0C4833D0-B2DA-4D65-A237-167A016A2636}"/>
    <cellStyle name="Normal 5 7 3 3" xfId="5669" xr:uid="{00000000-0005-0000-0000-0000CC1B0000}"/>
    <cellStyle name="Normal 5 7 3 3 2" xfId="14108" xr:uid="{CE4AE460-CBFA-4CED-817F-1DA29C2CEC2E}"/>
    <cellStyle name="Normal 5 7 3 4" xfId="9890" xr:uid="{2E27706D-07A2-4D0C-AA49-C8B7ABAE5EDC}"/>
    <cellStyle name="Normal 5 7 4" xfId="1774" xr:uid="{00000000-0005-0000-0000-0000CD1B0000}"/>
    <cellStyle name="Normal 5 7 4 2" xfId="4004" xr:uid="{00000000-0005-0000-0000-0000CE1B0000}"/>
    <cellStyle name="Normal 5 7 4 2 2" xfId="8227" xr:uid="{00000000-0005-0000-0000-0000CF1B0000}"/>
    <cellStyle name="Normal 5 7 4 2 2 2" xfId="16666" xr:uid="{04030ECC-BA42-49EA-9810-C3AA16EC03D1}"/>
    <cellStyle name="Normal 5 7 4 2 3" xfId="12448" xr:uid="{086C2638-A5ED-45A0-ACDD-FFC57FAA3C64}"/>
    <cellStyle name="Normal 5 7 4 3" xfId="6082" xr:uid="{00000000-0005-0000-0000-0000D01B0000}"/>
    <cellStyle name="Normal 5 7 4 3 2" xfId="14521" xr:uid="{CCF7E117-5F68-446A-9C41-B41E63954BE7}"/>
    <cellStyle name="Normal 5 7 4 4" xfId="10303" xr:uid="{DF2D6ABE-4A17-4FC5-8060-FF4C12D5A82A}"/>
    <cellStyle name="Normal 5 7 5" xfId="2188" xr:uid="{00000000-0005-0000-0000-0000D11B0000}"/>
    <cellStyle name="Normal 5 7 5 2" xfId="4417" xr:uid="{00000000-0005-0000-0000-0000D21B0000}"/>
    <cellStyle name="Normal 5 7 5 2 2" xfId="8640" xr:uid="{00000000-0005-0000-0000-0000D31B0000}"/>
    <cellStyle name="Normal 5 7 5 2 2 2" xfId="17079" xr:uid="{3B04F1BF-4DCF-4804-BEE7-D248C3C9EAE1}"/>
    <cellStyle name="Normal 5 7 5 2 3" xfId="12861" xr:uid="{85E5DDCC-3413-4E17-9991-814BA51E92C6}"/>
    <cellStyle name="Normal 5 7 5 3" xfId="6495" xr:uid="{00000000-0005-0000-0000-0000D41B0000}"/>
    <cellStyle name="Normal 5 7 5 3 2" xfId="14934" xr:uid="{4A9BE1D6-89F3-48BF-9B66-A0BCE947A927}"/>
    <cellStyle name="Normal 5 7 5 4" xfId="10716" xr:uid="{544AA745-D3B2-4D9F-A8C1-C0BBBEDC5129}"/>
    <cellStyle name="Normal 5 7 6" xfId="2624" xr:uid="{00000000-0005-0000-0000-0000D51B0000}"/>
    <cellStyle name="Normal 5 7 6 2" xfId="6908" xr:uid="{00000000-0005-0000-0000-0000D61B0000}"/>
    <cellStyle name="Normal 5 7 6 2 2" xfId="15347" xr:uid="{BC0CBCAB-4706-4E43-9C23-8918DCA8F13F}"/>
    <cellStyle name="Normal 5 7 6 3" xfId="11129" xr:uid="{036BAA59-78FD-4D08-A56B-EE9B63F9F5EF}"/>
    <cellStyle name="Normal 5 7 7" xfId="4843" xr:uid="{00000000-0005-0000-0000-0000D71B0000}"/>
    <cellStyle name="Normal 5 7 7 2" xfId="13282" xr:uid="{2725AC1D-408C-4F1E-8A3B-24BE9BA0408E}"/>
    <cellStyle name="Normal 5 7 8" xfId="9064" xr:uid="{8FD69977-D7DC-438A-8C0D-1025A30FD111}"/>
    <cellStyle name="Normal 5 8" xfId="880" xr:uid="{00000000-0005-0000-0000-0000D81B0000}"/>
    <cellStyle name="Normal 5 8 2" xfId="3115" xr:uid="{00000000-0005-0000-0000-0000D91B0000}"/>
    <cellStyle name="Normal 5 8 2 2" xfId="7338" xr:uid="{00000000-0005-0000-0000-0000DA1B0000}"/>
    <cellStyle name="Normal 5 8 2 2 2" xfId="15777" xr:uid="{84CB48BF-6D74-4C50-A7CB-11273B4253F7}"/>
    <cellStyle name="Normal 5 8 2 3" xfId="11559" xr:uid="{E595DCA7-5293-454A-9041-460BA854396C}"/>
    <cellStyle name="Normal 5 8 3" xfId="5193" xr:uid="{00000000-0005-0000-0000-0000DB1B0000}"/>
    <cellStyle name="Normal 5 8 3 2" xfId="13632" xr:uid="{F821BC42-3CFC-4979-B695-49EA8C50C69B}"/>
    <cellStyle name="Normal 5 8 4" xfId="9414" xr:uid="{E7820CE1-93F2-491D-86DE-C88DA8BFD225}"/>
    <cellStyle name="Normal 5 9" xfId="1298" xr:uid="{00000000-0005-0000-0000-0000DC1B0000}"/>
    <cellStyle name="Normal 5 9 2" xfId="3528" xr:uid="{00000000-0005-0000-0000-0000DD1B0000}"/>
    <cellStyle name="Normal 5 9 2 2" xfId="7751" xr:uid="{00000000-0005-0000-0000-0000DE1B0000}"/>
    <cellStyle name="Normal 5 9 2 2 2" xfId="16190" xr:uid="{E03B91BB-A7C5-4638-9DE1-B2739A49791B}"/>
    <cellStyle name="Normal 5 9 2 3" xfId="11972" xr:uid="{81555DC7-A836-4E04-90D0-A89FD6F56C3A}"/>
    <cellStyle name="Normal 5 9 3" xfId="5606" xr:uid="{00000000-0005-0000-0000-0000DF1B0000}"/>
    <cellStyle name="Normal 5 9 3 2" xfId="14045" xr:uid="{27DC03FB-1CF6-4771-96D7-7565A90917C7}"/>
    <cellStyle name="Normal 5 9 4" xfId="9827" xr:uid="{20CDB6EA-EAF9-4811-B7B9-F5507E62F227}"/>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80" xr:uid="{EC758F67-5790-4AFE-BACF-615BB04EE54F}"/>
    <cellStyle name="Normal 8 10 2 3" xfId="12862" xr:uid="{47623D69-1E5D-4543-AB10-377D6B3A0A6C}"/>
    <cellStyle name="Normal 8 10 3" xfId="6496" xr:uid="{00000000-0005-0000-0000-0000EB1B0000}"/>
    <cellStyle name="Normal 8 10 3 2" xfId="14935" xr:uid="{0439058B-A6F7-444E-BBC7-2070B11FE595}"/>
    <cellStyle name="Normal 8 10 4" xfId="10717" xr:uid="{BD50F3B5-7929-4AC5-9BC4-03F147C8647A}"/>
    <cellStyle name="Normal 8 11" xfId="2625" xr:uid="{00000000-0005-0000-0000-0000EC1B0000}"/>
    <cellStyle name="Normal 8 11 2" xfId="6909" xr:uid="{00000000-0005-0000-0000-0000ED1B0000}"/>
    <cellStyle name="Normal 8 11 2 2" xfId="15348" xr:uid="{01B449B4-9BFF-4600-BCC6-AD11ACE1D17B}"/>
    <cellStyle name="Normal 8 11 3" xfId="11130" xr:uid="{AE02E19E-AE12-430F-8C3D-5DC083AA8217}"/>
    <cellStyle name="Normal 8 12" xfId="4844" xr:uid="{00000000-0005-0000-0000-0000EE1B0000}"/>
    <cellStyle name="Normal 8 12 2" xfId="13283" xr:uid="{0C334E21-D9F1-47C8-ABE2-74E286161CB2}"/>
    <cellStyle name="Normal 8 13" xfId="9065" xr:uid="{11160A33-9406-41CE-86FC-CAC8CD484F10}"/>
    <cellStyle name="Normal 8 2" xfId="479" xr:uid="{00000000-0005-0000-0000-0000EF1B0000}"/>
    <cellStyle name="Normal 8 2 10" xfId="2626" xr:uid="{00000000-0005-0000-0000-0000F01B0000}"/>
    <cellStyle name="Normal 8 2 10 2" xfId="6910" xr:uid="{00000000-0005-0000-0000-0000F11B0000}"/>
    <cellStyle name="Normal 8 2 10 2 2" xfId="15349" xr:uid="{F68F0A47-DCD3-43E0-83C2-CBF4DF025535}"/>
    <cellStyle name="Normal 8 2 10 3" xfId="11131" xr:uid="{16DCA935-BF94-4F7E-B41D-9CF8F1CDD227}"/>
    <cellStyle name="Normal 8 2 11" xfId="4845" xr:uid="{00000000-0005-0000-0000-0000F21B0000}"/>
    <cellStyle name="Normal 8 2 11 2" xfId="13284" xr:uid="{B8EFD6CC-C351-4FD6-A5F4-F2A7FA771BB5}"/>
    <cellStyle name="Normal 8 2 12" xfId="9066" xr:uid="{D87AD31C-1A32-41A4-9FB8-675D11C4874A}"/>
    <cellStyle name="Normal 8 2 2" xfId="480" xr:uid="{00000000-0005-0000-0000-0000F31B0000}"/>
    <cellStyle name="Normal 8 2 2 10" xfId="4846" xr:uid="{00000000-0005-0000-0000-0000F41B0000}"/>
    <cellStyle name="Normal 8 2 2 10 2" xfId="13285" xr:uid="{8931A34E-8B26-4D5E-84EF-DF065AC62C40}"/>
    <cellStyle name="Normal 8 2 2 11" xfId="9067" xr:uid="{5C7A13C8-8F89-4199-A9F2-7B178BE5A21B}"/>
    <cellStyle name="Normal 8 2 2 2" xfId="481" xr:uid="{00000000-0005-0000-0000-0000F51B0000}"/>
    <cellStyle name="Normal 8 2 2 2 10" xfId="9068" xr:uid="{2D91D5FF-E08B-4B81-BFFB-9B80A31FEB21}"/>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6" xr:uid="{2FBFF4FF-05B8-4EB1-A3B7-2581B6CE45F1}"/>
    <cellStyle name="Normal 8 2 2 2 2 2 2 2 3" xfId="11628" xr:uid="{759A3D2D-D46F-427C-AED5-80B132261B53}"/>
    <cellStyle name="Normal 8 2 2 2 2 2 2 3" xfId="5262" xr:uid="{00000000-0005-0000-0000-0000FB1B0000}"/>
    <cellStyle name="Normal 8 2 2 2 2 2 2 3 2" xfId="13701" xr:uid="{1691B2F4-39C0-45FD-8F6C-2AB659A62B08}"/>
    <cellStyle name="Normal 8 2 2 2 2 2 2 4" xfId="9483" xr:uid="{304D6BCD-63AD-4D2F-BC31-1CFE3346D687}"/>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59" xr:uid="{FE9AC877-3D80-42E0-B006-0AEFBB3E3786}"/>
    <cellStyle name="Normal 8 2 2 2 2 2 3 2 3" xfId="12041" xr:uid="{A825B215-545A-4FAA-908C-526C71650071}"/>
    <cellStyle name="Normal 8 2 2 2 2 2 3 3" xfId="5675" xr:uid="{00000000-0005-0000-0000-0000FF1B0000}"/>
    <cellStyle name="Normal 8 2 2 2 2 2 3 3 2" xfId="14114" xr:uid="{80035898-B1B8-4E9F-AA3B-3591B21E38BC}"/>
    <cellStyle name="Normal 8 2 2 2 2 2 3 4" xfId="9896" xr:uid="{DA73930A-9016-4975-BA87-4F87B8243D07}"/>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72" xr:uid="{7C87B3F0-406A-4164-AA57-B71412ED1C13}"/>
    <cellStyle name="Normal 8 2 2 2 2 2 4 2 3" xfId="12454" xr:uid="{48AF8DCC-9356-402F-946B-D04F4E50E2C7}"/>
    <cellStyle name="Normal 8 2 2 2 2 2 4 3" xfId="6088" xr:uid="{00000000-0005-0000-0000-0000031C0000}"/>
    <cellStyle name="Normal 8 2 2 2 2 2 4 3 2" xfId="14527" xr:uid="{D15FC7A2-038F-4A0E-A82A-727880CAA0A2}"/>
    <cellStyle name="Normal 8 2 2 2 2 2 4 4" xfId="10309" xr:uid="{0CD081D3-D215-4058-A32A-1630D344ADCB}"/>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5" xr:uid="{58F65C75-0E3A-49B8-A3D6-8774D9D852EC}"/>
    <cellStyle name="Normal 8 2 2 2 2 2 5 2 3" xfId="12867" xr:uid="{FF8F0990-3D8B-43E1-A8B5-33FF5DF4591C}"/>
    <cellStyle name="Normal 8 2 2 2 2 2 5 3" xfId="6501" xr:uid="{00000000-0005-0000-0000-0000071C0000}"/>
    <cellStyle name="Normal 8 2 2 2 2 2 5 3 2" xfId="14940" xr:uid="{4EA43EF2-1079-403E-BA28-8AD898D88B92}"/>
    <cellStyle name="Normal 8 2 2 2 2 2 5 4" xfId="10722" xr:uid="{1EC11011-CAA1-44A1-A927-C3E3C2FA518D}"/>
    <cellStyle name="Normal 8 2 2 2 2 2 6" xfId="2630" xr:uid="{00000000-0005-0000-0000-0000081C0000}"/>
    <cellStyle name="Normal 8 2 2 2 2 2 6 2" xfId="6914" xr:uid="{00000000-0005-0000-0000-0000091C0000}"/>
    <cellStyle name="Normal 8 2 2 2 2 2 6 2 2" xfId="15353" xr:uid="{1E21D541-A7BF-46A7-8B7D-4E5566ED4964}"/>
    <cellStyle name="Normal 8 2 2 2 2 2 6 3" xfId="11135" xr:uid="{33D78963-2AC7-4B82-9FBE-58CDB2A68AC6}"/>
    <cellStyle name="Normal 8 2 2 2 2 2 7" xfId="4849" xr:uid="{00000000-0005-0000-0000-00000A1C0000}"/>
    <cellStyle name="Normal 8 2 2 2 2 2 7 2" xfId="13288" xr:uid="{7DD676C6-8AC9-42DA-86D1-D431C691E644}"/>
    <cellStyle name="Normal 8 2 2 2 2 2 8" xfId="9070" xr:uid="{204622D6-3F50-4B87-B00E-A7FF19566B8A}"/>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5" xr:uid="{D400375D-AF3B-4AEC-BF82-9132EEEFD0EA}"/>
    <cellStyle name="Normal 8 2 2 2 2 3 2 3" xfId="11627" xr:uid="{EF8A127A-4AEA-4F2F-9165-ECBA586F7685}"/>
    <cellStyle name="Normal 8 2 2 2 2 3 3" xfId="5261" xr:uid="{00000000-0005-0000-0000-00000E1C0000}"/>
    <cellStyle name="Normal 8 2 2 2 2 3 3 2" xfId="13700" xr:uid="{01C0E4B5-ACF5-4981-B697-575B55683969}"/>
    <cellStyle name="Normal 8 2 2 2 2 3 4" xfId="9482" xr:uid="{9751D12C-FA26-49A7-BE2D-EF16A35D7F36}"/>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58" xr:uid="{0AE00A64-7975-4C0D-9E2D-CA280FF6A015}"/>
    <cellStyle name="Normal 8 2 2 2 2 4 2 3" xfId="12040" xr:uid="{A6A8769C-66D8-4D7E-9B99-9A5810728AD5}"/>
    <cellStyle name="Normal 8 2 2 2 2 4 3" xfId="5674" xr:uid="{00000000-0005-0000-0000-0000121C0000}"/>
    <cellStyle name="Normal 8 2 2 2 2 4 3 2" xfId="14113" xr:uid="{001CE205-BAA3-4002-AEF9-C258D63D3C4E}"/>
    <cellStyle name="Normal 8 2 2 2 2 4 4" xfId="9895" xr:uid="{CE244A2E-7A3B-4ECB-82A6-7EB1B8757729}"/>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71" xr:uid="{577400A1-E5B0-4367-872A-7162A5B20BAE}"/>
    <cellStyle name="Normal 8 2 2 2 2 5 2 3" xfId="12453" xr:uid="{A195C54D-4FA9-4D9E-94B5-B4BA8BA73DD1}"/>
    <cellStyle name="Normal 8 2 2 2 2 5 3" xfId="6087" xr:uid="{00000000-0005-0000-0000-0000161C0000}"/>
    <cellStyle name="Normal 8 2 2 2 2 5 3 2" xfId="14526" xr:uid="{956F08ED-1B0F-4AD9-AE16-AC8EAD0747C5}"/>
    <cellStyle name="Normal 8 2 2 2 2 5 4" xfId="10308" xr:uid="{BA01DA46-257E-4655-B7EE-27E5E2A145C6}"/>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4" xr:uid="{3E52FC15-56D6-4EC5-ACB7-318CC5347EEE}"/>
    <cellStyle name="Normal 8 2 2 2 2 6 2 3" xfId="12866" xr:uid="{AC06CD49-7277-44E9-8B8C-F23F223BD407}"/>
    <cellStyle name="Normal 8 2 2 2 2 6 3" xfId="6500" xr:uid="{00000000-0005-0000-0000-00001A1C0000}"/>
    <cellStyle name="Normal 8 2 2 2 2 6 3 2" xfId="14939" xr:uid="{25A45637-9F92-42AC-937C-4217CD664C89}"/>
    <cellStyle name="Normal 8 2 2 2 2 6 4" xfId="10721" xr:uid="{D9D6B4F3-F7AB-404D-85E3-DE9E84C36222}"/>
    <cellStyle name="Normal 8 2 2 2 2 7" xfId="2629" xr:uid="{00000000-0005-0000-0000-00001B1C0000}"/>
    <cellStyle name="Normal 8 2 2 2 2 7 2" xfId="6913" xr:uid="{00000000-0005-0000-0000-00001C1C0000}"/>
    <cellStyle name="Normal 8 2 2 2 2 7 2 2" xfId="15352" xr:uid="{3D722F50-37FA-4498-834D-2EB247DEEB30}"/>
    <cellStyle name="Normal 8 2 2 2 2 7 3" xfId="11134" xr:uid="{B2CCF008-4FF3-44FF-BF87-186FA5B04657}"/>
    <cellStyle name="Normal 8 2 2 2 2 8" xfId="4848" xr:uid="{00000000-0005-0000-0000-00001D1C0000}"/>
    <cellStyle name="Normal 8 2 2 2 2 8 2" xfId="13287" xr:uid="{3AEE033F-4FDC-4D7B-9B7D-8DBE0B82797F}"/>
    <cellStyle name="Normal 8 2 2 2 2 9" xfId="9069" xr:uid="{EC3A5FE5-098A-4D3E-8371-A31BCCD18901}"/>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47" xr:uid="{C4807D26-EB6F-4CA6-9679-2D19AB328BD6}"/>
    <cellStyle name="Normal 8 2 2 2 3 2 2 3" xfId="11629" xr:uid="{400D07F5-4508-4E25-A322-812B05DF891F}"/>
    <cellStyle name="Normal 8 2 2 2 3 2 3" xfId="5263" xr:uid="{00000000-0005-0000-0000-0000221C0000}"/>
    <cellStyle name="Normal 8 2 2 2 3 2 3 2" xfId="13702" xr:uid="{39B2642C-F35D-49C6-9E81-41436BFEB9E1}"/>
    <cellStyle name="Normal 8 2 2 2 3 2 4" xfId="9484" xr:uid="{1A3A7E90-1A46-4D76-B6DF-F1DF8220FC1E}"/>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60" xr:uid="{032D7327-4BEB-4F01-9E78-AEEE0FB96B41}"/>
    <cellStyle name="Normal 8 2 2 2 3 3 2 3" xfId="12042" xr:uid="{018AD32F-79A7-4AA1-A599-CE6BA2249CFC}"/>
    <cellStyle name="Normal 8 2 2 2 3 3 3" xfId="5676" xr:uid="{00000000-0005-0000-0000-0000261C0000}"/>
    <cellStyle name="Normal 8 2 2 2 3 3 3 2" xfId="14115" xr:uid="{AAE219D4-BF46-495D-ACB9-819EF5D2AE82}"/>
    <cellStyle name="Normal 8 2 2 2 3 3 4" xfId="9897" xr:uid="{20528BC1-2473-41E9-8CD7-14A402980846}"/>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3" xr:uid="{8D5638F3-E09C-4D5E-ADB8-266B54AD9299}"/>
    <cellStyle name="Normal 8 2 2 2 3 4 2 3" xfId="12455" xr:uid="{9CCD372A-4B31-4685-9579-3CC566EA4557}"/>
    <cellStyle name="Normal 8 2 2 2 3 4 3" xfId="6089" xr:uid="{00000000-0005-0000-0000-00002A1C0000}"/>
    <cellStyle name="Normal 8 2 2 2 3 4 3 2" xfId="14528" xr:uid="{ED7DDF53-0AEA-4C6E-AE78-C9D316A1A753}"/>
    <cellStyle name="Normal 8 2 2 2 3 4 4" xfId="10310" xr:uid="{F3A8A1AA-4A2A-4F16-A1BE-48BF18B17467}"/>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6" xr:uid="{A6A26F2F-72F1-4A9C-B322-A61792D27110}"/>
    <cellStyle name="Normal 8 2 2 2 3 5 2 3" xfId="12868" xr:uid="{3E336F88-9DF6-4765-B219-8425F87CE920}"/>
    <cellStyle name="Normal 8 2 2 2 3 5 3" xfId="6502" xr:uid="{00000000-0005-0000-0000-00002E1C0000}"/>
    <cellStyle name="Normal 8 2 2 2 3 5 3 2" xfId="14941" xr:uid="{9DBB3AF6-3B58-4B3E-ABBD-7F655568BBFB}"/>
    <cellStyle name="Normal 8 2 2 2 3 5 4" xfId="10723" xr:uid="{2A3A28DE-F9CA-42E2-8EB9-DBAD3697F7F8}"/>
    <cellStyle name="Normal 8 2 2 2 3 6" xfId="2631" xr:uid="{00000000-0005-0000-0000-00002F1C0000}"/>
    <cellStyle name="Normal 8 2 2 2 3 6 2" xfId="6915" xr:uid="{00000000-0005-0000-0000-0000301C0000}"/>
    <cellStyle name="Normal 8 2 2 2 3 6 2 2" xfId="15354" xr:uid="{4DD003D5-BC6D-4894-A5D2-B4BEA6577220}"/>
    <cellStyle name="Normal 8 2 2 2 3 6 3" xfId="11136" xr:uid="{2D74A997-FC1B-460F-817E-12C3C3FC8193}"/>
    <cellStyle name="Normal 8 2 2 2 3 7" xfId="4850" xr:uid="{00000000-0005-0000-0000-0000311C0000}"/>
    <cellStyle name="Normal 8 2 2 2 3 7 2" xfId="13289" xr:uid="{C002B33C-8F5C-47CE-9BED-61C85A01948B}"/>
    <cellStyle name="Normal 8 2 2 2 3 8" xfId="9071" xr:uid="{3840D09D-18D2-4F87-A500-C100D61E08BF}"/>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4" xr:uid="{72798BF2-186F-4A7D-A149-FFFB59CC512B}"/>
    <cellStyle name="Normal 8 2 2 2 4 2 3" xfId="11626" xr:uid="{31E82BC6-5788-48EF-A831-E1502B32999F}"/>
    <cellStyle name="Normal 8 2 2 2 4 3" xfId="5260" xr:uid="{00000000-0005-0000-0000-0000351C0000}"/>
    <cellStyle name="Normal 8 2 2 2 4 3 2" xfId="13699" xr:uid="{F9C15AD8-C7E6-4297-A53D-ADC62BF6B9DD}"/>
    <cellStyle name="Normal 8 2 2 2 4 4" xfId="9481" xr:uid="{54742A01-818F-4D6A-8288-B36AD538ED36}"/>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57" xr:uid="{6EF39A05-F55F-4ECE-8978-EA25C93D443F}"/>
    <cellStyle name="Normal 8 2 2 2 5 2 3" xfId="12039" xr:uid="{BE923499-E8E9-465A-BAB2-E1C8FF92D0A8}"/>
    <cellStyle name="Normal 8 2 2 2 5 3" xfId="5673" xr:uid="{00000000-0005-0000-0000-0000391C0000}"/>
    <cellStyle name="Normal 8 2 2 2 5 3 2" xfId="14112" xr:uid="{2548CCF0-A6A0-4B33-B458-D4316848F5FD}"/>
    <cellStyle name="Normal 8 2 2 2 5 4" xfId="9894" xr:uid="{0E5A14C3-47A1-4BE4-A23D-BC3A3DCE7E2A}"/>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70" xr:uid="{BF97BABF-129F-4306-B77B-42148621747C}"/>
    <cellStyle name="Normal 8 2 2 2 6 2 3" xfId="12452" xr:uid="{142B4E59-CA4C-4B7E-AA6A-E07E7DCB7907}"/>
    <cellStyle name="Normal 8 2 2 2 6 3" xfId="6086" xr:uid="{00000000-0005-0000-0000-00003D1C0000}"/>
    <cellStyle name="Normal 8 2 2 2 6 3 2" xfId="14525" xr:uid="{CC74F5C0-157B-4B91-B2B6-B8D61ECE2E01}"/>
    <cellStyle name="Normal 8 2 2 2 6 4" xfId="10307" xr:uid="{E0179DD6-D53B-429C-9D42-588934650C4C}"/>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3" xr:uid="{A5385B73-7D3A-4F5F-A2E1-61BB6396B3CE}"/>
    <cellStyle name="Normal 8 2 2 2 7 2 3" xfId="12865" xr:uid="{EA889607-E89D-4817-9BED-505EE440DC7B}"/>
    <cellStyle name="Normal 8 2 2 2 7 3" xfId="6499" xr:uid="{00000000-0005-0000-0000-0000411C0000}"/>
    <cellStyle name="Normal 8 2 2 2 7 3 2" xfId="14938" xr:uid="{F0851046-C6B6-410C-B6CF-94F7DF86D93F}"/>
    <cellStyle name="Normal 8 2 2 2 7 4" xfId="10720" xr:uid="{FB0D7F8E-6358-464C-A0EF-1659D13671DA}"/>
    <cellStyle name="Normal 8 2 2 2 8" xfId="2628" xr:uid="{00000000-0005-0000-0000-0000421C0000}"/>
    <cellStyle name="Normal 8 2 2 2 8 2" xfId="6912" xr:uid="{00000000-0005-0000-0000-0000431C0000}"/>
    <cellStyle name="Normal 8 2 2 2 8 2 2" xfId="15351" xr:uid="{72CB70B7-2996-4BD3-8238-D69924ABDF37}"/>
    <cellStyle name="Normal 8 2 2 2 8 3" xfId="11133" xr:uid="{91A90DB3-3B0E-4315-981B-F4450AA7147D}"/>
    <cellStyle name="Normal 8 2 2 2 9" xfId="4847" xr:uid="{00000000-0005-0000-0000-0000441C0000}"/>
    <cellStyle name="Normal 8 2 2 2 9 2" xfId="13286" xr:uid="{944A1048-1F93-495C-93FD-A5B2C19C6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49" xr:uid="{2166904D-4B20-46C2-9B91-3FBA4C3D1EBF}"/>
    <cellStyle name="Normal 8 2 2 3 2 2 2 3" xfId="11631" xr:uid="{40BC1E36-8BF3-4153-83C1-A780CEDD8486}"/>
    <cellStyle name="Normal 8 2 2 3 2 2 3" xfId="5265" xr:uid="{00000000-0005-0000-0000-00004A1C0000}"/>
    <cellStyle name="Normal 8 2 2 3 2 2 3 2" xfId="13704" xr:uid="{89FC4828-E948-4781-9F67-1E8C382EAA4D}"/>
    <cellStyle name="Normal 8 2 2 3 2 2 4" xfId="9486" xr:uid="{DBF68B5A-6DCE-40FC-BAC6-EA5A668108B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62" xr:uid="{DC24353D-D0F3-4507-A75F-C0E85096477E}"/>
    <cellStyle name="Normal 8 2 2 3 2 3 2 3" xfId="12044" xr:uid="{161C7083-1EF2-455D-9F5F-050EFC825DD8}"/>
    <cellStyle name="Normal 8 2 2 3 2 3 3" xfId="5678" xr:uid="{00000000-0005-0000-0000-00004E1C0000}"/>
    <cellStyle name="Normal 8 2 2 3 2 3 3 2" xfId="14117" xr:uid="{E3BDC943-36C1-4A3F-B2CE-308B54294476}"/>
    <cellStyle name="Normal 8 2 2 3 2 3 4" xfId="9899" xr:uid="{C2ADD583-6883-4EAC-BA23-0F55AD3E777C}"/>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5" xr:uid="{25F20B6A-976C-4FF1-8ED6-9BAC17B2A4FD}"/>
    <cellStyle name="Normal 8 2 2 3 2 4 2 3" xfId="12457" xr:uid="{F69397EA-A777-4854-9762-16221C2FC958}"/>
    <cellStyle name="Normal 8 2 2 3 2 4 3" xfId="6091" xr:uid="{00000000-0005-0000-0000-0000521C0000}"/>
    <cellStyle name="Normal 8 2 2 3 2 4 3 2" xfId="14530" xr:uid="{26953A9D-A185-4CD8-B5D6-EF97AF976BEF}"/>
    <cellStyle name="Normal 8 2 2 3 2 4 4" xfId="10312" xr:uid="{D59FB44D-2D24-49BA-B4B2-D0BB70DF81DF}"/>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88" xr:uid="{8428D9F0-1057-42D1-A7A7-CBDDBEEA3C63}"/>
    <cellStyle name="Normal 8 2 2 3 2 5 2 3" xfId="12870" xr:uid="{C993C4F6-93C9-4A0E-B2A5-D8B07E89B161}"/>
    <cellStyle name="Normal 8 2 2 3 2 5 3" xfId="6504" xr:uid="{00000000-0005-0000-0000-0000561C0000}"/>
    <cellStyle name="Normal 8 2 2 3 2 5 3 2" xfId="14943" xr:uid="{0BBFFF74-E50A-41A4-BD80-FBEE7A644FAB}"/>
    <cellStyle name="Normal 8 2 2 3 2 5 4" xfId="10725" xr:uid="{A75728B7-1441-4A01-A94B-2879FDA81E4D}"/>
    <cellStyle name="Normal 8 2 2 3 2 6" xfId="2633" xr:uid="{00000000-0005-0000-0000-0000571C0000}"/>
    <cellStyle name="Normal 8 2 2 3 2 6 2" xfId="6917" xr:uid="{00000000-0005-0000-0000-0000581C0000}"/>
    <cellStyle name="Normal 8 2 2 3 2 6 2 2" xfId="15356" xr:uid="{F4AFFE1A-193A-4369-B487-E8467C3C0A5A}"/>
    <cellStyle name="Normal 8 2 2 3 2 6 3" xfId="11138" xr:uid="{987D1197-FF6D-4B82-94A4-DFA17EC027EB}"/>
    <cellStyle name="Normal 8 2 2 3 2 7" xfId="4852" xr:uid="{00000000-0005-0000-0000-0000591C0000}"/>
    <cellStyle name="Normal 8 2 2 3 2 7 2" xfId="13291" xr:uid="{EE7B15E8-8EAC-4564-BB95-C54A0B04E1ED}"/>
    <cellStyle name="Normal 8 2 2 3 2 8" xfId="9073" xr:uid="{85661F50-6BFC-4923-9BAC-95A5FDC9546F}"/>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48" xr:uid="{8EDA687A-54EE-474C-A0B4-C38E87344C12}"/>
    <cellStyle name="Normal 8 2 2 3 3 2 3" xfId="11630" xr:uid="{11D0FB15-E0BC-4030-927C-70284DAE81A7}"/>
    <cellStyle name="Normal 8 2 2 3 3 3" xfId="5264" xr:uid="{00000000-0005-0000-0000-00005D1C0000}"/>
    <cellStyle name="Normal 8 2 2 3 3 3 2" xfId="13703" xr:uid="{670F3943-1088-48E2-A6F8-023793E1849E}"/>
    <cellStyle name="Normal 8 2 2 3 3 4" xfId="9485" xr:uid="{7875CD56-54EC-4609-8A7B-D384A6C623F3}"/>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61" xr:uid="{7CADE3C4-0F0F-4729-AFF5-9D9B49AB4BCE}"/>
    <cellStyle name="Normal 8 2 2 3 4 2 3" xfId="12043" xr:uid="{B08AB0E8-F569-4FB6-9BC3-860C855CACF4}"/>
    <cellStyle name="Normal 8 2 2 3 4 3" xfId="5677" xr:uid="{00000000-0005-0000-0000-0000611C0000}"/>
    <cellStyle name="Normal 8 2 2 3 4 3 2" xfId="14116" xr:uid="{C7DB19AA-1E7D-4D0E-B467-01AF5A171635}"/>
    <cellStyle name="Normal 8 2 2 3 4 4" xfId="9898" xr:uid="{80747D88-2E87-4666-9BC7-E4910FF4F846}"/>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4" xr:uid="{3B538DD8-6390-4AA0-98D2-D9ACDB22FE55}"/>
    <cellStyle name="Normal 8 2 2 3 5 2 3" xfId="12456" xr:uid="{3ADEB912-879A-42B2-92C6-2418FF3E1933}"/>
    <cellStyle name="Normal 8 2 2 3 5 3" xfId="6090" xr:uid="{00000000-0005-0000-0000-0000651C0000}"/>
    <cellStyle name="Normal 8 2 2 3 5 3 2" xfId="14529" xr:uid="{AA63DBAE-FCE8-4169-A3F2-DD4114DF846D}"/>
    <cellStyle name="Normal 8 2 2 3 5 4" xfId="10311" xr:uid="{46FC30B7-4DD3-4B62-BFF9-090E13CA0AAA}"/>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87" xr:uid="{5F24B91E-2585-4A6B-97FB-9609E735E6C7}"/>
    <cellStyle name="Normal 8 2 2 3 6 2 3" xfId="12869" xr:uid="{07EB2A63-274A-474C-B3EB-FE568CEF988A}"/>
    <cellStyle name="Normal 8 2 2 3 6 3" xfId="6503" xr:uid="{00000000-0005-0000-0000-0000691C0000}"/>
    <cellStyle name="Normal 8 2 2 3 6 3 2" xfId="14942" xr:uid="{F7D84C3D-E31F-435C-947C-9C8F2D6A41A0}"/>
    <cellStyle name="Normal 8 2 2 3 6 4" xfId="10724" xr:uid="{6C1FAB74-5D12-4434-A0A2-231145496B47}"/>
    <cellStyle name="Normal 8 2 2 3 7" xfId="2632" xr:uid="{00000000-0005-0000-0000-00006A1C0000}"/>
    <cellStyle name="Normal 8 2 2 3 7 2" xfId="6916" xr:uid="{00000000-0005-0000-0000-00006B1C0000}"/>
    <cellStyle name="Normal 8 2 2 3 7 2 2" xfId="15355" xr:uid="{9F8B9C5E-90FE-4EF3-B997-3FE06EB17672}"/>
    <cellStyle name="Normal 8 2 2 3 7 3" xfId="11137" xr:uid="{ECDF5557-24E8-4560-A905-BEE8E2D0111C}"/>
    <cellStyle name="Normal 8 2 2 3 8" xfId="4851" xr:uid="{00000000-0005-0000-0000-00006C1C0000}"/>
    <cellStyle name="Normal 8 2 2 3 8 2" xfId="13290" xr:uid="{B143BA97-D8D7-4E74-9BE7-6967C7AB4C11}"/>
    <cellStyle name="Normal 8 2 2 3 9" xfId="9072" xr:uid="{0CE7D55E-9B17-493E-B2DA-0B17C54FEEB5}"/>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50" xr:uid="{29F1710C-3177-400D-A88A-F85CF29FE173}"/>
    <cellStyle name="Normal 8 2 2 4 2 2 3" xfId="11632" xr:uid="{135258C0-28D9-4569-82AF-902E7CCADB59}"/>
    <cellStyle name="Normal 8 2 2 4 2 3" xfId="5266" xr:uid="{00000000-0005-0000-0000-0000711C0000}"/>
    <cellStyle name="Normal 8 2 2 4 2 3 2" xfId="13705" xr:uid="{E577E313-ABB5-4904-8498-1A5D67AD677F}"/>
    <cellStyle name="Normal 8 2 2 4 2 4" xfId="9487" xr:uid="{3D29FC1D-DB7E-4622-96E1-B573BFDADA93}"/>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3" xr:uid="{74419338-2101-4028-9E93-1773CCB5C396}"/>
    <cellStyle name="Normal 8 2 2 4 3 2 3" xfId="12045" xr:uid="{0B11ED41-C2DF-4CC0-B111-CF4F2CE10FD6}"/>
    <cellStyle name="Normal 8 2 2 4 3 3" xfId="5679" xr:uid="{00000000-0005-0000-0000-0000751C0000}"/>
    <cellStyle name="Normal 8 2 2 4 3 3 2" xfId="14118" xr:uid="{5FB799CB-D10C-4ABF-BAFA-477FFE73A3C9}"/>
    <cellStyle name="Normal 8 2 2 4 3 4" xfId="9900" xr:uid="{D4CBDE79-0A49-4ED8-8E00-F5D6F8EEE001}"/>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6" xr:uid="{E6D12D65-FF2A-40B4-876E-57B64CDD1FC8}"/>
    <cellStyle name="Normal 8 2 2 4 4 2 3" xfId="12458" xr:uid="{0650C9D3-9F09-406F-A885-D476F06E9732}"/>
    <cellStyle name="Normal 8 2 2 4 4 3" xfId="6092" xr:uid="{00000000-0005-0000-0000-0000791C0000}"/>
    <cellStyle name="Normal 8 2 2 4 4 3 2" xfId="14531" xr:uid="{382D8104-435F-4ACF-88DA-998A314652F6}"/>
    <cellStyle name="Normal 8 2 2 4 4 4" xfId="10313" xr:uid="{DD17660E-983B-4100-AAEC-359FE4D50879}"/>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89" xr:uid="{14A8FCD1-0EAC-4E98-89B4-BD2802BBC85D}"/>
    <cellStyle name="Normal 8 2 2 4 5 2 3" xfId="12871" xr:uid="{05167E33-F931-4438-AAFF-95A6B9148056}"/>
    <cellStyle name="Normal 8 2 2 4 5 3" xfId="6505" xr:uid="{00000000-0005-0000-0000-00007D1C0000}"/>
    <cellStyle name="Normal 8 2 2 4 5 3 2" xfId="14944" xr:uid="{26C4B96B-7608-4CCE-9243-17F18EEC6C8C}"/>
    <cellStyle name="Normal 8 2 2 4 5 4" xfId="10726" xr:uid="{D6842445-3080-4FE9-9831-29D5D7BE2FFF}"/>
    <cellStyle name="Normal 8 2 2 4 6" xfId="2634" xr:uid="{00000000-0005-0000-0000-00007E1C0000}"/>
    <cellStyle name="Normal 8 2 2 4 6 2" xfId="6918" xr:uid="{00000000-0005-0000-0000-00007F1C0000}"/>
    <cellStyle name="Normal 8 2 2 4 6 2 2" xfId="15357" xr:uid="{DEFA97D6-459C-4975-97B3-4E1A5D2E87A3}"/>
    <cellStyle name="Normal 8 2 2 4 6 3" xfId="11139" xr:uid="{7FC8B3EA-41BC-44B7-A8C3-7829A89C988F}"/>
    <cellStyle name="Normal 8 2 2 4 7" xfId="4853" xr:uid="{00000000-0005-0000-0000-0000801C0000}"/>
    <cellStyle name="Normal 8 2 2 4 7 2" xfId="13292" xr:uid="{5F6F3455-A4AD-450C-BA90-4A67D63D30B0}"/>
    <cellStyle name="Normal 8 2 2 4 8" xfId="9074" xr:uid="{48BC9F30-AFA1-4095-A602-77C6E410442B}"/>
    <cellStyle name="Normal 8 2 2 5" xfId="947" xr:uid="{00000000-0005-0000-0000-0000811C0000}"/>
    <cellStyle name="Normal 8 2 2 5 2" xfId="3181" xr:uid="{00000000-0005-0000-0000-0000821C0000}"/>
    <cellStyle name="Normal 8 2 2 5 2 2" xfId="7404" xr:uid="{00000000-0005-0000-0000-0000831C0000}"/>
    <cellStyle name="Normal 8 2 2 5 2 2 2" xfId="15843" xr:uid="{E7FE774F-F39E-4941-B1C2-EFC0C697F4C8}"/>
    <cellStyle name="Normal 8 2 2 5 2 3" xfId="11625" xr:uid="{8795CDE5-E282-4E00-8E21-3B8294CCC972}"/>
    <cellStyle name="Normal 8 2 2 5 3" xfId="5259" xr:uid="{00000000-0005-0000-0000-0000841C0000}"/>
    <cellStyle name="Normal 8 2 2 5 3 2" xfId="13698" xr:uid="{45F5E622-CE3F-48F3-A30E-4C71EF5FB96D}"/>
    <cellStyle name="Normal 8 2 2 5 4" xfId="9480" xr:uid="{955E8678-1A9B-4603-8798-DB5DCCE2A542}"/>
    <cellStyle name="Normal 8 2 2 6" xfId="1364" xr:uid="{00000000-0005-0000-0000-0000851C0000}"/>
    <cellStyle name="Normal 8 2 2 6 2" xfId="3594" xr:uid="{00000000-0005-0000-0000-0000861C0000}"/>
    <cellStyle name="Normal 8 2 2 6 2 2" xfId="7817" xr:uid="{00000000-0005-0000-0000-0000871C0000}"/>
    <cellStyle name="Normal 8 2 2 6 2 2 2" xfId="16256" xr:uid="{F50A9AD1-2777-4C45-9450-2B5E67C08075}"/>
    <cellStyle name="Normal 8 2 2 6 2 3" xfId="12038" xr:uid="{AC38725E-2E33-47AA-BDE5-33D87BF8DDFE}"/>
    <cellStyle name="Normal 8 2 2 6 3" xfId="5672" xr:uid="{00000000-0005-0000-0000-0000881C0000}"/>
    <cellStyle name="Normal 8 2 2 6 3 2" xfId="14111" xr:uid="{4CA5179F-EF24-4472-B9D5-641B8A629717}"/>
    <cellStyle name="Normal 8 2 2 6 4" xfId="9893" xr:uid="{A3AE64BA-018B-4F73-BB78-B752972D40C2}"/>
    <cellStyle name="Normal 8 2 2 7" xfId="1777" xr:uid="{00000000-0005-0000-0000-0000891C0000}"/>
    <cellStyle name="Normal 8 2 2 7 2" xfId="4007" xr:uid="{00000000-0005-0000-0000-00008A1C0000}"/>
    <cellStyle name="Normal 8 2 2 7 2 2" xfId="8230" xr:uid="{00000000-0005-0000-0000-00008B1C0000}"/>
    <cellStyle name="Normal 8 2 2 7 2 2 2" xfId="16669" xr:uid="{ED9489D1-FD9B-4853-A921-DC83ED5C18C4}"/>
    <cellStyle name="Normal 8 2 2 7 2 3" xfId="12451" xr:uid="{5D07AB26-8B2B-4D4C-9582-F589F28BC2BF}"/>
    <cellStyle name="Normal 8 2 2 7 3" xfId="6085" xr:uid="{00000000-0005-0000-0000-00008C1C0000}"/>
    <cellStyle name="Normal 8 2 2 7 3 2" xfId="14524" xr:uid="{F74DEACA-B3CA-4546-B728-75575A221969}"/>
    <cellStyle name="Normal 8 2 2 7 4" xfId="10306" xr:uid="{CCDA34BC-C328-4804-A74C-A6609A75C0EC}"/>
    <cellStyle name="Normal 8 2 2 8" xfId="2191" xr:uid="{00000000-0005-0000-0000-00008D1C0000}"/>
    <cellStyle name="Normal 8 2 2 8 2" xfId="4420" xr:uid="{00000000-0005-0000-0000-00008E1C0000}"/>
    <cellStyle name="Normal 8 2 2 8 2 2" xfId="8643" xr:uid="{00000000-0005-0000-0000-00008F1C0000}"/>
    <cellStyle name="Normal 8 2 2 8 2 2 2" xfId="17082" xr:uid="{F0B261CA-4FAC-4056-A2F4-278C6E2E9F0E}"/>
    <cellStyle name="Normal 8 2 2 8 2 3" xfId="12864" xr:uid="{DF5579F1-DF4E-46F3-A57A-1AA5B576397D}"/>
    <cellStyle name="Normal 8 2 2 8 3" xfId="6498" xr:uid="{00000000-0005-0000-0000-0000901C0000}"/>
    <cellStyle name="Normal 8 2 2 8 3 2" xfId="14937" xr:uid="{359F71AD-8ED6-43FF-BE35-A85EAEC4C3A4}"/>
    <cellStyle name="Normal 8 2 2 8 4" xfId="10719" xr:uid="{1924F260-5BC7-456F-8908-4B91B98BAAD8}"/>
    <cellStyle name="Normal 8 2 2 9" xfId="2627" xr:uid="{00000000-0005-0000-0000-0000911C0000}"/>
    <cellStyle name="Normal 8 2 2 9 2" xfId="6911" xr:uid="{00000000-0005-0000-0000-0000921C0000}"/>
    <cellStyle name="Normal 8 2 2 9 2 2" xfId="15350" xr:uid="{9165155C-7727-48CD-BBE2-1C38F93B15A8}"/>
    <cellStyle name="Normal 8 2 2 9 3" xfId="11132" xr:uid="{475AEE13-52C8-4534-ABCF-812AC84EDCF1}"/>
    <cellStyle name="Normal 8 2 3" xfId="488" xr:uid="{00000000-0005-0000-0000-0000931C0000}"/>
    <cellStyle name="Normal 8 2 3 10" xfId="9075" xr:uid="{7FC5F375-02CE-4678-87FB-4190329BF2C5}"/>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3" xr:uid="{DF9205F8-3370-41BF-BEF2-CA4832F95DD5}"/>
    <cellStyle name="Normal 8 2 3 2 2 2 2 3" xfId="11635" xr:uid="{86BF273F-2CCA-466C-B50C-81A5CC33355E}"/>
    <cellStyle name="Normal 8 2 3 2 2 2 3" xfId="5269" xr:uid="{00000000-0005-0000-0000-0000991C0000}"/>
    <cellStyle name="Normal 8 2 3 2 2 2 3 2" xfId="13708" xr:uid="{E867F738-5ADF-437A-8865-3963DF42FFAD}"/>
    <cellStyle name="Normal 8 2 3 2 2 2 4" xfId="9490" xr:uid="{7470FBBF-3621-4DB0-91D8-0D006F12D0C5}"/>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6" xr:uid="{624A8AC1-F0ED-4FB1-B425-E88045CBBF13}"/>
    <cellStyle name="Normal 8 2 3 2 2 3 2 3" xfId="12048" xr:uid="{10EA6D0C-899F-4577-B3AC-CDAD4DC6CC60}"/>
    <cellStyle name="Normal 8 2 3 2 2 3 3" xfId="5682" xr:uid="{00000000-0005-0000-0000-00009D1C0000}"/>
    <cellStyle name="Normal 8 2 3 2 2 3 3 2" xfId="14121" xr:uid="{DAE28DD5-18FF-48CE-AB72-40BC230AE93F}"/>
    <cellStyle name="Normal 8 2 3 2 2 3 4" xfId="9903" xr:uid="{02B1BF9B-A14A-4F14-A8B0-3BB6D277B129}"/>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79" xr:uid="{431E3253-AF67-4B36-A295-7027C504B878}"/>
    <cellStyle name="Normal 8 2 3 2 2 4 2 3" xfId="12461" xr:uid="{D745C6AA-AEC8-4EBD-82BD-057AC54052D1}"/>
    <cellStyle name="Normal 8 2 3 2 2 4 3" xfId="6095" xr:uid="{00000000-0005-0000-0000-0000A11C0000}"/>
    <cellStyle name="Normal 8 2 3 2 2 4 3 2" xfId="14534" xr:uid="{C7062817-4E1A-458F-AB47-0A917F352630}"/>
    <cellStyle name="Normal 8 2 3 2 2 4 4" xfId="10316" xr:uid="{D771C6AC-65F5-44BA-BF59-E66844DB8418}"/>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92" xr:uid="{9AEE76EE-A90B-4D14-A88A-AA9EC2B4C0D2}"/>
    <cellStyle name="Normal 8 2 3 2 2 5 2 3" xfId="12874" xr:uid="{4B3EB9D4-ED2B-4213-87FD-D66B19F9AA29}"/>
    <cellStyle name="Normal 8 2 3 2 2 5 3" xfId="6508" xr:uid="{00000000-0005-0000-0000-0000A51C0000}"/>
    <cellStyle name="Normal 8 2 3 2 2 5 3 2" xfId="14947" xr:uid="{7DF5674A-E5AF-424A-B071-1852B934D361}"/>
    <cellStyle name="Normal 8 2 3 2 2 5 4" xfId="10729" xr:uid="{7CE30A3D-3936-4D2B-9604-3704A0743ECC}"/>
    <cellStyle name="Normal 8 2 3 2 2 6" xfId="2637" xr:uid="{00000000-0005-0000-0000-0000A61C0000}"/>
    <cellStyle name="Normal 8 2 3 2 2 6 2" xfId="6921" xr:uid="{00000000-0005-0000-0000-0000A71C0000}"/>
    <cellStyle name="Normal 8 2 3 2 2 6 2 2" xfId="15360" xr:uid="{4DF81F35-231F-4BDB-8EB6-796967F0D933}"/>
    <cellStyle name="Normal 8 2 3 2 2 6 3" xfId="11142" xr:uid="{9C6829AE-733E-49D2-A63C-7CC8F036F045}"/>
    <cellStyle name="Normal 8 2 3 2 2 7" xfId="4856" xr:uid="{00000000-0005-0000-0000-0000A81C0000}"/>
    <cellStyle name="Normal 8 2 3 2 2 7 2" xfId="13295" xr:uid="{F83A26B1-3ADA-4342-B4E3-7DB3B0C94D08}"/>
    <cellStyle name="Normal 8 2 3 2 2 8" xfId="9077" xr:uid="{39ED66EA-7C94-450D-B62F-DE0670F5BB28}"/>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52" xr:uid="{8681384E-13C6-401B-A96A-01CA45136FD0}"/>
    <cellStyle name="Normal 8 2 3 2 3 2 3" xfId="11634" xr:uid="{F5954666-3012-4897-B4F3-50174FA99434}"/>
    <cellStyle name="Normal 8 2 3 2 3 3" xfId="5268" xr:uid="{00000000-0005-0000-0000-0000AC1C0000}"/>
    <cellStyle name="Normal 8 2 3 2 3 3 2" xfId="13707" xr:uid="{F36DDDEB-3007-4BF9-8C74-3CF369CF5161}"/>
    <cellStyle name="Normal 8 2 3 2 3 4" xfId="9489" xr:uid="{066431A0-54C6-4F68-B99D-962A007B28CC}"/>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5" xr:uid="{67DC6301-EBDC-404E-9248-69287C142969}"/>
    <cellStyle name="Normal 8 2 3 2 4 2 3" xfId="12047" xr:uid="{230B633F-416D-4304-AE3D-4C3DC21587E5}"/>
    <cellStyle name="Normal 8 2 3 2 4 3" xfId="5681" xr:uid="{00000000-0005-0000-0000-0000B01C0000}"/>
    <cellStyle name="Normal 8 2 3 2 4 3 2" xfId="14120" xr:uid="{9431625D-EB0D-4C1C-8DBA-D0FD8E122E0E}"/>
    <cellStyle name="Normal 8 2 3 2 4 4" xfId="9902" xr:uid="{5125E06C-1128-44E0-8DBC-565D048D4791}"/>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78" xr:uid="{6F36867C-1646-4F19-B9EC-C0FB586734A0}"/>
    <cellStyle name="Normal 8 2 3 2 5 2 3" xfId="12460" xr:uid="{87F8EEFA-D6D1-4E1C-BB92-8A5E5482BA13}"/>
    <cellStyle name="Normal 8 2 3 2 5 3" xfId="6094" xr:uid="{00000000-0005-0000-0000-0000B41C0000}"/>
    <cellStyle name="Normal 8 2 3 2 5 3 2" xfId="14533" xr:uid="{8F50EC40-874F-4970-8C02-770B77E4500E}"/>
    <cellStyle name="Normal 8 2 3 2 5 4" xfId="10315" xr:uid="{749AFCCB-8B42-4DB7-BEA6-963AB464F54F}"/>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91" xr:uid="{CA1A57C6-650F-4330-BA73-B926D6499F45}"/>
    <cellStyle name="Normal 8 2 3 2 6 2 3" xfId="12873" xr:uid="{23475B1F-6A97-4927-9239-91F87E168041}"/>
    <cellStyle name="Normal 8 2 3 2 6 3" xfId="6507" xr:uid="{00000000-0005-0000-0000-0000B81C0000}"/>
    <cellStyle name="Normal 8 2 3 2 6 3 2" xfId="14946" xr:uid="{A8140926-53D5-48DD-AA91-D1266BB77B08}"/>
    <cellStyle name="Normal 8 2 3 2 6 4" xfId="10728" xr:uid="{AF7FAF93-985E-4620-B681-42B48F190F5F}"/>
    <cellStyle name="Normal 8 2 3 2 7" xfId="2636" xr:uid="{00000000-0005-0000-0000-0000B91C0000}"/>
    <cellStyle name="Normal 8 2 3 2 7 2" xfId="6920" xr:uid="{00000000-0005-0000-0000-0000BA1C0000}"/>
    <cellStyle name="Normal 8 2 3 2 7 2 2" xfId="15359" xr:uid="{A8095295-6479-4B03-93E0-A1C0C34EDFB1}"/>
    <cellStyle name="Normal 8 2 3 2 7 3" xfId="11141" xr:uid="{CA510CDF-CB0D-4830-ABD0-288E71D4467B}"/>
    <cellStyle name="Normal 8 2 3 2 8" xfId="4855" xr:uid="{00000000-0005-0000-0000-0000BB1C0000}"/>
    <cellStyle name="Normal 8 2 3 2 8 2" xfId="13294" xr:uid="{7AF4A85A-70F0-4C2D-AC0A-0C70FF8F92C4}"/>
    <cellStyle name="Normal 8 2 3 2 9" xfId="9076" xr:uid="{666F7909-48F6-40AA-A977-7F0FB09C5923}"/>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4" xr:uid="{93862C9B-2076-40C2-93EE-C97546D0EF08}"/>
    <cellStyle name="Normal 8 2 3 3 2 2 3" xfId="11636" xr:uid="{82103E62-E648-4047-98A6-82EF5AD2FDAD}"/>
    <cellStyle name="Normal 8 2 3 3 2 3" xfId="5270" xr:uid="{00000000-0005-0000-0000-0000C01C0000}"/>
    <cellStyle name="Normal 8 2 3 3 2 3 2" xfId="13709" xr:uid="{C73A4BC1-F94E-4F2F-B5A1-C6C7C2EBA4BB}"/>
    <cellStyle name="Normal 8 2 3 3 2 4" xfId="9491" xr:uid="{ADAEBD40-7BE0-4200-8766-98B5C42DE130}"/>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67" xr:uid="{73CDEA0E-71B8-49D1-A3B8-2798E167A93D}"/>
    <cellStyle name="Normal 8 2 3 3 3 2 3" xfId="12049" xr:uid="{CFA1CF63-1696-4F53-BD1D-2B9D51AAB242}"/>
    <cellStyle name="Normal 8 2 3 3 3 3" xfId="5683" xr:uid="{00000000-0005-0000-0000-0000C41C0000}"/>
    <cellStyle name="Normal 8 2 3 3 3 3 2" xfId="14122" xr:uid="{2D11117B-7760-418F-8389-A71147EE1E79}"/>
    <cellStyle name="Normal 8 2 3 3 3 4" xfId="9904" xr:uid="{1113C196-2709-4F3D-9FBF-39CD65EA0C8A}"/>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80" xr:uid="{6A56AC26-45B8-49AF-B9D9-80BD4D7036E8}"/>
    <cellStyle name="Normal 8 2 3 3 4 2 3" xfId="12462" xr:uid="{DAF8538E-F741-4BEC-8376-7EBB0A0571D8}"/>
    <cellStyle name="Normal 8 2 3 3 4 3" xfId="6096" xr:uid="{00000000-0005-0000-0000-0000C81C0000}"/>
    <cellStyle name="Normal 8 2 3 3 4 3 2" xfId="14535" xr:uid="{AAD3B6CB-B9EC-43BD-859D-2BA0749B622F}"/>
    <cellStyle name="Normal 8 2 3 3 4 4" xfId="10317" xr:uid="{CAA5D732-9A5A-4DCC-86AC-BA4DDBDD11D0}"/>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3" xr:uid="{51EA351D-FADA-4FBE-B0C0-6E1DDE4EDF87}"/>
    <cellStyle name="Normal 8 2 3 3 5 2 3" xfId="12875" xr:uid="{5B405312-AD16-4DB4-B6C7-EA9377EED7E3}"/>
    <cellStyle name="Normal 8 2 3 3 5 3" xfId="6509" xr:uid="{00000000-0005-0000-0000-0000CC1C0000}"/>
    <cellStyle name="Normal 8 2 3 3 5 3 2" xfId="14948" xr:uid="{94EA933F-1A76-4A91-9338-ED1A50CFBA62}"/>
    <cellStyle name="Normal 8 2 3 3 5 4" xfId="10730" xr:uid="{55065D7E-110A-4C14-88CC-D1016535714B}"/>
    <cellStyle name="Normal 8 2 3 3 6" xfId="2638" xr:uid="{00000000-0005-0000-0000-0000CD1C0000}"/>
    <cellStyle name="Normal 8 2 3 3 6 2" xfId="6922" xr:uid="{00000000-0005-0000-0000-0000CE1C0000}"/>
    <cellStyle name="Normal 8 2 3 3 6 2 2" xfId="15361" xr:uid="{C552148E-C446-4243-8002-4989A52D09BE}"/>
    <cellStyle name="Normal 8 2 3 3 6 3" xfId="11143" xr:uid="{3CCD6439-7075-4530-9484-38BCEC99DA35}"/>
    <cellStyle name="Normal 8 2 3 3 7" xfId="4857" xr:uid="{00000000-0005-0000-0000-0000CF1C0000}"/>
    <cellStyle name="Normal 8 2 3 3 7 2" xfId="13296" xr:uid="{E5379F3E-56D2-4F13-A21D-FC89A9E7F807}"/>
    <cellStyle name="Normal 8 2 3 3 8" xfId="9078" xr:uid="{EC4BA3C7-F880-4BCA-BFC1-ECD92083B480}"/>
    <cellStyle name="Normal 8 2 3 4" xfId="955" xr:uid="{00000000-0005-0000-0000-0000D01C0000}"/>
    <cellStyle name="Normal 8 2 3 4 2" xfId="3189" xr:uid="{00000000-0005-0000-0000-0000D11C0000}"/>
    <cellStyle name="Normal 8 2 3 4 2 2" xfId="7412" xr:uid="{00000000-0005-0000-0000-0000D21C0000}"/>
    <cellStyle name="Normal 8 2 3 4 2 2 2" xfId="15851" xr:uid="{616740CC-0B61-4DF1-A80F-3611C36779BD}"/>
    <cellStyle name="Normal 8 2 3 4 2 3" xfId="11633" xr:uid="{ADC464DE-6F1B-45B9-A46B-BC18F1DDF045}"/>
    <cellStyle name="Normal 8 2 3 4 3" xfId="5267" xr:uid="{00000000-0005-0000-0000-0000D31C0000}"/>
    <cellStyle name="Normal 8 2 3 4 3 2" xfId="13706" xr:uid="{208658E1-761B-457F-9E12-8ABE27EC41BC}"/>
    <cellStyle name="Normal 8 2 3 4 4" xfId="9488" xr:uid="{CDD2FB77-F134-4CBE-AA40-CE765FE1EADD}"/>
    <cellStyle name="Normal 8 2 3 5" xfId="1372" xr:uid="{00000000-0005-0000-0000-0000D41C0000}"/>
    <cellStyle name="Normal 8 2 3 5 2" xfId="3602" xr:uid="{00000000-0005-0000-0000-0000D51C0000}"/>
    <cellStyle name="Normal 8 2 3 5 2 2" xfId="7825" xr:uid="{00000000-0005-0000-0000-0000D61C0000}"/>
    <cellStyle name="Normal 8 2 3 5 2 2 2" xfId="16264" xr:uid="{5AB5400F-D74A-4690-BE4B-A8C15A06E2D8}"/>
    <cellStyle name="Normal 8 2 3 5 2 3" xfId="12046" xr:uid="{0B998D92-3070-441D-A380-D7D64207849E}"/>
    <cellStyle name="Normal 8 2 3 5 3" xfId="5680" xr:uid="{00000000-0005-0000-0000-0000D71C0000}"/>
    <cellStyle name="Normal 8 2 3 5 3 2" xfId="14119" xr:uid="{F224E4A3-767B-4BDC-94E8-D910E1B32536}"/>
    <cellStyle name="Normal 8 2 3 5 4" xfId="9901" xr:uid="{6FBE5245-2700-45C3-996D-C8274C400824}"/>
    <cellStyle name="Normal 8 2 3 6" xfId="1785" xr:uid="{00000000-0005-0000-0000-0000D81C0000}"/>
    <cellStyle name="Normal 8 2 3 6 2" xfId="4015" xr:uid="{00000000-0005-0000-0000-0000D91C0000}"/>
    <cellStyle name="Normal 8 2 3 6 2 2" xfId="8238" xr:uid="{00000000-0005-0000-0000-0000DA1C0000}"/>
    <cellStyle name="Normal 8 2 3 6 2 2 2" xfId="16677" xr:uid="{C1854C9B-A1E5-4AB1-B5C6-96036FD2AB76}"/>
    <cellStyle name="Normal 8 2 3 6 2 3" xfId="12459" xr:uid="{DE02E810-3262-4120-B608-97B730AE50A2}"/>
    <cellStyle name="Normal 8 2 3 6 3" xfId="6093" xr:uid="{00000000-0005-0000-0000-0000DB1C0000}"/>
    <cellStyle name="Normal 8 2 3 6 3 2" xfId="14532" xr:uid="{AE8F88D0-7C73-4195-8826-08B229E04BEC}"/>
    <cellStyle name="Normal 8 2 3 6 4" xfId="10314" xr:uid="{B88FDC40-1E55-412E-BCBF-5D8192F31B1E}"/>
    <cellStyle name="Normal 8 2 3 7" xfId="2199" xr:uid="{00000000-0005-0000-0000-0000DC1C0000}"/>
    <cellStyle name="Normal 8 2 3 7 2" xfId="4428" xr:uid="{00000000-0005-0000-0000-0000DD1C0000}"/>
    <cellStyle name="Normal 8 2 3 7 2 2" xfId="8651" xr:uid="{00000000-0005-0000-0000-0000DE1C0000}"/>
    <cellStyle name="Normal 8 2 3 7 2 2 2" xfId="17090" xr:uid="{FF375984-1781-4677-9C34-D692D4A5C1CB}"/>
    <cellStyle name="Normal 8 2 3 7 2 3" xfId="12872" xr:uid="{5D5CBCE8-A8AB-43B8-982A-62D445DAFB06}"/>
    <cellStyle name="Normal 8 2 3 7 3" xfId="6506" xr:uid="{00000000-0005-0000-0000-0000DF1C0000}"/>
    <cellStyle name="Normal 8 2 3 7 3 2" xfId="14945" xr:uid="{98D47A86-63AE-451F-95B6-C76FE3747F28}"/>
    <cellStyle name="Normal 8 2 3 7 4" xfId="10727" xr:uid="{0D6652EB-7733-4E2C-932A-0428938354B4}"/>
    <cellStyle name="Normal 8 2 3 8" xfId="2635" xr:uid="{00000000-0005-0000-0000-0000E01C0000}"/>
    <cellStyle name="Normal 8 2 3 8 2" xfId="6919" xr:uid="{00000000-0005-0000-0000-0000E11C0000}"/>
    <cellStyle name="Normal 8 2 3 8 2 2" xfId="15358" xr:uid="{5F1A4BE7-FE78-4359-90E7-C9CEF665C66C}"/>
    <cellStyle name="Normal 8 2 3 8 3" xfId="11140" xr:uid="{DA607752-BFF4-4455-BF48-867045CB56C0}"/>
    <cellStyle name="Normal 8 2 3 9" xfId="4854" xr:uid="{00000000-0005-0000-0000-0000E21C0000}"/>
    <cellStyle name="Normal 8 2 3 9 2" xfId="13293" xr:uid="{020CDC76-CE54-46BC-B41C-B419F18C872F}"/>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6" xr:uid="{73C6DE57-74A0-4406-AB05-B920B1A88B6C}"/>
    <cellStyle name="Normal 8 2 4 2 2 2 3" xfId="11638" xr:uid="{A1EF279A-40E5-41EF-A267-0F4D8EC8F301}"/>
    <cellStyle name="Normal 8 2 4 2 2 3" xfId="5272" xr:uid="{00000000-0005-0000-0000-0000E81C0000}"/>
    <cellStyle name="Normal 8 2 4 2 2 3 2" xfId="13711" xr:uid="{65DB3E23-C714-48CD-B49A-68D31C9037D7}"/>
    <cellStyle name="Normal 8 2 4 2 2 4" xfId="9493" xr:uid="{02644C20-6F0B-4FD5-8B11-3F41B5A01D8A}"/>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69" xr:uid="{711D479E-CC38-468E-9F71-4F3413A57A5B}"/>
    <cellStyle name="Normal 8 2 4 2 3 2 3" xfId="12051" xr:uid="{17051A18-763B-415E-8149-EF63BF3B38D2}"/>
    <cellStyle name="Normal 8 2 4 2 3 3" xfId="5685" xr:uid="{00000000-0005-0000-0000-0000EC1C0000}"/>
    <cellStyle name="Normal 8 2 4 2 3 3 2" xfId="14124" xr:uid="{D90F2CB5-C40A-4CF3-8883-F6E3DE2338B0}"/>
    <cellStyle name="Normal 8 2 4 2 3 4" xfId="9906" xr:uid="{BD4176D0-166B-4C57-A77E-90534015F996}"/>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82" xr:uid="{329F5979-F685-4416-8EFC-2BDFB34FE144}"/>
    <cellStyle name="Normal 8 2 4 2 4 2 3" xfId="12464" xr:uid="{59869E66-784C-43AA-8CF3-16055504D692}"/>
    <cellStyle name="Normal 8 2 4 2 4 3" xfId="6098" xr:uid="{00000000-0005-0000-0000-0000F01C0000}"/>
    <cellStyle name="Normal 8 2 4 2 4 3 2" xfId="14537" xr:uid="{A6D5125D-8481-4AB9-BF12-C1543CB61FA2}"/>
    <cellStyle name="Normal 8 2 4 2 4 4" xfId="10319" xr:uid="{BF171537-9619-4087-81B7-1FF59CF0E8A9}"/>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5" xr:uid="{ADB3FC0F-7835-4255-8349-99A54F4CD914}"/>
    <cellStyle name="Normal 8 2 4 2 5 2 3" xfId="12877" xr:uid="{B9D50896-A0CB-4004-A0EC-F50EAF54B9E8}"/>
    <cellStyle name="Normal 8 2 4 2 5 3" xfId="6511" xr:uid="{00000000-0005-0000-0000-0000F41C0000}"/>
    <cellStyle name="Normal 8 2 4 2 5 3 2" xfId="14950" xr:uid="{A75524DE-4469-46AE-9773-AB00164E3ADC}"/>
    <cellStyle name="Normal 8 2 4 2 5 4" xfId="10732" xr:uid="{1D326748-B964-4044-A5F1-232F16956C46}"/>
    <cellStyle name="Normal 8 2 4 2 6" xfId="2640" xr:uid="{00000000-0005-0000-0000-0000F51C0000}"/>
    <cellStyle name="Normal 8 2 4 2 6 2" xfId="6924" xr:uid="{00000000-0005-0000-0000-0000F61C0000}"/>
    <cellStyle name="Normal 8 2 4 2 6 2 2" xfId="15363" xr:uid="{6945263D-054E-4C05-B69C-0B94CB9F6AFF}"/>
    <cellStyle name="Normal 8 2 4 2 6 3" xfId="11145" xr:uid="{4596F6FA-3D68-4708-9B1E-A30862F8B10F}"/>
    <cellStyle name="Normal 8 2 4 2 7" xfId="4859" xr:uid="{00000000-0005-0000-0000-0000F71C0000}"/>
    <cellStyle name="Normal 8 2 4 2 7 2" xfId="13298" xr:uid="{7EDF6562-7B03-432B-8D48-1C4183AC1235}"/>
    <cellStyle name="Normal 8 2 4 2 8" xfId="9080" xr:uid="{0677F262-4A88-43B1-A6D7-FF9BBCFE9616}"/>
    <cellStyle name="Normal 8 2 4 3" xfId="959" xr:uid="{00000000-0005-0000-0000-0000F81C0000}"/>
    <cellStyle name="Normal 8 2 4 3 2" xfId="3193" xr:uid="{00000000-0005-0000-0000-0000F91C0000}"/>
    <cellStyle name="Normal 8 2 4 3 2 2" xfId="7416" xr:uid="{00000000-0005-0000-0000-0000FA1C0000}"/>
    <cellStyle name="Normal 8 2 4 3 2 2 2" xfId="15855" xr:uid="{B9750F3C-4DCB-4374-80CA-301CC1701DBD}"/>
    <cellStyle name="Normal 8 2 4 3 2 3" xfId="11637" xr:uid="{388DDBDB-1572-468F-B335-134A65B222C8}"/>
    <cellStyle name="Normal 8 2 4 3 3" xfId="5271" xr:uid="{00000000-0005-0000-0000-0000FB1C0000}"/>
    <cellStyle name="Normal 8 2 4 3 3 2" xfId="13710" xr:uid="{E0B3EAE4-4CC0-40A3-8828-621762D0A603}"/>
    <cellStyle name="Normal 8 2 4 3 4" xfId="9492" xr:uid="{10608C17-1FF9-4630-87D0-9A78EDB1B746}"/>
    <cellStyle name="Normal 8 2 4 4" xfId="1376" xr:uid="{00000000-0005-0000-0000-0000FC1C0000}"/>
    <cellStyle name="Normal 8 2 4 4 2" xfId="3606" xr:uid="{00000000-0005-0000-0000-0000FD1C0000}"/>
    <cellStyle name="Normal 8 2 4 4 2 2" xfId="7829" xr:uid="{00000000-0005-0000-0000-0000FE1C0000}"/>
    <cellStyle name="Normal 8 2 4 4 2 2 2" xfId="16268" xr:uid="{FC3A8B61-846D-4786-B8AF-A16F8AB6753D}"/>
    <cellStyle name="Normal 8 2 4 4 2 3" xfId="12050" xr:uid="{C669FEA5-B4FC-4A89-89F0-BA1E747DE6E5}"/>
    <cellStyle name="Normal 8 2 4 4 3" xfId="5684" xr:uid="{00000000-0005-0000-0000-0000FF1C0000}"/>
    <cellStyle name="Normal 8 2 4 4 3 2" xfId="14123" xr:uid="{8153259D-235C-41EE-9741-2684A00F737A}"/>
    <cellStyle name="Normal 8 2 4 4 4" xfId="9905" xr:uid="{B1F1E56B-6481-48C3-81DD-BB21AA792798}"/>
    <cellStyle name="Normal 8 2 4 5" xfId="1789" xr:uid="{00000000-0005-0000-0000-0000001D0000}"/>
    <cellStyle name="Normal 8 2 4 5 2" xfId="4019" xr:uid="{00000000-0005-0000-0000-0000011D0000}"/>
    <cellStyle name="Normal 8 2 4 5 2 2" xfId="8242" xr:uid="{00000000-0005-0000-0000-0000021D0000}"/>
    <cellStyle name="Normal 8 2 4 5 2 2 2" xfId="16681" xr:uid="{755C08BB-0C8E-4F84-A07C-CB533CA9749C}"/>
    <cellStyle name="Normal 8 2 4 5 2 3" xfId="12463" xr:uid="{BCFEE468-49DC-4EA9-B589-4747D9285DB1}"/>
    <cellStyle name="Normal 8 2 4 5 3" xfId="6097" xr:uid="{00000000-0005-0000-0000-0000031D0000}"/>
    <cellStyle name="Normal 8 2 4 5 3 2" xfId="14536" xr:uid="{EDE40D0B-B6AA-4551-AAA7-8D029541D0B8}"/>
    <cellStyle name="Normal 8 2 4 5 4" xfId="10318" xr:uid="{07D4C75B-5A3A-4A1E-BAB9-449C0E77AABF}"/>
    <cellStyle name="Normal 8 2 4 6" xfId="2203" xr:uid="{00000000-0005-0000-0000-0000041D0000}"/>
    <cellStyle name="Normal 8 2 4 6 2" xfId="4432" xr:uid="{00000000-0005-0000-0000-0000051D0000}"/>
    <cellStyle name="Normal 8 2 4 6 2 2" xfId="8655" xr:uid="{00000000-0005-0000-0000-0000061D0000}"/>
    <cellStyle name="Normal 8 2 4 6 2 2 2" xfId="17094" xr:uid="{8EF95A5D-9FD9-4CDE-93B6-1F06F193F786}"/>
    <cellStyle name="Normal 8 2 4 6 2 3" xfId="12876" xr:uid="{243F9720-654C-4AC9-8B7B-315905700A73}"/>
    <cellStyle name="Normal 8 2 4 6 3" xfId="6510" xr:uid="{00000000-0005-0000-0000-0000071D0000}"/>
    <cellStyle name="Normal 8 2 4 6 3 2" xfId="14949" xr:uid="{1FA40506-31A9-43C1-9291-20C526F8DA18}"/>
    <cellStyle name="Normal 8 2 4 6 4" xfId="10731" xr:uid="{B8080437-301C-4BB4-A959-BE8CBD7D1B1D}"/>
    <cellStyle name="Normal 8 2 4 7" xfId="2639" xr:uid="{00000000-0005-0000-0000-0000081D0000}"/>
    <cellStyle name="Normal 8 2 4 7 2" xfId="6923" xr:uid="{00000000-0005-0000-0000-0000091D0000}"/>
    <cellStyle name="Normal 8 2 4 7 2 2" xfId="15362" xr:uid="{2D305849-D391-4B95-83AE-8D3C035380A9}"/>
    <cellStyle name="Normal 8 2 4 7 3" xfId="11144" xr:uid="{48D90430-2EC7-4B58-94DF-BAB784929600}"/>
    <cellStyle name="Normal 8 2 4 8" xfId="4858" xr:uid="{00000000-0005-0000-0000-00000A1D0000}"/>
    <cellStyle name="Normal 8 2 4 8 2" xfId="13297" xr:uid="{5405919E-A31B-4BE2-AB4F-28D80A8168B5}"/>
    <cellStyle name="Normal 8 2 4 9" xfId="9079" xr:uid="{2A0141C1-5BFF-4EF8-97BB-2FFA289B23FF}"/>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5857" xr:uid="{4224671A-B027-4254-9B2E-839A465B6EBE}"/>
    <cellStyle name="Normal 8 2 5 2 2 3" xfId="11639" xr:uid="{28FF17F3-DC56-4860-8C2F-025BD84952E2}"/>
    <cellStyle name="Normal 8 2 5 2 3" xfId="5273" xr:uid="{00000000-0005-0000-0000-00000F1D0000}"/>
    <cellStyle name="Normal 8 2 5 2 3 2" xfId="13712" xr:uid="{D06D6A1F-A6B5-4587-8601-42A0A6C32E53}"/>
    <cellStyle name="Normal 8 2 5 2 4" xfId="9494" xr:uid="{EB8EE1D4-D973-4452-989E-81E4580621BF}"/>
    <cellStyle name="Normal 8 2 5 3" xfId="1378" xr:uid="{00000000-0005-0000-0000-0000101D0000}"/>
    <cellStyle name="Normal 8 2 5 3 2" xfId="3608" xr:uid="{00000000-0005-0000-0000-0000111D0000}"/>
    <cellStyle name="Normal 8 2 5 3 2 2" xfId="7831" xr:uid="{00000000-0005-0000-0000-0000121D0000}"/>
    <cellStyle name="Normal 8 2 5 3 2 2 2" xfId="16270" xr:uid="{88BB21AE-272E-4F18-B3A1-5ACEE6AEDD32}"/>
    <cellStyle name="Normal 8 2 5 3 2 3" xfId="12052" xr:uid="{1AA40D1C-905C-484E-B1DC-1FCD9BC60923}"/>
    <cellStyle name="Normal 8 2 5 3 3" xfId="5686" xr:uid="{00000000-0005-0000-0000-0000131D0000}"/>
    <cellStyle name="Normal 8 2 5 3 3 2" xfId="14125" xr:uid="{27BE38CD-5C83-4DC9-8A71-0DF3A91370A3}"/>
    <cellStyle name="Normal 8 2 5 3 4" xfId="9907" xr:uid="{B699DBB6-8363-4056-91CC-1079A6A33A8A}"/>
    <cellStyle name="Normal 8 2 5 4" xfId="1791" xr:uid="{00000000-0005-0000-0000-0000141D0000}"/>
    <cellStyle name="Normal 8 2 5 4 2" xfId="4021" xr:uid="{00000000-0005-0000-0000-0000151D0000}"/>
    <cellStyle name="Normal 8 2 5 4 2 2" xfId="8244" xr:uid="{00000000-0005-0000-0000-0000161D0000}"/>
    <cellStyle name="Normal 8 2 5 4 2 2 2" xfId="16683" xr:uid="{56E9DBEE-1EB5-43EE-B0E5-2E6AE95E2563}"/>
    <cellStyle name="Normal 8 2 5 4 2 3" xfId="12465" xr:uid="{B38189B8-0D2E-4360-A680-B715AB971605}"/>
    <cellStyle name="Normal 8 2 5 4 3" xfId="6099" xr:uid="{00000000-0005-0000-0000-0000171D0000}"/>
    <cellStyle name="Normal 8 2 5 4 3 2" xfId="14538" xr:uid="{82AA61EE-04B8-444F-B730-77783A720EE2}"/>
    <cellStyle name="Normal 8 2 5 4 4" xfId="10320" xr:uid="{B0B6E63F-EC96-4599-B499-A1386ED2E06D}"/>
    <cellStyle name="Normal 8 2 5 5" xfId="2205" xr:uid="{00000000-0005-0000-0000-0000181D0000}"/>
    <cellStyle name="Normal 8 2 5 5 2" xfId="4434" xr:uid="{00000000-0005-0000-0000-0000191D0000}"/>
    <cellStyle name="Normal 8 2 5 5 2 2" xfId="8657" xr:uid="{00000000-0005-0000-0000-00001A1D0000}"/>
    <cellStyle name="Normal 8 2 5 5 2 2 2" xfId="17096" xr:uid="{8A1F5528-81F7-4826-8A89-830436AAE917}"/>
    <cellStyle name="Normal 8 2 5 5 2 3" xfId="12878" xr:uid="{FD2E32F5-7150-4668-B19C-6FD52F5EE800}"/>
    <cellStyle name="Normal 8 2 5 5 3" xfId="6512" xr:uid="{00000000-0005-0000-0000-00001B1D0000}"/>
    <cellStyle name="Normal 8 2 5 5 3 2" xfId="14951" xr:uid="{4E4129FF-2EA3-4C47-92DA-3ADBC16198C5}"/>
    <cellStyle name="Normal 8 2 5 5 4" xfId="10733" xr:uid="{91E557FE-2005-4F55-86A8-FE5096CC351E}"/>
    <cellStyle name="Normal 8 2 5 6" xfId="2641" xr:uid="{00000000-0005-0000-0000-00001C1D0000}"/>
    <cellStyle name="Normal 8 2 5 6 2" xfId="6925" xr:uid="{00000000-0005-0000-0000-00001D1D0000}"/>
    <cellStyle name="Normal 8 2 5 6 2 2" xfId="15364" xr:uid="{4794F00E-E755-4546-AD8A-40403DD1D948}"/>
    <cellStyle name="Normal 8 2 5 6 3" xfId="11146" xr:uid="{40ADB96A-2633-4397-AA72-5DC8582A480B}"/>
    <cellStyle name="Normal 8 2 5 7" xfId="4860" xr:uid="{00000000-0005-0000-0000-00001E1D0000}"/>
    <cellStyle name="Normal 8 2 5 7 2" xfId="13299" xr:uid="{861DE5BF-E252-4F59-8014-F6B806EF9126}"/>
    <cellStyle name="Normal 8 2 5 8" xfId="9081" xr:uid="{E2782EEF-84D5-4D8F-B368-BFB80FB7E565}"/>
    <cellStyle name="Normal 8 2 6" xfId="946" xr:uid="{00000000-0005-0000-0000-00001F1D0000}"/>
    <cellStyle name="Normal 8 2 6 2" xfId="3180" xr:uid="{00000000-0005-0000-0000-0000201D0000}"/>
    <cellStyle name="Normal 8 2 6 2 2" xfId="7403" xr:uid="{00000000-0005-0000-0000-0000211D0000}"/>
    <cellStyle name="Normal 8 2 6 2 2 2" xfId="15842" xr:uid="{5FABABC1-087A-4A3F-AE24-39B5D43F8A7E}"/>
    <cellStyle name="Normal 8 2 6 2 3" xfId="11624" xr:uid="{80048714-AEAE-4152-9001-8B2323FDC855}"/>
    <cellStyle name="Normal 8 2 6 3" xfId="5258" xr:uid="{00000000-0005-0000-0000-0000221D0000}"/>
    <cellStyle name="Normal 8 2 6 3 2" xfId="13697" xr:uid="{B5A26270-8C5A-4314-AAFB-4B6E6D5A7A1D}"/>
    <cellStyle name="Normal 8 2 6 4" xfId="9479" xr:uid="{A9628123-0397-4286-8662-C3A6E6443380}"/>
    <cellStyle name="Normal 8 2 7" xfId="1363" xr:uid="{00000000-0005-0000-0000-0000231D0000}"/>
    <cellStyle name="Normal 8 2 7 2" xfId="3593" xr:uid="{00000000-0005-0000-0000-0000241D0000}"/>
    <cellStyle name="Normal 8 2 7 2 2" xfId="7816" xr:uid="{00000000-0005-0000-0000-0000251D0000}"/>
    <cellStyle name="Normal 8 2 7 2 2 2" xfId="16255" xr:uid="{6E753E25-F5EC-41DB-A071-8011DEFCACBB}"/>
    <cellStyle name="Normal 8 2 7 2 3" xfId="12037" xr:uid="{AEDF7C00-F45C-4704-BA41-37A154E98CFC}"/>
    <cellStyle name="Normal 8 2 7 3" xfId="5671" xr:uid="{00000000-0005-0000-0000-0000261D0000}"/>
    <cellStyle name="Normal 8 2 7 3 2" xfId="14110" xr:uid="{48DA176F-15F0-4249-812F-D2BBB54B21F6}"/>
    <cellStyle name="Normal 8 2 7 4" xfId="9892" xr:uid="{A09D8C23-813C-464D-92C1-5A86DBB7C8FA}"/>
    <cellStyle name="Normal 8 2 8" xfId="1776" xr:uid="{00000000-0005-0000-0000-0000271D0000}"/>
    <cellStyle name="Normal 8 2 8 2" xfId="4006" xr:uid="{00000000-0005-0000-0000-0000281D0000}"/>
    <cellStyle name="Normal 8 2 8 2 2" xfId="8229" xr:uid="{00000000-0005-0000-0000-0000291D0000}"/>
    <cellStyle name="Normal 8 2 8 2 2 2" xfId="16668" xr:uid="{03E9EB9E-B496-4F1E-8A4F-5D2A84D6D3C5}"/>
    <cellStyle name="Normal 8 2 8 2 3" xfId="12450" xr:uid="{314CC2DA-8CA8-4399-BD30-25553968805F}"/>
    <cellStyle name="Normal 8 2 8 3" xfId="6084" xr:uid="{00000000-0005-0000-0000-00002A1D0000}"/>
    <cellStyle name="Normal 8 2 8 3 2" xfId="14523" xr:uid="{883E60BD-59D8-4A25-8092-25243757B7A6}"/>
    <cellStyle name="Normal 8 2 8 4" xfId="10305" xr:uid="{7F98118D-B432-41E7-9173-8CB2D4CE653C}"/>
    <cellStyle name="Normal 8 2 9" xfId="2190" xr:uid="{00000000-0005-0000-0000-00002B1D0000}"/>
    <cellStyle name="Normal 8 2 9 2" xfId="4419" xr:uid="{00000000-0005-0000-0000-00002C1D0000}"/>
    <cellStyle name="Normal 8 2 9 2 2" xfId="8642" xr:uid="{00000000-0005-0000-0000-00002D1D0000}"/>
    <cellStyle name="Normal 8 2 9 2 2 2" xfId="17081" xr:uid="{0706C1CD-A7B9-4FEE-86BA-CE649B8100C0}"/>
    <cellStyle name="Normal 8 2 9 2 3" xfId="12863" xr:uid="{9D3FB83A-0904-4DD9-B5EE-924AB9E8A989}"/>
    <cellStyle name="Normal 8 2 9 3" xfId="6497" xr:uid="{00000000-0005-0000-0000-00002E1D0000}"/>
    <cellStyle name="Normal 8 2 9 3 2" xfId="14936" xr:uid="{78D45F3B-0691-4A32-BDE1-CF79B5BB5D6E}"/>
    <cellStyle name="Normal 8 2 9 4" xfId="10718" xr:uid="{05411B81-8874-4229-909F-8F5E7FCE8AD8}"/>
    <cellStyle name="Normal 8 3" xfId="495" xr:uid="{00000000-0005-0000-0000-00002F1D0000}"/>
    <cellStyle name="Normal 8 3 10" xfId="4861" xr:uid="{00000000-0005-0000-0000-0000301D0000}"/>
    <cellStyle name="Normal 8 3 10 2" xfId="13300" xr:uid="{76A616C7-B2BC-4BFE-B74B-F6230F1EA8D2}"/>
    <cellStyle name="Normal 8 3 11" xfId="9082" xr:uid="{E7537963-28AE-42C6-9482-048C5E1DB679}"/>
    <cellStyle name="Normal 8 3 2" xfId="496" xr:uid="{00000000-0005-0000-0000-0000311D0000}"/>
    <cellStyle name="Normal 8 3 2 10" xfId="9083" xr:uid="{1EE8AAF5-96FF-4CE8-AD37-8D61E0121E5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61" xr:uid="{944E5D7A-4750-42A7-9FE2-546A3691C89A}"/>
    <cellStyle name="Normal 8 3 2 2 2 2 2 3" xfId="11643" xr:uid="{8E8395F3-8D1E-47F3-BDC6-92077D6A2E13}"/>
    <cellStyle name="Normal 8 3 2 2 2 2 3" xfId="5277" xr:uid="{00000000-0005-0000-0000-0000371D0000}"/>
    <cellStyle name="Normal 8 3 2 2 2 2 3 2" xfId="13716" xr:uid="{51503585-CA45-4E64-9883-EEE9CAD72704}"/>
    <cellStyle name="Normal 8 3 2 2 2 2 4" xfId="9498" xr:uid="{8B1CF241-DE5C-46A0-987D-8DCE74F16E94}"/>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4" xr:uid="{A61E3E5A-23B9-43B2-92DA-FBE7D073BCE5}"/>
    <cellStyle name="Normal 8 3 2 2 2 3 2 3" xfId="12056" xr:uid="{E9E8370F-8E38-4BCE-91C7-E3C4A5D9984E}"/>
    <cellStyle name="Normal 8 3 2 2 2 3 3" xfId="5690" xr:uid="{00000000-0005-0000-0000-00003B1D0000}"/>
    <cellStyle name="Normal 8 3 2 2 2 3 3 2" xfId="14129" xr:uid="{A1E0DE23-A05E-4D88-B646-D12E7BAECA42}"/>
    <cellStyle name="Normal 8 3 2 2 2 3 4" xfId="9911" xr:uid="{679A71B1-F7AB-4A4E-823B-6BB800A2321C}"/>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87" xr:uid="{AE999296-6EC7-490F-8B9C-C5F8DEAAC1C5}"/>
    <cellStyle name="Normal 8 3 2 2 2 4 2 3" xfId="12469" xr:uid="{BE8526A2-B63B-4D94-AFB0-AFD2EBB37682}"/>
    <cellStyle name="Normal 8 3 2 2 2 4 3" xfId="6103" xr:uid="{00000000-0005-0000-0000-00003F1D0000}"/>
    <cellStyle name="Normal 8 3 2 2 2 4 3 2" xfId="14542" xr:uid="{D942F42E-3470-43A7-A894-A6043336C4C4}"/>
    <cellStyle name="Normal 8 3 2 2 2 4 4" xfId="10324" xr:uid="{91F69894-4D40-4438-87B8-20A397FA54ED}"/>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100" xr:uid="{A014AAE5-ADE2-4BA0-BA8C-9AC1E5F7D2EE}"/>
    <cellStyle name="Normal 8 3 2 2 2 5 2 3" xfId="12882" xr:uid="{50C5D335-DBDF-48D4-B7A6-162D204F91A6}"/>
    <cellStyle name="Normal 8 3 2 2 2 5 3" xfId="6516" xr:uid="{00000000-0005-0000-0000-0000431D0000}"/>
    <cellStyle name="Normal 8 3 2 2 2 5 3 2" xfId="14955" xr:uid="{EA503E08-3DE6-46E0-9E35-1ECF6AFE3E42}"/>
    <cellStyle name="Normal 8 3 2 2 2 5 4" xfId="10737" xr:uid="{D8345979-B191-4DEE-AC35-E2597CE001C5}"/>
    <cellStyle name="Normal 8 3 2 2 2 6" xfId="2645" xr:uid="{00000000-0005-0000-0000-0000441D0000}"/>
    <cellStyle name="Normal 8 3 2 2 2 6 2" xfId="6929" xr:uid="{00000000-0005-0000-0000-0000451D0000}"/>
    <cellStyle name="Normal 8 3 2 2 2 6 2 2" xfId="15368" xr:uid="{289FA63F-480D-4B80-9E8D-6C79856DFF9D}"/>
    <cellStyle name="Normal 8 3 2 2 2 6 3" xfId="11150" xr:uid="{8FA01615-2F3D-4A75-9CEB-3697ECBFD96A}"/>
    <cellStyle name="Normal 8 3 2 2 2 7" xfId="4864" xr:uid="{00000000-0005-0000-0000-0000461D0000}"/>
    <cellStyle name="Normal 8 3 2 2 2 7 2" xfId="13303" xr:uid="{845B3113-DF76-4A19-9DB0-967C2E76ADB1}"/>
    <cellStyle name="Normal 8 3 2 2 2 8" xfId="9085" xr:uid="{95ED5223-7544-4036-952B-A139D9E461BC}"/>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60" xr:uid="{22B17F64-0542-4E69-9851-060075722CD3}"/>
    <cellStyle name="Normal 8 3 2 2 3 2 3" xfId="11642" xr:uid="{E4343822-D595-4909-AEC9-4EFDA68853C5}"/>
    <cellStyle name="Normal 8 3 2 2 3 3" xfId="5276" xr:uid="{00000000-0005-0000-0000-00004A1D0000}"/>
    <cellStyle name="Normal 8 3 2 2 3 3 2" xfId="13715" xr:uid="{EA6B9CCD-DAB1-40C6-BFEC-CB65A1C61FB9}"/>
    <cellStyle name="Normal 8 3 2 2 3 4" xfId="9497" xr:uid="{F2342BC2-DBE5-4F9C-8944-B62EC46D546E}"/>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3" xr:uid="{6BC8110E-121B-4C17-90DA-4E7318110476}"/>
    <cellStyle name="Normal 8 3 2 2 4 2 3" xfId="12055" xr:uid="{2A0516D3-EFCF-4A41-87D8-447F4E2B7237}"/>
    <cellStyle name="Normal 8 3 2 2 4 3" xfId="5689" xr:uid="{00000000-0005-0000-0000-00004E1D0000}"/>
    <cellStyle name="Normal 8 3 2 2 4 3 2" xfId="14128" xr:uid="{3BBCE158-B036-4AE7-A308-65D9F15ACFC2}"/>
    <cellStyle name="Normal 8 3 2 2 4 4" xfId="9910" xr:uid="{DD9413E3-2DA5-496F-BAF3-26869CA21E57}"/>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6" xr:uid="{B12780AF-3CC2-4AF0-BCE8-7D31ED76EB96}"/>
    <cellStyle name="Normal 8 3 2 2 5 2 3" xfId="12468" xr:uid="{6319A9B9-DD11-448D-A1CA-52B1A82FA31C}"/>
    <cellStyle name="Normal 8 3 2 2 5 3" xfId="6102" xr:uid="{00000000-0005-0000-0000-0000521D0000}"/>
    <cellStyle name="Normal 8 3 2 2 5 3 2" xfId="14541" xr:uid="{12C84A0E-5265-4A96-8931-3E38479B376A}"/>
    <cellStyle name="Normal 8 3 2 2 5 4" xfId="10323" xr:uid="{B4B2DE20-67A3-4741-BC3A-BCD1EB4F82CB}"/>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099" xr:uid="{D6F18252-770F-426D-B7D8-299E4339A1DA}"/>
    <cellStyle name="Normal 8 3 2 2 6 2 3" xfId="12881" xr:uid="{C56939E5-A026-42C3-A541-A00A00306C19}"/>
    <cellStyle name="Normal 8 3 2 2 6 3" xfId="6515" xr:uid="{00000000-0005-0000-0000-0000561D0000}"/>
    <cellStyle name="Normal 8 3 2 2 6 3 2" xfId="14954" xr:uid="{95861D08-F15C-4154-8013-19F77723DE47}"/>
    <cellStyle name="Normal 8 3 2 2 6 4" xfId="10736" xr:uid="{8A4B310D-44E2-425A-A489-48FD0973CF1C}"/>
    <cellStyle name="Normal 8 3 2 2 7" xfId="2644" xr:uid="{00000000-0005-0000-0000-0000571D0000}"/>
    <cellStyle name="Normal 8 3 2 2 7 2" xfId="6928" xr:uid="{00000000-0005-0000-0000-0000581D0000}"/>
    <cellStyle name="Normal 8 3 2 2 7 2 2" xfId="15367" xr:uid="{ADB07027-1560-459C-A44B-A7697794547A}"/>
    <cellStyle name="Normal 8 3 2 2 7 3" xfId="11149" xr:uid="{3987B38C-0905-4F2F-BAB2-1CB0BBD9B054}"/>
    <cellStyle name="Normal 8 3 2 2 8" xfId="4863" xr:uid="{00000000-0005-0000-0000-0000591D0000}"/>
    <cellStyle name="Normal 8 3 2 2 8 2" xfId="13302" xr:uid="{5E9881D1-1BAE-41E4-B189-0161F340E237}"/>
    <cellStyle name="Normal 8 3 2 2 9" xfId="9084" xr:uid="{68FD93CD-E20A-47D6-814E-86146888356E}"/>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62" xr:uid="{5408DE66-45BF-4F49-9095-EFE4CE93A0E6}"/>
    <cellStyle name="Normal 8 3 2 3 2 2 3" xfId="11644" xr:uid="{D0496B88-A414-49F2-BF45-5F5EF8345D4C}"/>
    <cellStyle name="Normal 8 3 2 3 2 3" xfId="5278" xr:uid="{00000000-0005-0000-0000-00005E1D0000}"/>
    <cellStyle name="Normal 8 3 2 3 2 3 2" xfId="13717" xr:uid="{A57BFD57-8E11-498D-A5CE-1949FC6590B0}"/>
    <cellStyle name="Normal 8 3 2 3 2 4" xfId="9499" xr:uid="{2D0AE5C9-B63D-4DDF-BF20-D8925689929D}"/>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5" xr:uid="{282514CC-4CBB-4348-BF05-FCA4D9B42EFD}"/>
    <cellStyle name="Normal 8 3 2 3 3 2 3" xfId="12057" xr:uid="{B17B91BB-A457-426B-A71F-4659A0B905EE}"/>
    <cellStyle name="Normal 8 3 2 3 3 3" xfId="5691" xr:uid="{00000000-0005-0000-0000-0000621D0000}"/>
    <cellStyle name="Normal 8 3 2 3 3 3 2" xfId="14130" xr:uid="{F55AD8B8-6B7B-45E0-AA73-EDBE42556D55}"/>
    <cellStyle name="Normal 8 3 2 3 3 4" xfId="9912" xr:uid="{5F41A51D-11CD-4E4E-A68F-3A06890CD6C2}"/>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88" xr:uid="{DC616611-97E0-48EA-8B89-CE8E84A8AD1B}"/>
    <cellStyle name="Normal 8 3 2 3 4 2 3" xfId="12470" xr:uid="{DFFCBE0B-3A14-4531-BB8B-DB3B539D3D88}"/>
    <cellStyle name="Normal 8 3 2 3 4 3" xfId="6104" xr:uid="{00000000-0005-0000-0000-0000661D0000}"/>
    <cellStyle name="Normal 8 3 2 3 4 3 2" xfId="14543" xr:uid="{F5D84981-B522-438B-A3CB-EFAD21598BE9}"/>
    <cellStyle name="Normal 8 3 2 3 4 4" xfId="10325" xr:uid="{BFFC90E6-8C61-49C5-B78E-1F884A7405D8}"/>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101" xr:uid="{1297AFD6-70C2-4ED1-BE1D-A51C0F536629}"/>
    <cellStyle name="Normal 8 3 2 3 5 2 3" xfId="12883" xr:uid="{50B795EB-2422-41BB-9D36-8F4A50FDC29C}"/>
    <cellStyle name="Normal 8 3 2 3 5 3" xfId="6517" xr:uid="{00000000-0005-0000-0000-00006A1D0000}"/>
    <cellStyle name="Normal 8 3 2 3 5 3 2" xfId="14956" xr:uid="{2DBB5114-7A4E-43BA-B7D7-F6F04C08D4B5}"/>
    <cellStyle name="Normal 8 3 2 3 5 4" xfId="10738" xr:uid="{FA40D9A6-61EF-4AE3-B3E7-B7C5B0E7113A}"/>
    <cellStyle name="Normal 8 3 2 3 6" xfId="2646" xr:uid="{00000000-0005-0000-0000-00006B1D0000}"/>
    <cellStyle name="Normal 8 3 2 3 6 2" xfId="6930" xr:uid="{00000000-0005-0000-0000-00006C1D0000}"/>
    <cellStyle name="Normal 8 3 2 3 6 2 2" xfId="15369" xr:uid="{E5959514-40DF-44D9-9CDF-B51DDF23B95B}"/>
    <cellStyle name="Normal 8 3 2 3 6 3" xfId="11151" xr:uid="{5FE9AA71-4AA3-45AC-956F-DEB5D7E68527}"/>
    <cellStyle name="Normal 8 3 2 3 7" xfId="4865" xr:uid="{00000000-0005-0000-0000-00006D1D0000}"/>
    <cellStyle name="Normal 8 3 2 3 7 2" xfId="13304" xr:uid="{279CD51B-BD45-4B63-9D23-DB581DA03895}"/>
    <cellStyle name="Normal 8 3 2 3 8" xfId="9086" xr:uid="{DB6708C8-2CD5-4304-8462-D9956C1CE323}"/>
    <cellStyle name="Normal 8 3 2 4" xfId="963" xr:uid="{00000000-0005-0000-0000-00006E1D0000}"/>
    <cellStyle name="Normal 8 3 2 4 2" xfId="3197" xr:uid="{00000000-0005-0000-0000-00006F1D0000}"/>
    <cellStyle name="Normal 8 3 2 4 2 2" xfId="7420" xr:uid="{00000000-0005-0000-0000-0000701D0000}"/>
    <cellStyle name="Normal 8 3 2 4 2 2 2" xfId="15859" xr:uid="{CAF5BF18-72D9-4220-9951-14D79E090962}"/>
    <cellStyle name="Normal 8 3 2 4 2 3" xfId="11641" xr:uid="{F5A80DF6-3A02-421A-8C79-DE1B648F04D2}"/>
    <cellStyle name="Normal 8 3 2 4 3" xfId="5275" xr:uid="{00000000-0005-0000-0000-0000711D0000}"/>
    <cellStyle name="Normal 8 3 2 4 3 2" xfId="13714" xr:uid="{FAAE0E9D-259A-4898-A72C-8499709100DD}"/>
    <cellStyle name="Normal 8 3 2 4 4" xfId="9496" xr:uid="{EAC2ACB4-7A17-430E-A0D1-87DE93C5DF90}"/>
    <cellStyle name="Normal 8 3 2 5" xfId="1380" xr:uid="{00000000-0005-0000-0000-0000721D0000}"/>
    <cellStyle name="Normal 8 3 2 5 2" xfId="3610" xr:uid="{00000000-0005-0000-0000-0000731D0000}"/>
    <cellStyle name="Normal 8 3 2 5 2 2" xfId="7833" xr:uid="{00000000-0005-0000-0000-0000741D0000}"/>
    <cellStyle name="Normal 8 3 2 5 2 2 2" xfId="16272" xr:uid="{BCE37CEB-EB28-4BF1-82E1-EEB7BDCBBCB4}"/>
    <cellStyle name="Normal 8 3 2 5 2 3" xfId="12054" xr:uid="{6356757F-9822-4C40-9EC1-AED98D517E90}"/>
    <cellStyle name="Normal 8 3 2 5 3" xfId="5688" xr:uid="{00000000-0005-0000-0000-0000751D0000}"/>
    <cellStyle name="Normal 8 3 2 5 3 2" xfId="14127" xr:uid="{1D2A3562-DC69-4D79-B343-2E4E56602052}"/>
    <cellStyle name="Normal 8 3 2 5 4" xfId="9909" xr:uid="{16D9B2D4-3820-4F09-A025-8C2D1D29A447}"/>
    <cellStyle name="Normal 8 3 2 6" xfId="1793" xr:uid="{00000000-0005-0000-0000-0000761D0000}"/>
    <cellStyle name="Normal 8 3 2 6 2" xfId="4023" xr:uid="{00000000-0005-0000-0000-0000771D0000}"/>
    <cellStyle name="Normal 8 3 2 6 2 2" xfId="8246" xr:uid="{00000000-0005-0000-0000-0000781D0000}"/>
    <cellStyle name="Normal 8 3 2 6 2 2 2" xfId="16685" xr:uid="{F5802435-AE87-4965-BC16-61B2888942EF}"/>
    <cellStyle name="Normal 8 3 2 6 2 3" xfId="12467" xr:uid="{3810BCBA-AEF7-4762-B840-392CE94A5C32}"/>
    <cellStyle name="Normal 8 3 2 6 3" xfId="6101" xr:uid="{00000000-0005-0000-0000-0000791D0000}"/>
    <cellStyle name="Normal 8 3 2 6 3 2" xfId="14540" xr:uid="{EA08E203-94B6-41B9-965B-B7F7BC8DD464}"/>
    <cellStyle name="Normal 8 3 2 6 4" xfId="10322" xr:uid="{1EEC443D-405A-42A5-801F-3078970F8B13}"/>
    <cellStyle name="Normal 8 3 2 7" xfId="2207" xr:uid="{00000000-0005-0000-0000-00007A1D0000}"/>
    <cellStyle name="Normal 8 3 2 7 2" xfId="4436" xr:uid="{00000000-0005-0000-0000-00007B1D0000}"/>
    <cellStyle name="Normal 8 3 2 7 2 2" xfId="8659" xr:uid="{00000000-0005-0000-0000-00007C1D0000}"/>
    <cellStyle name="Normal 8 3 2 7 2 2 2" xfId="17098" xr:uid="{AA61A02C-A634-48B5-88BD-3007F37FE664}"/>
    <cellStyle name="Normal 8 3 2 7 2 3" xfId="12880" xr:uid="{29FD8740-033B-4D66-A248-BCE2C41A642F}"/>
    <cellStyle name="Normal 8 3 2 7 3" xfId="6514" xr:uid="{00000000-0005-0000-0000-00007D1D0000}"/>
    <cellStyle name="Normal 8 3 2 7 3 2" xfId="14953" xr:uid="{3E7F2180-F0B3-4466-95BC-73BE335926A6}"/>
    <cellStyle name="Normal 8 3 2 7 4" xfId="10735" xr:uid="{3A8573EA-05B2-439A-B95C-76D44FE190E4}"/>
    <cellStyle name="Normal 8 3 2 8" xfId="2643" xr:uid="{00000000-0005-0000-0000-00007E1D0000}"/>
    <cellStyle name="Normal 8 3 2 8 2" xfId="6927" xr:uid="{00000000-0005-0000-0000-00007F1D0000}"/>
    <cellStyle name="Normal 8 3 2 8 2 2" xfId="15366" xr:uid="{CB30981C-0C83-4FE7-8805-DE8418BA9939}"/>
    <cellStyle name="Normal 8 3 2 8 3" xfId="11148" xr:uid="{C497C804-990B-4794-9291-7E45455597BD}"/>
    <cellStyle name="Normal 8 3 2 9" xfId="4862" xr:uid="{00000000-0005-0000-0000-0000801D0000}"/>
    <cellStyle name="Normal 8 3 2 9 2" xfId="13301" xr:uid="{6653B374-FD34-44DA-A3C6-2F6A94842B21}"/>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4" xr:uid="{1C8306BB-C1F8-41BB-AA5F-492400039C39}"/>
    <cellStyle name="Normal 8 3 3 2 2 2 3" xfId="11646" xr:uid="{65F55CEE-BC69-48AC-BE51-5193646CDF2A}"/>
    <cellStyle name="Normal 8 3 3 2 2 3" xfId="5280" xr:uid="{00000000-0005-0000-0000-0000861D0000}"/>
    <cellStyle name="Normal 8 3 3 2 2 3 2" xfId="13719" xr:uid="{B56AD797-F7C8-49AF-B888-DF3B983FABB0}"/>
    <cellStyle name="Normal 8 3 3 2 2 4" xfId="9501" xr:uid="{E77663F5-4B4F-49EE-906F-104BBEC51C47}"/>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77" xr:uid="{E0919123-59ED-4B7F-AB09-6295439C4C81}"/>
    <cellStyle name="Normal 8 3 3 2 3 2 3" xfId="12059" xr:uid="{12B5791B-7420-4AA2-A439-218F7F7CDF7B}"/>
    <cellStyle name="Normal 8 3 3 2 3 3" xfId="5693" xr:uid="{00000000-0005-0000-0000-00008A1D0000}"/>
    <cellStyle name="Normal 8 3 3 2 3 3 2" xfId="14132" xr:uid="{859D60CA-B8D9-4B84-81EC-3DF9710E80A9}"/>
    <cellStyle name="Normal 8 3 3 2 3 4" xfId="9914" xr:uid="{45E2B88C-F747-47A9-98EE-68E8474C2572}"/>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90" xr:uid="{87B098D9-5766-49B1-AF52-585A02B6C596}"/>
    <cellStyle name="Normal 8 3 3 2 4 2 3" xfId="12472" xr:uid="{BE189DBE-6F7C-4114-A837-82ED87B4BA1F}"/>
    <cellStyle name="Normal 8 3 3 2 4 3" xfId="6106" xr:uid="{00000000-0005-0000-0000-00008E1D0000}"/>
    <cellStyle name="Normal 8 3 3 2 4 3 2" xfId="14545" xr:uid="{372FF867-9FD9-4686-91AB-E865ABB6EFDB}"/>
    <cellStyle name="Normal 8 3 3 2 4 4" xfId="10327" xr:uid="{A43C25E7-45FA-4E13-85EF-8F0A3DBF7CD4}"/>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3" xr:uid="{CE14F278-E4D5-45CF-AAE8-F4BB548DA981}"/>
    <cellStyle name="Normal 8 3 3 2 5 2 3" xfId="12885" xr:uid="{2324BDD3-1A8F-44FD-BFF7-79B6A048B7CC}"/>
    <cellStyle name="Normal 8 3 3 2 5 3" xfId="6519" xr:uid="{00000000-0005-0000-0000-0000921D0000}"/>
    <cellStyle name="Normal 8 3 3 2 5 3 2" xfId="14958" xr:uid="{778EFF61-0E6A-40D5-9E55-AED149246864}"/>
    <cellStyle name="Normal 8 3 3 2 5 4" xfId="10740" xr:uid="{6C79C465-E7C3-40C3-AA44-A6CEA4F71E1A}"/>
    <cellStyle name="Normal 8 3 3 2 6" xfId="2648" xr:uid="{00000000-0005-0000-0000-0000931D0000}"/>
    <cellStyle name="Normal 8 3 3 2 6 2" xfId="6932" xr:uid="{00000000-0005-0000-0000-0000941D0000}"/>
    <cellStyle name="Normal 8 3 3 2 6 2 2" xfId="15371" xr:uid="{9985B84B-062D-4CE0-A431-DD4F81E86096}"/>
    <cellStyle name="Normal 8 3 3 2 6 3" xfId="11153" xr:uid="{86EA0704-335E-43C2-836A-200FC73A70F5}"/>
    <cellStyle name="Normal 8 3 3 2 7" xfId="4867" xr:uid="{00000000-0005-0000-0000-0000951D0000}"/>
    <cellStyle name="Normal 8 3 3 2 7 2" xfId="13306" xr:uid="{9A9F3FD6-31F0-4B95-BEE4-9B1701724B6E}"/>
    <cellStyle name="Normal 8 3 3 2 8" xfId="9088" xr:uid="{7FD125AC-ACB1-4A3A-91B1-673433CB8F99}"/>
    <cellStyle name="Normal 8 3 3 3" xfId="967" xr:uid="{00000000-0005-0000-0000-0000961D0000}"/>
    <cellStyle name="Normal 8 3 3 3 2" xfId="3201" xr:uid="{00000000-0005-0000-0000-0000971D0000}"/>
    <cellStyle name="Normal 8 3 3 3 2 2" xfId="7424" xr:uid="{00000000-0005-0000-0000-0000981D0000}"/>
    <cellStyle name="Normal 8 3 3 3 2 2 2" xfId="15863" xr:uid="{86027B39-C934-4811-AD8F-469B78B558B7}"/>
    <cellStyle name="Normal 8 3 3 3 2 3" xfId="11645" xr:uid="{1C623912-E9A8-4C29-976B-CDCBE3B733B0}"/>
    <cellStyle name="Normal 8 3 3 3 3" xfId="5279" xr:uid="{00000000-0005-0000-0000-0000991D0000}"/>
    <cellStyle name="Normal 8 3 3 3 3 2" xfId="13718" xr:uid="{2600960C-AD16-4371-9090-0F08609E17FE}"/>
    <cellStyle name="Normal 8 3 3 3 4" xfId="9500" xr:uid="{1787C3D6-D62C-4973-95B8-D3FBC2A63493}"/>
    <cellStyle name="Normal 8 3 3 4" xfId="1384" xr:uid="{00000000-0005-0000-0000-00009A1D0000}"/>
    <cellStyle name="Normal 8 3 3 4 2" xfId="3614" xr:uid="{00000000-0005-0000-0000-00009B1D0000}"/>
    <cellStyle name="Normal 8 3 3 4 2 2" xfId="7837" xr:uid="{00000000-0005-0000-0000-00009C1D0000}"/>
    <cellStyle name="Normal 8 3 3 4 2 2 2" xfId="16276" xr:uid="{1847A423-546B-4E95-BD31-B615D55739CE}"/>
    <cellStyle name="Normal 8 3 3 4 2 3" xfId="12058" xr:uid="{88C16786-503A-401B-BC5D-2CC7A9BC3017}"/>
    <cellStyle name="Normal 8 3 3 4 3" xfId="5692" xr:uid="{00000000-0005-0000-0000-00009D1D0000}"/>
    <cellStyle name="Normal 8 3 3 4 3 2" xfId="14131" xr:uid="{44A04DA6-340D-410E-90E9-7465FA0C774F}"/>
    <cellStyle name="Normal 8 3 3 4 4" xfId="9913" xr:uid="{C623A2CC-83D4-4B9D-A92D-628CB81EDCDB}"/>
    <cellStyle name="Normal 8 3 3 5" xfId="1797" xr:uid="{00000000-0005-0000-0000-00009E1D0000}"/>
    <cellStyle name="Normal 8 3 3 5 2" xfId="4027" xr:uid="{00000000-0005-0000-0000-00009F1D0000}"/>
    <cellStyle name="Normal 8 3 3 5 2 2" xfId="8250" xr:uid="{00000000-0005-0000-0000-0000A01D0000}"/>
    <cellStyle name="Normal 8 3 3 5 2 2 2" xfId="16689" xr:uid="{D2CD986C-DD8F-470B-9FBF-3D684EDD79CC}"/>
    <cellStyle name="Normal 8 3 3 5 2 3" xfId="12471" xr:uid="{7A526B47-1382-4285-A1DC-5297948FEA1B}"/>
    <cellStyle name="Normal 8 3 3 5 3" xfId="6105" xr:uid="{00000000-0005-0000-0000-0000A11D0000}"/>
    <cellStyle name="Normal 8 3 3 5 3 2" xfId="14544" xr:uid="{07158D0B-F8B8-41CE-8212-B0522B93583D}"/>
    <cellStyle name="Normal 8 3 3 5 4" xfId="10326" xr:uid="{22C7AC87-DEE1-49A4-9B46-43D2DCFA95A5}"/>
    <cellStyle name="Normal 8 3 3 6" xfId="2211" xr:uid="{00000000-0005-0000-0000-0000A21D0000}"/>
    <cellStyle name="Normal 8 3 3 6 2" xfId="4440" xr:uid="{00000000-0005-0000-0000-0000A31D0000}"/>
    <cellStyle name="Normal 8 3 3 6 2 2" xfId="8663" xr:uid="{00000000-0005-0000-0000-0000A41D0000}"/>
    <cellStyle name="Normal 8 3 3 6 2 2 2" xfId="17102" xr:uid="{D972D180-35EA-448F-867E-209D830215CB}"/>
    <cellStyle name="Normal 8 3 3 6 2 3" xfId="12884" xr:uid="{A15A2018-B33A-49AD-A77E-7FAB200697EE}"/>
    <cellStyle name="Normal 8 3 3 6 3" xfId="6518" xr:uid="{00000000-0005-0000-0000-0000A51D0000}"/>
    <cellStyle name="Normal 8 3 3 6 3 2" xfId="14957" xr:uid="{884EB502-3C0D-435D-8BA5-D28B9C770EF6}"/>
    <cellStyle name="Normal 8 3 3 6 4" xfId="10739" xr:uid="{E3140738-FB18-4567-99B2-5BBA20BFA0FE}"/>
    <cellStyle name="Normal 8 3 3 7" xfId="2647" xr:uid="{00000000-0005-0000-0000-0000A61D0000}"/>
    <cellStyle name="Normal 8 3 3 7 2" xfId="6931" xr:uid="{00000000-0005-0000-0000-0000A71D0000}"/>
    <cellStyle name="Normal 8 3 3 7 2 2" xfId="15370" xr:uid="{68125DE1-6D2D-4F5B-BDEA-BA4A9AC97AF7}"/>
    <cellStyle name="Normal 8 3 3 7 3" xfId="11152" xr:uid="{41597DAF-D5D1-47F0-B467-C915A58F73B1}"/>
    <cellStyle name="Normal 8 3 3 8" xfId="4866" xr:uid="{00000000-0005-0000-0000-0000A81D0000}"/>
    <cellStyle name="Normal 8 3 3 8 2" xfId="13305" xr:uid="{9C6D8E13-809F-421E-8F16-01B0B25E3AD1}"/>
    <cellStyle name="Normal 8 3 3 9" xfId="9087" xr:uid="{C85E64C6-229C-424E-B5D1-E892E6B53F3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5865" xr:uid="{25711B02-5CC3-40D3-A59E-CEEA40C2322C}"/>
    <cellStyle name="Normal 8 3 4 2 2 3" xfId="11647" xr:uid="{E7E48222-EFDF-4B15-A7CB-669A67AE26E7}"/>
    <cellStyle name="Normal 8 3 4 2 3" xfId="5281" xr:uid="{00000000-0005-0000-0000-0000AD1D0000}"/>
    <cellStyle name="Normal 8 3 4 2 3 2" xfId="13720" xr:uid="{ABBD2AAC-3AA4-4B42-8295-EFB7A2B8E93B}"/>
    <cellStyle name="Normal 8 3 4 2 4" xfId="9502" xr:uid="{F4357160-343D-48E2-BFD8-F53CA12A9E6C}"/>
    <cellStyle name="Normal 8 3 4 3" xfId="1386" xr:uid="{00000000-0005-0000-0000-0000AE1D0000}"/>
    <cellStyle name="Normal 8 3 4 3 2" xfId="3616" xr:uid="{00000000-0005-0000-0000-0000AF1D0000}"/>
    <cellStyle name="Normal 8 3 4 3 2 2" xfId="7839" xr:uid="{00000000-0005-0000-0000-0000B01D0000}"/>
    <cellStyle name="Normal 8 3 4 3 2 2 2" xfId="16278" xr:uid="{F9D00787-3BEF-4D7D-95CE-1B771F1D45EB}"/>
    <cellStyle name="Normal 8 3 4 3 2 3" xfId="12060" xr:uid="{9E087430-ED56-488E-9465-5AA966030DDB}"/>
    <cellStyle name="Normal 8 3 4 3 3" xfId="5694" xr:uid="{00000000-0005-0000-0000-0000B11D0000}"/>
    <cellStyle name="Normal 8 3 4 3 3 2" xfId="14133" xr:uid="{532F8771-DDAA-44B0-A93E-E525A904E62B}"/>
    <cellStyle name="Normal 8 3 4 3 4" xfId="9915" xr:uid="{1B0F8DD8-A3E5-4E06-828A-8CCA500B243C}"/>
    <cellStyle name="Normal 8 3 4 4" xfId="1799" xr:uid="{00000000-0005-0000-0000-0000B21D0000}"/>
    <cellStyle name="Normal 8 3 4 4 2" xfId="4029" xr:uid="{00000000-0005-0000-0000-0000B31D0000}"/>
    <cellStyle name="Normal 8 3 4 4 2 2" xfId="8252" xr:uid="{00000000-0005-0000-0000-0000B41D0000}"/>
    <cellStyle name="Normal 8 3 4 4 2 2 2" xfId="16691" xr:uid="{3BCDD45B-6ED2-4BDD-A761-7FAFD325EB93}"/>
    <cellStyle name="Normal 8 3 4 4 2 3" xfId="12473" xr:uid="{6AFE812D-CD30-47A1-9A17-75D60254E1FA}"/>
    <cellStyle name="Normal 8 3 4 4 3" xfId="6107" xr:uid="{00000000-0005-0000-0000-0000B51D0000}"/>
    <cellStyle name="Normal 8 3 4 4 3 2" xfId="14546" xr:uid="{9F0E18A5-443B-440E-A3D9-C492732164DE}"/>
    <cellStyle name="Normal 8 3 4 4 4" xfId="10328" xr:uid="{164E5697-B0FC-4682-A90A-D5320377AB56}"/>
    <cellStyle name="Normal 8 3 4 5" xfId="2213" xr:uid="{00000000-0005-0000-0000-0000B61D0000}"/>
    <cellStyle name="Normal 8 3 4 5 2" xfId="4442" xr:uid="{00000000-0005-0000-0000-0000B71D0000}"/>
    <cellStyle name="Normal 8 3 4 5 2 2" xfId="8665" xr:uid="{00000000-0005-0000-0000-0000B81D0000}"/>
    <cellStyle name="Normal 8 3 4 5 2 2 2" xfId="17104" xr:uid="{4520C370-DF02-4A76-866C-834552E3A7E4}"/>
    <cellStyle name="Normal 8 3 4 5 2 3" xfId="12886" xr:uid="{06E52A8D-3070-498D-B5C3-CFDB596FBAE3}"/>
    <cellStyle name="Normal 8 3 4 5 3" xfId="6520" xr:uid="{00000000-0005-0000-0000-0000B91D0000}"/>
    <cellStyle name="Normal 8 3 4 5 3 2" xfId="14959" xr:uid="{B2AFA9BC-FF6F-4F88-BA47-9E6EA8A9BE19}"/>
    <cellStyle name="Normal 8 3 4 5 4" xfId="10741" xr:uid="{8CBC0967-6A64-47D1-8136-260574F42549}"/>
    <cellStyle name="Normal 8 3 4 6" xfId="2649" xr:uid="{00000000-0005-0000-0000-0000BA1D0000}"/>
    <cellStyle name="Normal 8 3 4 6 2" xfId="6933" xr:uid="{00000000-0005-0000-0000-0000BB1D0000}"/>
    <cellStyle name="Normal 8 3 4 6 2 2" xfId="15372" xr:uid="{C22386B6-1679-4BF4-BB6A-B0F9010EDB5E}"/>
    <cellStyle name="Normal 8 3 4 6 3" xfId="11154" xr:uid="{04572CEC-CB06-4957-BA38-7D97CFCCBD3E}"/>
    <cellStyle name="Normal 8 3 4 7" xfId="4868" xr:uid="{00000000-0005-0000-0000-0000BC1D0000}"/>
    <cellStyle name="Normal 8 3 4 7 2" xfId="13307" xr:uid="{441AF669-602A-418F-94E7-39B6C9B69D1B}"/>
    <cellStyle name="Normal 8 3 4 8" xfId="9089" xr:uid="{DEC6D936-D2F3-4DD0-8A80-A01D0C3C3F32}"/>
    <cellStyle name="Normal 8 3 5" xfId="962" xr:uid="{00000000-0005-0000-0000-0000BD1D0000}"/>
    <cellStyle name="Normal 8 3 5 2" xfId="3196" xr:uid="{00000000-0005-0000-0000-0000BE1D0000}"/>
    <cellStyle name="Normal 8 3 5 2 2" xfId="7419" xr:uid="{00000000-0005-0000-0000-0000BF1D0000}"/>
    <cellStyle name="Normal 8 3 5 2 2 2" xfId="15858" xr:uid="{34CAC80E-4B40-403D-A43A-95F204559E96}"/>
    <cellStyle name="Normal 8 3 5 2 3" xfId="11640" xr:uid="{1D7694FD-AA82-4780-86BF-A2473E53CF0B}"/>
    <cellStyle name="Normal 8 3 5 3" xfId="5274" xr:uid="{00000000-0005-0000-0000-0000C01D0000}"/>
    <cellStyle name="Normal 8 3 5 3 2" xfId="13713" xr:uid="{5C7A3939-97C3-40B4-AE02-EBBE46AA2522}"/>
    <cellStyle name="Normal 8 3 5 4" xfId="9495" xr:uid="{FCDF22B7-8ACB-4B11-BF46-B6182FBB660E}"/>
    <cellStyle name="Normal 8 3 6" xfId="1379" xr:uid="{00000000-0005-0000-0000-0000C11D0000}"/>
    <cellStyle name="Normal 8 3 6 2" xfId="3609" xr:uid="{00000000-0005-0000-0000-0000C21D0000}"/>
    <cellStyle name="Normal 8 3 6 2 2" xfId="7832" xr:uid="{00000000-0005-0000-0000-0000C31D0000}"/>
    <cellStyle name="Normal 8 3 6 2 2 2" xfId="16271" xr:uid="{B72FE0EF-4D86-451D-A35C-3463070F6401}"/>
    <cellStyle name="Normal 8 3 6 2 3" xfId="12053" xr:uid="{A8CCDE6C-6F7F-447B-9012-B3FA952BDDE9}"/>
    <cellStyle name="Normal 8 3 6 3" xfId="5687" xr:uid="{00000000-0005-0000-0000-0000C41D0000}"/>
    <cellStyle name="Normal 8 3 6 3 2" xfId="14126" xr:uid="{97F04C0D-C2DC-4DA4-AD40-601104600F67}"/>
    <cellStyle name="Normal 8 3 6 4" xfId="9908" xr:uid="{F2C0ED0C-8727-48E5-9EDB-53BC0AA5F32A}"/>
    <cellStyle name="Normal 8 3 7" xfId="1792" xr:uid="{00000000-0005-0000-0000-0000C51D0000}"/>
    <cellStyle name="Normal 8 3 7 2" xfId="4022" xr:uid="{00000000-0005-0000-0000-0000C61D0000}"/>
    <cellStyle name="Normal 8 3 7 2 2" xfId="8245" xr:uid="{00000000-0005-0000-0000-0000C71D0000}"/>
    <cellStyle name="Normal 8 3 7 2 2 2" xfId="16684" xr:uid="{D516F4B9-0D7E-4F92-AB75-6CDDFACA8720}"/>
    <cellStyle name="Normal 8 3 7 2 3" xfId="12466" xr:uid="{57504881-261E-470C-AAAA-D032C27336DC}"/>
    <cellStyle name="Normal 8 3 7 3" xfId="6100" xr:uid="{00000000-0005-0000-0000-0000C81D0000}"/>
    <cellStyle name="Normal 8 3 7 3 2" xfId="14539" xr:uid="{0475ACAC-F9B3-41EF-9A2B-C80646439AC1}"/>
    <cellStyle name="Normal 8 3 7 4" xfId="10321" xr:uid="{29DD10C4-B2A2-4B7F-95DC-3F1C2C453920}"/>
    <cellStyle name="Normal 8 3 8" xfId="2206" xr:uid="{00000000-0005-0000-0000-0000C91D0000}"/>
    <cellStyle name="Normal 8 3 8 2" xfId="4435" xr:uid="{00000000-0005-0000-0000-0000CA1D0000}"/>
    <cellStyle name="Normal 8 3 8 2 2" xfId="8658" xr:uid="{00000000-0005-0000-0000-0000CB1D0000}"/>
    <cellStyle name="Normal 8 3 8 2 2 2" xfId="17097" xr:uid="{285EC540-EA7F-4259-BB88-F4DA8B976E98}"/>
    <cellStyle name="Normal 8 3 8 2 3" xfId="12879" xr:uid="{4E47501C-683D-461A-8233-74A99A9D0BEC}"/>
    <cellStyle name="Normal 8 3 8 3" xfId="6513" xr:uid="{00000000-0005-0000-0000-0000CC1D0000}"/>
    <cellStyle name="Normal 8 3 8 3 2" xfId="14952" xr:uid="{FDB3EC90-6856-4780-BAA9-C9E35D7B54A2}"/>
    <cellStyle name="Normal 8 3 8 4" xfId="10734" xr:uid="{A58D62AE-6DDC-47FB-9149-A5847E7B391B}"/>
    <cellStyle name="Normal 8 3 9" xfId="2642" xr:uid="{00000000-0005-0000-0000-0000CD1D0000}"/>
    <cellStyle name="Normal 8 3 9 2" xfId="6926" xr:uid="{00000000-0005-0000-0000-0000CE1D0000}"/>
    <cellStyle name="Normal 8 3 9 2 2" xfId="15365" xr:uid="{57FD48DF-A31B-4137-A2E2-03121AEC3461}"/>
    <cellStyle name="Normal 8 3 9 3" xfId="11147" xr:uid="{6B821EAF-48EA-4B6D-A991-583D81DD7261}"/>
    <cellStyle name="Normal 8 4" xfId="503" xr:uid="{00000000-0005-0000-0000-0000CF1D0000}"/>
    <cellStyle name="Normal 8 4 10" xfId="9090" xr:uid="{5976B1B6-0BAC-43D5-8315-280942AB7E85}"/>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68" xr:uid="{DAF36DA7-D089-449B-9A8E-0A8E24ABFF33}"/>
    <cellStyle name="Normal 8 4 2 2 2 2 3" xfId="11650" xr:uid="{CAAC4FC3-8178-4450-BCBD-975A80DA850F}"/>
    <cellStyle name="Normal 8 4 2 2 2 3" xfId="5284" xr:uid="{00000000-0005-0000-0000-0000D51D0000}"/>
    <cellStyle name="Normal 8 4 2 2 2 3 2" xfId="13723" xr:uid="{7879B462-DBAA-48DE-B84F-2ED67B3D32D6}"/>
    <cellStyle name="Normal 8 4 2 2 2 4" xfId="9505" xr:uid="{A8997BC9-41E1-443E-AFE3-4742B3395B2C}"/>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81" xr:uid="{C2BD339A-DB13-444C-8D71-710BCB54B564}"/>
    <cellStyle name="Normal 8 4 2 2 3 2 3" xfId="12063" xr:uid="{79625AB0-38A5-4DBA-B64C-AE18B2D1A2D1}"/>
    <cellStyle name="Normal 8 4 2 2 3 3" xfId="5697" xr:uid="{00000000-0005-0000-0000-0000D91D0000}"/>
    <cellStyle name="Normal 8 4 2 2 3 3 2" xfId="14136" xr:uid="{D04C82C7-4696-42E6-90AD-8F454F13752A}"/>
    <cellStyle name="Normal 8 4 2 2 3 4" xfId="9918" xr:uid="{50F8576F-D667-439F-8538-B83D13015ABC}"/>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4" xr:uid="{C95F7709-7FD4-4B82-A2BE-750861EABF88}"/>
    <cellStyle name="Normal 8 4 2 2 4 2 3" xfId="12476" xr:uid="{6AD128E9-BA60-4340-A3EA-F2860851553D}"/>
    <cellStyle name="Normal 8 4 2 2 4 3" xfId="6110" xr:uid="{00000000-0005-0000-0000-0000DD1D0000}"/>
    <cellStyle name="Normal 8 4 2 2 4 3 2" xfId="14549" xr:uid="{50D38B36-8EB7-4BFD-98B4-4CAA667D88A3}"/>
    <cellStyle name="Normal 8 4 2 2 4 4" xfId="10331" xr:uid="{265959A2-7763-4221-8A38-B25FB417D11F}"/>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07" xr:uid="{63857C45-94A8-43FA-94A1-7500949D5FEF}"/>
    <cellStyle name="Normal 8 4 2 2 5 2 3" xfId="12889" xr:uid="{F491E3EA-9469-4970-93EC-B60F271C5A57}"/>
    <cellStyle name="Normal 8 4 2 2 5 3" xfId="6523" xr:uid="{00000000-0005-0000-0000-0000E11D0000}"/>
    <cellStyle name="Normal 8 4 2 2 5 3 2" xfId="14962" xr:uid="{F42B969A-32D4-4A42-90E0-48A1F6FB862F}"/>
    <cellStyle name="Normal 8 4 2 2 5 4" xfId="10744" xr:uid="{1432A598-F7A4-41C9-AE92-6BB7D808622B}"/>
    <cellStyle name="Normal 8 4 2 2 6" xfId="2652" xr:uid="{00000000-0005-0000-0000-0000E21D0000}"/>
    <cellStyle name="Normal 8 4 2 2 6 2" xfId="6936" xr:uid="{00000000-0005-0000-0000-0000E31D0000}"/>
    <cellStyle name="Normal 8 4 2 2 6 2 2" xfId="15375" xr:uid="{9B05E5B5-7691-4C8F-8C76-6E3575E80817}"/>
    <cellStyle name="Normal 8 4 2 2 6 3" xfId="11157" xr:uid="{63DE09F4-8149-4D5C-96AF-2182408ACE01}"/>
    <cellStyle name="Normal 8 4 2 2 7" xfId="4871" xr:uid="{00000000-0005-0000-0000-0000E41D0000}"/>
    <cellStyle name="Normal 8 4 2 2 7 2" xfId="13310" xr:uid="{824A9F18-3B3D-4BE8-946C-464C227E0D0C}"/>
    <cellStyle name="Normal 8 4 2 2 8" xfId="9092" xr:uid="{1219A87A-D7A3-454C-A591-0C4F9D7822DB}"/>
    <cellStyle name="Normal 8 4 2 3" xfId="971" xr:uid="{00000000-0005-0000-0000-0000E51D0000}"/>
    <cellStyle name="Normal 8 4 2 3 2" xfId="3205" xr:uid="{00000000-0005-0000-0000-0000E61D0000}"/>
    <cellStyle name="Normal 8 4 2 3 2 2" xfId="7428" xr:uid="{00000000-0005-0000-0000-0000E71D0000}"/>
    <cellStyle name="Normal 8 4 2 3 2 2 2" xfId="15867" xr:uid="{FA204EDC-C4E9-4946-B92C-D265621BDD18}"/>
    <cellStyle name="Normal 8 4 2 3 2 3" xfId="11649" xr:uid="{2BA4C4E7-A587-424A-8F52-BFA871622066}"/>
    <cellStyle name="Normal 8 4 2 3 3" xfId="5283" xr:uid="{00000000-0005-0000-0000-0000E81D0000}"/>
    <cellStyle name="Normal 8 4 2 3 3 2" xfId="13722" xr:uid="{838A95E1-199D-445E-9C1C-36CFC3179493}"/>
    <cellStyle name="Normal 8 4 2 3 4" xfId="9504" xr:uid="{41D614CD-6FFF-4C58-84DF-1FFE4B563968}"/>
    <cellStyle name="Normal 8 4 2 4" xfId="1388" xr:uid="{00000000-0005-0000-0000-0000E91D0000}"/>
    <cellStyle name="Normal 8 4 2 4 2" xfId="3618" xr:uid="{00000000-0005-0000-0000-0000EA1D0000}"/>
    <cellStyle name="Normal 8 4 2 4 2 2" xfId="7841" xr:uid="{00000000-0005-0000-0000-0000EB1D0000}"/>
    <cellStyle name="Normal 8 4 2 4 2 2 2" xfId="16280" xr:uid="{69D4F249-E806-48CB-8FDF-7A5ABF4F2AC4}"/>
    <cellStyle name="Normal 8 4 2 4 2 3" xfId="12062" xr:uid="{51C1D3C3-7E46-4ED5-88AB-B06C9933E791}"/>
    <cellStyle name="Normal 8 4 2 4 3" xfId="5696" xr:uid="{00000000-0005-0000-0000-0000EC1D0000}"/>
    <cellStyle name="Normal 8 4 2 4 3 2" xfId="14135" xr:uid="{0645784B-AEAD-4A6A-820F-6BA9531B14A1}"/>
    <cellStyle name="Normal 8 4 2 4 4" xfId="9917" xr:uid="{CC2CC409-4060-439E-AC0A-34F49D65EDF0}"/>
    <cellStyle name="Normal 8 4 2 5" xfId="1801" xr:uid="{00000000-0005-0000-0000-0000ED1D0000}"/>
    <cellStyle name="Normal 8 4 2 5 2" xfId="4031" xr:uid="{00000000-0005-0000-0000-0000EE1D0000}"/>
    <cellStyle name="Normal 8 4 2 5 2 2" xfId="8254" xr:uid="{00000000-0005-0000-0000-0000EF1D0000}"/>
    <cellStyle name="Normal 8 4 2 5 2 2 2" xfId="16693" xr:uid="{B2C4E973-89A4-4739-AD8D-948DCEFA3945}"/>
    <cellStyle name="Normal 8 4 2 5 2 3" xfId="12475" xr:uid="{80502B59-9E79-4F2A-B8F5-D0DD6BC5115E}"/>
    <cellStyle name="Normal 8 4 2 5 3" xfId="6109" xr:uid="{00000000-0005-0000-0000-0000F01D0000}"/>
    <cellStyle name="Normal 8 4 2 5 3 2" xfId="14548" xr:uid="{4A4FDD46-2061-4DB1-85FE-248539EB58B3}"/>
    <cellStyle name="Normal 8 4 2 5 4" xfId="10330" xr:uid="{E6E9F77F-7FEB-44F3-8BAE-9CF088651C27}"/>
    <cellStyle name="Normal 8 4 2 6" xfId="2215" xr:uid="{00000000-0005-0000-0000-0000F11D0000}"/>
    <cellStyle name="Normal 8 4 2 6 2" xfId="4444" xr:uid="{00000000-0005-0000-0000-0000F21D0000}"/>
    <cellStyle name="Normal 8 4 2 6 2 2" xfId="8667" xr:uid="{00000000-0005-0000-0000-0000F31D0000}"/>
    <cellStyle name="Normal 8 4 2 6 2 2 2" xfId="17106" xr:uid="{99A9370E-81C2-4D43-8A38-B8B27254953A}"/>
    <cellStyle name="Normal 8 4 2 6 2 3" xfId="12888" xr:uid="{F8CEFC93-A70A-4412-AD8D-D8EEC5788F41}"/>
    <cellStyle name="Normal 8 4 2 6 3" xfId="6522" xr:uid="{00000000-0005-0000-0000-0000F41D0000}"/>
    <cellStyle name="Normal 8 4 2 6 3 2" xfId="14961" xr:uid="{23A62A89-0804-44E6-A47E-D09B4454CE74}"/>
    <cellStyle name="Normal 8 4 2 6 4" xfId="10743" xr:uid="{8A4A08E6-1A4A-4F92-993B-991CE236365F}"/>
    <cellStyle name="Normal 8 4 2 7" xfId="2651" xr:uid="{00000000-0005-0000-0000-0000F51D0000}"/>
    <cellStyle name="Normal 8 4 2 7 2" xfId="6935" xr:uid="{00000000-0005-0000-0000-0000F61D0000}"/>
    <cellStyle name="Normal 8 4 2 7 2 2" xfId="15374" xr:uid="{DB8CB47C-B8EC-4FB2-AF66-0FF414B1AFAF}"/>
    <cellStyle name="Normal 8 4 2 7 3" xfId="11156" xr:uid="{349D8E6B-DB53-43E8-9A29-F6C4172E459B}"/>
    <cellStyle name="Normal 8 4 2 8" xfId="4870" xr:uid="{00000000-0005-0000-0000-0000F71D0000}"/>
    <cellStyle name="Normal 8 4 2 8 2" xfId="13309" xr:uid="{46E28846-9626-4CF9-AC8C-C6E4C0EFD867}"/>
    <cellStyle name="Normal 8 4 2 9" xfId="9091" xr:uid="{1DBCDE14-83CA-4902-8CAD-73F9BBF09C9E}"/>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5869" xr:uid="{B4EEF741-FE6F-4805-8093-28EFD05790EB}"/>
    <cellStyle name="Normal 8 4 3 2 2 3" xfId="11651" xr:uid="{1AF20953-FC44-4B9F-9915-2820211B672F}"/>
    <cellStyle name="Normal 8 4 3 2 3" xfId="5285" xr:uid="{00000000-0005-0000-0000-0000FC1D0000}"/>
    <cellStyle name="Normal 8 4 3 2 3 2" xfId="13724" xr:uid="{FE4D054A-DF12-4AEE-B51E-2C1BDB792A20}"/>
    <cellStyle name="Normal 8 4 3 2 4" xfId="9506" xr:uid="{E49AD58D-914A-4A6C-B02F-64312DE50E7C}"/>
    <cellStyle name="Normal 8 4 3 3" xfId="1390" xr:uid="{00000000-0005-0000-0000-0000FD1D0000}"/>
    <cellStyle name="Normal 8 4 3 3 2" xfId="3620" xr:uid="{00000000-0005-0000-0000-0000FE1D0000}"/>
    <cellStyle name="Normal 8 4 3 3 2 2" xfId="7843" xr:uid="{00000000-0005-0000-0000-0000FF1D0000}"/>
    <cellStyle name="Normal 8 4 3 3 2 2 2" xfId="16282" xr:uid="{D37986D3-8BBD-4080-8B2E-1EC870EC3B05}"/>
    <cellStyle name="Normal 8 4 3 3 2 3" xfId="12064" xr:uid="{9C806CF0-515E-450D-949D-0CF51E5BA933}"/>
    <cellStyle name="Normal 8 4 3 3 3" xfId="5698" xr:uid="{00000000-0005-0000-0000-0000001E0000}"/>
    <cellStyle name="Normal 8 4 3 3 3 2" xfId="14137" xr:uid="{6E306483-F26A-4623-9D38-FD4F0D16C530}"/>
    <cellStyle name="Normal 8 4 3 3 4" xfId="9919" xr:uid="{724C7D5F-6AE1-4FDA-8AA3-D3259FD602C0}"/>
    <cellStyle name="Normal 8 4 3 4" xfId="1803" xr:uid="{00000000-0005-0000-0000-0000011E0000}"/>
    <cellStyle name="Normal 8 4 3 4 2" xfId="4033" xr:uid="{00000000-0005-0000-0000-0000021E0000}"/>
    <cellStyle name="Normal 8 4 3 4 2 2" xfId="8256" xr:uid="{00000000-0005-0000-0000-0000031E0000}"/>
    <cellStyle name="Normal 8 4 3 4 2 2 2" xfId="16695" xr:uid="{B1E53F32-1526-4989-8FF9-A841F6660B9C}"/>
    <cellStyle name="Normal 8 4 3 4 2 3" xfId="12477" xr:uid="{5CA3F22A-0680-471B-A541-6D23906E9918}"/>
    <cellStyle name="Normal 8 4 3 4 3" xfId="6111" xr:uid="{00000000-0005-0000-0000-0000041E0000}"/>
    <cellStyle name="Normal 8 4 3 4 3 2" xfId="14550" xr:uid="{F24B3A7C-2145-44EC-B0E6-8EBB4CF48537}"/>
    <cellStyle name="Normal 8 4 3 4 4" xfId="10332" xr:uid="{362D6458-8A50-4FE7-8107-285531C0F941}"/>
    <cellStyle name="Normal 8 4 3 5" xfId="2217" xr:uid="{00000000-0005-0000-0000-0000051E0000}"/>
    <cellStyle name="Normal 8 4 3 5 2" xfId="4446" xr:uid="{00000000-0005-0000-0000-0000061E0000}"/>
    <cellStyle name="Normal 8 4 3 5 2 2" xfId="8669" xr:uid="{00000000-0005-0000-0000-0000071E0000}"/>
    <cellStyle name="Normal 8 4 3 5 2 2 2" xfId="17108" xr:uid="{5B2E7FFF-C68D-4F20-A48D-0C14A4297CEF}"/>
    <cellStyle name="Normal 8 4 3 5 2 3" xfId="12890" xr:uid="{9131C206-B7CE-464D-86F6-AEA9D6A758C6}"/>
    <cellStyle name="Normal 8 4 3 5 3" xfId="6524" xr:uid="{00000000-0005-0000-0000-0000081E0000}"/>
    <cellStyle name="Normal 8 4 3 5 3 2" xfId="14963" xr:uid="{71C34A98-A0F7-4608-AB0A-F38C70FE8461}"/>
    <cellStyle name="Normal 8 4 3 5 4" xfId="10745" xr:uid="{930DF588-E1D7-41F0-8052-C18AF59DAE2B}"/>
    <cellStyle name="Normal 8 4 3 6" xfId="2653" xr:uid="{00000000-0005-0000-0000-0000091E0000}"/>
    <cellStyle name="Normal 8 4 3 6 2" xfId="6937" xr:uid="{00000000-0005-0000-0000-00000A1E0000}"/>
    <cellStyle name="Normal 8 4 3 6 2 2" xfId="15376" xr:uid="{B1054883-96AC-4E68-9105-35D1CB4C0DBA}"/>
    <cellStyle name="Normal 8 4 3 6 3" xfId="11158" xr:uid="{6D63BD94-E0FB-4B0F-A8E3-68EDBA9774AF}"/>
    <cellStyle name="Normal 8 4 3 7" xfId="4872" xr:uid="{00000000-0005-0000-0000-00000B1E0000}"/>
    <cellStyle name="Normal 8 4 3 7 2" xfId="13311" xr:uid="{67132508-A4E5-47EC-96F9-BE23F9732C74}"/>
    <cellStyle name="Normal 8 4 3 8" xfId="9093" xr:uid="{CB3CD027-2357-445B-8598-EB2DD77FD2E0}"/>
    <cellStyle name="Normal 8 4 4" xfId="970" xr:uid="{00000000-0005-0000-0000-00000C1E0000}"/>
    <cellStyle name="Normal 8 4 4 2" xfId="3204" xr:uid="{00000000-0005-0000-0000-00000D1E0000}"/>
    <cellStyle name="Normal 8 4 4 2 2" xfId="7427" xr:uid="{00000000-0005-0000-0000-00000E1E0000}"/>
    <cellStyle name="Normal 8 4 4 2 2 2" xfId="15866" xr:uid="{AE1688DC-3FF6-43DC-A8E2-7E494789E53B}"/>
    <cellStyle name="Normal 8 4 4 2 3" xfId="11648" xr:uid="{BB04EE0B-A510-4B3F-89DA-A623A5E91388}"/>
    <cellStyle name="Normal 8 4 4 3" xfId="5282" xr:uid="{00000000-0005-0000-0000-00000F1E0000}"/>
    <cellStyle name="Normal 8 4 4 3 2" xfId="13721" xr:uid="{D8FF40BA-40D3-4FD0-BF73-9BD8B0885619}"/>
    <cellStyle name="Normal 8 4 4 4" xfId="9503" xr:uid="{3A3A6A99-753A-4F41-A4E4-D84D096DB421}"/>
    <cellStyle name="Normal 8 4 5" xfId="1387" xr:uid="{00000000-0005-0000-0000-0000101E0000}"/>
    <cellStyle name="Normal 8 4 5 2" xfId="3617" xr:uid="{00000000-0005-0000-0000-0000111E0000}"/>
    <cellStyle name="Normal 8 4 5 2 2" xfId="7840" xr:uid="{00000000-0005-0000-0000-0000121E0000}"/>
    <cellStyle name="Normal 8 4 5 2 2 2" xfId="16279" xr:uid="{F04E0D28-E396-4DFD-97F6-04F989587704}"/>
    <cellStyle name="Normal 8 4 5 2 3" xfId="12061" xr:uid="{04BCBF3F-3375-49AC-B81C-6A00332FF60B}"/>
    <cellStyle name="Normal 8 4 5 3" xfId="5695" xr:uid="{00000000-0005-0000-0000-0000131E0000}"/>
    <cellStyle name="Normal 8 4 5 3 2" xfId="14134" xr:uid="{8ADDE171-0732-4963-A0D0-C87571FD5341}"/>
    <cellStyle name="Normal 8 4 5 4" xfId="9916" xr:uid="{27AA0C7E-E293-4895-999D-BECE2CCE266C}"/>
    <cellStyle name="Normal 8 4 6" xfId="1800" xr:uid="{00000000-0005-0000-0000-0000141E0000}"/>
    <cellStyle name="Normal 8 4 6 2" xfId="4030" xr:uid="{00000000-0005-0000-0000-0000151E0000}"/>
    <cellStyle name="Normal 8 4 6 2 2" xfId="8253" xr:uid="{00000000-0005-0000-0000-0000161E0000}"/>
    <cellStyle name="Normal 8 4 6 2 2 2" xfId="16692" xr:uid="{1EA6C4C4-C75E-44A7-95B0-E68998D8EECC}"/>
    <cellStyle name="Normal 8 4 6 2 3" xfId="12474" xr:uid="{70F85C24-B90B-42FD-BB0C-D32A73900794}"/>
    <cellStyle name="Normal 8 4 6 3" xfId="6108" xr:uid="{00000000-0005-0000-0000-0000171E0000}"/>
    <cellStyle name="Normal 8 4 6 3 2" xfId="14547" xr:uid="{91CFD552-B6B2-4944-91C5-5033853C604A}"/>
    <cellStyle name="Normal 8 4 6 4" xfId="10329" xr:uid="{4E141216-1A84-42DC-AEC2-696B99F13C4C}"/>
    <cellStyle name="Normal 8 4 7" xfId="2214" xr:uid="{00000000-0005-0000-0000-0000181E0000}"/>
    <cellStyle name="Normal 8 4 7 2" xfId="4443" xr:uid="{00000000-0005-0000-0000-0000191E0000}"/>
    <cellStyle name="Normal 8 4 7 2 2" xfId="8666" xr:uid="{00000000-0005-0000-0000-00001A1E0000}"/>
    <cellStyle name="Normal 8 4 7 2 2 2" xfId="17105" xr:uid="{50314EAE-57E3-42D0-8261-F97A7FA3493B}"/>
    <cellStyle name="Normal 8 4 7 2 3" xfId="12887" xr:uid="{4A682348-81CD-4DF5-A9FB-3835224F93D5}"/>
    <cellStyle name="Normal 8 4 7 3" xfId="6521" xr:uid="{00000000-0005-0000-0000-00001B1E0000}"/>
    <cellStyle name="Normal 8 4 7 3 2" xfId="14960" xr:uid="{E506F0CF-6A14-46A8-B692-E84EB575191B}"/>
    <cellStyle name="Normal 8 4 7 4" xfId="10742" xr:uid="{DBDB4109-2EF2-46D4-A5BF-AC25876DD390}"/>
    <cellStyle name="Normal 8 4 8" xfId="2650" xr:uid="{00000000-0005-0000-0000-00001C1E0000}"/>
    <cellStyle name="Normal 8 4 8 2" xfId="6934" xr:uid="{00000000-0005-0000-0000-00001D1E0000}"/>
    <cellStyle name="Normal 8 4 8 2 2" xfId="15373" xr:uid="{0076EE0F-379A-4A85-B70B-B6E40D024073}"/>
    <cellStyle name="Normal 8 4 8 3" xfId="11155" xr:uid="{ACDFE04C-F111-48EE-BE4F-8DF1EF50E70B}"/>
    <cellStyle name="Normal 8 4 9" xfId="4869" xr:uid="{00000000-0005-0000-0000-00001E1E0000}"/>
    <cellStyle name="Normal 8 4 9 2" xfId="13308" xr:uid="{1DF0BE31-3849-43A0-92F2-E52CAA51DAAC}"/>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5871" xr:uid="{E46E578B-C6F4-409F-B42C-9D4F13A07C82}"/>
    <cellStyle name="Normal 8 5 2 2 2 3" xfId="11653" xr:uid="{CD5377D8-3DE5-45C8-AE1C-1AF27B6C71F5}"/>
    <cellStyle name="Normal 8 5 2 2 3" xfId="5287" xr:uid="{00000000-0005-0000-0000-0000241E0000}"/>
    <cellStyle name="Normal 8 5 2 2 3 2" xfId="13726" xr:uid="{E655CE9A-75C9-4AD1-A15C-31EE8211DE98}"/>
    <cellStyle name="Normal 8 5 2 2 4" xfId="9508" xr:uid="{D45AD4B5-42E4-4239-89A8-A4E304150FA9}"/>
    <cellStyle name="Normal 8 5 2 3" xfId="1392" xr:uid="{00000000-0005-0000-0000-0000251E0000}"/>
    <cellStyle name="Normal 8 5 2 3 2" xfId="3622" xr:uid="{00000000-0005-0000-0000-0000261E0000}"/>
    <cellStyle name="Normal 8 5 2 3 2 2" xfId="7845" xr:uid="{00000000-0005-0000-0000-0000271E0000}"/>
    <cellStyle name="Normal 8 5 2 3 2 2 2" xfId="16284" xr:uid="{2418897A-34AB-4F24-9AC5-CF488AFD21C7}"/>
    <cellStyle name="Normal 8 5 2 3 2 3" xfId="12066" xr:uid="{6FBC4E9D-2692-4C9E-94AA-5BFE9B4F8419}"/>
    <cellStyle name="Normal 8 5 2 3 3" xfId="5700" xr:uid="{00000000-0005-0000-0000-0000281E0000}"/>
    <cellStyle name="Normal 8 5 2 3 3 2" xfId="14139" xr:uid="{5824D78B-CCB8-4A1B-96FE-2746091B6CD4}"/>
    <cellStyle name="Normal 8 5 2 3 4" xfId="9921" xr:uid="{445DE084-A6EE-47AF-9436-717DC1CDC6B1}"/>
    <cellStyle name="Normal 8 5 2 4" xfId="1805" xr:uid="{00000000-0005-0000-0000-0000291E0000}"/>
    <cellStyle name="Normal 8 5 2 4 2" xfId="4035" xr:uid="{00000000-0005-0000-0000-00002A1E0000}"/>
    <cellStyle name="Normal 8 5 2 4 2 2" xfId="8258" xr:uid="{00000000-0005-0000-0000-00002B1E0000}"/>
    <cellStyle name="Normal 8 5 2 4 2 2 2" xfId="16697" xr:uid="{905D47E6-D2B1-41DC-A76C-A8D864E9D463}"/>
    <cellStyle name="Normal 8 5 2 4 2 3" xfId="12479" xr:uid="{BCB816DB-0D9E-451D-AE0A-9EA38D034061}"/>
    <cellStyle name="Normal 8 5 2 4 3" xfId="6113" xr:uid="{00000000-0005-0000-0000-00002C1E0000}"/>
    <cellStyle name="Normal 8 5 2 4 3 2" xfId="14552" xr:uid="{8EFA7308-A2E4-420C-AC9E-455B2F0A11BE}"/>
    <cellStyle name="Normal 8 5 2 4 4" xfId="10334" xr:uid="{200F7194-C626-4C36-9EEA-6167C73C3348}"/>
    <cellStyle name="Normal 8 5 2 5" xfId="2219" xr:uid="{00000000-0005-0000-0000-00002D1E0000}"/>
    <cellStyle name="Normal 8 5 2 5 2" xfId="4448" xr:uid="{00000000-0005-0000-0000-00002E1E0000}"/>
    <cellStyle name="Normal 8 5 2 5 2 2" xfId="8671" xr:uid="{00000000-0005-0000-0000-00002F1E0000}"/>
    <cellStyle name="Normal 8 5 2 5 2 2 2" xfId="17110" xr:uid="{EBE21F79-B611-4FBC-9050-79FF1F84FE0D}"/>
    <cellStyle name="Normal 8 5 2 5 2 3" xfId="12892" xr:uid="{BB1D2DCF-1794-46B3-9795-FB371360C374}"/>
    <cellStyle name="Normal 8 5 2 5 3" xfId="6526" xr:uid="{00000000-0005-0000-0000-0000301E0000}"/>
    <cellStyle name="Normal 8 5 2 5 3 2" xfId="14965" xr:uid="{B37788D6-4E6F-49B7-8993-81B4ACD388C1}"/>
    <cellStyle name="Normal 8 5 2 5 4" xfId="10747" xr:uid="{5F3AE717-2B93-482B-B9B4-E8E03D188458}"/>
    <cellStyle name="Normal 8 5 2 6" xfId="2655" xr:uid="{00000000-0005-0000-0000-0000311E0000}"/>
    <cellStyle name="Normal 8 5 2 6 2" xfId="6939" xr:uid="{00000000-0005-0000-0000-0000321E0000}"/>
    <cellStyle name="Normal 8 5 2 6 2 2" xfId="15378" xr:uid="{0C545135-8154-4FF1-86D5-C532E9FCB007}"/>
    <cellStyle name="Normal 8 5 2 6 3" xfId="11160" xr:uid="{E2CF6663-134D-42D5-B86C-E2C5F3202081}"/>
    <cellStyle name="Normal 8 5 2 7" xfId="4874" xr:uid="{00000000-0005-0000-0000-0000331E0000}"/>
    <cellStyle name="Normal 8 5 2 7 2" xfId="13313" xr:uid="{63D7658C-7D68-4FCF-9DE7-7897CBE4660E}"/>
    <cellStyle name="Normal 8 5 2 8" xfId="9095" xr:uid="{F60970CA-D7F7-4AEE-B298-40EF91C521A3}"/>
    <cellStyle name="Normal 8 5 3" xfId="974" xr:uid="{00000000-0005-0000-0000-0000341E0000}"/>
    <cellStyle name="Normal 8 5 3 2" xfId="3208" xr:uid="{00000000-0005-0000-0000-0000351E0000}"/>
    <cellStyle name="Normal 8 5 3 2 2" xfId="7431" xr:uid="{00000000-0005-0000-0000-0000361E0000}"/>
    <cellStyle name="Normal 8 5 3 2 2 2" xfId="15870" xr:uid="{0653F60D-D079-448A-A1A3-8389A111B789}"/>
    <cellStyle name="Normal 8 5 3 2 3" xfId="11652" xr:uid="{6A889DF6-3D78-4703-998F-63B2F955D7A1}"/>
    <cellStyle name="Normal 8 5 3 3" xfId="5286" xr:uid="{00000000-0005-0000-0000-0000371E0000}"/>
    <cellStyle name="Normal 8 5 3 3 2" xfId="13725" xr:uid="{26096132-7518-4BDC-885D-AA2A773875C1}"/>
    <cellStyle name="Normal 8 5 3 4" xfId="9507" xr:uid="{3E1E5D9B-2B32-4232-88E7-C628746A82CF}"/>
    <cellStyle name="Normal 8 5 4" xfId="1391" xr:uid="{00000000-0005-0000-0000-0000381E0000}"/>
    <cellStyle name="Normal 8 5 4 2" xfId="3621" xr:uid="{00000000-0005-0000-0000-0000391E0000}"/>
    <cellStyle name="Normal 8 5 4 2 2" xfId="7844" xr:uid="{00000000-0005-0000-0000-00003A1E0000}"/>
    <cellStyle name="Normal 8 5 4 2 2 2" xfId="16283" xr:uid="{801DDF06-15C3-49F1-BF23-D1B94E4333EA}"/>
    <cellStyle name="Normal 8 5 4 2 3" xfId="12065" xr:uid="{A994BBC6-B431-41B2-BC11-D9AB7C66947A}"/>
    <cellStyle name="Normal 8 5 4 3" xfId="5699" xr:uid="{00000000-0005-0000-0000-00003B1E0000}"/>
    <cellStyle name="Normal 8 5 4 3 2" xfId="14138" xr:uid="{E693C67E-8FD5-4D6C-921D-4FB7D47ECF8D}"/>
    <cellStyle name="Normal 8 5 4 4" xfId="9920" xr:uid="{7DDE0285-C322-4F37-8215-3F29CDFDA9E3}"/>
    <cellStyle name="Normal 8 5 5" xfId="1804" xr:uid="{00000000-0005-0000-0000-00003C1E0000}"/>
    <cellStyle name="Normal 8 5 5 2" xfId="4034" xr:uid="{00000000-0005-0000-0000-00003D1E0000}"/>
    <cellStyle name="Normal 8 5 5 2 2" xfId="8257" xr:uid="{00000000-0005-0000-0000-00003E1E0000}"/>
    <cellStyle name="Normal 8 5 5 2 2 2" xfId="16696" xr:uid="{9E475D58-6695-4AE7-A5E4-F9E1EE324DBB}"/>
    <cellStyle name="Normal 8 5 5 2 3" xfId="12478" xr:uid="{51EC2321-74E2-473A-A285-86C0C5707523}"/>
    <cellStyle name="Normal 8 5 5 3" xfId="6112" xr:uid="{00000000-0005-0000-0000-00003F1E0000}"/>
    <cellStyle name="Normal 8 5 5 3 2" xfId="14551" xr:uid="{461BFFC5-264D-472D-A451-4A15E9013E0B}"/>
    <cellStyle name="Normal 8 5 5 4" xfId="10333" xr:uid="{D866B02F-6FDF-45D4-AB18-C14D44AD7E41}"/>
    <cellStyle name="Normal 8 5 6" xfId="2218" xr:uid="{00000000-0005-0000-0000-0000401E0000}"/>
    <cellStyle name="Normal 8 5 6 2" xfId="4447" xr:uid="{00000000-0005-0000-0000-0000411E0000}"/>
    <cellStyle name="Normal 8 5 6 2 2" xfId="8670" xr:uid="{00000000-0005-0000-0000-0000421E0000}"/>
    <cellStyle name="Normal 8 5 6 2 2 2" xfId="17109" xr:uid="{B460BE01-F79C-4E38-8BAC-B3B76A37BD88}"/>
    <cellStyle name="Normal 8 5 6 2 3" xfId="12891" xr:uid="{C5BDF7DD-5CDD-4B58-BDBF-EDE04DEBD390}"/>
    <cellStyle name="Normal 8 5 6 3" xfId="6525" xr:uid="{00000000-0005-0000-0000-0000431E0000}"/>
    <cellStyle name="Normal 8 5 6 3 2" xfId="14964" xr:uid="{C6DDC198-C7B9-4A9F-B59F-4209BEB30793}"/>
    <cellStyle name="Normal 8 5 6 4" xfId="10746" xr:uid="{40C13EFD-5FB1-46E2-B245-9D423972ED37}"/>
    <cellStyle name="Normal 8 5 7" xfId="2654" xr:uid="{00000000-0005-0000-0000-0000441E0000}"/>
    <cellStyle name="Normal 8 5 7 2" xfId="6938" xr:uid="{00000000-0005-0000-0000-0000451E0000}"/>
    <cellStyle name="Normal 8 5 7 2 2" xfId="15377" xr:uid="{D0F34741-C123-4004-94F6-4ABFA25424AA}"/>
    <cellStyle name="Normal 8 5 7 3" xfId="11159" xr:uid="{C6E2B038-3F6F-4277-BDC0-26CE8FC65187}"/>
    <cellStyle name="Normal 8 5 8" xfId="4873" xr:uid="{00000000-0005-0000-0000-0000461E0000}"/>
    <cellStyle name="Normal 8 5 8 2" xfId="13312" xr:uid="{EC2268AE-862A-4701-8BD0-D400946C2C0A}"/>
    <cellStyle name="Normal 8 5 9" xfId="9094" xr:uid="{959DE6EF-A9B9-49EC-A818-E73AF267139A}"/>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5872" xr:uid="{5638CFC5-5FA4-4EC8-9CA0-577ACCC3BF3E}"/>
    <cellStyle name="Normal 8 6 2 2 3" xfId="11654" xr:uid="{ED1AAE64-6BE0-468A-B8C4-1F927DE5DC5B}"/>
    <cellStyle name="Normal 8 6 2 3" xfId="5288" xr:uid="{00000000-0005-0000-0000-00004B1E0000}"/>
    <cellStyle name="Normal 8 6 2 3 2" xfId="13727" xr:uid="{88F0D5D7-C8BF-4639-BA6D-05C4362847CE}"/>
    <cellStyle name="Normal 8 6 2 4" xfId="9509" xr:uid="{862591B1-3607-4BD4-BD4B-7DBD8074DE15}"/>
    <cellStyle name="Normal 8 6 3" xfId="1393" xr:uid="{00000000-0005-0000-0000-00004C1E0000}"/>
    <cellStyle name="Normal 8 6 3 2" xfId="3623" xr:uid="{00000000-0005-0000-0000-00004D1E0000}"/>
    <cellStyle name="Normal 8 6 3 2 2" xfId="7846" xr:uid="{00000000-0005-0000-0000-00004E1E0000}"/>
    <cellStyle name="Normal 8 6 3 2 2 2" xfId="16285" xr:uid="{FE778DEC-F255-49CF-A50D-41AFC797D406}"/>
    <cellStyle name="Normal 8 6 3 2 3" xfId="12067" xr:uid="{DB51EB77-BA1D-44AA-A37B-6883F381877E}"/>
    <cellStyle name="Normal 8 6 3 3" xfId="5701" xr:uid="{00000000-0005-0000-0000-00004F1E0000}"/>
    <cellStyle name="Normal 8 6 3 3 2" xfId="14140" xr:uid="{250EB2EB-4977-46F7-9698-26A39B60CAF5}"/>
    <cellStyle name="Normal 8 6 3 4" xfId="9922" xr:uid="{3B5DF0E6-AEB7-4709-B94A-8D6BD30CC288}"/>
    <cellStyle name="Normal 8 6 4" xfId="1806" xr:uid="{00000000-0005-0000-0000-0000501E0000}"/>
    <cellStyle name="Normal 8 6 4 2" xfId="4036" xr:uid="{00000000-0005-0000-0000-0000511E0000}"/>
    <cellStyle name="Normal 8 6 4 2 2" xfId="8259" xr:uid="{00000000-0005-0000-0000-0000521E0000}"/>
    <cellStyle name="Normal 8 6 4 2 2 2" xfId="16698" xr:uid="{50AAA9FF-4606-4786-A1CE-126722056354}"/>
    <cellStyle name="Normal 8 6 4 2 3" xfId="12480" xr:uid="{F18F3A9F-8E69-4E26-98FD-26FDA3BA6722}"/>
    <cellStyle name="Normal 8 6 4 3" xfId="6114" xr:uid="{00000000-0005-0000-0000-0000531E0000}"/>
    <cellStyle name="Normal 8 6 4 3 2" xfId="14553" xr:uid="{9197234E-E4FB-432C-8BF6-5D480BDF9156}"/>
    <cellStyle name="Normal 8 6 4 4" xfId="10335" xr:uid="{0EEDEDF1-E551-41D2-821F-56D469DA79D1}"/>
    <cellStyle name="Normal 8 6 5" xfId="2220" xr:uid="{00000000-0005-0000-0000-0000541E0000}"/>
    <cellStyle name="Normal 8 6 5 2" xfId="4449" xr:uid="{00000000-0005-0000-0000-0000551E0000}"/>
    <cellStyle name="Normal 8 6 5 2 2" xfId="8672" xr:uid="{00000000-0005-0000-0000-0000561E0000}"/>
    <cellStyle name="Normal 8 6 5 2 2 2" xfId="17111" xr:uid="{ABFEF573-921E-40AB-8380-45E5B04C0FC9}"/>
    <cellStyle name="Normal 8 6 5 2 3" xfId="12893" xr:uid="{EA535BD0-E8F4-4801-81A1-D888BE72CB32}"/>
    <cellStyle name="Normal 8 6 5 3" xfId="6527" xr:uid="{00000000-0005-0000-0000-0000571E0000}"/>
    <cellStyle name="Normal 8 6 5 3 2" xfId="14966" xr:uid="{8D4C0C20-5507-4BF1-9636-9CC35210FE73}"/>
    <cellStyle name="Normal 8 6 5 4" xfId="10748" xr:uid="{78E33E26-4AE6-4DBA-9B1E-6A4E60CB8A31}"/>
    <cellStyle name="Normal 8 6 6" xfId="2656" xr:uid="{00000000-0005-0000-0000-0000581E0000}"/>
    <cellStyle name="Normal 8 6 6 2" xfId="6940" xr:uid="{00000000-0005-0000-0000-0000591E0000}"/>
    <cellStyle name="Normal 8 6 6 2 2" xfId="15379" xr:uid="{13AEC026-5446-4D15-B6DB-5A1BA15C36A3}"/>
    <cellStyle name="Normal 8 6 6 3" xfId="11161" xr:uid="{CC6534BA-D30B-4F42-BFC1-7BBD0E0617FB}"/>
    <cellStyle name="Normal 8 6 7" xfId="4875" xr:uid="{00000000-0005-0000-0000-00005A1E0000}"/>
    <cellStyle name="Normal 8 6 7 2" xfId="13314" xr:uid="{67C06E90-29A6-4D49-8C8B-57EFE024DD93}"/>
    <cellStyle name="Normal 8 6 8" xfId="9096" xr:uid="{1E5FCA90-90F5-48EF-A8D7-5944DB7BDE56}"/>
    <cellStyle name="Normal 8 7" xfId="945" xr:uid="{00000000-0005-0000-0000-00005B1E0000}"/>
    <cellStyle name="Normal 8 7 2" xfId="3179" xr:uid="{00000000-0005-0000-0000-00005C1E0000}"/>
    <cellStyle name="Normal 8 7 2 2" xfId="7402" xr:uid="{00000000-0005-0000-0000-00005D1E0000}"/>
    <cellStyle name="Normal 8 7 2 2 2" xfId="15841" xr:uid="{7394EED7-AA10-4A97-ACC9-C01996FE2E88}"/>
    <cellStyle name="Normal 8 7 2 3" xfId="11623" xr:uid="{D0D5EDAD-8D9A-4F6B-9CF2-E0CB074B73D0}"/>
    <cellStyle name="Normal 8 7 3" xfId="5257" xr:uid="{00000000-0005-0000-0000-00005E1E0000}"/>
    <cellStyle name="Normal 8 7 3 2" xfId="13696" xr:uid="{0DAB9F53-37A3-4F41-B265-54E7F60A3DC1}"/>
    <cellStyle name="Normal 8 7 4" xfId="9478" xr:uid="{7DFCC198-6F74-42AB-883D-FAA2F408B7AE}"/>
    <cellStyle name="Normal 8 8" xfId="1362" xr:uid="{00000000-0005-0000-0000-00005F1E0000}"/>
    <cellStyle name="Normal 8 8 2" xfId="3592" xr:uid="{00000000-0005-0000-0000-0000601E0000}"/>
    <cellStyle name="Normal 8 8 2 2" xfId="7815" xr:uid="{00000000-0005-0000-0000-0000611E0000}"/>
    <cellStyle name="Normal 8 8 2 2 2" xfId="16254" xr:uid="{67B28140-2944-47CE-B2F0-F52418AAB545}"/>
    <cellStyle name="Normal 8 8 2 3" xfId="12036" xr:uid="{1592E367-9842-4CEE-843C-F81D2682DB54}"/>
    <cellStyle name="Normal 8 8 3" xfId="5670" xr:uid="{00000000-0005-0000-0000-0000621E0000}"/>
    <cellStyle name="Normal 8 8 3 2" xfId="14109" xr:uid="{786DE654-090D-4599-8892-BB016B09E184}"/>
    <cellStyle name="Normal 8 8 4" xfId="9891" xr:uid="{ED31979D-2A82-435B-BC4A-3F0E7A40286D}"/>
    <cellStyle name="Normal 8 9" xfId="1775" xr:uid="{00000000-0005-0000-0000-0000631E0000}"/>
    <cellStyle name="Normal 8 9 2" xfId="4005" xr:uid="{00000000-0005-0000-0000-0000641E0000}"/>
    <cellStyle name="Normal 8 9 2 2" xfId="8228" xr:uid="{00000000-0005-0000-0000-0000651E0000}"/>
    <cellStyle name="Normal 8 9 2 2 2" xfId="16667" xr:uid="{712FAA6C-E1FE-4DC3-86F2-F632DECAFF39}"/>
    <cellStyle name="Normal 8 9 2 3" xfId="12449" xr:uid="{F835AA10-42D0-48C8-998F-CCEBD346228B}"/>
    <cellStyle name="Normal 8 9 3" xfId="6083" xr:uid="{00000000-0005-0000-0000-0000661E0000}"/>
    <cellStyle name="Normal 8 9 3 2" xfId="14522" xr:uid="{A6C42978-77C6-455F-9784-5C30597BE5A2}"/>
    <cellStyle name="Normal 8 9 4" xfId="10304" xr:uid="{73F626A3-C210-4A17-B42A-56DD99709822}"/>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80" xr:uid="{83638758-5FBD-44EE-825E-2B1BE75BE876}"/>
    <cellStyle name="Normal 9 2 10 3" xfId="11162" xr:uid="{20105676-BABE-42C5-A7FF-5A6C475BD2A9}"/>
    <cellStyle name="Normal 9 2 11" xfId="4876" xr:uid="{00000000-0005-0000-0000-00006B1E0000}"/>
    <cellStyle name="Normal 9 2 11 2" xfId="13315" xr:uid="{7189CD03-D661-4540-B230-DE148100F88A}"/>
    <cellStyle name="Normal 9 2 12" xfId="9097" xr:uid="{543BC7AA-DE09-44C7-AC45-E6FD0A13B6F8}"/>
    <cellStyle name="Normal 9 2 2" xfId="512" xr:uid="{00000000-0005-0000-0000-00006C1E0000}"/>
    <cellStyle name="Normal 9 2 2 10" xfId="4877" xr:uid="{00000000-0005-0000-0000-00006D1E0000}"/>
    <cellStyle name="Normal 9 2 2 10 2" xfId="13316" xr:uid="{1C4AEE3A-2780-488C-9ED5-28FF925E6ED6}"/>
    <cellStyle name="Normal 9 2 2 11" xfId="9098" xr:uid="{74AEE1B3-8278-4639-B0FE-136FEE119462}"/>
    <cellStyle name="Normal 9 2 2 2" xfId="513" xr:uid="{00000000-0005-0000-0000-00006E1E0000}"/>
    <cellStyle name="Normal 9 2 2 2 10" xfId="9099" xr:uid="{3B8CBA6C-D6F9-40B1-B4AC-B1AE962B96DC}"/>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77" xr:uid="{0E49463E-3FA5-4BFF-BAF8-EF630E87721D}"/>
    <cellStyle name="Normal 9 2 2 2 2 2 2 2 3" xfId="11659" xr:uid="{B496CF30-FB9D-4904-B6D5-B36B5E017E5F}"/>
    <cellStyle name="Normal 9 2 2 2 2 2 2 3" xfId="5293" xr:uid="{00000000-0005-0000-0000-0000741E0000}"/>
    <cellStyle name="Normal 9 2 2 2 2 2 2 3 2" xfId="13732" xr:uid="{68A72025-1A67-4C11-9AE3-D6196860550A}"/>
    <cellStyle name="Normal 9 2 2 2 2 2 2 4" xfId="9514" xr:uid="{238D65C8-CAB0-44FA-8ED6-566E5F012E21}"/>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90" xr:uid="{54C4F1E8-D10F-4E4D-B1B3-02E608D51FA8}"/>
    <cellStyle name="Normal 9 2 2 2 2 2 3 2 3" xfId="12072" xr:uid="{DCB65D40-0BB8-43BB-A121-5A9987579511}"/>
    <cellStyle name="Normal 9 2 2 2 2 2 3 3" xfId="5706" xr:uid="{00000000-0005-0000-0000-0000781E0000}"/>
    <cellStyle name="Normal 9 2 2 2 2 2 3 3 2" xfId="14145" xr:uid="{8F99E3C1-627B-4758-B8A5-43F57E754434}"/>
    <cellStyle name="Normal 9 2 2 2 2 2 3 4" xfId="9927" xr:uid="{40069319-FB5D-4833-8CEF-72FB6361BF69}"/>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3" xr:uid="{ADA5B060-0F2A-469F-8DFC-5CB84AA5B3CE}"/>
    <cellStyle name="Normal 9 2 2 2 2 2 4 2 3" xfId="12485" xr:uid="{937EBDF4-2F22-4D2B-8BFE-CA09FA196E48}"/>
    <cellStyle name="Normal 9 2 2 2 2 2 4 3" xfId="6119" xr:uid="{00000000-0005-0000-0000-00007C1E0000}"/>
    <cellStyle name="Normal 9 2 2 2 2 2 4 3 2" xfId="14558" xr:uid="{9355BF8D-F8F0-4EA9-A21B-A65E4D771A70}"/>
    <cellStyle name="Normal 9 2 2 2 2 2 4 4" xfId="10340" xr:uid="{AC676CD8-550C-41FA-8C43-01275EEEE789}"/>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6" xr:uid="{1A7DA3D0-7FFD-4CB6-A9DA-2C4F5FD949F6}"/>
    <cellStyle name="Normal 9 2 2 2 2 2 5 2 3" xfId="12898" xr:uid="{1B8FE740-64D3-47E4-9E72-5132BE36760A}"/>
    <cellStyle name="Normal 9 2 2 2 2 2 5 3" xfId="6532" xr:uid="{00000000-0005-0000-0000-0000801E0000}"/>
    <cellStyle name="Normal 9 2 2 2 2 2 5 3 2" xfId="14971" xr:uid="{EE47BA45-2599-453B-B943-567D6B23B631}"/>
    <cellStyle name="Normal 9 2 2 2 2 2 5 4" xfId="10753" xr:uid="{BC91D4B0-647D-410A-839D-3C287BEBD5AE}"/>
    <cellStyle name="Normal 9 2 2 2 2 2 6" xfId="2661" xr:uid="{00000000-0005-0000-0000-0000811E0000}"/>
    <cellStyle name="Normal 9 2 2 2 2 2 6 2" xfId="6945" xr:uid="{00000000-0005-0000-0000-0000821E0000}"/>
    <cellStyle name="Normal 9 2 2 2 2 2 6 2 2" xfId="15384" xr:uid="{3B1E4867-6180-49E4-996B-F72F35E32705}"/>
    <cellStyle name="Normal 9 2 2 2 2 2 6 3" xfId="11166" xr:uid="{19370CC1-37D9-48C5-BFEF-8EFAB799377A}"/>
    <cellStyle name="Normal 9 2 2 2 2 2 7" xfId="4880" xr:uid="{00000000-0005-0000-0000-0000831E0000}"/>
    <cellStyle name="Normal 9 2 2 2 2 2 7 2" xfId="13319" xr:uid="{10F405F7-6C3D-48D2-A884-B02F2227367D}"/>
    <cellStyle name="Normal 9 2 2 2 2 2 8" xfId="9101" xr:uid="{2CAD9166-CDF6-42C6-82A2-A3E6928335AD}"/>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6" xr:uid="{8683E594-1C37-4DFC-908B-C5007139E3B9}"/>
    <cellStyle name="Normal 9 2 2 2 2 3 2 3" xfId="11658" xr:uid="{E423ABA5-D8C0-4F09-B68B-3B4D737224C3}"/>
    <cellStyle name="Normal 9 2 2 2 2 3 3" xfId="5292" xr:uid="{00000000-0005-0000-0000-0000871E0000}"/>
    <cellStyle name="Normal 9 2 2 2 2 3 3 2" xfId="13731" xr:uid="{C17A9C71-3443-49B6-BAC4-3C4BE4D01EFC}"/>
    <cellStyle name="Normal 9 2 2 2 2 3 4" xfId="9513" xr:uid="{A9D982E3-F8A3-4EB0-82A8-8D09D065D23F}"/>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89" xr:uid="{1EB97CE7-3CC7-4DDC-890C-AC2BD1624D61}"/>
    <cellStyle name="Normal 9 2 2 2 2 4 2 3" xfId="12071" xr:uid="{CD45019D-90D8-4DEC-8D53-ACE44361E6D0}"/>
    <cellStyle name="Normal 9 2 2 2 2 4 3" xfId="5705" xr:uid="{00000000-0005-0000-0000-00008B1E0000}"/>
    <cellStyle name="Normal 9 2 2 2 2 4 3 2" xfId="14144" xr:uid="{8D62D002-A1D9-46DD-A41C-70102D0151AB}"/>
    <cellStyle name="Normal 9 2 2 2 2 4 4" xfId="9926" xr:uid="{03B9A8FB-ED91-4933-B926-69A539D92E52}"/>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702" xr:uid="{54479D1E-C78A-40C9-9419-5C323E84A806}"/>
    <cellStyle name="Normal 9 2 2 2 2 5 2 3" xfId="12484" xr:uid="{1C733425-344C-4E78-BDB5-26128261E748}"/>
    <cellStyle name="Normal 9 2 2 2 2 5 3" xfId="6118" xr:uid="{00000000-0005-0000-0000-00008F1E0000}"/>
    <cellStyle name="Normal 9 2 2 2 2 5 3 2" xfId="14557" xr:uid="{10B6F8C3-94FC-48E8-B4C7-D27165FE9591}"/>
    <cellStyle name="Normal 9 2 2 2 2 5 4" xfId="10339" xr:uid="{809A7993-E1C3-4B25-82E4-870318C92146}"/>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5" xr:uid="{022190B5-E82D-4A1B-A0AC-0A3541E1BA43}"/>
    <cellStyle name="Normal 9 2 2 2 2 6 2 3" xfId="12897" xr:uid="{A1A50FA8-5A60-4F52-BA48-F006D6D5606D}"/>
    <cellStyle name="Normal 9 2 2 2 2 6 3" xfId="6531" xr:uid="{00000000-0005-0000-0000-0000931E0000}"/>
    <cellStyle name="Normal 9 2 2 2 2 6 3 2" xfId="14970" xr:uid="{84D25C62-2F96-4CCB-93DF-ACD35C90E6F7}"/>
    <cellStyle name="Normal 9 2 2 2 2 6 4" xfId="10752" xr:uid="{CD0EA5AC-2F92-4180-B616-C363BDA55C06}"/>
    <cellStyle name="Normal 9 2 2 2 2 7" xfId="2660" xr:uid="{00000000-0005-0000-0000-0000941E0000}"/>
    <cellStyle name="Normal 9 2 2 2 2 7 2" xfId="6944" xr:uid="{00000000-0005-0000-0000-0000951E0000}"/>
    <cellStyle name="Normal 9 2 2 2 2 7 2 2" xfId="15383" xr:uid="{2C169494-491E-44E6-B31D-601E6A514688}"/>
    <cellStyle name="Normal 9 2 2 2 2 7 3" xfId="11165" xr:uid="{574159CA-A2C7-41B1-945D-AD5A29DDA46E}"/>
    <cellStyle name="Normal 9 2 2 2 2 8" xfId="4879" xr:uid="{00000000-0005-0000-0000-0000961E0000}"/>
    <cellStyle name="Normal 9 2 2 2 2 8 2" xfId="13318" xr:uid="{2CB322BE-0832-47C9-966B-9AA2C212AF8B}"/>
    <cellStyle name="Normal 9 2 2 2 2 9" xfId="9100" xr:uid="{2B4D366F-A6FD-49F3-9AA0-632E05358206}"/>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78" xr:uid="{F4CAD03D-88B4-4B56-932B-B2E6783FA126}"/>
    <cellStyle name="Normal 9 2 2 2 3 2 2 3" xfId="11660" xr:uid="{F5A4DFA4-3639-4342-ADCD-A5BFA4F0F57D}"/>
    <cellStyle name="Normal 9 2 2 2 3 2 3" xfId="5294" xr:uid="{00000000-0005-0000-0000-00009B1E0000}"/>
    <cellStyle name="Normal 9 2 2 2 3 2 3 2" xfId="13733" xr:uid="{FD5163B1-2102-4746-90C9-E49E1CDEC94E}"/>
    <cellStyle name="Normal 9 2 2 2 3 2 4" xfId="9515" xr:uid="{26E74B85-08A5-4A28-9195-577220BE017B}"/>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91" xr:uid="{B3660164-35D0-4C7D-86C0-EA7BBF8FAB44}"/>
    <cellStyle name="Normal 9 2 2 2 3 3 2 3" xfId="12073" xr:uid="{E7F4D004-EA01-4852-9410-FCB18B63762B}"/>
    <cellStyle name="Normal 9 2 2 2 3 3 3" xfId="5707" xr:uid="{00000000-0005-0000-0000-00009F1E0000}"/>
    <cellStyle name="Normal 9 2 2 2 3 3 3 2" xfId="14146" xr:uid="{FA94EB66-E3BB-4130-B636-271A93ACE7A8}"/>
    <cellStyle name="Normal 9 2 2 2 3 3 4" xfId="9928" xr:uid="{6401F866-D1C1-4723-9F54-A0B8372CDD4B}"/>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4" xr:uid="{2489DA55-DFA5-4E6F-A813-71BC26A277CD}"/>
    <cellStyle name="Normal 9 2 2 2 3 4 2 3" xfId="12486" xr:uid="{4FB197AF-DB83-4671-BDD8-21B6A35428AA}"/>
    <cellStyle name="Normal 9 2 2 2 3 4 3" xfId="6120" xr:uid="{00000000-0005-0000-0000-0000A31E0000}"/>
    <cellStyle name="Normal 9 2 2 2 3 4 3 2" xfId="14559" xr:uid="{D900ED30-6BCE-4F80-A519-582075CDA269}"/>
    <cellStyle name="Normal 9 2 2 2 3 4 4" xfId="10341" xr:uid="{6C666F83-C794-42E0-A290-12F78D3C396B}"/>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17" xr:uid="{EA906BF5-101D-4BD5-B331-A673A5BF2CEB}"/>
    <cellStyle name="Normal 9 2 2 2 3 5 2 3" xfId="12899" xr:uid="{BD41ABF1-AA12-409E-BD11-159A6FEC8EA6}"/>
    <cellStyle name="Normal 9 2 2 2 3 5 3" xfId="6533" xr:uid="{00000000-0005-0000-0000-0000A71E0000}"/>
    <cellStyle name="Normal 9 2 2 2 3 5 3 2" xfId="14972" xr:uid="{0DB10D5F-3772-483D-A58D-A8E30D49FBD3}"/>
    <cellStyle name="Normal 9 2 2 2 3 5 4" xfId="10754" xr:uid="{F2D9D2F4-8E32-4EEE-8880-75FD53794CE5}"/>
    <cellStyle name="Normal 9 2 2 2 3 6" xfId="2662" xr:uid="{00000000-0005-0000-0000-0000A81E0000}"/>
    <cellStyle name="Normal 9 2 2 2 3 6 2" xfId="6946" xr:uid="{00000000-0005-0000-0000-0000A91E0000}"/>
    <cellStyle name="Normal 9 2 2 2 3 6 2 2" xfId="15385" xr:uid="{400DD486-6C0D-4B35-A8B9-C8FAA00E1E0D}"/>
    <cellStyle name="Normal 9 2 2 2 3 6 3" xfId="11167" xr:uid="{53417CFB-FF1C-4DE3-8B4F-868EC303121A}"/>
    <cellStyle name="Normal 9 2 2 2 3 7" xfId="4881" xr:uid="{00000000-0005-0000-0000-0000AA1E0000}"/>
    <cellStyle name="Normal 9 2 2 2 3 7 2" xfId="13320" xr:uid="{85D5DFFA-DE87-4C66-ABE5-6DEF598DA474}"/>
    <cellStyle name="Normal 9 2 2 2 3 8" xfId="9102" xr:uid="{4E7C3221-9EA0-486D-99A0-7D5DD6DE6AC7}"/>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5" xr:uid="{ADD87B80-2210-455D-8D79-2CCB590EFB80}"/>
    <cellStyle name="Normal 9 2 2 2 4 2 3" xfId="11657" xr:uid="{2B4F62A1-FFEF-415A-B201-A43C327888E3}"/>
    <cellStyle name="Normal 9 2 2 2 4 3" xfId="5291" xr:uid="{00000000-0005-0000-0000-0000AE1E0000}"/>
    <cellStyle name="Normal 9 2 2 2 4 3 2" xfId="13730" xr:uid="{20B62063-D279-44B8-9146-1C1C23098A67}"/>
    <cellStyle name="Normal 9 2 2 2 4 4" xfId="9512" xr:uid="{F3790763-A6F4-4A12-AE5F-7AF5715F9F54}"/>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88" xr:uid="{8CB94FBE-0819-4069-809F-32AB12BF855F}"/>
    <cellStyle name="Normal 9 2 2 2 5 2 3" xfId="12070" xr:uid="{EAC51C42-6079-48D1-9456-6CBD1229FEB9}"/>
    <cellStyle name="Normal 9 2 2 2 5 3" xfId="5704" xr:uid="{00000000-0005-0000-0000-0000B21E0000}"/>
    <cellStyle name="Normal 9 2 2 2 5 3 2" xfId="14143" xr:uid="{4E4DCCC4-146E-428F-9A48-1CF18AB6E597}"/>
    <cellStyle name="Normal 9 2 2 2 5 4" xfId="9925" xr:uid="{31FF60E5-A055-42D5-8BC1-A016E9FAE0B7}"/>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701" xr:uid="{017D4DF5-C489-4306-8CE4-25B4FAF1D0EE}"/>
    <cellStyle name="Normal 9 2 2 2 6 2 3" xfId="12483" xr:uid="{C9E32B58-B1E3-4701-9B66-9754346C9EC3}"/>
    <cellStyle name="Normal 9 2 2 2 6 3" xfId="6117" xr:uid="{00000000-0005-0000-0000-0000B61E0000}"/>
    <cellStyle name="Normal 9 2 2 2 6 3 2" xfId="14556" xr:uid="{734CD1AF-9F10-415A-8258-03F2EDC0DF4D}"/>
    <cellStyle name="Normal 9 2 2 2 6 4" xfId="10338" xr:uid="{79AEFDCF-6481-4264-8FB2-0CB982DC709F}"/>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4" xr:uid="{2349C8E7-7F94-46E5-9011-F492E5B2E875}"/>
    <cellStyle name="Normal 9 2 2 2 7 2 3" xfId="12896" xr:uid="{BD7E72C8-F9C0-4819-B5B1-EDCA890618E7}"/>
    <cellStyle name="Normal 9 2 2 2 7 3" xfId="6530" xr:uid="{00000000-0005-0000-0000-0000BA1E0000}"/>
    <cellStyle name="Normal 9 2 2 2 7 3 2" xfId="14969" xr:uid="{7B681390-412D-4AB7-9F88-978B4E62F3BE}"/>
    <cellStyle name="Normal 9 2 2 2 7 4" xfId="10751" xr:uid="{3563598F-A726-404A-A4E5-894C0A819221}"/>
    <cellStyle name="Normal 9 2 2 2 8" xfId="2659" xr:uid="{00000000-0005-0000-0000-0000BB1E0000}"/>
    <cellStyle name="Normal 9 2 2 2 8 2" xfId="6943" xr:uid="{00000000-0005-0000-0000-0000BC1E0000}"/>
    <cellStyle name="Normal 9 2 2 2 8 2 2" xfId="15382" xr:uid="{532B6A6E-5761-483A-B6F0-43987114786E}"/>
    <cellStyle name="Normal 9 2 2 2 8 3" xfId="11164" xr:uid="{59ED47A8-6EB7-4C7F-BB99-16EE048EBB1C}"/>
    <cellStyle name="Normal 9 2 2 2 9" xfId="4878" xr:uid="{00000000-0005-0000-0000-0000BD1E0000}"/>
    <cellStyle name="Normal 9 2 2 2 9 2" xfId="13317" xr:uid="{5479DEC3-0B3C-4B37-9351-3C2329C05795}"/>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80" xr:uid="{FB8FC64C-E40B-4B1E-A5E6-DA8DEE64B08A}"/>
    <cellStyle name="Normal 9 2 2 3 2 2 2 3" xfId="11662" xr:uid="{1FD6E78E-E1F9-4D38-9553-672B0A0D7CE0}"/>
    <cellStyle name="Normal 9 2 2 3 2 2 3" xfId="5296" xr:uid="{00000000-0005-0000-0000-0000C31E0000}"/>
    <cellStyle name="Normal 9 2 2 3 2 2 3 2" xfId="13735" xr:uid="{137DEA55-DD2D-4ED7-BD49-74E961C12AD0}"/>
    <cellStyle name="Normal 9 2 2 3 2 2 4" xfId="9517" xr:uid="{7C4F6E16-2902-42B7-80FB-D3279BECE6AD}"/>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3" xr:uid="{68C48F9B-8444-4560-B9E7-6A896C71C75A}"/>
    <cellStyle name="Normal 9 2 2 3 2 3 2 3" xfId="12075" xr:uid="{B974FFA8-FD7A-49B1-AE25-F2EDA91EF1B4}"/>
    <cellStyle name="Normal 9 2 2 3 2 3 3" xfId="5709" xr:uid="{00000000-0005-0000-0000-0000C71E0000}"/>
    <cellStyle name="Normal 9 2 2 3 2 3 3 2" xfId="14148" xr:uid="{5903C2B7-2709-4AE9-B638-7824A979A712}"/>
    <cellStyle name="Normal 9 2 2 3 2 3 4" xfId="9930" xr:uid="{0642364C-C102-409F-9F01-C2D80FE8DCD8}"/>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6" xr:uid="{F4BCE47F-22B6-436B-AEDF-E384109A1FCE}"/>
    <cellStyle name="Normal 9 2 2 3 2 4 2 3" xfId="12488" xr:uid="{14AB14FF-C7B6-4990-BDFE-BFA3E978A35A}"/>
    <cellStyle name="Normal 9 2 2 3 2 4 3" xfId="6122" xr:uid="{00000000-0005-0000-0000-0000CB1E0000}"/>
    <cellStyle name="Normal 9 2 2 3 2 4 3 2" xfId="14561" xr:uid="{0A136226-775C-43E6-A135-7940F12DFDA4}"/>
    <cellStyle name="Normal 9 2 2 3 2 4 4" xfId="10343" xr:uid="{A12BC5D6-51A5-4F40-AFE4-0C6E97E6FFD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19" xr:uid="{B2F2DD62-6E3F-478B-AB96-BBB5E3E4EC2B}"/>
    <cellStyle name="Normal 9 2 2 3 2 5 2 3" xfId="12901" xr:uid="{BBFB0236-DA6E-4221-8635-11C29D441F9D}"/>
    <cellStyle name="Normal 9 2 2 3 2 5 3" xfId="6535" xr:uid="{00000000-0005-0000-0000-0000CF1E0000}"/>
    <cellStyle name="Normal 9 2 2 3 2 5 3 2" xfId="14974" xr:uid="{9070BB32-3296-4CD5-AEB9-F650EF468A58}"/>
    <cellStyle name="Normal 9 2 2 3 2 5 4" xfId="10756" xr:uid="{A791D0C2-5BB5-4B2C-B1C2-67D3618EAE6A}"/>
    <cellStyle name="Normal 9 2 2 3 2 6" xfId="2664" xr:uid="{00000000-0005-0000-0000-0000D01E0000}"/>
    <cellStyle name="Normal 9 2 2 3 2 6 2" xfId="6948" xr:uid="{00000000-0005-0000-0000-0000D11E0000}"/>
    <cellStyle name="Normal 9 2 2 3 2 6 2 2" xfId="15387" xr:uid="{66B03C41-D174-466F-854C-D84C703F77EC}"/>
    <cellStyle name="Normal 9 2 2 3 2 6 3" xfId="11169" xr:uid="{11D4E0F2-3A63-4767-A7F9-B35EBF4F4E3E}"/>
    <cellStyle name="Normal 9 2 2 3 2 7" xfId="4883" xr:uid="{00000000-0005-0000-0000-0000D21E0000}"/>
    <cellStyle name="Normal 9 2 2 3 2 7 2" xfId="13322" xr:uid="{BC536213-D322-48C7-B392-B07CAC632E2B}"/>
    <cellStyle name="Normal 9 2 2 3 2 8" xfId="9104" xr:uid="{B8C2BA39-9645-4601-90EF-AB09E65ADAAE}"/>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79" xr:uid="{8C3BC257-3078-446E-9B66-9E5420C2C97E}"/>
    <cellStyle name="Normal 9 2 2 3 3 2 3" xfId="11661" xr:uid="{C4FA3B15-47C8-4A85-88B8-219F0F9C3E02}"/>
    <cellStyle name="Normal 9 2 2 3 3 3" xfId="5295" xr:uid="{00000000-0005-0000-0000-0000D61E0000}"/>
    <cellStyle name="Normal 9 2 2 3 3 3 2" xfId="13734" xr:uid="{8F12894F-4907-49FE-8F63-ACC82F677A55}"/>
    <cellStyle name="Normal 9 2 2 3 3 4" xfId="9516" xr:uid="{29381B51-88AA-4E38-AB98-0936E4D2E36E}"/>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92" xr:uid="{7969FC37-7046-4943-B198-07AB67BD21D5}"/>
    <cellStyle name="Normal 9 2 2 3 4 2 3" xfId="12074" xr:uid="{90BBDC5E-75A1-488B-8F8C-54D7B4C978DE}"/>
    <cellStyle name="Normal 9 2 2 3 4 3" xfId="5708" xr:uid="{00000000-0005-0000-0000-0000DA1E0000}"/>
    <cellStyle name="Normal 9 2 2 3 4 3 2" xfId="14147" xr:uid="{8B77621E-6A27-4C38-B920-379A4355179D}"/>
    <cellStyle name="Normal 9 2 2 3 4 4" xfId="9929" xr:uid="{6255794F-CDBB-436A-9E9B-A2F29C2A502C}"/>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5" xr:uid="{F6985953-A2A2-42BC-A487-336315C1A968}"/>
    <cellStyle name="Normal 9 2 2 3 5 2 3" xfId="12487" xr:uid="{8B8CEC24-9CFC-406C-81BB-AFB8D629360A}"/>
    <cellStyle name="Normal 9 2 2 3 5 3" xfId="6121" xr:uid="{00000000-0005-0000-0000-0000DE1E0000}"/>
    <cellStyle name="Normal 9 2 2 3 5 3 2" xfId="14560" xr:uid="{C46A0AB0-2411-45C6-823F-7939FF4627CB}"/>
    <cellStyle name="Normal 9 2 2 3 5 4" xfId="10342" xr:uid="{4D3D04E6-298E-4265-8284-0A7E84645510}"/>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18" xr:uid="{F9CF8432-7CF5-4E1E-914A-6E398A77B422}"/>
    <cellStyle name="Normal 9 2 2 3 6 2 3" xfId="12900" xr:uid="{95C4F25A-DC30-45ED-81C5-AC748F1D7F8C}"/>
    <cellStyle name="Normal 9 2 2 3 6 3" xfId="6534" xr:uid="{00000000-0005-0000-0000-0000E21E0000}"/>
    <cellStyle name="Normal 9 2 2 3 6 3 2" xfId="14973" xr:uid="{4259721D-1B88-4DE8-8C68-DCD2F5A55FBD}"/>
    <cellStyle name="Normal 9 2 2 3 6 4" xfId="10755" xr:uid="{66359947-93D3-44F4-BBE9-D3D9174B5041}"/>
    <cellStyle name="Normal 9 2 2 3 7" xfId="2663" xr:uid="{00000000-0005-0000-0000-0000E31E0000}"/>
    <cellStyle name="Normal 9 2 2 3 7 2" xfId="6947" xr:uid="{00000000-0005-0000-0000-0000E41E0000}"/>
    <cellStyle name="Normal 9 2 2 3 7 2 2" xfId="15386" xr:uid="{3A4EC6AA-5C2A-48FC-BA84-B28B6B885E9C}"/>
    <cellStyle name="Normal 9 2 2 3 7 3" xfId="11168" xr:uid="{F6A2E469-052E-4AC2-86A8-6421EF49F651}"/>
    <cellStyle name="Normal 9 2 2 3 8" xfId="4882" xr:uid="{00000000-0005-0000-0000-0000E51E0000}"/>
    <cellStyle name="Normal 9 2 2 3 8 2" xfId="13321" xr:uid="{A66D05AE-8770-4F99-9AED-BAFA05516C1E}"/>
    <cellStyle name="Normal 9 2 2 3 9" xfId="9103" xr:uid="{843423EB-2A14-44E4-A7E8-9D50D1990412}"/>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81" xr:uid="{B9432D07-CA1F-4508-A995-F4704A7B8813}"/>
    <cellStyle name="Normal 9 2 2 4 2 2 3" xfId="11663" xr:uid="{C0D97368-1A4F-44FF-AA57-882837C54033}"/>
    <cellStyle name="Normal 9 2 2 4 2 3" xfId="5297" xr:uid="{00000000-0005-0000-0000-0000EA1E0000}"/>
    <cellStyle name="Normal 9 2 2 4 2 3 2" xfId="13736" xr:uid="{56EA74F5-7FDB-45CB-8E38-EF31B9FB5E01}"/>
    <cellStyle name="Normal 9 2 2 4 2 4" xfId="9518" xr:uid="{6998584B-B08F-49EE-AD56-36B236D28D5D}"/>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4" xr:uid="{E1CFDF55-AD48-4944-86EB-CF2993CE5732}"/>
    <cellStyle name="Normal 9 2 2 4 3 2 3" xfId="12076" xr:uid="{4D562A4F-8342-4611-B4BE-3F6A6B445E3F}"/>
    <cellStyle name="Normal 9 2 2 4 3 3" xfId="5710" xr:uid="{00000000-0005-0000-0000-0000EE1E0000}"/>
    <cellStyle name="Normal 9 2 2 4 3 3 2" xfId="14149" xr:uid="{CB6B510D-1326-4124-A599-50D0C00E5011}"/>
    <cellStyle name="Normal 9 2 2 4 3 4" xfId="9931" xr:uid="{342B9A80-B99B-44DA-8E0F-DEF590F2817B}"/>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07" xr:uid="{4B6C2417-A90E-40CF-92AE-94CB07931634}"/>
    <cellStyle name="Normal 9 2 2 4 4 2 3" xfId="12489" xr:uid="{97E38654-0824-4CCD-9FA3-B194EF738258}"/>
    <cellStyle name="Normal 9 2 2 4 4 3" xfId="6123" xr:uid="{00000000-0005-0000-0000-0000F21E0000}"/>
    <cellStyle name="Normal 9 2 2 4 4 3 2" xfId="14562" xr:uid="{7E7CF269-0949-401B-95C0-4A5F4DA5F4D7}"/>
    <cellStyle name="Normal 9 2 2 4 4 4" xfId="10344" xr:uid="{BE69033D-7631-4173-B72A-B9C7D4AAAEED}"/>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20" xr:uid="{154A2F4A-3C06-4DBB-9ADB-4EF1FC2DB3D3}"/>
    <cellStyle name="Normal 9 2 2 4 5 2 3" xfId="12902" xr:uid="{F8D54822-47D9-48C6-B437-83A350EB69BA}"/>
    <cellStyle name="Normal 9 2 2 4 5 3" xfId="6536" xr:uid="{00000000-0005-0000-0000-0000F61E0000}"/>
    <cellStyle name="Normal 9 2 2 4 5 3 2" xfId="14975" xr:uid="{5935FE53-F868-4D46-9825-E4555A5109E7}"/>
    <cellStyle name="Normal 9 2 2 4 5 4" xfId="10757" xr:uid="{981BFED9-93A0-4103-B46E-1F5543C55629}"/>
    <cellStyle name="Normal 9 2 2 4 6" xfId="2665" xr:uid="{00000000-0005-0000-0000-0000F71E0000}"/>
    <cellStyle name="Normal 9 2 2 4 6 2" xfId="6949" xr:uid="{00000000-0005-0000-0000-0000F81E0000}"/>
    <cellStyle name="Normal 9 2 2 4 6 2 2" xfId="15388" xr:uid="{B366D5CE-6CAA-4404-A2ED-4D3880215B6D}"/>
    <cellStyle name="Normal 9 2 2 4 6 3" xfId="11170" xr:uid="{F89946A8-8FA9-4BF4-A35A-95E3F4CC6706}"/>
    <cellStyle name="Normal 9 2 2 4 7" xfId="4884" xr:uid="{00000000-0005-0000-0000-0000F91E0000}"/>
    <cellStyle name="Normal 9 2 2 4 7 2" xfId="13323" xr:uid="{CAF6A947-46EA-4151-AA93-44B89B9437F2}"/>
    <cellStyle name="Normal 9 2 2 4 8" xfId="9105" xr:uid="{7138962C-BE41-44AB-9CC6-56F5039E776B}"/>
    <cellStyle name="Normal 9 2 2 5" xfId="979" xr:uid="{00000000-0005-0000-0000-0000FA1E0000}"/>
    <cellStyle name="Normal 9 2 2 5 2" xfId="3212" xr:uid="{00000000-0005-0000-0000-0000FB1E0000}"/>
    <cellStyle name="Normal 9 2 2 5 2 2" xfId="7435" xr:uid="{00000000-0005-0000-0000-0000FC1E0000}"/>
    <cellStyle name="Normal 9 2 2 5 2 2 2" xfId="15874" xr:uid="{F3CE50FA-9926-4EFC-9C63-2F27C5DFDFAD}"/>
    <cellStyle name="Normal 9 2 2 5 2 3" xfId="11656" xr:uid="{F3248B72-3F80-4A5B-BF8E-09C0CD89BEE2}"/>
    <cellStyle name="Normal 9 2 2 5 3" xfId="5290" xr:uid="{00000000-0005-0000-0000-0000FD1E0000}"/>
    <cellStyle name="Normal 9 2 2 5 3 2" xfId="13729" xr:uid="{881EE432-2A23-4D31-8460-998DC311D070}"/>
    <cellStyle name="Normal 9 2 2 5 4" xfId="9511" xr:uid="{076AF639-1003-44E2-BE32-652F66899540}"/>
    <cellStyle name="Normal 9 2 2 6" xfId="1395" xr:uid="{00000000-0005-0000-0000-0000FE1E0000}"/>
    <cellStyle name="Normal 9 2 2 6 2" xfId="3625" xr:uid="{00000000-0005-0000-0000-0000FF1E0000}"/>
    <cellStyle name="Normal 9 2 2 6 2 2" xfId="7848" xr:uid="{00000000-0005-0000-0000-0000001F0000}"/>
    <cellStyle name="Normal 9 2 2 6 2 2 2" xfId="16287" xr:uid="{BF25FA80-DD24-4881-A01D-D43A1ED35439}"/>
    <cellStyle name="Normal 9 2 2 6 2 3" xfId="12069" xr:uid="{D45607BE-ACD9-4B75-8596-27170DAB39E5}"/>
    <cellStyle name="Normal 9 2 2 6 3" xfId="5703" xr:uid="{00000000-0005-0000-0000-0000011F0000}"/>
    <cellStyle name="Normal 9 2 2 6 3 2" xfId="14142" xr:uid="{E451D5CE-D455-4A79-8879-09C0459F3013}"/>
    <cellStyle name="Normal 9 2 2 6 4" xfId="9924" xr:uid="{CA835B8E-8735-46C4-83C2-6ECAC300D65F}"/>
    <cellStyle name="Normal 9 2 2 7" xfId="1808" xr:uid="{00000000-0005-0000-0000-0000021F0000}"/>
    <cellStyle name="Normal 9 2 2 7 2" xfId="4038" xr:uid="{00000000-0005-0000-0000-0000031F0000}"/>
    <cellStyle name="Normal 9 2 2 7 2 2" xfId="8261" xr:uid="{00000000-0005-0000-0000-0000041F0000}"/>
    <cellStyle name="Normal 9 2 2 7 2 2 2" xfId="16700" xr:uid="{F8530627-8274-4132-9961-0DB202C831D0}"/>
    <cellStyle name="Normal 9 2 2 7 2 3" xfId="12482" xr:uid="{A60C352E-5BF6-42F3-9D89-F47E478B4245}"/>
    <cellStyle name="Normal 9 2 2 7 3" xfId="6116" xr:uid="{00000000-0005-0000-0000-0000051F0000}"/>
    <cellStyle name="Normal 9 2 2 7 3 2" xfId="14555" xr:uid="{81D85FC1-6B3B-469B-9036-7886BDFF6F73}"/>
    <cellStyle name="Normal 9 2 2 7 4" xfId="10337" xr:uid="{21F46106-1310-4E09-8CCB-7DCAB25A70CA}"/>
    <cellStyle name="Normal 9 2 2 8" xfId="2222" xr:uid="{00000000-0005-0000-0000-0000061F0000}"/>
    <cellStyle name="Normal 9 2 2 8 2" xfId="4451" xr:uid="{00000000-0005-0000-0000-0000071F0000}"/>
    <cellStyle name="Normal 9 2 2 8 2 2" xfId="8674" xr:uid="{00000000-0005-0000-0000-0000081F0000}"/>
    <cellStyle name="Normal 9 2 2 8 2 2 2" xfId="17113" xr:uid="{B2759999-139D-4A35-963F-B34E69BB208A}"/>
    <cellStyle name="Normal 9 2 2 8 2 3" xfId="12895" xr:uid="{BA3E9FAB-4BA5-4474-8F80-C75D85BA583C}"/>
    <cellStyle name="Normal 9 2 2 8 3" xfId="6529" xr:uid="{00000000-0005-0000-0000-0000091F0000}"/>
    <cellStyle name="Normal 9 2 2 8 3 2" xfId="14968" xr:uid="{FEF7C45A-143D-4D7B-AFD7-92E21C6CEAF2}"/>
    <cellStyle name="Normal 9 2 2 8 4" xfId="10750" xr:uid="{9E13808E-2D56-4A6E-8CB0-A94A9B639DF3}"/>
    <cellStyle name="Normal 9 2 2 9" xfId="2658" xr:uid="{00000000-0005-0000-0000-00000A1F0000}"/>
    <cellStyle name="Normal 9 2 2 9 2" xfId="6942" xr:uid="{00000000-0005-0000-0000-00000B1F0000}"/>
    <cellStyle name="Normal 9 2 2 9 2 2" xfId="15381" xr:uid="{184328F5-C0AE-4649-ADFF-3886C40EADFB}"/>
    <cellStyle name="Normal 9 2 2 9 3" xfId="11163" xr:uid="{4155DBF0-998F-4ACE-8722-B86D546466BE}"/>
    <cellStyle name="Normal 9 2 3" xfId="520" xr:uid="{00000000-0005-0000-0000-00000C1F0000}"/>
    <cellStyle name="Normal 9 2 3 10" xfId="9106" xr:uid="{793AA5FE-BEFA-4AA1-A4EF-4B5FA1BBE36E}"/>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4" xr:uid="{F726DE9A-669C-43E7-9924-90365412A121}"/>
    <cellStyle name="Normal 9 2 3 2 2 2 2 3" xfId="11666" xr:uid="{95F9BDFD-4606-4DD9-B1B4-F03731587D7C}"/>
    <cellStyle name="Normal 9 2 3 2 2 2 3" xfId="5300" xr:uid="{00000000-0005-0000-0000-0000121F0000}"/>
    <cellStyle name="Normal 9 2 3 2 2 2 3 2" xfId="13739" xr:uid="{5850A5FF-E389-4705-BF75-2F8F9B009595}"/>
    <cellStyle name="Normal 9 2 3 2 2 2 4" xfId="9521" xr:uid="{35CA0719-C948-4CD2-BE17-23536ED8E05E}"/>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297" xr:uid="{17D080B9-2836-4BEF-A317-26BB07BBC1DC}"/>
    <cellStyle name="Normal 9 2 3 2 2 3 2 3" xfId="12079" xr:uid="{7DD0D463-6A49-40EF-A1EC-5AD08415457F}"/>
    <cellStyle name="Normal 9 2 3 2 2 3 3" xfId="5713" xr:uid="{00000000-0005-0000-0000-0000161F0000}"/>
    <cellStyle name="Normal 9 2 3 2 2 3 3 2" xfId="14152" xr:uid="{0E439C87-C32F-432D-ADBF-682FE2EE997E}"/>
    <cellStyle name="Normal 9 2 3 2 2 3 4" xfId="9934" xr:uid="{50A6DE11-59C5-4F7A-A5DD-53230C294741}"/>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10" xr:uid="{F4EDB3EC-83F7-4459-8916-7A2366EB8AE5}"/>
    <cellStyle name="Normal 9 2 3 2 2 4 2 3" xfId="12492" xr:uid="{EAA90A32-FE88-4ECA-98B4-566319232E35}"/>
    <cellStyle name="Normal 9 2 3 2 2 4 3" xfId="6126" xr:uid="{00000000-0005-0000-0000-00001A1F0000}"/>
    <cellStyle name="Normal 9 2 3 2 2 4 3 2" xfId="14565" xr:uid="{FE03F476-17E7-4A71-AADC-1D200AA9494D}"/>
    <cellStyle name="Normal 9 2 3 2 2 4 4" xfId="10347" xr:uid="{3B16E408-0696-4534-9F2A-C877434AB1D3}"/>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3" xr:uid="{0CCFF35A-2C15-4D91-A2D9-579DE0C9F6FC}"/>
    <cellStyle name="Normal 9 2 3 2 2 5 2 3" xfId="12905" xr:uid="{6924CB8F-38F9-4365-8AB7-02618A0A338F}"/>
    <cellStyle name="Normal 9 2 3 2 2 5 3" xfId="6539" xr:uid="{00000000-0005-0000-0000-00001E1F0000}"/>
    <cellStyle name="Normal 9 2 3 2 2 5 3 2" xfId="14978" xr:uid="{8200D96D-4F54-4832-80FA-128E47284D6F}"/>
    <cellStyle name="Normal 9 2 3 2 2 5 4" xfId="10760" xr:uid="{E4402570-207E-489A-AE4D-D1F55CED4931}"/>
    <cellStyle name="Normal 9 2 3 2 2 6" xfId="2668" xr:uid="{00000000-0005-0000-0000-00001F1F0000}"/>
    <cellStyle name="Normal 9 2 3 2 2 6 2" xfId="6952" xr:uid="{00000000-0005-0000-0000-0000201F0000}"/>
    <cellStyle name="Normal 9 2 3 2 2 6 2 2" xfId="15391" xr:uid="{B6019F16-9EED-414C-8FE8-DAB6DAC12401}"/>
    <cellStyle name="Normal 9 2 3 2 2 6 3" xfId="11173" xr:uid="{B143B520-FF78-40A9-984B-8B73EDF0F714}"/>
    <cellStyle name="Normal 9 2 3 2 2 7" xfId="4887" xr:uid="{00000000-0005-0000-0000-0000211F0000}"/>
    <cellStyle name="Normal 9 2 3 2 2 7 2" xfId="13326" xr:uid="{F36DEF51-AB1C-4046-894C-4B1151B2D7A5}"/>
    <cellStyle name="Normal 9 2 3 2 2 8" xfId="9108" xr:uid="{63C7A851-7C8A-4B18-9C42-544F42561813}"/>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3" xr:uid="{4FE56434-539C-478C-A07D-BB16212C83BB}"/>
    <cellStyle name="Normal 9 2 3 2 3 2 3" xfId="11665" xr:uid="{97500AE5-C957-4145-B569-EAA381171AD7}"/>
    <cellStyle name="Normal 9 2 3 2 3 3" xfId="5299" xr:uid="{00000000-0005-0000-0000-0000251F0000}"/>
    <cellStyle name="Normal 9 2 3 2 3 3 2" xfId="13738" xr:uid="{2668E9BF-1E55-4A0C-AD82-767F92CAAD5C}"/>
    <cellStyle name="Normal 9 2 3 2 3 4" xfId="9520" xr:uid="{6F7AFB08-B8CC-46D0-9751-3A049E0B468D}"/>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6" xr:uid="{46C473FE-6BD6-43F8-923D-BF7E580350A4}"/>
    <cellStyle name="Normal 9 2 3 2 4 2 3" xfId="12078" xr:uid="{9D3911FB-1775-4C06-A3C9-4934F9A6BB78}"/>
    <cellStyle name="Normal 9 2 3 2 4 3" xfId="5712" xr:uid="{00000000-0005-0000-0000-0000291F0000}"/>
    <cellStyle name="Normal 9 2 3 2 4 3 2" xfId="14151" xr:uid="{D46BDC0D-D658-4FFC-A43E-1936CDEE1295}"/>
    <cellStyle name="Normal 9 2 3 2 4 4" xfId="9933" xr:uid="{0BF7273A-D285-492D-95DE-9053D9CFA437}"/>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09" xr:uid="{1AC931BA-0DE2-4983-9C4B-630CF0E33F47}"/>
    <cellStyle name="Normal 9 2 3 2 5 2 3" xfId="12491" xr:uid="{49835073-D1DE-473D-9E19-65F86DCF48B7}"/>
    <cellStyle name="Normal 9 2 3 2 5 3" xfId="6125" xr:uid="{00000000-0005-0000-0000-00002D1F0000}"/>
    <cellStyle name="Normal 9 2 3 2 5 3 2" xfId="14564" xr:uid="{29D3235E-9A58-489E-BAAA-9986DDA2A34C}"/>
    <cellStyle name="Normal 9 2 3 2 5 4" xfId="10346" xr:uid="{6BBD1464-8DFE-4BCB-A17E-6007FF206690}"/>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22" xr:uid="{3FBCCC73-C742-42E4-9702-E26B34326C18}"/>
    <cellStyle name="Normal 9 2 3 2 6 2 3" xfId="12904" xr:uid="{EC0967B7-6000-4E82-9C17-1EAFDAC0DD31}"/>
    <cellStyle name="Normal 9 2 3 2 6 3" xfId="6538" xr:uid="{00000000-0005-0000-0000-0000311F0000}"/>
    <cellStyle name="Normal 9 2 3 2 6 3 2" xfId="14977" xr:uid="{D7A8527A-C22C-42B2-8868-C4529CDD1873}"/>
    <cellStyle name="Normal 9 2 3 2 6 4" xfId="10759" xr:uid="{A397DB77-BEB3-4A30-A130-BA12E3A01D7A}"/>
    <cellStyle name="Normal 9 2 3 2 7" xfId="2667" xr:uid="{00000000-0005-0000-0000-0000321F0000}"/>
    <cellStyle name="Normal 9 2 3 2 7 2" xfId="6951" xr:uid="{00000000-0005-0000-0000-0000331F0000}"/>
    <cellStyle name="Normal 9 2 3 2 7 2 2" xfId="15390" xr:uid="{88C4CA30-3202-4E4E-B07F-63A72396E540}"/>
    <cellStyle name="Normal 9 2 3 2 7 3" xfId="11172" xr:uid="{D6267B31-0079-487D-A149-EB8E8BEDC7E9}"/>
    <cellStyle name="Normal 9 2 3 2 8" xfId="4886" xr:uid="{00000000-0005-0000-0000-0000341F0000}"/>
    <cellStyle name="Normal 9 2 3 2 8 2" xfId="13325" xr:uid="{B3B1ADB5-3FD0-4940-8D74-D0DBDA4A59A6}"/>
    <cellStyle name="Normal 9 2 3 2 9" xfId="9107" xr:uid="{1199250C-D353-4590-BB40-92E04BEEDB44}"/>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5" xr:uid="{15D6DD5B-52B6-4C7D-A3D1-CDF0E66B0FD0}"/>
    <cellStyle name="Normal 9 2 3 3 2 2 3" xfId="11667" xr:uid="{E457F331-0C2F-4799-BB1D-A6FA28178F9B}"/>
    <cellStyle name="Normal 9 2 3 3 2 3" xfId="5301" xr:uid="{00000000-0005-0000-0000-0000391F0000}"/>
    <cellStyle name="Normal 9 2 3 3 2 3 2" xfId="13740" xr:uid="{2ADDB1FB-A7C0-4E0B-AFDE-2A4BEEAE6D6D}"/>
    <cellStyle name="Normal 9 2 3 3 2 4" xfId="9522" xr:uid="{3D03C54A-25E0-498B-A706-217F2238BA47}"/>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298" xr:uid="{7D69A365-2B36-4919-97D5-9E988A14D8F8}"/>
    <cellStyle name="Normal 9 2 3 3 3 2 3" xfId="12080" xr:uid="{60643C37-05A4-42DA-AAC5-0D67AC06943D}"/>
    <cellStyle name="Normal 9 2 3 3 3 3" xfId="5714" xr:uid="{00000000-0005-0000-0000-00003D1F0000}"/>
    <cellStyle name="Normal 9 2 3 3 3 3 2" xfId="14153" xr:uid="{CB7C7640-45FB-4596-8642-29E8F8C6FED9}"/>
    <cellStyle name="Normal 9 2 3 3 3 4" xfId="9935" xr:uid="{B82FC15E-3C88-495D-BA2E-5DC455BFB12A}"/>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11" xr:uid="{2E98C2D0-8CAA-4B3A-BCA6-52D4CFC618F2}"/>
    <cellStyle name="Normal 9 2 3 3 4 2 3" xfId="12493" xr:uid="{FACBA764-1BDB-43F0-B19A-EC488C4C84E8}"/>
    <cellStyle name="Normal 9 2 3 3 4 3" xfId="6127" xr:uid="{00000000-0005-0000-0000-0000411F0000}"/>
    <cellStyle name="Normal 9 2 3 3 4 3 2" xfId="14566" xr:uid="{7192ADA2-091E-4C0F-BADA-D2E805445603}"/>
    <cellStyle name="Normal 9 2 3 3 4 4" xfId="10348" xr:uid="{BD056EC6-9B9F-4249-A1AE-7D2F4BD9D829}"/>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4" xr:uid="{A8D5348D-4193-4BCD-8AE1-5455629F5C02}"/>
    <cellStyle name="Normal 9 2 3 3 5 2 3" xfId="12906" xr:uid="{4CB30B6C-AAB9-4540-A08E-77DA8DD87B9F}"/>
    <cellStyle name="Normal 9 2 3 3 5 3" xfId="6540" xr:uid="{00000000-0005-0000-0000-0000451F0000}"/>
    <cellStyle name="Normal 9 2 3 3 5 3 2" xfId="14979" xr:uid="{F0234281-A34B-4CDA-A65C-243EDA7D5E39}"/>
    <cellStyle name="Normal 9 2 3 3 5 4" xfId="10761" xr:uid="{12BA1B4E-9EA3-468B-8CA0-B5E0C2866653}"/>
    <cellStyle name="Normal 9 2 3 3 6" xfId="2669" xr:uid="{00000000-0005-0000-0000-0000461F0000}"/>
    <cellStyle name="Normal 9 2 3 3 6 2" xfId="6953" xr:uid="{00000000-0005-0000-0000-0000471F0000}"/>
    <cellStyle name="Normal 9 2 3 3 6 2 2" xfId="15392" xr:uid="{638C4BFD-8021-4F95-8657-3384EEB7626D}"/>
    <cellStyle name="Normal 9 2 3 3 6 3" xfId="11174" xr:uid="{59C55AB9-B17B-4270-A494-C20048B773D3}"/>
    <cellStyle name="Normal 9 2 3 3 7" xfId="4888" xr:uid="{00000000-0005-0000-0000-0000481F0000}"/>
    <cellStyle name="Normal 9 2 3 3 7 2" xfId="13327" xr:uid="{9EC7FC88-8104-4CA0-9518-6FFE19A4ECAA}"/>
    <cellStyle name="Normal 9 2 3 3 8" xfId="9109" xr:uid="{FE56D95F-7A28-4B9D-8E36-9D0152FE4134}"/>
    <cellStyle name="Normal 9 2 3 4" xfId="987" xr:uid="{00000000-0005-0000-0000-0000491F0000}"/>
    <cellStyle name="Normal 9 2 3 4 2" xfId="3220" xr:uid="{00000000-0005-0000-0000-00004A1F0000}"/>
    <cellStyle name="Normal 9 2 3 4 2 2" xfId="7443" xr:uid="{00000000-0005-0000-0000-00004B1F0000}"/>
    <cellStyle name="Normal 9 2 3 4 2 2 2" xfId="15882" xr:uid="{FB038F68-2EC8-4FBF-A6CB-74BFCC5A2F83}"/>
    <cellStyle name="Normal 9 2 3 4 2 3" xfId="11664" xr:uid="{6CD809D9-AED6-42D1-8F8F-B77CE0415D7F}"/>
    <cellStyle name="Normal 9 2 3 4 3" xfId="5298" xr:uid="{00000000-0005-0000-0000-00004C1F0000}"/>
    <cellStyle name="Normal 9 2 3 4 3 2" xfId="13737" xr:uid="{C7911FCB-2ACD-4CF6-83F1-7AA79AFBB332}"/>
    <cellStyle name="Normal 9 2 3 4 4" xfId="9519" xr:uid="{0486F474-A561-496A-843B-A6660EEE78E3}"/>
    <cellStyle name="Normal 9 2 3 5" xfId="1403" xr:uid="{00000000-0005-0000-0000-00004D1F0000}"/>
    <cellStyle name="Normal 9 2 3 5 2" xfId="3633" xr:uid="{00000000-0005-0000-0000-00004E1F0000}"/>
    <cellStyle name="Normal 9 2 3 5 2 2" xfId="7856" xr:uid="{00000000-0005-0000-0000-00004F1F0000}"/>
    <cellStyle name="Normal 9 2 3 5 2 2 2" xfId="16295" xr:uid="{F299EF28-4E1C-408E-AFDA-AD13DBF60A8A}"/>
    <cellStyle name="Normal 9 2 3 5 2 3" xfId="12077" xr:uid="{C65F13C6-67EB-4E49-B831-8E4B47658FA9}"/>
    <cellStyle name="Normal 9 2 3 5 3" xfId="5711" xr:uid="{00000000-0005-0000-0000-0000501F0000}"/>
    <cellStyle name="Normal 9 2 3 5 3 2" xfId="14150" xr:uid="{A19AC687-E05B-4367-A1BB-5AAC04542BF6}"/>
    <cellStyle name="Normal 9 2 3 5 4" xfId="9932" xr:uid="{61291C4E-8894-433F-AB97-D5F207183275}"/>
    <cellStyle name="Normal 9 2 3 6" xfId="1816" xr:uid="{00000000-0005-0000-0000-0000511F0000}"/>
    <cellStyle name="Normal 9 2 3 6 2" xfId="4046" xr:uid="{00000000-0005-0000-0000-0000521F0000}"/>
    <cellStyle name="Normal 9 2 3 6 2 2" xfId="8269" xr:uid="{00000000-0005-0000-0000-0000531F0000}"/>
    <cellStyle name="Normal 9 2 3 6 2 2 2" xfId="16708" xr:uid="{086DF0C3-F1B9-44F1-AAE1-A3B2A1BF3FE9}"/>
    <cellStyle name="Normal 9 2 3 6 2 3" xfId="12490" xr:uid="{58177A83-3FF9-4391-8BD6-1808887A3858}"/>
    <cellStyle name="Normal 9 2 3 6 3" xfId="6124" xr:uid="{00000000-0005-0000-0000-0000541F0000}"/>
    <cellStyle name="Normal 9 2 3 6 3 2" xfId="14563" xr:uid="{ED5CA9C2-1282-4D5E-8D61-683923BF541D}"/>
    <cellStyle name="Normal 9 2 3 6 4" xfId="10345" xr:uid="{40A82AF3-6B9C-4446-8F7B-EE068794C0F0}"/>
    <cellStyle name="Normal 9 2 3 7" xfId="2230" xr:uid="{00000000-0005-0000-0000-0000551F0000}"/>
    <cellStyle name="Normal 9 2 3 7 2" xfId="4459" xr:uid="{00000000-0005-0000-0000-0000561F0000}"/>
    <cellStyle name="Normal 9 2 3 7 2 2" xfId="8682" xr:uid="{00000000-0005-0000-0000-0000571F0000}"/>
    <cellStyle name="Normal 9 2 3 7 2 2 2" xfId="17121" xr:uid="{9D4AA185-B37A-49C5-8355-D8233C7DA80C}"/>
    <cellStyle name="Normal 9 2 3 7 2 3" xfId="12903" xr:uid="{FDAB408F-2575-4B58-8987-8F07BF6248F9}"/>
    <cellStyle name="Normal 9 2 3 7 3" xfId="6537" xr:uid="{00000000-0005-0000-0000-0000581F0000}"/>
    <cellStyle name="Normal 9 2 3 7 3 2" xfId="14976" xr:uid="{D1957D14-47DC-405D-9810-CCAA7BFD4884}"/>
    <cellStyle name="Normal 9 2 3 7 4" xfId="10758" xr:uid="{F982C46C-B5ED-42BF-B46F-0646FD8B1D96}"/>
    <cellStyle name="Normal 9 2 3 8" xfId="2666" xr:uid="{00000000-0005-0000-0000-0000591F0000}"/>
    <cellStyle name="Normal 9 2 3 8 2" xfId="6950" xr:uid="{00000000-0005-0000-0000-00005A1F0000}"/>
    <cellStyle name="Normal 9 2 3 8 2 2" xfId="15389" xr:uid="{99D85471-20CD-45E1-B40E-CB6C4E973CD0}"/>
    <cellStyle name="Normal 9 2 3 8 3" xfId="11171" xr:uid="{52C50B5A-B64B-4230-9B62-8E27863C3D11}"/>
    <cellStyle name="Normal 9 2 3 9" xfId="4885" xr:uid="{00000000-0005-0000-0000-00005B1F0000}"/>
    <cellStyle name="Normal 9 2 3 9 2" xfId="13324" xr:uid="{285EF1BF-21B5-402B-850E-F4510C8AC2B3}"/>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87" xr:uid="{861E76CF-9CE3-4562-A02A-78E9A0FBCD7B}"/>
    <cellStyle name="Normal 9 2 4 2 2 2 3" xfId="11669" xr:uid="{2E63A1A4-5A3D-4B77-8988-1AB04BF29FAE}"/>
    <cellStyle name="Normal 9 2 4 2 2 3" xfId="5303" xr:uid="{00000000-0005-0000-0000-0000611F0000}"/>
    <cellStyle name="Normal 9 2 4 2 2 3 2" xfId="13742" xr:uid="{BB9BD1F0-875A-49CF-B2EF-587510772F7E}"/>
    <cellStyle name="Normal 9 2 4 2 2 4" xfId="9524" xr:uid="{0D44CC0E-DA8A-454C-8956-D3629B671599}"/>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300" xr:uid="{0C9286ED-A5E6-454A-8AE7-0076765872EC}"/>
    <cellStyle name="Normal 9 2 4 2 3 2 3" xfId="12082" xr:uid="{E2D65F19-BA92-42B9-888A-51564CFA5A01}"/>
    <cellStyle name="Normal 9 2 4 2 3 3" xfId="5716" xr:uid="{00000000-0005-0000-0000-0000651F0000}"/>
    <cellStyle name="Normal 9 2 4 2 3 3 2" xfId="14155" xr:uid="{6EA068CB-E10D-4D7D-82CA-30469A2D64C5}"/>
    <cellStyle name="Normal 9 2 4 2 3 4" xfId="9937" xr:uid="{7694CB98-493F-4682-A11D-DB6CBA546C98}"/>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3" xr:uid="{BD468E6D-926D-48D6-ACFD-0B1EF3164481}"/>
    <cellStyle name="Normal 9 2 4 2 4 2 3" xfId="12495" xr:uid="{4C4051C8-7B96-420B-91CB-0CEDB5D91333}"/>
    <cellStyle name="Normal 9 2 4 2 4 3" xfId="6129" xr:uid="{00000000-0005-0000-0000-0000691F0000}"/>
    <cellStyle name="Normal 9 2 4 2 4 3 2" xfId="14568" xr:uid="{3A850A98-0B8C-4B11-8F6A-E08393D7295D}"/>
    <cellStyle name="Normal 9 2 4 2 4 4" xfId="10350" xr:uid="{98E9C3B4-449C-4627-856F-DFE58D792B22}"/>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6" xr:uid="{86D7B887-B24F-419D-9F3D-42F453EFF9A9}"/>
    <cellStyle name="Normal 9 2 4 2 5 2 3" xfId="12908" xr:uid="{F6118E6D-D29F-4998-B808-04A5C06EF898}"/>
    <cellStyle name="Normal 9 2 4 2 5 3" xfId="6542" xr:uid="{00000000-0005-0000-0000-00006D1F0000}"/>
    <cellStyle name="Normal 9 2 4 2 5 3 2" xfId="14981" xr:uid="{80249553-8A47-4CFB-AF85-33988F3C38F8}"/>
    <cellStyle name="Normal 9 2 4 2 5 4" xfId="10763" xr:uid="{DE8DECC7-B326-4F94-BC42-CCFE262748AF}"/>
    <cellStyle name="Normal 9 2 4 2 6" xfId="2671" xr:uid="{00000000-0005-0000-0000-00006E1F0000}"/>
    <cellStyle name="Normal 9 2 4 2 6 2" xfId="6955" xr:uid="{00000000-0005-0000-0000-00006F1F0000}"/>
    <cellStyle name="Normal 9 2 4 2 6 2 2" xfId="15394" xr:uid="{0AE18D01-FF66-4368-9626-49E8E15F0483}"/>
    <cellStyle name="Normal 9 2 4 2 6 3" xfId="11176" xr:uid="{11986EFC-11DD-483E-A4B9-742505BD674A}"/>
    <cellStyle name="Normal 9 2 4 2 7" xfId="4890" xr:uid="{00000000-0005-0000-0000-0000701F0000}"/>
    <cellStyle name="Normal 9 2 4 2 7 2" xfId="13329" xr:uid="{DDCC8650-B9B6-40B1-B033-CE85D585D07C}"/>
    <cellStyle name="Normal 9 2 4 2 8" xfId="9111" xr:uid="{53D72E68-2BE7-44E5-B6FE-27554A019E0E}"/>
    <cellStyle name="Normal 9 2 4 3" xfId="991" xr:uid="{00000000-0005-0000-0000-0000711F0000}"/>
    <cellStyle name="Normal 9 2 4 3 2" xfId="3224" xr:uid="{00000000-0005-0000-0000-0000721F0000}"/>
    <cellStyle name="Normal 9 2 4 3 2 2" xfId="7447" xr:uid="{00000000-0005-0000-0000-0000731F0000}"/>
    <cellStyle name="Normal 9 2 4 3 2 2 2" xfId="15886" xr:uid="{8DB2AF9A-35D6-460F-98E1-0ECF52CA2A81}"/>
    <cellStyle name="Normal 9 2 4 3 2 3" xfId="11668" xr:uid="{C82E36C3-9D04-4534-A4CF-BC18ED7A4443}"/>
    <cellStyle name="Normal 9 2 4 3 3" xfId="5302" xr:uid="{00000000-0005-0000-0000-0000741F0000}"/>
    <cellStyle name="Normal 9 2 4 3 3 2" xfId="13741" xr:uid="{7998EF08-6939-4935-AC30-02D31CAA9E56}"/>
    <cellStyle name="Normal 9 2 4 3 4" xfId="9523" xr:uid="{3212CDD2-ECC4-48FD-8274-B060ABDE90FC}"/>
    <cellStyle name="Normal 9 2 4 4" xfId="1407" xr:uid="{00000000-0005-0000-0000-0000751F0000}"/>
    <cellStyle name="Normal 9 2 4 4 2" xfId="3637" xr:uid="{00000000-0005-0000-0000-0000761F0000}"/>
    <cellStyle name="Normal 9 2 4 4 2 2" xfId="7860" xr:uid="{00000000-0005-0000-0000-0000771F0000}"/>
    <cellStyle name="Normal 9 2 4 4 2 2 2" xfId="16299" xr:uid="{DBBBAAB2-2BC6-4B32-A0A2-DAC23BDDD425}"/>
    <cellStyle name="Normal 9 2 4 4 2 3" xfId="12081" xr:uid="{00E7E092-EE78-4698-A329-2AD73CE0A33C}"/>
    <cellStyle name="Normal 9 2 4 4 3" xfId="5715" xr:uid="{00000000-0005-0000-0000-0000781F0000}"/>
    <cellStyle name="Normal 9 2 4 4 3 2" xfId="14154" xr:uid="{2EF243A2-94B6-473F-8743-B0DF30F317B9}"/>
    <cellStyle name="Normal 9 2 4 4 4" xfId="9936" xr:uid="{A7BA60F6-36C1-44B8-9695-279DBA0AA647}"/>
    <cellStyle name="Normal 9 2 4 5" xfId="1820" xr:uid="{00000000-0005-0000-0000-0000791F0000}"/>
    <cellStyle name="Normal 9 2 4 5 2" xfId="4050" xr:uid="{00000000-0005-0000-0000-00007A1F0000}"/>
    <cellStyle name="Normal 9 2 4 5 2 2" xfId="8273" xr:uid="{00000000-0005-0000-0000-00007B1F0000}"/>
    <cellStyle name="Normal 9 2 4 5 2 2 2" xfId="16712" xr:uid="{5F60109D-AF75-4D6F-BB30-06E078E18A38}"/>
    <cellStyle name="Normal 9 2 4 5 2 3" xfId="12494" xr:uid="{17D89494-366E-48BC-8469-FB094F68D8BB}"/>
    <cellStyle name="Normal 9 2 4 5 3" xfId="6128" xr:uid="{00000000-0005-0000-0000-00007C1F0000}"/>
    <cellStyle name="Normal 9 2 4 5 3 2" xfId="14567" xr:uid="{0599CE22-E851-4AAD-A6F7-B1B7DA206F5E}"/>
    <cellStyle name="Normal 9 2 4 5 4" xfId="10349" xr:uid="{AEFDF761-7198-46C0-9216-CE8B73CBF36A}"/>
    <cellStyle name="Normal 9 2 4 6" xfId="2234" xr:uid="{00000000-0005-0000-0000-00007D1F0000}"/>
    <cellStyle name="Normal 9 2 4 6 2" xfId="4463" xr:uid="{00000000-0005-0000-0000-00007E1F0000}"/>
    <cellStyle name="Normal 9 2 4 6 2 2" xfId="8686" xr:uid="{00000000-0005-0000-0000-00007F1F0000}"/>
    <cellStyle name="Normal 9 2 4 6 2 2 2" xfId="17125" xr:uid="{A7767965-28A8-483D-82A9-1EC765585E32}"/>
    <cellStyle name="Normal 9 2 4 6 2 3" xfId="12907" xr:uid="{D055CEE7-FD2C-4973-895E-53C32166A96A}"/>
    <cellStyle name="Normal 9 2 4 6 3" xfId="6541" xr:uid="{00000000-0005-0000-0000-0000801F0000}"/>
    <cellStyle name="Normal 9 2 4 6 3 2" xfId="14980" xr:uid="{EA069BA0-782B-45F5-910A-3211E7AD1B8B}"/>
    <cellStyle name="Normal 9 2 4 6 4" xfId="10762" xr:uid="{50F04196-8C0E-43CE-A93C-4830CA35776B}"/>
    <cellStyle name="Normal 9 2 4 7" xfId="2670" xr:uid="{00000000-0005-0000-0000-0000811F0000}"/>
    <cellStyle name="Normal 9 2 4 7 2" xfId="6954" xr:uid="{00000000-0005-0000-0000-0000821F0000}"/>
    <cellStyle name="Normal 9 2 4 7 2 2" xfId="15393" xr:uid="{9CE6413D-7E68-4C0C-91A9-26DBF2A425DB}"/>
    <cellStyle name="Normal 9 2 4 7 3" xfId="11175" xr:uid="{FA6C4748-0034-40A1-9CF9-60962B4079CC}"/>
    <cellStyle name="Normal 9 2 4 8" xfId="4889" xr:uid="{00000000-0005-0000-0000-0000831F0000}"/>
    <cellStyle name="Normal 9 2 4 8 2" xfId="13328" xr:uid="{C5DF17C7-E989-4B8C-A4D7-D160DC19D290}"/>
    <cellStyle name="Normal 9 2 4 9" xfId="9110" xr:uid="{3C029796-779D-46FC-9880-2EBEB9DDB594}"/>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5888" xr:uid="{5A7AF5C6-FAE9-433F-8FA4-89D030845955}"/>
    <cellStyle name="Normal 9 2 5 2 2 3" xfId="11670" xr:uid="{B92DFEE7-DC7F-4507-8606-5286EF3178F4}"/>
    <cellStyle name="Normal 9 2 5 2 3" xfId="5304" xr:uid="{00000000-0005-0000-0000-0000881F0000}"/>
    <cellStyle name="Normal 9 2 5 2 3 2" xfId="13743" xr:uid="{5DFA17F4-A4FE-4968-BA51-A4B8AE67DA45}"/>
    <cellStyle name="Normal 9 2 5 2 4" xfId="9525" xr:uid="{80D027EB-5105-48C1-963B-E72CE7201E5A}"/>
    <cellStyle name="Normal 9 2 5 3" xfId="1409" xr:uid="{00000000-0005-0000-0000-0000891F0000}"/>
    <cellStyle name="Normal 9 2 5 3 2" xfId="3639" xr:uid="{00000000-0005-0000-0000-00008A1F0000}"/>
    <cellStyle name="Normal 9 2 5 3 2 2" xfId="7862" xr:uid="{00000000-0005-0000-0000-00008B1F0000}"/>
    <cellStyle name="Normal 9 2 5 3 2 2 2" xfId="16301" xr:uid="{86867D28-2F26-4312-B5EE-C1D5711AFCC2}"/>
    <cellStyle name="Normal 9 2 5 3 2 3" xfId="12083" xr:uid="{C8D57288-9BD6-475D-B1DA-8B0CB739EA8C}"/>
    <cellStyle name="Normal 9 2 5 3 3" xfId="5717" xr:uid="{00000000-0005-0000-0000-00008C1F0000}"/>
    <cellStyle name="Normal 9 2 5 3 3 2" xfId="14156" xr:uid="{5B4FCA89-1A37-40FB-9D20-4FFE80739EBD}"/>
    <cellStyle name="Normal 9 2 5 3 4" xfId="9938" xr:uid="{9D6C2E39-38F0-4165-B700-31705241262A}"/>
    <cellStyle name="Normal 9 2 5 4" xfId="1822" xr:uid="{00000000-0005-0000-0000-00008D1F0000}"/>
    <cellStyle name="Normal 9 2 5 4 2" xfId="4052" xr:uid="{00000000-0005-0000-0000-00008E1F0000}"/>
    <cellStyle name="Normal 9 2 5 4 2 2" xfId="8275" xr:uid="{00000000-0005-0000-0000-00008F1F0000}"/>
    <cellStyle name="Normal 9 2 5 4 2 2 2" xfId="16714" xr:uid="{1153F292-1C8F-4B6F-95BA-980747457270}"/>
    <cellStyle name="Normal 9 2 5 4 2 3" xfId="12496" xr:uid="{B1F351B8-8D86-45EB-984F-8A2A33503C95}"/>
    <cellStyle name="Normal 9 2 5 4 3" xfId="6130" xr:uid="{00000000-0005-0000-0000-0000901F0000}"/>
    <cellStyle name="Normal 9 2 5 4 3 2" xfId="14569" xr:uid="{AB4D2E7B-34F2-4C27-AAF0-0804F6F563EE}"/>
    <cellStyle name="Normal 9 2 5 4 4" xfId="10351" xr:uid="{E7B1D2C7-D470-432F-BE22-4C3D7D74C84F}"/>
    <cellStyle name="Normal 9 2 5 5" xfId="2236" xr:uid="{00000000-0005-0000-0000-0000911F0000}"/>
    <cellStyle name="Normal 9 2 5 5 2" xfId="4465" xr:uid="{00000000-0005-0000-0000-0000921F0000}"/>
    <cellStyle name="Normal 9 2 5 5 2 2" xfId="8688" xr:uid="{00000000-0005-0000-0000-0000931F0000}"/>
    <cellStyle name="Normal 9 2 5 5 2 2 2" xfId="17127" xr:uid="{FB87C2DF-356F-4961-B81B-2C29EF0E8F0F}"/>
    <cellStyle name="Normal 9 2 5 5 2 3" xfId="12909" xr:uid="{C32A6597-CA8C-4AB7-B8C4-86347AFC3F32}"/>
    <cellStyle name="Normal 9 2 5 5 3" xfId="6543" xr:uid="{00000000-0005-0000-0000-0000941F0000}"/>
    <cellStyle name="Normal 9 2 5 5 3 2" xfId="14982" xr:uid="{DD8F8B58-3E1C-4888-9177-E1EB1EFF1545}"/>
    <cellStyle name="Normal 9 2 5 5 4" xfId="10764" xr:uid="{1834B5AC-99EB-457F-9045-BC0466CF5D58}"/>
    <cellStyle name="Normal 9 2 5 6" xfId="2672" xr:uid="{00000000-0005-0000-0000-0000951F0000}"/>
    <cellStyle name="Normal 9 2 5 6 2" xfId="6956" xr:uid="{00000000-0005-0000-0000-0000961F0000}"/>
    <cellStyle name="Normal 9 2 5 6 2 2" xfId="15395" xr:uid="{4C5738DB-F794-4151-9EE9-286724E042CE}"/>
    <cellStyle name="Normal 9 2 5 6 3" xfId="11177" xr:uid="{11F203F2-C53A-41DE-BBB8-D68262968E82}"/>
    <cellStyle name="Normal 9 2 5 7" xfId="4891" xr:uid="{00000000-0005-0000-0000-0000971F0000}"/>
    <cellStyle name="Normal 9 2 5 7 2" xfId="13330" xr:uid="{9F172709-8083-45FD-BC09-A9D4F3DEF98A}"/>
    <cellStyle name="Normal 9 2 5 8" xfId="9112" xr:uid="{C6038A02-4129-4D98-AF1D-7519910C27EE}"/>
    <cellStyle name="Normal 9 2 6" xfId="978" xr:uid="{00000000-0005-0000-0000-0000981F0000}"/>
    <cellStyle name="Normal 9 2 6 2" xfId="3211" xr:uid="{00000000-0005-0000-0000-0000991F0000}"/>
    <cellStyle name="Normal 9 2 6 2 2" xfId="7434" xr:uid="{00000000-0005-0000-0000-00009A1F0000}"/>
    <cellStyle name="Normal 9 2 6 2 2 2" xfId="15873" xr:uid="{58854542-5966-4070-905F-4C205E29AE60}"/>
    <cellStyle name="Normal 9 2 6 2 3" xfId="11655" xr:uid="{A6A0481C-A06E-4120-B186-A6872E4F65DB}"/>
    <cellStyle name="Normal 9 2 6 3" xfId="5289" xr:uid="{00000000-0005-0000-0000-00009B1F0000}"/>
    <cellStyle name="Normal 9 2 6 3 2" xfId="13728" xr:uid="{012DDBA9-A919-47A1-9048-627F9881BDFF}"/>
    <cellStyle name="Normal 9 2 6 4" xfId="9510" xr:uid="{D37A5EE8-6BBD-4E98-9DA0-C464D91CEC92}"/>
    <cellStyle name="Normal 9 2 7" xfId="1394" xr:uid="{00000000-0005-0000-0000-00009C1F0000}"/>
    <cellStyle name="Normal 9 2 7 2" xfId="3624" xr:uid="{00000000-0005-0000-0000-00009D1F0000}"/>
    <cellStyle name="Normal 9 2 7 2 2" xfId="7847" xr:uid="{00000000-0005-0000-0000-00009E1F0000}"/>
    <cellStyle name="Normal 9 2 7 2 2 2" xfId="16286" xr:uid="{B62DC481-3286-49F5-ACAA-428D2CC890DE}"/>
    <cellStyle name="Normal 9 2 7 2 3" xfId="12068" xr:uid="{CBFE8E2A-F558-4ED4-B64A-E3C58D00E537}"/>
    <cellStyle name="Normal 9 2 7 3" xfId="5702" xr:uid="{00000000-0005-0000-0000-00009F1F0000}"/>
    <cellStyle name="Normal 9 2 7 3 2" xfId="14141" xr:uid="{DBF8FEC9-667C-400D-B421-D5B98711878A}"/>
    <cellStyle name="Normal 9 2 7 4" xfId="9923" xr:uid="{19C299D1-6E64-4A95-9357-E31916DCF36E}"/>
    <cellStyle name="Normal 9 2 8" xfId="1807" xr:uid="{00000000-0005-0000-0000-0000A01F0000}"/>
    <cellStyle name="Normal 9 2 8 2" xfId="4037" xr:uid="{00000000-0005-0000-0000-0000A11F0000}"/>
    <cellStyle name="Normal 9 2 8 2 2" xfId="8260" xr:uid="{00000000-0005-0000-0000-0000A21F0000}"/>
    <cellStyle name="Normal 9 2 8 2 2 2" xfId="16699" xr:uid="{15B84409-9E7E-4FFA-8674-4265B51FD814}"/>
    <cellStyle name="Normal 9 2 8 2 3" xfId="12481" xr:uid="{80BF6C24-A573-4BEB-98B2-4F9CDD63D1E0}"/>
    <cellStyle name="Normal 9 2 8 3" xfId="6115" xr:uid="{00000000-0005-0000-0000-0000A31F0000}"/>
    <cellStyle name="Normal 9 2 8 3 2" xfId="14554" xr:uid="{9F61E27F-FF9A-46AB-B97C-2B3BE8CC661B}"/>
    <cellStyle name="Normal 9 2 8 4" xfId="10336" xr:uid="{0AC6B466-C594-44FE-8641-F9CD0AA5E26A}"/>
    <cellStyle name="Normal 9 2 9" xfId="2221" xr:uid="{00000000-0005-0000-0000-0000A41F0000}"/>
    <cellStyle name="Normal 9 2 9 2" xfId="4450" xr:uid="{00000000-0005-0000-0000-0000A51F0000}"/>
    <cellStyle name="Normal 9 2 9 2 2" xfId="8673" xr:uid="{00000000-0005-0000-0000-0000A61F0000}"/>
    <cellStyle name="Normal 9 2 9 2 2 2" xfId="17112" xr:uid="{4DF354BD-FFF3-4658-A5EE-54C901350000}"/>
    <cellStyle name="Normal 9 2 9 2 3" xfId="12894" xr:uid="{AB502CCA-7C06-4C12-89EF-1E0192F4F9C3}"/>
    <cellStyle name="Normal 9 2 9 3" xfId="6528" xr:uid="{00000000-0005-0000-0000-0000A71F0000}"/>
    <cellStyle name="Normal 9 2 9 3 2" xfId="14967" xr:uid="{CD31AA89-E4AC-4755-9047-7E71B5187803}"/>
    <cellStyle name="Normal 9 2 9 4" xfId="10749" xr:uid="{8FCADBA0-D28E-4C16-B3A9-3470BDF5EC44}"/>
    <cellStyle name="Normal 9 3" xfId="527" xr:uid="{00000000-0005-0000-0000-0000A81F0000}"/>
    <cellStyle name="Normal 9 3 10" xfId="4892" xr:uid="{00000000-0005-0000-0000-0000A91F0000}"/>
    <cellStyle name="Normal 9 3 10 2" xfId="13331" xr:uid="{694E1565-D642-45EC-BEBC-A7A9F99A31EF}"/>
    <cellStyle name="Normal 9 3 11" xfId="9113" xr:uid="{4E8FE3A9-7FF4-4F9A-A9AC-05B6B0B871B0}"/>
    <cellStyle name="Normal 9 3 2" xfId="528" xr:uid="{00000000-0005-0000-0000-0000AA1F0000}"/>
    <cellStyle name="Normal 9 3 2 10" xfId="9114" xr:uid="{E9A5E082-3856-4F40-96F4-9EA5C325D1E7}"/>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92" xr:uid="{AC6F3FC3-64D9-4403-9828-28B1E6C38C85}"/>
    <cellStyle name="Normal 9 3 2 2 2 2 2 3" xfId="11674" xr:uid="{C015E446-C998-4F32-8F5F-8A81CA3DF40D}"/>
    <cellStyle name="Normal 9 3 2 2 2 2 3" xfId="5308" xr:uid="{00000000-0005-0000-0000-0000B01F0000}"/>
    <cellStyle name="Normal 9 3 2 2 2 2 3 2" xfId="13747" xr:uid="{3509FED4-8CA7-485E-9655-C144070249BB}"/>
    <cellStyle name="Normal 9 3 2 2 2 2 4" xfId="9529" xr:uid="{CB6970FB-41C5-41C1-9669-690E166E2697}"/>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5" xr:uid="{A36C6562-19CE-4167-8E98-C146E3E5A2A2}"/>
    <cellStyle name="Normal 9 3 2 2 2 3 2 3" xfId="12087" xr:uid="{A7B96DA1-AF65-43F0-9D07-0B0CA73B6286}"/>
    <cellStyle name="Normal 9 3 2 2 2 3 3" xfId="5721" xr:uid="{00000000-0005-0000-0000-0000B41F0000}"/>
    <cellStyle name="Normal 9 3 2 2 2 3 3 2" xfId="14160" xr:uid="{EE3BE9F5-788C-40DD-B06B-497AD16DA4B4}"/>
    <cellStyle name="Normal 9 3 2 2 2 3 4" xfId="9942" xr:uid="{0CD8A0EB-8B22-4654-BA4B-E0F0AAA47DD2}"/>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18" xr:uid="{A8937A24-6A36-46F9-B2AF-711493CDC012}"/>
    <cellStyle name="Normal 9 3 2 2 2 4 2 3" xfId="12500" xr:uid="{77CCE4A8-AA7F-4230-96AE-881B33C3AC94}"/>
    <cellStyle name="Normal 9 3 2 2 2 4 3" xfId="6134" xr:uid="{00000000-0005-0000-0000-0000B81F0000}"/>
    <cellStyle name="Normal 9 3 2 2 2 4 3 2" xfId="14573" xr:uid="{2CE22267-5A72-4439-9632-0FB661A59CAE}"/>
    <cellStyle name="Normal 9 3 2 2 2 4 4" xfId="10355" xr:uid="{CEBE6505-118E-45F8-9216-197079CAFC7E}"/>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31" xr:uid="{1264A131-8654-47BB-B4B6-3F02A49D2098}"/>
    <cellStyle name="Normal 9 3 2 2 2 5 2 3" xfId="12913" xr:uid="{BB68A3CE-E2BF-4730-845F-BD6EAC68FEE8}"/>
    <cellStyle name="Normal 9 3 2 2 2 5 3" xfId="6547" xr:uid="{00000000-0005-0000-0000-0000BC1F0000}"/>
    <cellStyle name="Normal 9 3 2 2 2 5 3 2" xfId="14986" xr:uid="{5F27F186-5F4A-4904-8879-1101C34CCB29}"/>
    <cellStyle name="Normal 9 3 2 2 2 5 4" xfId="10768" xr:uid="{4AAAAA53-A591-4BC5-8415-FF9168095C25}"/>
    <cellStyle name="Normal 9 3 2 2 2 6" xfId="2676" xr:uid="{00000000-0005-0000-0000-0000BD1F0000}"/>
    <cellStyle name="Normal 9 3 2 2 2 6 2" xfId="6960" xr:uid="{00000000-0005-0000-0000-0000BE1F0000}"/>
    <cellStyle name="Normal 9 3 2 2 2 6 2 2" xfId="15399" xr:uid="{73BCB989-4AF4-43F4-AB85-9FE7BF1C836F}"/>
    <cellStyle name="Normal 9 3 2 2 2 6 3" xfId="11181" xr:uid="{0F0F7E4D-6EA8-4C1D-9D32-1FBEA66D9ED0}"/>
    <cellStyle name="Normal 9 3 2 2 2 7" xfId="4895" xr:uid="{00000000-0005-0000-0000-0000BF1F0000}"/>
    <cellStyle name="Normal 9 3 2 2 2 7 2" xfId="13334" xr:uid="{34A5E83E-96C4-4E7C-ADAA-FDC54B987DC9}"/>
    <cellStyle name="Normal 9 3 2 2 2 8" xfId="9116" xr:uid="{287AA12C-144D-4AC4-8515-45F17692D0FB}"/>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91" xr:uid="{B41E7DF5-1B8C-4327-9000-F24FEE2D653F}"/>
    <cellStyle name="Normal 9 3 2 2 3 2 3" xfId="11673" xr:uid="{36A976F2-5221-4752-B400-3B862899C1BA}"/>
    <cellStyle name="Normal 9 3 2 2 3 3" xfId="5307" xr:uid="{00000000-0005-0000-0000-0000C31F0000}"/>
    <cellStyle name="Normal 9 3 2 2 3 3 2" xfId="13746" xr:uid="{3BD74404-78FE-4047-8DCD-3E0BBF375EEC}"/>
    <cellStyle name="Normal 9 3 2 2 3 4" xfId="9528" xr:uid="{57D53192-8235-4018-80FB-971B2CA2DB13}"/>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4" xr:uid="{446F31A9-EA7E-40A3-920C-0871908E79F0}"/>
    <cellStyle name="Normal 9 3 2 2 4 2 3" xfId="12086" xr:uid="{1EAC6D5E-B56E-4C5E-B2A9-95AB80F9D31B}"/>
    <cellStyle name="Normal 9 3 2 2 4 3" xfId="5720" xr:uid="{00000000-0005-0000-0000-0000C71F0000}"/>
    <cellStyle name="Normal 9 3 2 2 4 3 2" xfId="14159" xr:uid="{90E5417D-CFED-4876-8E1A-3A309E35FFE4}"/>
    <cellStyle name="Normal 9 3 2 2 4 4" xfId="9941" xr:uid="{B5FA929C-0197-4A65-A054-629F752C945B}"/>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17" xr:uid="{FCD67AB8-72CC-468B-919D-C70017D780BF}"/>
    <cellStyle name="Normal 9 3 2 2 5 2 3" xfId="12499" xr:uid="{49BD9C6B-B2CD-4DC8-95E0-22761CB55E80}"/>
    <cellStyle name="Normal 9 3 2 2 5 3" xfId="6133" xr:uid="{00000000-0005-0000-0000-0000CB1F0000}"/>
    <cellStyle name="Normal 9 3 2 2 5 3 2" xfId="14572" xr:uid="{3E89A8FA-7E08-47B4-8997-293FC030EA5D}"/>
    <cellStyle name="Normal 9 3 2 2 5 4" xfId="10354" xr:uid="{E434E6EF-45D9-4592-8F76-7FEE0D8B5AAD}"/>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30" xr:uid="{27A1A036-3E6D-41EF-90F5-29694DD40D23}"/>
    <cellStyle name="Normal 9 3 2 2 6 2 3" xfId="12912" xr:uid="{B15585F8-7C3C-48A3-9BDF-597A9424AED9}"/>
    <cellStyle name="Normal 9 3 2 2 6 3" xfId="6546" xr:uid="{00000000-0005-0000-0000-0000CF1F0000}"/>
    <cellStyle name="Normal 9 3 2 2 6 3 2" xfId="14985" xr:uid="{4C15A464-FBD7-4D7D-BDA7-127277606CEA}"/>
    <cellStyle name="Normal 9 3 2 2 6 4" xfId="10767" xr:uid="{139E6730-E1E0-4B9B-BAA1-4CA16B432582}"/>
    <cellStyle name="Normal 9 3 2 2 7" xfId="2675" xr:uid="{00000000-0005-0000-0000-0000D01F0000}"/>
    <cellStyle name="Normal 9 3 2 2 7 2" xfId="6959" xr:uid="{00000000-0005-0000-0000-0000D11F0000}"/>
    <cellStyle name="Normal 9 3 2 2 7 2 2" xfId="15398" xr:uid="{E4E53955-0AFB-4FE6-80B1-9C2A4585681F}"/>
    <cellStyle name="Normal 9 3 2 2 7 3" xfId="11180" xr:uid="{EF85F86E-B478-400D-985A-BD17076B6563}"/>
    <cellStyle name="Normal 9 3 2 2 8" xfId="4894" xr:uid="{00000000-0005-0000-0000-0000D21F0000}"/>
    <cellStyle name="Normal 9 3 2 2 8 2" xfId="13333" xr:uid="{FAA165C2-3BF2-46B1-8D70-11727182D440}"/>
    <cellStyle name="Normal 9 3 2 2 9" xfId="9115" xr:uid="{B4CF59CC-BE85-4704-AE83-DD3BD7D110A3}"/>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3" xr:uid="{D6786A2B-C260-4487-A1C8-5001971B1CAF}"/>
    <cellStyle name="Normal 9 3 2 3 2 2 3" xfId="11675" xr:uid="{1F96211D-C80A-4222-A135-6C6ABF6AC30D}"/>
    <cellStyle name="Normal 9 3 2 3 2 3" xfId="5309" xr:uid="{00000000-0005-0000-0000-0000D71F0000}"/>
    <cellStyle name="Normal 9 3 2 3 2 3 2" xfId="13748" xr:uid="{E79CF359-5651-4EA5-8A76-8BA4BAF86672}"/>
    <cellStyle name="Normal 9 3 2 3 2 4" xfId="9530" xr:uid="{5E1A3DC0-ACA6-43EF-939C-EB6F28522770}"/>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6" xr:uid="{DBCC9E9A-90B1-489B-8768-EB359929C5E0}"/>
    <cellStyle name="Normal 9 3 2 3 3 2 3" xfId="12088" xr:uid="{4A6A8061-4570-482D-A8DB-79214B982661}"/>
    <cellStyle name="Normal 9 3 2 3 3 3" xfId="5722" xr:uid="{00000000-0005-0000-0000-0000DB1F0000}"/>
    <cellStyle name="Normal 9 3 2 3 3 3 2" xfId="14161" xr:uid="{BD1B759D-5124-48D9-96D0-AE863E99E940}"/>
    <cellStyle name="Normal 9 3 2 3 3 4" xfId="9943" xr:uid="{85E840FE-E480-432B-A0A2-8AD45102040F}"/>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19" xr:uid="{F8565E0C-57EE-4DFE-9A13-58C0D9685449}"/>
    <cellStyle name="Normal 9 3 2 3 4 2 3" xfId="12501" xr:uid="{F0FA4B33-E252-4D57-883A-3497F0D66615}"/>
    <cellStyle name="Normal 9 3 2 3 4 3" xfId="6135" xr:uid="{00000000-0005-0000-0000-0000DF1F0000}"/>
    <cellStyle name="Normal 9 3 2 3 4 3 2" xfId="14574" xr:uid="{221794CB-40E2-423D-BDCB-951AE7D8369B}"/>
    <cellStyle name="Normal 9 3 2 3 4 4" xfId="10356" xr:uid="{CCA63D7B-C9B7-41D3-9D12-B153D8992F27}"/>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32" xr:uid="{6FB7C135-19DD-42F7-AAD6-99C7A296627A}"/>
    <cellStyle name="Normal 9 3 2 3 5 2 3" xfId="12914" xr:uid="{0A439E57-2F24-4189-AE07-77AD8B390153}"/>
    <cellStyle name="Normal 9 3 2 3 5 3" xfId="6548" xr:uid="{00000000-0005-0000-0000-0000E31F0000}"/>
    <cellStyle name="Normal 9 3 2 3 5 3 2" xfId="14987" xr:uid="{5B22DF9E-171B-4BA3-B7DD-B7FBFA49B3B1}"/>
    <cellStyle name="Normal 9 3 2 3 5 4" xfId="10769" xr:uid="{89DEAF41-61A0-4A50-818D-E79A1FB915FB}"/>
    <cellStyle name="Normal 9 3 2 3 6" xfId="2677" xr:uid="{00000000-0005-0000-0000-0000E41F0000}"/>
    <cellStyle name="Normal 9 3 2 3 6 2" xfId="6961" xr:uid="{00000000-0005-0000-0000-0000E51F0000}"/>
    <cellStyle name="Normal 9 3 2 3 6 2 2" xfId="15400" xr:uid="{55AB0825-CA00-4BFD-AB83-DD71F5DE620F}"/>
    <cellStyle name="Normal 9 3 2 3 6 3" xfId="11182" xr:uid="{BA0262B1-FD6D-4DE2-9556-7A8F1B9CCED0}"/>
    <cellStyle name="Normal 9 3 2 3 7" xfId="4896" xr:uid="{00000000-0005-0000-0000-0000E61F0000}"/>
    <cellStyle name="Normal 9 3 2 3 7 2" xfId="13335" xr:uid="{87BBA463-247C-44C5-B3FD-63F1075D6C35}"/>
    <cellStyle name="Normal 9 3 2 3 8" xfId="9117" xr:uid="{B36ACA3A-958D-46D4-B3DF-4EA8B5B44179}"/>
    <cellStyle name="Normal 9 3 2 4" xfId="995" xr:uid="{00000000-0005-0000-0000-0000E71F0000}"/>
    <cellStyle name="Normal 9 3 2 4 2" xfId="3228" xr:uid="{00000000-0005-0000-0000-0000E81F0000}"/>
    <cellStyle name="Normal 9 3 2 4 2 2" xfId="7451" xr:uid="{00000000-0005-0000-0000-0000E91F0000}"/>
    <cellStyle name="Normal 9 3 2 4 2 2 2" xfId="15890" xr:uid="{401DCB59-B51F-42DD-9281-E5ACC8362319}"/>
    <cellStyle name="Normal 9 3 2 4 2 3" xfId="11672" xr:uid="{2E228621-5670-4D52-A386-5A25D987AC35}"/>
    <cellStyle name="Normal 9 3 2 4 3" xfId="5306" xr:uid="{00000000-0005-0000-0000-0000EA1F0000}"/>
    <cellStyle name="Normal 9 3 2 4 3 2" xfId="13745" xr:uid="{D7EF0345-D8F4-4AE7-80DA-0210DA3F6F68}"/>
    <cellStyle name="Normal 9 3 2 4 4" xfId="9527" xr:uid="{7EB122BF-4C20-413F-A133-CF2945CAE1E3}"/>
    <cellStyle name="Normal 9 3 2 5" xfId="1411" xr:uid="{00000000-0005-0000-0000-0000EB1F0000}"/>
    <cellStyle name="Normal 9 3 2 5 2" xfId="3641" xr:uid="{00000000-0005-0000-0000-0000EC1F0000}"/>
    <cellStyle name="Normal 9 3 2 5 2 2" xfId="7864" xr:uid="{00000000-0005-0000-0000-0000ED1F0000}"/>
    <cellStyle name="Normal 9 3 2 5 2 2 2" xfId="16303" xr:uid="{4FAEF44E-772E-4905-B747-4179A81310DE}"/>
    <cellStyle name="Normal 9 3 2 5 2 3" xfId="12085" xr:uid="{E2FE54BC-AB60-4FBE-9017-7DADBE5D0983}"/>
    <cellStyle name="Normal 9 3 2 5 3" xfId="5719" xr:uid="{00000000-0005-0000-0000-0000EE1F0000}"/>
    <cellStyle name="Normal 9 3 2 5 3 2" xfId="14158" xr:uid="{570B37E7-FD89-4E83-9931-8AE50DD614AD}"/>
    <cellStyle name="Normal 9 3 2 5 4" xfId="9940" xr:uid="{0908CA94-DC85-4426-9F1D-B8BA0635211F}"/>
    <cellStyle name="Normal 9 3 2 6" xfId="1824" xr:uid="{00000000-0005-0000-0000-0000EF1F0000}"/>
    <cellStyle name="Normal 9 3 2 6 2" xfId="4054" xr:uid="{00000000-0005-0000-0000-0000F01F0000}"/>
    <cellStyle name="Normal 9 3 2 6 2 2" xfId="8277" xr:uid="{00000000-0005-0000-0000-0000F11F0000}"/>
    <cellStyle name="Normal 9 3 2 6 2 2 2" xfId="16716" xr:uid="{737841B6-B263-4AAE-9E00-0BB8339D41D8}"/>
    <cellStyle name="Normal 9 3 2 6 2 3" xfId="12498" xr:uid="{6815F8A9-3ED7-4A17-9135-2FF627C627AF}"/>
    <cellStyle name="Normal 9 3 2 6 3" xfId="6132" xr:uid="{00000000-0005-0000-0000-0000F21F0000}"/>
    <cellStyle name="Normal 9 3 2 6 3 2" xfId="14571" xr:uid="{EDB347AA-BB51-49E3-948B-AF4FD6CEB32A}"/>
    <cellStyle name="Normal 9 3 2 6 4" xfId="10353" xr:uid="{1F4FF974-5483-4957-9A93-2BE2D0F014A0}"/>
    <cellStyle name="Normal 9 3 2 7" xfId="2238" xr:uid="{00000000-0005-0000-0000-0000F31F0000}"/>
    <cellStyle name="Normal 9 3 2 7 2" xfId="4467" xr:uid="{00000000-0005-0000-0000-0000F41F0000}"/>
    <cellStyle name="Normal 9 3 2 7 2 2" xfId="8690" xr:uid="{00000000-0005-0000-0000-0000F51F0000}"/>
    <cellStyle name="Normal 9 3 2 7 2 2 2" xfId="17129" xr:uid="{9A129DEC-E8D1-41E6-BD6D-13C7E87B7F5C}"/>
    <cellStyle name="Normal 9 3 2 7 2 3" xfId="12911" xr:uid="{FF0FFC5C-2625-47F7-B870-1759B2D0DC23}"/>
    <cellStyle name="Normal 9 3 2 7 3" xfId="6545" xr:uid="{00000000-0005-0000-0000-0000F61F0000}"/>
    <cellStyle name="Normal 9 3 2 7 3 2" xfId="14984" xr:uid="{B3EF361F-5ACB-473D-B0CE-126C1B8CAB31}"/>
    <cellStyle name="Normal 9 3 2 7 4" xfId="10766" xr:uid="{794BC5B6-408E-4EBB-8902-C6D47F974643}"/>
    <cellStyle name="Normal 9 3 2 8" xfId="2674" xr:uid="{00000000-0005-0000-0000-0000F71F0000}"/>
    <cellStyle name="Normal 9 3 2 8 2" xfId="6958" xr:uid="{00000000-0005-0000-0000-0000F81F0000}"/>
    <cellStyle name="Normal 9 3 2 8 2 2" xfId="15397" xr:uid="{C7EFD8D7-B8DE-4D8C-B133-10A2B8638CA7}"/>
    <cellStyle name="Normal 9 3 2 8 3" xfId="11179" xr:uid="{CFCABC1C-14D0-404A-9DEB-1265430D008B}"/>
    <cellStyle name="Normal 9 3 2 9" xfId="4893" xr:uid="{00000000-0005-0000-0000-0000F91F0000}"/>
    <cellStyle name="Normal 9 3 2 9 2" xfId="13332" xr:uid="{4200485D-0975-43CE-9E8F-C3B6D6B4405B}"/>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5" xr:uid="{DD181860-2336-43D8-B934-AB124DBA2520}"/>
    <cellStyle name="Normal 9 3 3 2 2 2 3" xfId="11677" xr:uid="{5BF2CA1F-0E88-4CB1-BDA2-2E4C6630FC99}"/>
    <cellStyle name="Normal 9 3 3 2 2 3" xfId="5311" xr:uid="{00000000-0005-0000-0000-0000FF1F0000}"/>
    <cellStyle name="Normal 9 3 3 2 2 3 2" xfId="13750" xr:uid="{782898AD-6923-4BC5-92C8-EC60D432CA01}"/>
    <cellStyle name="Normal 9 3 3 2 2 4" xfId="9532" xr:uid="{9E11D8D8-183C-4CFD-B238-8FC28875D7CB}"/>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08" xr:uid="{CE68FD4C-16D1-4425-94D6-62A2372F27A2}"/>
    <cellStyle name="Normal 9 3 3 2 3 2 3" xfId="12090" xr:uid="{9697A2D0-2DFD-4573-BB66-316684E01725}"/>
    <cellStyle name="Normal 9 3 3 2 3 3" xfId="5724" xr:uid="{00000000-0005-0000-0000-000003200000}"/>
    <cellStyle name="Normal 9 3 3 2 3 3 2" xfId="14163" xr:uid="{9E3FE14D-A290-441D-8B26-B5BF6FFD10CE}"/>
    <cellStyle name="Normal 9 3 3 2 3 4" xfId="9945" xr:uid="{2BD209FC-C64C-4097-854E-89C331636834}"/>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21" xr:uid="{9E8FFE75-31C2-4271-974D-EB2BC53FF51B}"/>
    <cellStyle name="Normal 9 3 3 2 4 2 3" xfId="12503" xr:uid="{B7E32C59-9362-4F8D-81D9-D4CCC8A30509}"/>
    <cellStyle name="Normal 9 3 3 2 4 3" xfId="6137" xr:uid="{00000000-0005-0000-0000-000007200000}"/>
    <cellStyle name="Normal 9 3 3 2 4 3 2" xfId="14576" xr:uid="{B33B8E55-E8D4-40EE-9C10-47BCA731E4FD}"/>
    <cellStyle name="Normal 9 3 3 2 4 4" xfId="10358" xr:uid="{DFF2A74B-1D7D-45AF-AD9F-CC9CC9686B33}"/>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4" xr:uid="{E908679A-112E-4697-A083-537B25FC5870}"/>
    <cellStyle name="Normal 9 3 3 2 5 2 3" xfId="12916" xr:uid="{5EFC8573-6EDF-43DC-87C2-30D2A2FC322A}"/>
    <cellStyle name="Normal 9 3 3 2 5 3" xfId="6550" xr:uid="{00000000-0005-0000-0000-00000B200000}"/>
    <cellStyle name="Normal 9 3 3 2 5 3 2" xfId="14989" xr:uid="{E6179256-4D31-4D21-B3C8-8040C8B2DA7C}"/>
    <cellStyle name="Normal 9 3 3 2 5 4" xfId="10771" xr:uid="{7D510560-A01C-4C7C-9A8A-1731AB7CF482}"/>
    <cellStyle name="Normal 9 3 3 2 6" xfId="2679" xr:uid="{00000000-0005-0000-0000-00000C200000}"/>
    <cellStyle name="Normal 9 3 3 2 6 2" xfId="6963" xr:uid="{00000000-0005-0000-0000-00000D200000}"/>
    <cellStyle name="Normal 9 3 3 2 6 2 2" xfId="15402" xr:uid="{629A8F5F-C233-4798-B9E0-3C67579E9233}"/>
    <cellStyle name="Normal 9 3 3 2 6 3" xfId="11184" xr:uid="{B7DEEFB7-8874-4F6F-B3BB-EE16C479739B}"/>
    <cellStyle name="Normal 9 3 3 2 7" xfId="4898" xr:uid="{00000000-0005-0000-0000-00000E200000}"/>
    <cellStyle name="Normal 9 3 3 2 7 2" xfId="13337" xr:uid="{80506F49-7EBB-458E-821E-E286FC69DBA0}"/>
    <cellStyle name="Normal 9 3 3 2 8" xfId="9119" xr:uid="{293E0E92-7B62-491E-A5AD-164D98EFEB7D}"/>
    <cellStyle name="Normal 9 3 3 3" xfId="999" xr:uid="{00000000-0005-0000-0000-00000F200000}"/>
    <cellStyle name="Normal 9 3 3 3 2" xfId="3232" xr:uid="{00000000-0005-0000-0000-000010200000}"/>
    <cellStyle name="Normal 9 3 3 3 2 2" xfId="7455" xr:uid="{00000000-0005-0000-0000-000011200000}"/>
    <cellStyle name="Normal 9 3 3 3 2 2 2" xfId="15894" xr:uid="{32978325-9110-43E7-ACB8-B7047A1E8256}"/>
    <cellStyle name="Normal 9 3 3 3 2 3" xfId="11676" xr:uid="{C74FD399-F3CC-4E94-872E-93BAF9AE7876}"/>
    <cellStyle name="Normal 9 3 3 3 3" xfId="5310" xr:uid="{00000000-0005-0000-0000-000012200000}"/>
    <cellStyle name="Normal 9 3 3 3 3 2" xfId="13749" xr:uid="{ADB74A11-DFE5-4046-A2F1-DC687CEE96F1}"/>
    <cellStyle name="Normal 9 3 3 3 4" xfId="9531" xr:uid="{B087DB74-50C4-450B-B0F8-DC8475FCD920}"/>
    <cellStyle name="Normal 9 3 3 4" xfId="1415" xr:uid="{00000000-0005-0000-0000-000013200000}"/>
    <cellStyle name="Normal 9 3 3 4 2" xfId="3645" xr:uid="{00000000-0005-0000-0000-000014200000}"/>
    <cellStyle name="Normal 9 3 3 4 2 2" xfId="7868" xr:uid="{00000000-0005-0000-0000-000015200000}"/>
    <cellStyle name="Normal 9 3 3 4 2 2 2" xfId="16307" xr:uid="{245386F6-1B17-49FD-89C5-14D36AF4BF61}"/>
    <cellStyle name="Normal 9 3 3 4 2 3" xfId="12089" xr:uid="{856DBC27-8C67-4308-BE76-3C3D495DAAC9}"/>
    <cellStyle name="Normal 9 3 3 4 3" xfId="5723" xr:uid="{00000000-0005-0000-0000-000016200000}"/>
    <cellStyle name="Normal 9 3 3 4 3 2" xfId="14162" xr:uid="{B482A6F4-A9AD-4E43-A9E8-82353746B887}"/>
    <cellStyle name="Normal 9 3 3 4 4" xfId="9944" xr:uid="{3932B265-8D9A-4453-B657-0D189ADAB219}"/>
    <cellStyle name="Normal 9 3 3 5" xfId="1828" xr:uid="{00000000-0005-0000-0000-000017200000}"/>
    <cellStyle name="Normal 9 3 3 5 2" xfId="4058" xr:uid="{00000000-0005-0000-0000-000018200000}"/>
    <cellStyle name="Normal 9 3 3 5 2 2" xfId="8281" xr:uid="{00000000-0005-0000-0000-000019200000}"/>
    <cellStyle name="Normal 9 3 3 5 2 2 2" xfId="16720" xr:uid="{A6958936-032E-4620-904B-2A05F47866DE}"/>
    <cellStyle name="Normal 9 3 3 5 2 3" xfId="12502" xr:uid="{60A106E1-5DF3-42DC-993D-A8EFA7B48D04}"/>
    <cellStyle name="Normal 9 3 3 5 3" xfId="6136" xr:uid="{00000000-0005-0000-0000-00001A200000}"/>
    <cellStyle name="Normal 9 3 3 5 3 2" xfId="14575" xr:uid="{291AC666-05BA-4DA6-A95C-E8CDEBEEAD53}"/>
    <cellStyle name="Normal 9 3 3 5 4" xfId="10357" xr:uid="{23361C9A-BE07-461C-BC9D-6AB208AC096D}"/>
    <cellStyle name="Normal 9 3 3 6" xfId="2242" xr:uid="{00000000-0005-0000-0000-00001B200000}"/>
    <cellStyle name="Normal 9 3 3 6 2" xfId="4471" xr:uid="{00000000-0005-0000-0000-00001C200000}"/>
    <cellStyle name="Normal 9 3 3 6 2 2" xfId="8694" xr:uid="{00000000-0005-0000-0000-00001D200000}"/>
    <cellStyle name="Normal 9 3 3 6 2 2 2" xfId="17133" xr:uid="{234E343B-4D88-4D3E-92F9-E68A5D9E5745}"/>
    <cellStyle name="Normal 9 3 3 6 2 3" xfId="12915" xr:uid="{A0E950CC-072A-48E3-B7B4-9B4B1331C10E}"/>
    <cellStyle name="Normal 9 3 3 6 3" xfId="6549" xr:uid="{00000000-0005-0000-0000-00001E200000}"/>
    <cellStyle name="Normal 9 3 3 6 3 2" xfId="14988" xr:uid="{AB76B80F-69A4-40B3-B50D-C8FF6AE52375}"/>
    <cellStyle name="Normal 9 3 3 6 4" xfId="10770" xr:uid="{EA562853-2580-4EC1-8CA7-E92354C26755}"/>
    <cellStyle name="Normal 9 3 3 7" xfId="2678" xr:uid="{00000000-0005-0000-0000-00001F200000}"/>
    <cellStyle name="Normal 9 3 3 7 2" xfId="6962" xr:uid="{00000000-0005-0000-0000-000020200000}"/>
    <cellStyle name="Normal 9 3 3 7 2 2" xfId="15401" xr:uid="{AAAA241A-658A-44D3-920D-2E69115EE072}"/>
    <cellStyle name="Normal 9 3 3 7 3" xfId="11183" xr:uid="{71D85B32-B0F0-40CF-A419-9A9C47E3F770}"/>
    <cellStyle name="Normal 9 3 3 8" xfId="4897" xr:uid="{00000000-0005-0000-0000-000021200000}"/>
    <cellStyle name="Normal 9 3 3 8 2" xfId="13336" xr:uid="{3B4FEF15-A2F7-4CF3-9581-9A72BA9642C1}"/>
    <cellStyle name="Normal 9 3 3 9" xfId="9118" xr:uid="{A1079CA3-EEF1-476A-8D8E-CFE2162F83BA}"/>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5896" xr:uid="{2697AA60-D63D-4F64-A95C-ACA704716854}"/>
    <cellStyle name="Normal 9 3 4 2 2 3" xfId="11678" xr:uid="{0C5F1C6D-0C70-4E0A-93C2-7C80F66E8667}"/>
    <cellStyle name="Normal 9 3 4 2 3" xfId="5312" xr:uid="{00000000-0005-0000-0000-000026200000}"/>
    <cellStyle name="Normal 9 3 4 2 3 2" xfId="13751" xr:uid="{9E1C863A-BAFA-4694-A7C6-AF255944D22E}"/>
    <cellStyle name="Normal 9 3 4 2 4" xfId="9533" xr:uid="{CF124AFF-5E6D-4836-BA40-20F0B27F66A2}"/>
    <cellStyle name="Normal 9 3 4 3" xfId="1417" xr:uid="{00000000-0005-0000-0000-000027200000}"/>
    <cellStyle name="Normal 9 3 4 3 2" xfId="3647" xr:uid="{00000000-0005-0000-0000-000028200000}"/>
    <cellStyle name="Normal 9 3 4 3 2 2" xfId="7870" xr:uid="{00000000-0005-0000-0000-000029200000}"/>
    <cellStyle name="Normal 9 3 4 3 2 2 2" xfId="16309" xr:uid="{5D7A1DD2-9B6A-474B-A6CD-042854ACA384}"/>
    <cellStyle name="Normal 9 3 4 3 2 3" xfId="12091" xr:uid="{F259FADB-5FB5-4A23-B6A5-3845389F586F}"/>
    <cellStyle name="Normal 9 3 4 3 3" xfId="5725" xr:uid="{00000000-0005-0000-0000-00002A200000}"/>
    <cellStyle name="Normal 9 3 4 3 3 2" xfId="14164" xr:uid="{AA52837F-83C2-4262-A313-E9C91B27BC71}"/>
    <cellStyle name="Normal 9 3 4 3 4" xfId="9946" xr:uid="{BC1913BF-EC8B-4CDA-AB1C-F5651F57D17B}"/>
    <cellStyle name="Normal 9 3 4 4" xfId="1830" xr:uid="{00000000-0005-0000-0000-00002B200000}"/>
    <cellStyle name="Normal 9 3 4 4 2" xfId="4060" xr:uid="{00000000-0005-0000-0000-00002C200000}"/>
    <cellStyle name="Normal 9 3 4 4 2 2" xfId="8283" xr:uid="{00000000-0005-0000-0000-00002D200000}"/>
    <cellStyle name="Normal 9 3 4 4 2 2 2" xfId="16722" xr:uid="{3D8998BD-AC27-45D0-91E6-ED4FE6D6E10D}"/>
    <cellStyle name="Normal 9 3 4 4 2 3" xfId="12504" xr:uid="{1F214CD7-D922-44CE-B63F-9C5A2A8E7F09}"/>
    <cellStyle name="Normal 9 3 4 4 3" xfId="6138" xr:uid="{00000000-0005-0000-0000-00002E200000}"/>
    <cellStyle name="Normal 9 3 4 4 3 2" xfId="14577" xr:uid="{67F9EC40-B90D-4D4D-A423-11D29E78D61E}"/>
    <cellStyle name="Normal 9 3 4 4 4" xfId="10359" xr:uid="{474E5493-A491-4BFE-956F-EA291F9350FE}"/>
    <cellStyle name="Normal 9 3 4 5" xfId="2244" xr:uid="{00000000-0005-0000-0000-00002F200000}"/>
    <cellStyle name="Normal 9 3 4 5 2" xfId="4473" xr:uid="{00000000-0005-0000-0000-000030200000}"/>
    <cellStyle name="Normal 9 3 4 5 2 2" xfId="8696" xr:uid="{00000000-0005-0000-0000-000031200000}"/>
    <cellStyle name="Normal 9 3 4 5 2 2 2" xfId="17135" xr:uid="{74792868-AC17-4921-80EE-726ACEB52A98}"/>
    <cellStyle name="Normal 9 3 4 5 2 3" xfId="12917" xr:uid="{10907F21-F13E-4BF4-8CF7-7F9E389501FB}"/>
    <cellStyle name="Normal 9 3 4 5 3" xfId="6551" xr:uid="{00000000-0005-0000-0000-000032200000}"/>
    <cellStyle name="Normal 9 3 4 5 3 2" xfId="14990" xr:uid="{ACFE2FFB-C529-4354-9136-D0659E451446}"/>
    <cellStyle name="Normal 9 3 4 5 4" xfId="10772" xr:uid="{E1AA98D2-D300-4C01-96E5-5EDA026C654D}"/>
    <cellStyle name="Normal 9 3 4 6" xfId="2680" xr:uid="{00000000-0005-0000-0000-000033200000}"/>
    <cellStyle name="Normal 9 3 4 6 2" xfId="6964" xr:uid="{00000000-0005-0000-0000-000034200000}"/>
    <cellStyle name="Normal 9 3 4 6 2 2" xfId="15403" xr:uid="{B06832ED-9A68-454E-AE0B-CC306A869A49}"/>
    <cellStyle name="Normal 9 3 4 6 3" xfId="11185" xr:uid="{0D2504B2-5C49-40C1-BC2C-51E14C4497B9}"/>
    <cellStyle name="Normal 9 3 4 7" xfId="4899" xr:uid="{00000000-0005-0000-0000-000035200000}"/>
    <cellStyle name="Normal 9 3 4 7 2" xfId="13338" xr:uid="{5390F889-5C81-4A01-B6D9-05E36AB4FAD4}"/>
    <cellStyle name="Normal 9 3 4 8" xfId="9120" xr:uid="{332780E5-2B05-4FE0-BD35-6DB0CA660B7A}"/>
    <cellStyle name="Normal 9 3 5" xfId="994" xr:uid="{00000000-0005-0000-0000-000036200000}"/>
    <cellStyle name="Normal 9 3 5 2" xfId="3227" xr:uid="{00000000-0005-0000-0000-000037200000}"/>
    <cellStyle name="Normal 9 3 5 2 2" xfId="7450" xr:uid="{00000000-0005-0000-0000-000038200000}"/>
    <cellStyle name="Normal 9 3 5 2 2 2" xfId="15889" xr:uid="{1194D87C-73D4-4378-959E-A9A20778CA28}"/>
    <cellStyle name="Normal 9 3 5 2 3" xfId="11671" xr:uid="{B4756B60-007D-404F-845C-34AFF767C733}"/>
    <cellStyle name="Normal 9 3 5 3" xfId="5305" xr:uid="{00000000-0005-0000-0000-000039200000}"/>
    <cellStyle name="Normal 9 3 5 3 2" xfId="13744" xr:uid="{BC707D38-A1D8-4904-A46B-2D869672FF28}"/>
    <cellStyle name="Normal 9 3 5 4" xfId="9526" xr:uid="{421AD1A4-FCD7-46DD-AD8A-42E9296370F1}"/>
    <cellStyle name="Normal 9 3 6" xfId="1410" xr:uid="{00000000-0005-0000-0000-00003A200000}"/>
    <cellStyle name="Normal 9 3 6 2" xfId="3640" xr:uid="{00000000-0005-0000-0000-00003B200000}"/>
    <cellStyle name="Normal 9 3 6 2 2" xfId="7863" xr:uid="{00000000-0005-0000-0000-00003C200000}"/>
    <cellStyle name="Normal 9 3 6 2 2 2" xfId="16302" xr:uid="{CD99689C-3702-4677-9C73-8199489DE113}"/>
    <cellStyle name="Normal 9 3 6 2 3" xfId="12084" xr:uid="{59989EEB-1DDC-41AD-8CCA-106BB091CB6D}"/>
    <cellStyle name="Normal 9 3 6 3" xfId="5718" xr:uid="{00000000-0005-0000-0000-00003D200000}"/>
    <cellStyle name="Normal 9 3 6 3 2" xfId="14157" xr:uid="{C911FF07-D7CE-4DF1-BDD7-1D1F127B42CB}"/>
    <cellStyle name="Normal 9 3 6 4" xfId="9939" xr:uid="{D6F957EF-76FC-47F7-88F8-27BE504FE22B}"/>
    <cellStyle name="Normal 9 3 7" xfId="1823" xr:uid="{00000000-0005-0000-0000-00003E200000}"/>
    <cellStyle name="Normal 9 3 7 2" xfId="4053" xr:uid="{00000000-0005-0000-0000-00003F200000}"/>
    <cellStyle name="Normal 9 3 7 2 2" xfId="8276" xr:uid="{00000000-0005-0000-0000-000040200000}"/>
    <cellStyle name="Normal 9 3 7 2 2 2" xfId="16715" xr:uid="{82B82770-0513-4BAA-A6C5-8B97C29C9043}"/>
    <cellStyle name="Normal 9 3 7 2 3" xfId="12497" xr:uid="{37D97C19-0AD7-42F7-9BC0-6A79FFC4E2E3}"/>
    <cellStyle name="Normal 9 3 7 3" xfId="6131" xr:uid="{00000000-0005-0000-0000-000041200000}"/>
    <cellStyle name="Normal 9 3 7 3 2" xfId="14570" xr:uid="{2D547C9C-29E2-4F77-834A-735FF92C0FEF}"/>
    <cellStyle name="Normal 9 3 7 4" xfId="10352" xr:uid="{A4939B6F-16CB-4C88-91E6-B2DC18E928B6}"/>
    <cellStyle name="Normal 9 3 8" xfId="2237" xr:uid="{00000000-0005-0000-0000-000042200000}"/>
    <cellStyle name="Normal 9 3 8 2" xfId="4466" xr:uid="{00000000-0005-0000-0000-000043200000}"/>
    <cellStyle name="Normal 9 3 8 2 2" xfId="8689" xr:uid="{00000000-0005-0000-0000-000044200000}"/>
    <cellStyle name="Normal 9 3 8 2 2 2" xfId="17128" xr:uid="{F80390D5-BB56-4B07-94C4-C40C9263BDE7}"/>
    <cellStyle name="Normal 9 3 8 2 3" xfId="12910" xr:uid="{82214E1C-DDEA-45E6-87DF-EE67A492C9C9}"/>
    <cellStyle name="Normal 9 3 8 3" xfId="6544" xr:uid="{00000000-0005-0000-0000-000045200000}"/>
    <cellStyle name="Normal 9 3 8 3 2" xfId="14983" xr:uid="{ED7DD7FF-0F9B-480B-9F6F-B5B23C1FF0D0}"/>
    <cellStyle name="Normal 9 3 8 4" xfId="10765" xr:uid="{C6215DD3-860A-459E-A293-2B766BA2A3EE}"/>
    <cellStyle name="Normal 9 3 9" xfId="2673" xr:uid="{00000000-0005-0000-0000-000046200000}"/>
    <cellStyle name="Normal 9 3 9 2" xfId="6957" xr:uid="{00000000-0005-0000-0000-000047200000}"/>
    <cellStyle name="Normal 9 3 9 2 2" xfId="15396" xr:uid="{B34B443F-F109-431E-BD1E-821F92493F75}"/>
    <cellStyle name="Normal 9 3 9 3" xfId="11178" xr:uid="{340098E0-186D-4F66-A71E-CC1F0D758561}"/>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5898" xr:uid="{97A21025-7303-42DB-8E9B-67F537F99642}"/>
    <cellStyle name="Normal 9 5 2 2 2 3" xfId="11680" xr:uid="{EDF6C424-D841-42BC-A6D7-712EA10697A4}"/>
    <cellStyle name="Normal 9 5 2 2 3" xfId="5314" xr:uid="{00000000-0005-0000-0000-00004F200000}"/>
    <cellStyle name="Normal 9 5 2 2 3 2" xfId="13753" xr:uid="{498934EE-19C0-4972-AAF8-77229CD12563}"/>
    <cellStyle name="Normal 9 5 2 2 4" xfId="9535" xr:uid="{ADE05FC5-661E-4782-AC56-1F6D1FBCAD98}"/>
    <cellStyle name="Normal 9 5 2 3" xfId="1419" xr:uid="{00000000-0005-0000-0000-000050200000}"/>
    <cellStyle name="Normal 9 5 2 3 2" xfId="3649" xr:uid="{00000000-0005-0000-0000-000051200000}"/>
    <cellStyle name="Normal 9 5 2 3 2 2" xfId="7872" xr:uid="{00000000-0005-0000-0000-000052200000}"/>
    <cellStyle name="Normal 9 5 2 3 2 2 2" xfId="16311" xr:uid="{31F4BBD1-66E6-4C86-898D-B40F30EE2C64}"/>
    <cellStyle name="Normal 9 5 2 3 2 3" xfId="12093" xr:uid="{C5B7748E-64AB-4FDD-9280-D64A76E7B5E8}"/>
    <cellStyle name="Normal 9 5 2 3 3" xfId="5727" xr:uid="{00000000-0005-0000-0000-000053200000}"/>
    <cellStyle name="Normal 9 5 2 3 3 2" xfId="14166" xr:uid="{2CF1B57E-5CE9-4820-8DE1-F36B2C0E7B72}"/>
    <cellStyle name="Normal 9 5 2 3 4" xfId="9948" xr:uid="{9476CE2F-5CBC-4231-8BB6-210F5D1C6D3B}"/>
    <cellStyle name="Normal 9 5 2 4" xfId="1832" xr:uid="{00000000-0005-0000-0000-000054200000}"/>
    <cellStyle name="Normal 9 5 2 4 2" xfId="4062" xr:uid="{00000000-0005-0000-0000-000055200000}"/>
    <cellStyle name="Normal 9 5 2 4 2 2" xfId="8285" xr:uid="{00000000-0005-0000-0000-000056200000}"/>
    <cellStyle name="Normal 9 5 2 4 2 2 2" xfId="16724" xr:uid="{2BB261CC-4824-4630-8F39-7EC83E317354}"/>
    <cellStyle name="Normal 9 5 2 4 2 3" xfId="12506" xr:uid="{3C44FD37-D377-484F-B9CF-9850761CC440}"/>
    <cellStyle name="Normal 9 5 2 4 3" xfId="6140" xr:uid="{00000000-0005-0000-0000-000057200000}"/>
    <cellStyle name="Normal 9 5 2 4 3 2" xfId="14579" xr:uid="{A52CBCBA-DC14-452D-8C78-D66ECC6C7334}"/>
    <cellStyle name="Normal 9 5 2 4 4" xfId="10361" xr:uid="{B7901A4E-21F4-4D65-8F2C-4F4716F2C730}"/>
    <cellStyle name="Normal 9 5 2 5" xfId="2246" xr:uid="{00000000-0005-0000-0000-000058200000}"/>
    <cellStyle name="Normal 9 5 2 5 2" xfId="4475" xr:uid="{00000000-0005-0000-0000-000059200000}"/>
    <cellStyle name="Normal 9 5 2 5 2 2" xfId="8698" xr:uid="{00000000-0005-0000-0000-00005A200000}"/>
    <cellStyle name="Normal 9 5 2 5 2 2 2" xfId="17137" xr:uid="{1395E7C8-F7D9-45E8-A40C-A3CE7DD1AA45}"/>
    <cellStyle name="Normal 9 5 2 5 2 3" xfId="12919" xr:uid="{8B3F5B26-C577-432D-90CB-B0782796B752}"/>
    <cellStyle name="Normal 9 5 2 5 3" xfId="6553" xr:uid="{00000000-0005-0000-0000-00005B200000}"/>
    <cellStyle name="Normal 9 5 2 5 3 2" xfId="14992" xr:uid="{7C3C743A-BC91-4DBB-B73C-C497D71BA0D6}"/>
    <cellStyle name="Normal 9 5 2 5 4" xfId="10774" xr:uid="{44FB2972-7056-47BF-A40E-AD0DFF8E8A66}"/>
    <cellStyle name="Normal 9 5 2 6" xfId="2682" xr:uid="{00000000-0005-0000-0000-00005C200000}"/>
    <cellStyle name="Normal 9 5 2 6 2" xfId="6966" xr:uid="{00000000-0005-0000-0000-00005D200000}"/>
    <cellStyle name="Normal 9 5 2 6 2 2" xfId="15405" xr:uid="{E6307FCE-B399-48C4-89D4-F93D0898540D}"/>
    <cellStyle name="Normal 9 5 2 6 3" xfId="11187" xr:uid="{B26D9F35-3BD9-4BCC-B49D-0398064AB785}"/>
    <cellStyle name="Normal 9 5 2 7" xfId="4901" xr:uid="{00000000-0005-0000-0000-00005E200000}"/>
    <cellStyle name="Normal 9 5 2 7 2" xfId="13340" xr:uid="{4E251DE0-4233-428B-992F-8827331994C8}"/>
    <cellStyle name="Normal 9 5 2 8" xfId="9122" xr:uid="{0FD13845-CA18-4D1C-A1A4-CA3D76B72441}"/>
    <cellStyle name="Normal 9 5 3" xfId="1003" xr:uid="{00000000-0005-0000-0000-00005F200000}"/>
    <cellStyle name="Normal 9 5 3 2" xfId="3235" xr:uid="{00000000-0005-0000-0000-000060200000}"/>
    <cellStyle name="Normal 9 5 3 2 2" xfId="7458" xr:uid="{00000000-0005-0000-0000-000061200000}"/>
    <cellStyle name="Normal 9 5 3 2 2 2" xfId="15897" xr:uid="{90157FAB-D0C1-4FA0-B3FB-1DE91E49E6CC}"/>
    <cellStyle name="Normal 9 5 3 2 3" xfId="11679" xr:uid="{7E761521-A1E8-4645-8186-4B15ECD64DB9}"/>
    <cellStyle name="Normal 9 5 3 3" xfId="5313" xr:uid="{00000000-0005-0000-0000-000062200000}"/>
    <cellStyle name="Normal 9 5 3 3 2" xfId="13752" xr:uid="{8F0895AB-8104-4748-A7BB-968F8F3B72DC}"/>
    <cellStyle name="Normal 9 5 3 4" xfId="9534" xr:uid="{933C3BB8-5A32-46D5-87E1-0AF232EA75DE}"/>
    <cellStyle name="Normal 9 5 4" xfId="1418" xr:uid="{00000000-0005-0000-0000-000063200000}"/>
    <cellStyle name="Normal 9 5 4 2" xfId="3648" xr:uid="{00000000-0005-0000-0000-000064200000}"/>
    <cellStyle name="Normal 9 5 4 2 2" xfId="7871" xr:uid="{00000000-0005-0000-0000-000065200000}"/>
    <cellStyle name="Normal 9 5 4 2 2 2" xfId="16310" xr:uid="{27DC143E-4E3A-4C9B-BDA9-C225E3C94356}"/>
    <cellStyle name="Normal 9 5 4 2 3" xfId="12092" xr:uid="{68C9FB84-C106-40AC-9DE9-DFE3D005C5F4}"/>
    <cellStyle name="Normal 9 5 4 3" xfId="5726" xr:uid="{00000000-0005-0000-0000-000066200000}"/>
    <cellStyle name="Normal 9 5 4 3 2" xfId="14165" xr:uid="{A1258E0E-FE28-4B4B-9CA3-53B4E0254C2F}"/>
    <cellStyle name="Normal 9 5 4 4" xfId="9947" xr:uid="{BC6184C9-60B5-45F9-A5CA-3C15C3D3EE07}"/>
    <cellStyle name="Normal 9 5 5" xfId="1831" xr:uid="{00000000-0005-0000-0000-000067200000}"/>
    <cellStyle name="Normal 9 5 5 2" xfId="4061" xr:uid="{00000000-0005-0000-0000-000068200000}"/>
    <cellStyle name="Normal 9 5 5 2 2" xfId="8284" xr:uid="{00000000-0005-0000-0000-000069200000}"/>
    <cellStyle name="Normal 9 5 5 2 2 2" xfId="16723" xr:uid="{FA9FF8E6-6396-4428-806E-25C1E6AFBBC9}"/>
    <cellStyle name="Normal 9 5 5 2 3" xfId="12505" xr:uid="{BB2B7C88-3981-4727-AD2B-B9B86681EFFF}"/>
    <cellStyle name="Normal 9 5 5 3" xfId="6139" xr:uid="{00000000-0005-0000-0000-00006A200000}"/>
    <cellStyle name="Normal 9 5 5 3 2" xfId="14578" xr:uid="{09A00558-BEB1-4AD7-8EF9-45190C8DEACE}"/>
    <cellStyle name="Normal 9 5 5 4" xfId="10360" xr:uid="{F2CE57DD-BEB4-4249-9626-6309AE23D5DC}"/>
    <cellStyle name="Normal 9 5 6" xfId="2245" xr:uid="{00000000-0005-0000-0000-00006B200000}"/>
    <cellStyle name="Normal 9 5 6 2" xfId="4474" xr:uid="{00000000-0005-0000-0000-00006C200000}"/>
    <cellStyle name="Normal 9 5 6 2 2" xfId="8697" xr:uid="{00000000-0005-0000-0000-00006D200000}"/>
    <cellStyle name="Normal 9 5 6 2 2 2" xfId="17136" xr:uid="{C79EC781-2306-4BE4-94C6-DF1339677E88}"/>
    <cellStyle name="Normal 9 5 6 2 3" xfId="12918" xr:uid="{F87AF82A-BDCE-4E63-8266-9B224E4824E3}"/>
    <cellStyle name="Normal 9 5 6 3" xfId="6552" xr:uid="{00000000-0005-0000-0000-00006E200000}"/>
    <cellStyle name="Normal 9 5 6 3 2" xfId="14991" xr:uid="{273CA63D-5375-476D-B437-76BF1E186B2B}"/>
    <cellStyle name="Normal 9 5 6 4" xfId="10773" xr:uid="{7DD1904B-C1D9-4819-9C96-18543209C267}"/>
    <cellStyle name="Normal 9 5 7" xfId="2681" xr:uid="{00000000-0005-0000-0000-00006F200000}"/>
    <cellStyle name="Normal 9 5 7 2" xfId="6965" xr:uid="{00000000-0005-0000-0000-000070200000}"/>
    <cellStyle name="Normal 9 5 7 2 2" xfId="15404" xr:uid="{12D0513B-3506-4A55-B874-F5FE5B7AB7FA}"/>
    <cellStyle name="Normal 9 5 7 3" xfId="11186" xr:uid="{C2B5FD88-1096-4633-AFF9-EADCD608C2E9}"/>
    <cellStyle name="Normal 9 5 8" xfId="4900" xr:uid="{00000000-0005-0000-0000-000071200000}"/>
    <cellStyle name="Normal 9 5 8 2" xfId="13339" xr:uid="{420C7303-408A-45CC-9808-316764D13A77}"/>
    <cellStyle name="Normal 9 5 9" xfId="9121" xr:uid="{07082DC6-438B-4EA5-9C42-88150506D108}"/>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5899" xr:uid="{D0140B45-2420-41EF-8B50-1040651CA77C}"/>
    <cellStyle name="Normal 9 6 2 2 3" xfId="11681" xr:uid="{D7F2C1F9-8591-4B78-878B-A9C2076742DE}"/>
    <cellStyle name="Normal 9 6 2 3" xfId="5315" xr:uid="{00000000-0005-0000-0000-000076200000}"/>
    <cellStyle name="Normal 9 6 2 3 2" xfId="13754" xr:uid="{5D17972E-3618-4170-9B50-3155F2201B25}"/>
    <cellStyle name="Normal 9 6 2 4" xfId="9536" xr:uid="{648CE293-D255-4FAE-AA5B-DD64B0CDF8A3}"/>
    <cellStyle name="Normal 9 6 3" xfId="1420" xr:uid="{00000000-0005-0000-0000-000077200000}"/>
    <cellStyle name="Normal 9 6 3 2" xfId="3650" xr:uid="{00000000-0005-0000-0000-000078200000}"/>
    <cellStyle name="Normal 9 6 3 2 2" xfId="7873" xr:uid="{00000000-0005-0000-0000-000079200000}"/>
    <cellStyle name="Normal 9 6 3 2 2 2" xfId="16312" xr:uid="{2D9AE2B9-3D24-473C-B9DC-CC3A21989247}"/>
    <cellStyle name="Normal 9 6 3 2 3" xfId="12094" xr:uid="{1DC37C53-037A-4A0C-9E35-7CA470AE90F8}"/>
    <cellStyle name="Normal 9 6 3 3" xfId="5728" xr:uid="{00000000-0005-0000-0000-00007A200000}"/>
    <cellStyle name="Normal 9 6 3 3 2" xfId="14167" xr:uid="{39C20FA0-CF95-4CC6-9B96-37F507504C07}"/>
    <cellStyle name="Normal 9 6 3 4" xfId="9949" xr:uid="{DBCEF7A0-C9B1-4F80-87CC-9C93DB6C4030}"/>
    <cellStyle name="Normal 9 6 4" xfId="1833" xr:uid="{00000000-0005-0000-0000-00007B200000}"/>
    <cellStyle name="Normal 9 6 4 2" xfId="4063" xr:uid="{00000000-0005-0000-0000-00007C200000}"/>
    <cellStyle name="Normal 9 6 4 2 2" xfId="8286" xr:uid="{00000000-0005-0000-0000-00007D200000}"/>
    <cellStyle name="Normal 9 6 4 2 2 2" xfId="16725" xr:uid="{0A4CF6AD-5643-46F5-8356-CCA862E54268}"/>
    <cellStyle name="Normal 9 6 4 2 3" xfId="12507" xr:uid="{4CCA2314-3B5D-4817-A41D-4283C23D8DA2}"/>
    <cellStyle name="Normal 9 6 4 3" xfId="6141" xr:uid="{00000000-0005-0000-0000-00007E200000}"/>
    <cellStyle name="Normal 9 6 4 3 2" xfId="14580" xr:uid="{14B78A29-6DA4-443C-9A87-13B481092F75}"/>
    <cellStyle name="Normal 9 6 4 4" xfId="10362" xr:uid="{001BDECC-6DF1-42DE-A9E8-606F47209FB8}"/>
    <cellStyle name="Normal 9 6 5" xfId="2247" xr:uid="{00000000-0005-0000-0000-00007F200000}"/>
    <cellStyle name="Normal 9 6 5 2" xfId="4476" xr:uid="{00000000-0005-0000-0000-000080200000}"/>
    <cellStyle name="Normal 9 6 5 2 2" xfId="8699" xr:uid="{00000000-0005-0000-0000-000081200000}"/>
    <cellStyle name="Normal 9 6 5 2 2 2" xfId="17138" xr:uid="{BCA9409E-7AE1-4DFA-B1C8-69209408311C}"/>
    <cellStyle name="Normal 9 6 5 2 3" xfId="12920" xr:uid="{D347557F-8C26-4321-965F-818B45F8C634}"/>
    <cellStyle name="Normal 9 6 5 3" xfId="6554" xr:uid="{00000000-0005-0000-0000-000082200000}"/>
    <cellStyle name="Normal 9 6 5 3 2" xfId="14993" xr:uid="{5C710315-9A42-419C-9572-95EAE987098C}"/>
    <cellStyle name="Normal 9 6 5 4" xfId="10775" xr:uid="{821F6E27-DC19-4063-A182-3550BE3B8893}"/>
    <cellStyle name="Normal 9 6 6" xfId="2683" xr:uid="{00000000-0005-0000-0000-000083200000}"/>
    <cellStyle name="Normal 9 6 6 2" xfId="6967" xr:uid="{00000000-0005-0000-0000-000084200000}"/>
    <cellStyle name="Normal 9 6 6 2 2" xfId="15406" xr:uid="{D5F9F7BE-D868-432C-856E-0AF61D12DEC6}"/>
    <cellStyle name="Normal 9 6 6 3" xfId="11188" xr:uid="{2F3DF36E-5D75-4A60-8603-DEA59221F34B}"/>
    <cellStyle name="Normal 9 6 7" xfId="4902" xr:uid="{00000000-0005-0000-0000-000085200000}"/>
    <cellStyle name="Normal 9 6 7 2" xfId="13341" xr:uid="{7E1347FA-FC0C-4839-8C0D-B2F336D969C8}"/>
    <cellStyle name="Normal 9 6 8" xfId="9123" xr:uid="{87805B80-174A-4344-B67E-8023BE71B85F}"/>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87" xr:uid="{2361A546-024F-4E1A-8F6E-4FC08B56CF4C}"/>
    <cellStyle name="Note 2 2 10 3" xfId="11269" xr:uid="{7719BD87-6284-447D-A0A3-A9827313C271}"/>
    <cellStyle name="Note 2 2 11" xfId="4903" xr:uid="{00000000-0005-0000-0000-000094200000}"/>
    <cellStyle name="Note 2 2 11 2" xfId="13342" xr:uid="{7DAA8E48-1D53-4DBE-A1F3-15AA90193887}"/>
    <cellStyle name="Note 2 2 12" xfId="9124" xr:uid="{9ABB505E-60AC-4FBF-B0DE-D188F0A1A6A9}"/>
    <cellStyle name="Note 2 2 2" xfId="546" xr:uid="{00000000-0005-0000-0000-000095200000}"/>
    <cellStyle name="Note 2 2 2 10" xfId="4904" xr:uid="{00000000-0005-0000-0000-000096200000}"/>
    <cellStyle name="Note 2 2 2 10 2" xfId="13343" xr:uid="{D6B7F629-552D-471B-ABC2-2BA285637072}"/>
    <cellStyle name="Note 2 2 2 11" xfId="9125" xr:uid="{1145664C-F479-4715-B845-B90E4D81B569}"/>
    <cellStyle name="Note 2 2 2 2" xfId="547" xr:uid="{00000000-0005-0000-0000-000097200000}"/>
    <cellStyle name="Note 2 2 2 2 10" xfId="9126" xr:uid="{80C6D263-075B-426C-8293-2328C37F5ECB}"/>
    <cellStyle name="Note 2 2 2 2 2" xfId="1008" xr:uid="{00000000-0005-0000-0000-000098200000}"/>
    <cellStyle name="Note 2 2 2 2 2 2" xfId="3240" xr:uid="{00000000-0005-0000-0000-000099200000}"/>
    <cellStyle name="Note 2 2 2 2 2 2 2" xfId="7463" xr:uid="{00000000-0005-0000-0000-00009A200000}"/>
    <cellStyle name="Note 2 2 2 2 2 2 2 2" xfId="15902" xr:uid="{C2977660-9A20-4FA8-B867-16F8F44A961B}"/>
    <cellStyle name="Note 2 2 2 2 2 2 3" xfId="11684" xr:uid="{4EC55FB0-99B1-4C11-B885-7A2548424518}"/>
    <cellStyle name="Note 2 2 2 2 2 3" xfId="5318" xr:uid="{00000000-0005-0000-0000-00009B200000}"/>
    <cellStyle name="Note 2 2 2 2 2 3 2" xfId="13757" xr:uid="{6E5053E6-668C-4F7E-B8BC-5D35DE014744}"/>
    <cellStyle name="Note 2 2 2 2 2 4" xfId="9539" xr:uid="{2303C27E-9A45-47DE-B5C4-2606533F789C}"/>
    <cellStyle name="Note 2 2 2 2 3" xfId="1423" xr:uid="{00000000-0005-0000-0000-00009C200000}"/>
    <cellStyle name="Note 2 2 2 2 3 2" xfId="3653" xr:uid="{00000000-0005-0000-0000-00009D200000}"/>
    <cellStyle name="Note 2 2 2 2 3 2 2" xfId="7876" xr:uid="{00000000-0005-0000-0000-00009E200000}"/>
    <cellStyle name="Note 2 2 2 2 3 2 2 2" xfId="16315" xr:uid="{F502CA34-1F51-4D32-A961-87DBB2337194}"/>
    <cellStyle name="Note 2 2 2 2 3 2 3" xfId="12097" xr:uid="{F50E5B46-0160-4B02-A554-2C38367E68BE}"/>
    <cellStyle name="Note 2 2 2 2 3 3" xfId="5731" xr:uid="{00000000-0005-0000-0000-00009F200000}"/>
    <cellStyle name="Note 2 2 2 2 3 3 2" xfId="14170" xr:uid="{3CBC2611-D262-483A-A442-EB9A4E48B45A}"/>
    <cellStyle name="Note 2 2 2 2 3 4" xfId="9952" xr:uid="{C8658E1E-1058-47D8-936F-3F40A0BE3503}"/>
    <cellStyle name="Note 2 2 2 2 4" xfId="1837" xr:uid="{00000000-0005-0000-0000-0000A0200000}"/>
    <cellStyle name="Note 2 2 2 2 4 2" xfId="4066" xr:uid="{00000000-0005-0000-0000-0000A1200000}"/>
    <cellStyle name="Note 2 2 2 2 4 2 2" xfId="8289" xr:uid="{00000000-0005-0000-0000-0000A2200000}"/>
    <cellStyle name="Note 2 2 2 2 4 2 2 2" xfId="16728" xr:uid="{5E2B9C49-7A98-43B1-AF65-927C1510DF3B}"/>
    <cellStyle name="Note 2 2 2 2 4 2 3" xfId="12510" xr:uid="{044AC12E-D3E6-4BF9-A8A8-EB3B22C6B1F6}"/>
    <cellStyle name="Note 2 2 2 2 4 3" xfId="6144" xr:uid="{00000000-0005-0000-0000-0000A3200000}"/>
    <cellStyle name="Note 2 2 2 2 4 3 2" xfId="14583" xr:uid="{3B9434A6-F381-4513-9279-CCD2BA1131BF}"/>
    <cellStyle name="Note 2 2 2 2 4 4" xfId="10365" xr:uid="{CD0AC30C-ECC0-4F2E-9367-22F5AF17CD96}"/>
    <cellStyle name="Note 2 2 2 2 5" xfId="2250" xr:uid="{00000000-0005-0000-0000-0000A4200000}"/>
    <cellStyle name="Note 2 2 2 2 5 2" xfId="4479" xr:uid="{00000000-0005-0000-0000-0000A5200000}"/>
    <cellStyle name="Note 2 2 2 2 5 2 2" xfId="8702" xr:uid="{00000000-0005-0000-0000-0000A6200000}"/>
    <cellStyle name="Note 2 2 2 2 5 2 2 2" xfId="17141" xr:uid="{9CD3B9BB-A082-4AED-8B37-2E7EE0830CEE}"/>
    <cellStyle name="Note 2 2 2 2 5 2 3" xfId="12923" xr:uid="{36DB77C9-05AA-48A0-A6F8-922FBCA99C78}"/>
    <cellStyle name="Note 2 2 2 2 5 3" xfId="6557" xr:uid="{00000000-0005-0000-0000-0000A7200000}"/>
    <cellStyle name="Note 2 2 2 2 5 3 2" xfId="14996" xr:uid="{91EFAC35-5153-4FA4-A520-1119DD4C0114}"/>
    <cellStyle name="Note 2 2 2 2 5 4" xfId="10778" xr:uid="{40D312E3-0783-488A-B523-206A321C8FD6}"/>
    <cellStyle name="Note 2 2 2 2 6" xfId="2686" xr:uid="{00000000-0005-0000-0000-0000A8200000}"/>
    <cellStyle name="Note 2 2 2 2 6 2" xfId="6970" xr:uid="{00000000-0005-0000-0000-0000A9200000}"/>
    <cellStyle name="Note 2 2 2 2 6 2 2" xfId="15409" xr:uid="{EE0B1D4E-4B14-4517-8B4D-9DF249C53C2C}"/>
    <cellStyle name="Note 2 2 2 2 6 3" xfId="11191" xr:uid="{3CC502F6-AFBD-4109-BBB4-5303343E3661}"/>
    <cellStyle name="Note 2 2 2 2 7" xfId="2745" xr:uid="{00000000-0005-0000-0000-0000AA200000}"/>
    <cellStyle name="Note 2 2 2 2 8" xfId="2826" xr:uid="{00000000-0005-0000-0000-0000AB200000}"/>
    <cellStyle name="Note 2 2 2 2 8 2" xfId="7050" xr:uid="{00000000-0005-0000-0000-0000AC200000}"/>
    <cellStyle name="Note 2 2 2 2 8 2 2" xfId="15489" xr:uid="{BC94F26C-7F14-4198-8DBF-9E5E7327436B}"/>
    <cellStyle name="Note 2 2 2 2 8 3" xfId="11271" xr:uid="{5AA28330-C42D-4D8D-BDEC-7684E71CEDE1}"/>
    <cellStyle name="Note 2 2 2 2 9" xfId="4905" xr:uid="{00000000-0005-0000-0000-0000AD200000}"/>
    <cellStyle name="Note 2 2 2 2 9 2" xfId="13344" xr:uid="{1EE200D4-A423-440D-B7C1-80FD5D79BFAC}"/>
    <cellStyle name="Note 2 2 2 3" xfId="1007" xr:uid="{00000000-0005-0000-0000-0000AE200000}"/>
    <cellStyle name="Note 2 2 2 3 2" xfId="3239" xr:uid="{00000000-0005-0000-0000-0000AF200000}"/>
    <cellStyle name="Note 2 2 2 3 2 2" xfId="7462" xr:uid="{00000000-0005-0000-0000-0000B0200000}"/>
    <cellStyle name="Note 2 2 2 3 2 2 2" xfId="15901" xr:uid="{CF9F9B65-21EA-46F3-A83E-35B8475BE774}"/>
    <cellStyle name="Note 2 2 2 3 2 3" xfId="11683" xr:uid="{021EB892-AF6A-47B9-8BBA-FCCE74CF5406}"/>
    <cellStyle name="Note 2 2 2 3 3" xfId="5317" xr:uid="{00000000-0005-0000-0000-0000B1200000}"/>
    <cellStyle name="Note 2 2 2 3 3 2" xfId="13756" xr:uid="{CFB5E250-FF3B-4CAA-B693-75ED5824F280}"/>
    <cellStyle name="Note 2 2 2 3 4" xfId="9538" xr:uid="{C94D5703-5A5A-4686-A742-67566593BDC4}"/>
    <cellStyle name="Note 2 2 2 4" xfId="1422" xr:uid="{00000000-0005-0000-0000-0000B2200000}"/>
    <cellStyle name="Note 2 2 2 4 2" xfId="3652" xr:uid="{00000000-0005-0000-0000-0000B3200000}"/>
    <cellStyle name="Note 2 2 2 4 2 2" xfId="7875" xr:uid="{00000000-0005-0000-0000-0000B4200000}"/>
    <cellStyle name="Note 2 2 2 4 2 2 2" xfId="16314" xr:uid="{3F9C33DC-A7ED-40EC-A9DA-7FB220C3146D}"/>
    <cellStyle name="Note 2 2 2 4 2 3" xfId="12096" xr:uid="{38F82071-B01E-45B7-ABE5-E33767592EE0}"/>
    <cellStyle name="Note 2 2 2 4 3" xfId="5730" xr:uid="{00000000-0005-0000-0000-0000B5200000}"/>
    <cellStyle name="Note 2 2 2 4 3 2" xfId="14169" xr:uid="{3C61DCB2-55CE-4C27-B9EB-9ADD4208CA71}"/>
    <cellStyle name="Note 2 2 2 4 4" xfId="9951" xr:uid="{BE492878-9C6F-4CA3-AE48-8FA222F05239}"/>
    <cellStyle name="Note 2 2 2 5" xfId="1836" xr:uid="{00000000-0005-0000-0000-0000B6200000}"/>
    <cellStyle name="Note 2 2 2 5 2" xfId="4065" xr:uid="{00000000-0005-0000-0000-0000B7200000}"/>
    <cellStyle name="Note 2 2 2 5 2 2" xfId="8288" xr:uid="{00000000-0005-0000-0000-0000B8200000}"/>
    <cellStyle name="Note 2 2 2 5 2 2 2" xfId="16727" xr:uid="{12CE2D1D-E68F-41DA-B28F-1479F330CDC9}"/>
    <cellStyle name="Note 2 2 2 5 2 3" xfId="12509" xr:uid="{E4E57AAE-FBCE-47E3-A4AD-439E907F535F}"/>
    <cellStyle name="Note 2 2 2 5 3" xfId="6143" xr:uid="{00000000-0005-0000-0000-0000B9200000}"/>
    <cellStyle name="Note 2 2 2 5 3 2" xfId="14582" xr:uid="{3E0AC7A9-789F-480D-96CD-B108A380C823}"/>
    <cellStyle name="Note 2 2 2 5 4" xfId="10364" xr:uid="{FFCAC659-AE4D-4717-8290-C2AB4374BA5E}"/>
    <cellStyle name="Note 2 2 2 6" xfId="2249" xr:uid="{00000000-0005-0000-0000-0000BA200000}"/>
    <cellStyle name="Note 2 2 2 6 2" xfId="4478" xr:uid="{00000000-0005-0000-0000-0000BB200000}"/>
    <cellStyle name="Note 2 2 2 6 2 2" xfId="8701" xr:uid="{00000000-0005-0000-0000-0000BC200000}"/>
    <cellStyle name="Note 2 2 2 6 2 2 2" xfId="17140" xr:uid="{B732A32F-B869-4E28-AADD-E6936B8D0312}"/>
    <cellStyle name="Note 2 2 2 6 2 3" xfId="12922" xr:uid="{CDA2D7F2-8E56-48D5-BF56-EDED376E242E}"/>
    <cellStyle name="Note 2 2 2 6 3" xfId="6556" xr:uid="{00000000-0005-0000-0000-0000BD200000}"/>
    <cellStyle name="Note 2 2 2 6 3 2" xfId="14995" xr:uid="{884F699D-16FA-4D80-8726-C4DD38718B99}"/>
    <cellStyle name="Note 2 2 2 6 4" xfId="10777" xr:uid="{C8FEAEDF-DA87-4DE9-879E-D710E4295983}"/>
    <cellStyle name="Note 2 2 2 7" xfId="2685" xr:uid="{00000000-0005-0000-0000-0000BE200000}"/>
    <cellStyle name="Note 2 2 2 7 2" xfId="6969" xr:uid="{00000000-0005-0000-0000-0000BF200000}"/>
    <cellStyle name="Note 2 2 2 7 2 2" xfId="15408" xr:uid="{C263A33D-4F99-487C-B790-3F5E35EF3090}"/>
    <cellStyle name="Note 2 2 2 7 3" xfId="11190" xr:uid="{61AFCB0C-AF13-4C77-A854-4E1CA7CC7969}"/>
    <cellStyle name="Note 2 2 2 8" xfId="2744" xr:uid="{00000000-0005-0000-0000-0000C0200000}"/>
    <cellStyle name="Note 2 2 2 9" xfId="2825" xr:uid="{00000000-0005-0000-0000-0000C1200000}"/>
    <cellStyle name="Note 2 2 2 9 2" xfId="7049" xr:uid="{00000000-0005-0000-0000-0000C2200000}"/>
    <cellStyle name="Note 2 2 2 9 2 2" xfId="15488" xr:uid="{ACF702AD-149A-477C-8ACB-A0D6B993B592}"/>
    <cellStyle name="Note 2 2 2 9 3" xfId="11270" xr:uid="{DFC21611-E48C-4A3A-88C9-EDA0604FF94C}"/>
    <cellStyle name="Note 2 2 3" xfId="548" xr:uid="{00000000-0005-0000-0000-0000C3200000}"/>
    <cellStyle name="Note 2 2 3 10" xfId="9127" xr:uid="{BF489E5C-DE82-44DE-A4E9-F67A2806F1E1}"/>
    <cellStyle name="Note 2 2 3 2" xfId="1009" xr:uid="{00000000-0005-0000-0000-0000C4200000}"/>
    <cellStyle name="Note 2 2 3 2 2" xfId="3241" xr:uid="{00000000-0005-0000-0000-0000C5200000}"/>
    <cellStyle name="Note 2 2 3 2 2 2" xfId="7464" xr:uid="{00000000-0005-0000-0000-0000C6200000}"/>
    <cellStyle name="Note 2 2 3 2 2 2 2" xfId="15903" xr:uid="{E86A47D1-E0A8-431F-A79E-99FC4DB6563F}"/>
    <cellStyle name="Note 2 2 3 2 2 3" xfId="11685" xr:uid="{E93CC4AC-E1CF-4CED-9016-99C395C2AF8D}"/>
    <cellStyle name="Note 2 2 3 2 3" xfId="5319" xr:uid="{00000000-0005-0000-0000-0000C7200000}"/>
    <cellStyle name="Note 2 2 3 2 3 2" xfId="13758" xr:uid="{5287F524-8BD1-4EB2-A59C-26DE362CBB3A}"/>
    <cellStyle name="Note 2 2 3 2 4" xfId="9540" xr:uid="{ACE3E052-E219-42FE-B57B-D5DC3A11E966}"/>
    <cellStyle name="Note 2 2 3 3" xfId="1424" xr:uid="{00000000-0005-0000-0000-0000C8200000}"/>
    <cellStyle name="Note 2 2 3 3 2" xfId="3654" xr:uid="{00000000-0005-0000-0000-0000C9200000}"/>
    <cellStyle name="Note 2 2 3 3 2 2" xfId="7877" xr:uid="{00000000-0005-0000-0000-0000CA200000}"/>
    <cellStyle name="Note 2 2 3 3 2 2 2" xfId="16316" xr:uid="{31A93668-0FD6-495C-AFA9-64347099219E}"/>
    <cellStyle name="Note 2 2 3 3 2 3" xfId="12098" xr:uid="{52FABBCD-574B-4E62-8363-90417F2C7013}"/>
    <cellStyle name="Note 2 2 3 3 3" xfId="5732" xr:uid="{00000000-0005-0000-0000-0000CB200000}"/>
    <cellStyle name="Note 2 2 3 3 3 2" xfId="14171" xr:uid="{70749C99-A6E8-43E3-A3F1-682D5427652C}"/>
    <cellStyle name="Note 2 2 3 3 4" xfId="9953" xr:uid="{650FA1E6-B074-4CC8-A202-74CB8CCA6E0E}"/>
    <cellStyle name="Note 2 2 3 4" xfId="1838" xr:uid="{00000000-0005-0000-0000-0000CC200000}"/>
    <cellStyle name="Note 2 2 3 4 2" xfId="4067" xr:uid="{00000000-0005-0000-0000-0000CD200000}"/>
    <cellStyle name="Note 2 2 3 4 2 2" xfId="8290" xr:uid="{00000000-0005-0000-0000-0000CE200000}"/>
    <cellStyle name="Note 2 2 3 4 2 2 2" xfId="16729" xr:uid="{5FAE802D-0EDA-4601-84C5-03F855DB4C47}"/>
    <cellStyle name="Note 2 2 3 4 2 3" xfId="12511" xr:uid="{8E453C70-779B-4DAE-BEDF-54051C38808F}"/>
    <cellStyle name="Note 2 2 3 4 3" xfId="6145" xr:uid="{00000000-0005-0000-0000-0000CF200000}"/>
    <cellStyle name="Note 2 2 3 4 3 2" xfId="14584" xr:uid="{4BDC349C-AB81-4B1C-BE30-D1C27DD1C254}"/>
    <cellStyle name="Note 2 2 3 4 4" xfId="10366" xr:uid="{50874176-20AC-4A2A-BD48-43E755FE9347}"/>
    <cellStyle name="Note 2 2 3 5" xfId="2251" xr:uid="{00000000-0005-0000-0000-0000D0200000}"/>
    <cellStyle name="Note 2 2 3 5 2" xfId="4480" xr:uid="{00000000-0005-0000-0000-0000D1200000}"/>
    <cellStyle name="Note 2 2 3 5 2 2" xfId="8703" xr:uid="{00000000-0005-0000-0000-0000D2200000}"/>
    <cellStyle name="Note 2 2 3 5 2 2 2" xfId="17142" xr:uid="{3AA202C5-4B9E-4B45-9903-E11A528FE5EB}"/>
    <cellStyle name="Note 2 2 3 5 2 3" xfId="12924" xr:uid="{7175E13C-0DEE-4ED0-9256-472EF8DC7E3C}"/>
    <cellStyle name="Note 2 2 3 5 3" xfId="6558" xr:uid="{00000000-0005-0000-0000-0000D3200000}"/>
    <cellStyle name="Note 2 2 3 5 3 2" xfId="14997" xr:uid="{C6AD234E-1B41-42D6-98AE-09A6EE8C9C6E}"/>
    <cellStyle name="Note 2 2 3 5 4" xfId="10779" xr:uid="{18099D12-8210-4185-992B-E32DC2CC6D51}"/>
    <cellStyle name="Note 2 2 3 6" xfId="2687" xr:uid="{00000000-0005-0000-0000-0000D4200000}"/>
    <cellStyle name="Note 2 2 3 6 2" xfId="6971" xr:uid="{00000000-0005-0000-0000-0000D5200000}"/>
    <cellStyle name="Note 2 2 3 6 2 2" xfId="15410" xr:uid="{58C45CF5-3A49-490C-924A-25DEE33CF0FF}"/>
    <cellStyle name="Note 2 2 3 6 3" xfId="11192" xr:uid="{B6F1D173-7A6C-4DC3-9DAC-0FB1D9B0E1E3}"/>
    <cellStyle name="Note 2 2 3 7" xfId="2746" xr:uid="{00000000-0005-0000-0000-0000D6200000}"/>
    <cellStyle name="Note 2 2 3 8" xfId="2827" xr:uid="{00000000-0005-0000-0000-0000D7200000}"/>
    <cellStyle name="Note 2 2 3 8 2" xfId="7051" xr:uid="{00000000-0005-0000-0000-0000D8200000}"/>
    <cellStyle name="Note 2 2 3 8 2 2" xfId="15490" xr:uid="{08EED90B-069B-49E4-A951-4744FA3CA283}"/>
    <cellStyle name="Note 2 2 3 8 3" xfId="11272" xr:uid="{49760CBA-5AC8-43F2-A8B5-913170240DB0}"/>
    <cellStyle name="Note 2 2 3 9" xfId="4906" xr:uid="{00000000-0005-0000-0000-0000D9200000}"/>
    <cellStyle name="Note 2 2 3 9 2" xfId="13345" xr:uid="{24743DFD-0673-4AFE-AFB7-66F2E4C26128}"/>
    <cellStyle name="Note 2 2 4" xfId="1006" xr:uid="{00000000-0005-0000-0000-0000DA200000}"/>
    <cellStyle name="Note 2 2 4 2" xfId="3238" xr:uid="{00000000-0005-0000-0000-0000DB200000}"/>
    <cellStyle name="Note 2 2 4 2 2" xfId="7461" xr:uid="{00000000-0005-0000-0000-0000DC200000}"/>
    <cellStyle name="Note 2 2 4 2 2 2" xfId="15900" xr:uid="{F414412F-1B89-4B27-B9B6-2D2911686C6D}"/>
    <cellStyle name="Note 2 2 4 2 3" xfId="11682" xr:uid="{AA9B9B5C-CC92-4764-A02C-722F1E884516}"/>
    <cellStyle name="Note 2 2 4 3" xfId="5316" xr:uid="{00000000-0005-0000-0000-0000DD200000}"/>
    <cellStyle name="Note 2 2 4 3 2" xfId="13755" xr:uid="{9E78756A-8168-40ED-B096-D7A7A47B23CB}"/>
    <cellStyle name="Note 2 2 4 4" xfId="9537" xr:uid="{10692482-EC12-4D9E-A090-A2C444526CD3}"/>
    <cellStyle name="Note 2 2 5" xfId="1421" xr:uid="{00000000-0005-0000-0000-0000DE200000}"/>
    <cellStyle name="Note 2 2 5 2" xfId="3651" xr:uid="{00000000-0005-0000-0000-0000DF200000}"/>
    <cellStyle name="Note 2 2 5 2 2" xfId="7874" xr:uid="{00000000-0005-0000-0000-0000E0200000}"/>
    <cellStyle name="Note 2 2 5 2 2 2" xfId="16313" xr:uid="{66891366-9C0E-4631-BAC4-BF04591BFD86}"/>
    <cellStyle name="Note 2 2 5 2 3" xfId="12095" xr:uid="{F8781C34-98C7-48F9-90BE-D3C0B824466A}"/>
    <cellStyle name="Note 2 2 5 3" xfId="5729" xr:uid="{00000000-0005-0000-0000-0000E1200000}"/>
    <cellStyle name="Note 2 2 5 3 2" xfId="14168" xr:uid="{7D70ADB3-C990-4A25-85B9-25341FE20B41}"/>
    <cellStyle name="Note 2 2 5 4" xfId="9950" xr:uid="{04BB65CC-B951-4BA4-8CDC-D4C51F525C56}"/>
    <cellStyle name="Note 2 2 6" xfId="1835" xr:uid="{00000000-0005-0000-0000-0000E2200000}"/>
    <cellStyle name="Note 2 2 6 2" xfId="4064" xr:uid="{00000000-0005-0000-0000-0000E3200000}"/>
    <cellStyle name="Note 2 2 6 2 2" xfId="8287" xr:uid="{00000000-0005-0000-0000-0000E4200000}"/>
    <cellStyle name="Note 2 2 6 2 2 2" xfId="16726" xr:uid="{7EE464AA-ED92-4CE0-A5EB-E8A8BC5FB52B}"/>
    <cellStyle name="Note 2 2 6 2 3" xfId="12508" xr:uid="{79871DFC-D6CD-4BDD-9A49-2C2906DDF8EF}"/>
    <cellStyle name="Note 2 2 6 3" xfId="6142" xr:uid="{00000000-0005-0000-0000-0000E5200000}"/>
    <cellStyle name="Note 2 2 6 3 2" xfId="14581" xr:uid="{7C4ACEED-902F-4A3E-9C49-9BE5715D6922}"/>
    <cellStyle name="Note 2 2 6 4" xfId="10363" xr:uid="{442B544F-2E1E-4700-B73E-737CE6F160A3}"/>
    <cellStyle name="Note 2 2 7" xfId="2248" xr:uid="{00000000-0005-0000-0000-0000E6200000}"/>
    <cellStyle name="Note 2 2 7 2" xfId="4477" xr:uid="{00000000-0005-0000-0000-0000E7200000}"/>
    <cellStyle name="Note 2 2 7 2 2" xfId="8700" xr:uid="{00000000-0005-0000-0000-0000E8200000}"/>
    <cellStyle name="Note 2 2 7 2 2 2" xfId="17139" xr:uid="{F8187938-ECEB-41D4-8262-473B2753DE7E}"/>
    <cellStyle name="Note 2 2 7 2 3" xfId="12921" xr:uid="{9AA303FE-55F3-4EC8-83D2-B406F6CE4A02}"/>
    <cellStyle name="Note 2 2 7 3" xfId="6555" xr:uid="{00000000-0005-0000-0000-0000E9200000}"/>
    <cellStyle name="Note 2 2 7 3 2" xfId="14994" xr:uid="{FE0D12A6-B215-471C-9063-7D1C208E6B98}"/>
    <cellStyle name="Note 2 2 7 4" xfId="10776" xr:uid="{A58C49AB-B407-4DBE-810B-637C56194F00}"/>
    <cellStyle name="Note 2 2 8" xfId="2684" xr:uid="{00000000-0005-0000-0000-0000EA200000}"/>
    <cellStyle name="Note 2 2 8 2" xfId="6968" xr:uid="{00000000-0005-0000-0000-0000EB200000}"/>
    <cellStyle name="Note 2 2 8 2 2" xfId="15407" xr:uid="{17FDF548-20A2-46B3-ADE4-14AF782EF309}"/>
    <cellStyle name="Note 2 2 8 3" xfId="11189" xr:uid="{478BC31A-BFC5-4A8E-B759-EA1F6820E4F9}"/>
    <cellStyle name="Note 2 2 9" xfId="2743" xr:uid="{00000000-0005-0000-0000-0000EC200000}"/>
    <cellStyle name="Note 2 3" xfId="549" xr:uid="{00000000-0005-0000-0000-0000ED200000}"/>
    <cellStyle name="Note 2 3 10" xfId="4907" xr:uid="{00000000-0005-0000-0000-0000EE200000}"/>
    <cellStyle name="Note 2 3 10 2" xfId="13346" xr:uid="{12D16CBF-262D-42DD-BEB7-13DE0EB6C2D3}"/>
    <cellStyle name="Note 2 3 11" xfId="9128" xr:uid="{542DB2BA-3684-4A2E-8DF0-6251580B59BD}"/>
    <cellStyle name="Note 2 3 2" xfId="550" xr:uid="{00000000-0005-0000-0000-0000EF200000}"/>
    <cellStyle name="Note 2 3 2 10" xfId="9129" xr:uid="{642100C0-1C13-4976-91E6-1A85BC05C75D}"/>
    <cellStyle name="Note 2 3 2 2" xfId="1011" xr:uid="{00000000-0005-0000-0000-0000F0200000}"/>
    <cellStyle name="Note 2 3 2 2 2" xfId="3243" xr:uid="{00000000-0005-0000-0000-0000F1200000}"/>
    <cellStyle name="Note 2 3 2 2 2 2" xfId="7466" xr:uid="{00000000-0005-0000-0000-0000F2200000}"/>
    <cellStyle name="Note 2 3 2 2 2 2 2" xfId="15905" xr:uid="{07AD9315-1DD7-4BDD-A8E1-46D2E1E44AC3}"/>
    <cellStyle name="Note 2 3 2 2 2 3" xfId="11687" xr:uid="{8CE880EB-0646-48C1-BEE6-CADB9D771135}"/>
    <cellStyle name="Note 2 3 2 2 3" xfId="5321" xr:uid="{00000000-0005-0000-0000-0000F3200000}"/>
    <cellStyle name="Note 2 3 2 2 3 2" xfId="13760" xr:uid="{B4103D97-01EF-4A1E-B1E0-E4A1E4C4F05B}"/>
    <cellStyle name="Note 2 3 2 2 4" xfId="9542" xr:uid="{4EBCAFA1-D1BC-41BC-8C9D-B2FE36521196}"/>
    <cellStyle name="Note 2 3 2 3" xfId="1426" xr:uid="{00000000-0005-0000-0000-0000F4200000}"/>
    <cellStyle name="Note 2 3 2 3 2" xfId="3656" xr:uid="{00000000-0005-0000-0000-0000F5200000}"/>
    <cellStyle name="Note 2 3 2 3 2 2" xfId="7879" xr:uid="{00000000-0005-0000-0000-0000F6200000}"/>
    <cellStyle name="Note 2 3 2 3 2 2 2" xfId="16318" xr:uid="{741A0F8F-78BA-430D-9499-B8DA5D709028}"/>
    <cellStyle name="Note 2 3 2 3 2 3" xfId="12100" xr:uid="{F870E2A9-B618-4BC8-8FFC-E76A8A8A7A9B}"/>
    <cellStyle name="Note 2 3 2 3 3" xfId="5734" xr:uid="{00000000-0005-0000-0000-0000F7200000}"/>
    <cellStyle name="Note 2 3 2 3 3 2" xfId="14173" xr:uid="{103C5E9F-684E-4F02-9E99-4401095D424A}"/>
    <cellStyle name="Note 2 3 2 3 4" xfId="9955" xr:uid="{F88188CF-F066-4F39-9555-E7803572634F}"/>
    <cellStyle name="Note 2 3 2 4" xfId="1840" xr:uid="{00000000-0005-0000-0000-0000F8200000}"/>
    <cellStyle name="Note 2 3 2 4 2" xfId="4069" xr:uid="{00000000-0005-0000-0000-0000F9200000}"/>
    <cellStyle name="Note 2 3 2 4 2 2" xfId="8292" xr:uid="{00000000-0005-0000-0000-0000FA200000}"/>
    <cellStyle name="Note 2 3 2 4 2 2 2" xfId="16731" xr:uid="{738B996A-46DB-4664-AA62-099BF452C715}"/>
    <cellStyle name="Note 2 3 2 4 2 3" xfId="12513" xr:uid="{886C9140-D8CF-4B16-BDEC-08B8D25DDB76}"/>
    <cellStyle name="Note 2 3 2 4 3" xfId="6147" xr:uid="{00000000-0005-0000-0000-0000FB200000}"/>
    <cellStyle name="Note 2 3 2 4 3 2" xfId="14586" xr:uid="{6FABE3CC-3711-4394-B594-176D28B9AA83}"/>
    <cellStyle name="Note 2 3 2 4 4" xfId="10368" xr:uid="{82BD1CBB-A9CA-4178-8902-318CABAB541C}"/>
    <cellStyle name="Note 2 3 2 5" xfId="2253" xr:uid="{00000000-0005-0000-0000-0000FC200000}"/>
    <cellStyle name="Note 2 3 2 5 2" xfId="4482" xr:uid="{00000000-0005-0000-0000-0000FD200000}"/>
    <cellStyle name="Note 2 3 2 5 2 2" xfId="8705" xr:uid="{00000000-0005-0000-0000-0000FE200000}"/>
    <cellStyle name="Note 2 3 2 5 2 2 2" xfId="17144" xr:uid="{66AF1D81-0B8A-48A5-93F6-92F5841FFD15}"/>
    <cellStyle name="Note 2 3 2 5 2 3" xfId="12926" xr:uid="{FB5D0562-DFAF-4984-8306-5EC0BD52F249}"/>
    <cellStyle name="Note 2 3 2 5 3" xfId="6560" xr:uid="{00000000-0005-0000-0000-0000FF200000}"/>
    <cellStyle name="Note 2 3 2 5 3 2" xfId="14999" xr:uid="{9B39C6E9-EB8E-4F69-8940-7666AFF113A9}"/>
    <cellStyle name="Note 2 3 2 5 4" xfId="10781" xr:uid="{9093A82D-DA7B-40E5-9443-13C39054CE73}"/>
    <cellStyle name="Note 2 3 2 6" xfId="2689" xr:uid="{00000000-0005-0000-0000-000000210000}"/>
    <cellStyle name="Note 2 3 2 6 2" xfId="6973" xr:uid="{00000000-0005-0000-0000-000001210000}"/>
    <cellStyle name="Note 2 3 2 6 2 2" xfId="15412" xr:uid="{3FE71E05-943C-40D9-88E0-541E5141367A}"/>
    <cellStyle name="Note 2 3 2 6 3" xfId="11194" xr:uid="{97BED8C3-4142-4AC3-8054-48CE3B928DFC}"/>
    <cellStyle name="Note 2 3 2 7" xfId="2748" xr:uid="{00000000-0005-0000-0000-000002210000}"/>
    <cellStyle name="Note 2 3 2 8" xfId="2829" xr:uid="{00000000-0005-0000-0000-000003210000}"/>
    <cellStyle name="Note 2 3 2 8 2" xfId="7053" xr:uid="{00000000-0005-0000-0000-000004210000}"/>
    <cellStyle name="Note 2 3 2 8 2 2" xfId="15492" xr:uid="{DBB32B05-9D64-408F-9EA8-015F41593D9E}"/>
    <cellStyle name="Note 2 3 2 8 3" xfId="11274" xr:uid="{B05FAA14-0E99-4484-87F8-8D98A06EADF5}"/>
    <cellStyle name="Note 2 3 2 9" xfId="4908" xr:uid="{00000000-0005-0000-0000-000005210000}"/>
    <cellStyle name="Note 2 3 2 9 2" xfId="13347" xr:uid="{20FFFF3A-1B04-43DC-9307-05B9FE527D7A}"/>
    <cellStyle name="Note 2 3 3" xfId="1010" xr:uid="{00000000-0005-0000-0000-000006210000}"/>
    <cellStyle name="Note 2 3 3 2" xfId="3242" xr:uid="{00000000-0005-0000-0000-000007210000}"/>
    <cellStyle name="Note 2 3 3 2 2" xfId="7465" xr:uid="{00000000-0005-0000-0000-000008210000}"/>
    <cellStyle name="Note 2 3 3 2 2 2" xfId="15904" xr:uid="{6746EB84-8808-4BC9-8A13-269826E91B75}"/>
    <cellStyle name="Note 2 3 3 2 3" xfId="11686" xr:uid="{AF76F85E-DA48-47DC-ACFF-C9D620AA4C36}"/>
    <cellStyle name="Note 2 3 3 3" xfId="5320" xr:uid="{00000000-0005-0000-0000-000009210000}"/>
    <cellStyle name="Note 2 3 3 3 2" xfId="13759" xr:uid="{2D2EB69B-DB94-4DC9-83ED-714B54BF1CC1}"/>
    <cellStyle name="Note 2 3 3 4" xfId="9541" xr:uid="{0FBBFCB8-1968-4F00-9FA7-E56F4C9023A3}"/>
    <cellStyle name="Note 2 3 4" xfId="1425" xr:uid="{00000000-0005-0000-0000-00000A210000}"/>
    <cellStyle name="Note 2 3 4 2" xfId="3655" xr:uid="{00000000-0005-0000-0000-00000B210000}"/>
    <cellStyle name="Note 2 3 4 2 2" xfId="7878" xr:uid="{00000000-0005-0000-0000-00000C210000}"/>
    <cellStyle name="Note 2 3 4 2 2 2" xfId="16317" xr:uid="{CB8C4A4F-C8B2-4DA5-940F-4FD0235E80AC}"/>
    <cellStyle name="Note 2 3 4 2 3" xfId="12099" xr:uid="{63E47CD3-623A-42A5-9F6B-0C82E5BF395B}"/>
    <cellStyle name="Note 2 3 4 3" xfId="5733" xr:uid="{00000000-0005-0000-0000-00000D210000}"/>
    <cellStyle name="Note 2 3 4 3 2" xfId="14172" xr:uid="{25CE3492-A8E8-4F63-8536-AFF9D2B59CC1}"/>
    <cellStyle name="Note 2 3 4 4" xfId="9954" xr:uid="{76A2ADD7-7827-47BD-9087-B4AD4B6CFBC7}"/>
    <cellStyle name="Note 2 3 5" xfId="1839" xr:uid="{00000000-0005-0000-0000-00000E210000}"/>
    <cellStyle name="Note 2 3 5 2" xfId="4068" xr:uid="{00000000-0005-0000-0000-00000F210000}"/>
    <cellStyle name="Note 2 3 5 2 2" xfId="8291" xr:uid="{00000000-0005-0000-0000-000010210000}"/>
    <cellStyle name="Note 2 3 5 2 2 2" xfId="16730" xr:uid="{3268189C-B8C4-45C6-989E-C118B76E4871}"/>
    <cellStyle name="Note 2 3 5 2 3" xfId="12512" xr:uid="{5C04D6AE-CF04-4E4D-9817-B20227ED518B}"/>
    <cellStyle name="Note 2 3 5 3" xfId="6146" xr:uid="{00000000-0005-0000-0000-000011210000}"/>
    <cellStyle name="Note 2 3 5 3 2" xfId="14585" xr:uid="{58FBE001-3E9E-4E83-85A8-845ECCCC962B}"/>
    <cellStyle name="Note 2 3 5 4" xfId="10367" xr:uid="{C03820F6-B4D0-4F22-83AC-6DF69CB313BF}"/>
    <cellStyle name="Note 2 3 6" xfId="2252" xr:uid="{00000000-0005-0000-0000-000012210000}"/>
    <cellStyle name="Note 2 3 6 2" xfId="4481" xr:uid="{00000000-0005-0000-0000-000013210000}"/>
    <cellStyle name="Note 2 3 6 2 2" xfId="8704" xr:uid="{00000000-0005-0000-0000-000014210000}"/>
    <cellStyle name="Note 2 3 6 2 2 2" xfId="17143" xr:uid="{4336D317-0E4A-4ED5-B640-6EA6B45A1680}"/>
    <cellStyle name="Note 2 3 6 2 3" xfId="12925" xr:uid="{BCFF013A-D08D-4144-AFF4-5923CFC45485}"/>
    <cellStyle name="Note 2 3 6 3" xfId="6559" xr:uid="{00000000-0005-0000-0000-000015210000}"/>
    <cellStyle name="Note 2 3 6 3 2" xfId="14998" xr:uid="{528FE08D-1848-41C4-B538-35C866A03706}"/>
    <cellStyle name="Note 2 3 6 4" xfId="10780" xr:uid="{96BDFA01-478F-4F82-AB35-1456F99F2ED2}"/>
    <cellStyle name="Note 2 3 7" xfId="2688" xr:uid="{00000000-0005-0000-0000-000016210000}"/>
    <cellStyle name="Note 2 3 7 2" xfId="6972" xr:uid="{00000000-0005-0000-0000-000017210000}"/>
    <cellStyle name="Note 2 3 7 2 2" xfId="15411" xr:uid="{C1629078-7AC6-411D-BA7D-12DA776790C7}"/>
    <cellStyle name="Note 2 3 7 3" xfId="11193" xr:uid="{189F1744-4995-4B5A-B3AA-4A305BBC609C}"/>
    <cellStyle name="Note 2 3 8" xfId="2747" xr:uid="{00000000-0005-0000-0000-000018210000}"/>
    <cellStyle name="Note 2 3 9" xfId="2828" xr:uid="{00000000-0005-0000-0000-000019210000}"/>
    <cellStyle name="Note 2 3 9 2" xfId="7052" xr:uid="{00000000-0005-0000-0000-00001A210000}"/>
    <cellStyle name="Note 2 3 9 2 2" xfId="15491" xr:uid="{0340BACA-D291-4A98-8994-91DEAE71D43A}"/>
    <cellStyle name="Note 2 3 9 3" xfId="11273" xr:uid="{F332CE2B-1B41-42B2-AC92-57F91C82F7A5}"/>
    <cellStyle name="Note 2 4" xfId="551" xr:uid="{00000000-0005-0000-0000-00001B210000}"/>
    <cellStyle name="Note 2 4 10" xfId="9130" xr:uid="{960EDB37-8292-44B9-9BEC-5219434E0579}"/>
    <cellStyle name="Note 2 4 2" xfId="1012" xr:uid="{00000000-0005-0000-0000-00001C210000}"/>
    <cellStyle name="Note 2 4 2 2" xfId="3244" xr:uid="{00000000-0005-0000-0000-00001D210000}"/>
    <cellStyle name="Note 2 4 2 2 2" xfId="7467" xr:uid="{00000000-0005-0000-0000-00001E210000}"/>
    <cellStyle name="Note 2 4 2 2 2 2" xfId="15906" xr:uid="{B3D0E514-E8B5-486A-A08E-FD4EEB7EDF4A}"/>
    <cellStyle name="Note 2 4 2 2 3" xfId="11688" xr:uid="{0EC811B1-FAB4-4A08-AB71-9647F0E289C9}"/>
    <cellStyle name="Note 2 4 2 3" xfId="5322" xr:uid="{00000000-0005-0000-0000-00001F210000}"/>
    <cellStyle name="Note 2 4 2 3 2" xfId="13761" xr:uid="{B7193E63-EDBF-490F-B513-69FF22E19EF9}"/>
    <cellStyle name="Note 2 4 2 4" xfId="9543" xr:uid="{FAD39F70-9E33-46D8-AAE1-3971C1A3CC1A}"/>
    <cellStyle name="Note 2 4 3" xfId="1427" xr:uid="{00000000-0005-0000-0000-000020210000}"/>
    <cellStyle name="Note 2 4 3 2" xfId="3657" xr:uid="{00000000-0005-0000-0000-000021210000}"/>
    <cellStyle name="Note 2 4 3 2 2" xfId="7880" xr:uid="{00000000-0005-0000-0000-000022210000}"/>
    <cellStyle name="Note 2 4 3 2 2 2" xfId="16319" xr:uid="{46A652C6-88F8-4EA4-A259-ACC0E89AF2B1}"/>
    <cellStyle name="Note 2 4 3 2 3" xfId="12101" xr:uid="{163783FD-8A6C-4F7C-B798-8CE036E83C11}"/>
    <cellStyle name="Note 2 4 3 3" xfId="5735" xr:uid="{00000000-0005-0000-0000-000023210000}"/>
    <cellStyle name="Note 2 4 3 3 2" xfId="14174" xr:uid="{90BA96B8-70FD-4ED3-A338-819093908D53}"/>
    <cellStyle name="Note 2 4 3 4" xfId="9956" xr:uid="{52412BBD-2EC0-493A-B4AC-96C65A04716C}"/>
    <cellStyle name="Note 2 4 4" xfId="1841" xr:uid="{00000000-0005-0000-0000-000024210000}"/>
    <cellStyle name="Note 2 4 4 2" xfId="4070" xr:uid="{00000000-0005-0000-0000-000025210000}"/>
    <cellStyle name="Note 2 4 4 2 2" xfId="8293" xr:uid="{00000000-0005-0000-0000-000026210000}"/>
    <cellStyle name="Note 2 4 4 2 2 2" xfId="16732" xr:uid="{01FDF258-8CA2-42C6-A18A-A8E38F290225}"/>
    <cellStyle name="Note 2 4 4 2 3" xfId="12514" xr:uid="{48D8CC63-BE34-443B-8273-0D0341723C02}"/>
    <cellStyle name="Note 2 4 4 3" xfId="6148" xr:uid="{00000000-0005-0000-0000-000027210000}"/>
    <cellStyle name="Note 2 4 4 3 2" xfId="14587" xr:uid="{93B5F071-2C2C-4236-AE9C-45B36AD182CA}"/>
    <cellStyle name="Note 2 4 4 4" xfId="10369" xr:uid="{A414A739-1BF8-4B03-A64E-B3AD8FC877DC}"/>
    <cellStyle name="Note 2 4 5" xfId="2254" xr:uid="{00000000-0005-0000-0000-000028210000}"/>
    <cellStyle name="Note 2 4 5 2" xfId="4483" xr:uid="{00000000-0005-0000-0000-000029210000}"/>
    <cellStyle name="Note 2 4 5 2 2" xfId="8706" xr:uid="{00000000-0005-0000-0000-00002A210000}"/>
    <cellStyle name="Note 2 4 5 2 2 2" xfId="17145" xr:uid="{466907F5-AD1C-4419-BC37-E7C2BEA7685F}"/>
    <cellStyle name="Note 2 4 5 2 3" xfId="12927" xr:uid="{47B107DA-9A34-44A6-8E1E-0679D07ED821}"/>
    <cellStyle name="Note 2 4 5 3" xfId="6561" xr:uid="{00000000-0005-0000-0000-00002B210000}"/>
    <cellStyle name="Note 2 4 5 3 2" xfId="15000" xr:uid="{C4A0DF76-EE0B-4F25-A3B2-1C4A84EE7D47}"/>
    <cellStyle name="Note 2 4 5 4" xfId="10782" xr:uid="{4F3AB2D3-97BC-4FE1-BBCC-1446FB86A76A}"/>
    <cellStyle name="Note 2 4 6" xfId="2690" xr:uid="{00000000-0005-0000-0000-00002C210000}"/>
    <cellStyle name="Note 2 4 6 2" xfId="6974" xr:uid="{00000000-0005-0000-0000-00002D210000}"/>
    <cellStyle name="Note 2 4 6 2 2" xfId="15413" xr:uid="{36FFAF2C-E5BB-496B-91D6-369386F818D4}"/>
    <cellStyle name="Note 2 4 6 3" xfId="11195" xr:uid="{5BF15944-3FE0-4B93-BB3E-1045B00F083F}"/>
    <cellStyle name="Note 2 4 7" xfId="2749" xr:uid="{00000000-0005-0000-0000-00002E210000}"/>
    <cellStyle name="Note 2 4 8" xfId="2830" xr:uid="{00000000-0005-0000-0000-00002F210000}"/>
    <cellStyle name="Note 2 4 8 2" xfId="7054" xr:uid="{00000000-0005-0000-0000-000030210000}"/>
    <cellStyle name="Note 2 4 8 2 2" xfId="15493" xr:uid="{B8D8E8A6-3D19-40D9-B1D4-E13E95BDCCEE}"/>
    <cellStyle name="Note 2 4 8 3" xfId="11275" xr:uid="{F87AC359-FCB0-4DF8-85A1-641C08B80E32}"/>
    <cellStyle name="Note 2 4 9" xfId="4909" xr:uid="{00000000-0005-0000-0000-000031210000}"/>
    <cellStyle name="Note 2 4 9 2" xfId="13348" xr:uid="{07F85951-4E4B-4566-A131-389E8D55F248}"/>
    <cellStyle name="Note 2 5" xfId="552" xr:uid="{00000000-0005-0000-0000-000032210000}"/>
    <cellStyle name="Note 2 5 10" xfId="9131" xr:uid="{59E6C3F8-C81A-49AA-956A-A156819E1E69}"/>
    <cellStyle name="Note 2 5 2" xfId="1013" xr:uid="{00000000-0005-0000-0000-000033210000}"/>
    <cellStyle name="Note 2 5 2 2" xfId="3245" xr:uid="{00000000-0005-0000-0000-000034210000}"/>
    <cellStyle name="Note 2 5 2 2 2" xfId="7468" xr:uid="{00000000-0005-0000-0000-000035210000}"/>
    <cellStyle name="Note 2 5 2 2 2 2" xfId="15907" xr:uid="{959A8361-320A-403F-AD29-1E4C77D1F9BD}"/>
    <cellStyle name="Note 2 5 2 2 3" xfId="11689" xr:uid="{48F19573-8961-4CF0-B2FF-1B6870D5CD2C}"/>
    <cellStyle name="Note 2 5 2 3" xfId="5323" xr:uid="{00000000-0005-0000-0000-000036210000}"/>
    <cellStyle name="Note 2 5 2 3 2" xfId="13762" xr:uid="{0AEBB53F-C8B7-4712-8700-629D116D86A6}"/>
    <cellStyle name="Note 2 5 2 4" xfId="9544" xr:uid="{79F457F7-E090-4503-B471-15F3295FF36E}"/>
    <cellStyle name="Note 2 5 3" xfId="1428" xr:uid="{00000000-0005-0000-0000-000037210000}"/>
    <cellStyle name="Note 2 5 3 2" xfId="3658" xr:uid="{00000000-0005-0000-0000-000038210000}"/>
    <cellStyle name="Note 2 5 3 2 2" xfId="7881" xr:uid="{00000000-0005-0000-0000-000039210000}"/>
    <cellStyle name="Note 2 5 3 2 2 2" xfId="16320" xr:uid="{E47A2EFC-99EF-445A-9906-D4B5267E1372}"/>
    <cellStyle name="Note 2 5 3 2 3" xfId="12102" xr:uid="{1FBDAC04-9458-48F0-8939-7448DE3BE465}"/>
    <cellStyle name="Note 2 5 3 3" xfId="5736" xr:uid="{00000000-0005-0000-0000-00003A210000}"/>
    <cellStyle name="Note 2 5 3 3 2" xfId="14175" xr:uid="{67A5D141-3A20-4EDD-B127-08AA38F4CE2C}"/>
    <cellStyle name="Note 2 5 3 4" xfId="9957" xr:uid="{EF75EE73-48B4-4BD3-94D7-49AF9B2FA572}"/>
    <cellStyle name="Note 2 5 4" xfId="1842" xr:uid="{00000000-0005-0000-0000-00003B210000}"/>
    <cellStyle name="Note 2 5 4 2" xfId="4071" xr:uid="{00000000-0005-0000-0000-00003C210000}"/>
    <cellStyle name="Note 2 5 4 2 2" xfId="8294" xr:uid="{00000000-0005-0000-0000-00003D210000}"/>
    <cellStyle name="Note 2 5 4 2 2 2" xfId="16733" xr:uid="{B5A661C0-6461-4E44-9DC2-57077AF496B9}"/>
    <cellStyle name="Note 2 5 4 2 3" xfId="12515" xr:uid="{15DC7958-D8A8-4AD5-A750-282E8C8E8DF0}"/>
    <cellStyle name="Note 2 5 4 3" xfId="6149" xr:uid="{00000000-0005-0000-0000-00003E210000}"/>
    <cellStyle name="Note 2 5 4 3 2" xfId="14588" xr:uid="{15EBFB15-104D-40AB-B337-90DFF30A3825}"/>
    <cellStyle name="Note 2 5 4 4" xfId="10370" xr:uid="{77C9D115-0928-45AC-A7B5-55EA125EE6AB}"/>
    <cellStyle name="Note 2 5 5" xfId="2255" xr:uid="{00000000-0005-0000-0000-00003F210000}"/>
    <cellStyle name="Note 2 5 5 2" xfId="4484" xr:uid="{00000000-0005-0000-0000-000040210000}"/>
    <cellStyle name="Note 2 5 5 2 2" xfId="8707" xr:uid="{00000000-0005-0000-0000-000041210000}"/>
    <cellStyle name="Note 2 5 5 2 2 2" xfId="17146" xr:uid="{938354FC-0780-4E1F-A587-9F7E2F776D03}"/>
    <cellStyle name="Note 2 5 5 2 3" xfId="12928" xr:uid="{66B7EFFD-36F7-473E-BD7C-114D1F0D9746}"/>
    <cellStyle name="Note 2 5 5 3" xfId="6562" xr:uid="{00000000-0005-0000-0000-000042210000}"/>
    <cellStyle name="Note 2 5 5 3 2" xfId="15001" xr:uid="{80601B29-423C-4D88-A093-20B1899D16EA}"/>
    <cellStyle name="Note 2 5 5 4" xfId="10783" xr:uid="{60896A06-FAC1-4EDA-A1F6-A98564EA8600}"/>
    <cellStyle name="Note 2 5 6" xfId="2691" xr:uid="{00000000-0005-0000-0000-000043210000}"/>
    <cellStyle name="Note 2 5 6 2" xfId="6975" xr:uid="{00000000-0005-0000-0000-000044210000}"/>
    <cellStyle name="Note 2 5 6 2 2" xfId="15414" xr:uid="{4F8F1221-F929-42CE-ADD9-063AB5FA056A}"/>
    <cellStyle name="Note 2 5 6 3" xfId="11196" xr:uid="{6D6042A0-FE8B-4D18-A1F8-E1AD087ECC7B}"/>
    <cellStyle name="Note 2 5 7" xfId="2750" xr:uid="{00000000-0005-0000-0000-000045210000}"/>
    <cellStyle name="Note 2 5 8" xfId="2831" xr:uid="{00000000-0005-0000-0000-000046210000}"/>
    <cellStyle name="Note 2 5 8 2" xfId="7055" xr:uid="{00000000-0005-0000-0000-000047210000}"/>
    <cellStyle name="Note 2 5 8 2 2" xfId="15494" xr:uid="{6F99E324-BE7E-4332-A04A-3F364200D374}"/>
    <cellStyle name="Note 2 5 8 3" xfId="11276" xr:uid="{03D57C9C-C5A7-4EE9-B389-39D407796645}"/>
    <cellStyle name="Note 2 5 9" xfId="4910" xr:uid="{00000000-0005-0000-0000-000048210000}"/>
    <cellStyle name="Note 2 5 9 2" xfId="13349" xr:uid="{0261D5B7-C4E1-47F7-8C72-35774AB60E02}"/>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5" xr:uid="{A5FAB2A7-58F6-410A-9BCE-C605B0B2E670}"/>
    <cellStyle name="Note 3 2 10 3" xfId="11277" xr:uid="{055E15DB-5E5B-4471-B6F8-F54C5F7549D6}"/>
    <cellStyle name="Note 3 2 11" xfId="4911" xr:uid="{00000000-0005-0000-0000-00004D210000}"/>
    <cellStyle name="Note 3 2 11 2" xfId="13350" xr:uid="{DA03E7C3-752E-4929-B944-73ABEDE3483D}"/>
    <cellStyle name="Note 3 2 12" xfId="9132" xr:uid="{7FDF6844-5B68-4F6C-9EB7-31A7AFD74742}"/>
    <cellStyle name="Note 3 2 2" xfId="555" xr:uid="{00000000-0005-0000-0000-00004E210000}"/>
    <cellStyle name="Note 3 2 2 10" xfId="4912" xr:uid="{00000000-0005-0000-0000-00004F210000}"/>
    <cellStyle name="Note 3 2 2 10 2" xfId="13351" xr:uid="{DAE7E83C-1D16-4B64-BB4C-1DA624A49E58}"/>
    <cellStyle name="Note 3 2 2 11" xfId="9133" xr:uid="{CAE09300-919D-4822-ACDE-02B349242055}"/>
    <cellStyle name="Note 3 2 2 2" xfId="556" xr:uid="{00000000-0005-0000-0000-000050210000}"/>
    <cellStyle name="Note 3 2 2 2 10" xfId="9134" xr:uid="{E72FA6B8-4D85-45BB-A2D5-4E5B82579CE9}"/>
    <cellStyle name="Note 3 2 2 2 2" xfId="1016" xr:uid="{00000000-0005-0000-0000-000051210000}"/>
    <cellStyle name="Note 3 2 2 2 2 2" xfId="3248" xr:uid="{00000000-0005-0000-0000-000052210000}"/>
    <cellStyle name="Note 3 2 2 2 2 2 2" xfId="7471" xr:uid="{00000000-0005-0000-0000-000053210000}"/>
    <cellStyle name="Note 3 2 2 2 2 2 2 2" xfId="15910" xr:uid="{85FE31D3-5F52-43CE-8665-F5BD449708F7}"/>
    <cellStyle name="Note 3 2 2 2 2 2 3" xfId="11692" xr:uid="{60935C9B-084A-4101-9106-57E98735E66B}"/>
    <cellStyle name="Note 3 2 2 2 2 3" xfId="5326" xr:uid="{00000000-0005-0000-0000-000054210000}"/>
    <cellStyle name="Note 3 2 2 2 2 3 2" xfId="13765" xr:uid="{251B1731-3ED8-4B8C-A099-099140CD6B57}"/>
    <cellStyle name="Note 3 2 2 2 2 4" xfId="9547" xr:uid="{11494F1E-D1C2-4BB6-A049-BADE18DA70A8}"/>
    <cellStyle name="Note 3 2 2 2 3" xfId="1431" xr:uid="{00000000-0005-0000-0000-000055210000}"/>
    <cellStyle name="Note 3 2 2 2 3 2" xfId="3661" xr:uid="{00000000-0005-0000-0000-000056210000}"/>
    <cellStyle name="Note 3 2 2 2 3 2 2" xfId="7884" xr:uid="{00000000-0005-0000-0000-000057210000}"/>
    <cellStyle name="Note 3 2 2 2 3 2 2 2" xfId="16323" xr:uid="{6DDE5226-85D7-43DB-947B-1BB4D5DDAB9B}"/>
    <cellStyle name="Note 3 2 2 2 3 2 3" xfId="12105" xr:uid="{857033E6-C49C-4269-8293-37FB0EA1AC62}"/>
    <cellStyle name="Note 3 2 2 2 3 3" xfId="5739" xr:uid="{00000000-0005-0000-0000-000058210000}"/>
    <cellStyle name="Note 3 2 2 2 3 3 2" xfId="14178" xr:uid="{368A6DE7-081E-4D3B-B45E-D2898559F7B8}"/>
    <cellStyle name="Note 3 2 2 2 3 4" xfId="9960" xr:uid="{68A6EB18-FAC0-4842-A694-104267D0661F}"/>
    <cellStyle name="Note 3 2 2 2 4" xfId="1845" xr:uid="{00000000-0005-0000-0000-000059210000}"/>
    <cellStyle name="Note 3 2 2 2 4 2" xfId="4074" xr:uid="{00000000-0005-0000-0000-00005A210000}"/>
    <cellStyle name="Note 3 2 2 2 4 2 2" xfId="8297" xr:uid="{00000000-0005-0000-0000-00005B210000}"/>
    <cellStyle name="Note 3 2 2 2 4 2 2 2" xfId="16736" xr:uid="{E307141A-F040-4218-912B-304134C93FFD}"/>
    <cellStyle name="Note 3 2 2 2 4 2 3" xfId="12518" xr:uid="{D4A4D6FB-D9EB-4E4F-9F0D-53506314986E}"/>
    <cellStyle name="Note 3 2 2 2 4 3" xfId="6152" xr:uid="{00000000-0005-0000-0000-00005C210000}"/>
    <cellStyle name="Note 3 2 2 2 4 3 2" xfId="14591" xr:uid="{97D12B2B-1E61-4287-9EB8-503ACCA5675D}"/>
    <cellStyle name="Note 3 2 2 2 4 4" xfId="10373" xr:uid="{43C6A49C-9CA3-4308-AE4C-A590CB667B86}"/>
    <cellStyle name="Note 3 2 2 2 5" xfId="2258" xr:uid="{00000000-0005-0000-0000-00005D210000}"/>
    <cellStyle name="Note 3 2 2 2 5 2" xfId="4487" xr:uid="{00000000-0005-0000-0000-00005E210000}"/>
    <cellStyle name="Note 3 2 2 2 5 2 2" xfId="8710" xr:uid="{00000000-0005-0000-0000-00005F210000}"/>
    <cellStyle name="Note 3 2 2 2 5 2 2 2" xfId="17149" xr:uid="{2BA1F8A9-B9A0-4A39-BC2C-97028D8DF270}"/>
    <cellStyle name="Note 3 2 2 2 5 2 3" xfId="12931" xr:uid="{19C719AA-7D0F-47D6-B8EC-4778DAE1A8DE}"/>
    <cellStyle name="Note 3 2 2 2 5 3" xfId="6565" xr:uid="{00000000-0005-0000-0000-000060210000}"/>
    <cellStyle name="Note 3 2 2 2 5 3 2" xfId="15004" xr:uid="{A27E9D69-958A-46F5-AAB9-8CF14BD32FB8}"/>
    <cellStyle name="Note 3 2 2 2 5 4" xfId="10786" xr:uid="{107EF9C6-189E-4CF5-9920-A7620F5D9524}"/>
    <cellStyle name="Note 3 2 2 2 6" xfId="2694" xr:uid="{00000000-0005-0000-0000-000061210000}"/>
    <cellStyle name="Note 3 2 2 2 6 2" xfId="6978" xr:uid="{00000000-0005-0000-0000-000062210000}"/>
    <cellStyle name="Note 3 2 2 2 6 2 2" xfId="15417" xr:uid="{9491E89B-4822-43F2-BE31-BC2ECB521D28}"/>
    <cellStyle name="Note 3 2 2 2 6 3" xfId="11199" xr:uid="{931E417B-946F-43F4-9D63-55CF97A99A1D}"/>
    <cellStyle name="Note 3 2 2 2 7" xfId="2753" xr:uid="{00000000-0005-0000-0000-000063210000}"/>
    <cellStyle name="Note 3 2 2 2 8" xfId="2834" xr:uid="{00000000-0005-0000-0000-000064210000}"/>
    <cellStyle name="Note 3 2 2 2 8 2" xfId="7058" xr:uid="{00000000-0005-0000-0000-000065210000}"/>
    <cellStyle name="Note 3 2 2 2 8 2 2" xfId="15497" xr:uid="{2701D287-051D-4199-AA63-1D4865FA0A6E}"/>
    <cellStyle name="Note 3 2 2 2 8 3" xfId="11279" xr:uid="{9FFC4210-5B69-4D0C-BF12-4716F3A968DF}"/>
    <cellStyle name="Note 3 2 2 2 9" xfId="4913" xr:uid="{00000000-0005-0000-0000-000066210000}"/>
    <cellStyle name="Note 3 2 2 2 9 2" xfId="13352" xr:uid="{B39EC90B-7B92-4231-B7C8-EA7D0315FAB9}"/>
    <cellStyle name="Note 3 2 2 3" xfId="1015" xr:uid="{00000000-0005-0000-0000-000067210000}"/>
    <cellStyle name="Note 3 2 2 3 2" xfId="3247" xr:uid="{00000000-0005-0000-0000-000068210000}"/>
    <cellStyle name="Note 3 2 2 3 2 2" xfId="7470" xr:uid="{00000000-0005-0000-0000-000069210000}"/>
    <cellStyle name="Note 3 2 2 3 2 2 2" xfId="15909" xr:uid="{FC69427F-7CB7-412D-A3FB-2001255A98CA}"/>
    <cellStyle name="Note 3 2 2 3 2 3" xfId="11691" xr:uid="{97D2912B-2E4B-4B20-B185-5574844CE31A}"/>
    <cellStyle name="Note 3 2 2 3 3" xfId="5325" xr:uid="{00000000-0005-0000-0000-00006A210000}"/>
    <cellStyle name="Note 3 2 2 3 3 2" xfId="13764" xr:uid="{587FA91A-5799-4A09-A8B2-E225BB0ACC4D}"/>
    <cellStyle name="Note 3 2 2 3 4" xfId="9546" xr:uid="{869C6AF9-4554-4156-9287-71D3C9410612}"/>
    <cellStyle name="Note 3 2 2 4" xfId="1430" xr:uid="{00000000-0005-0000-0000-00006B210000}"/>
    <cellStyle name="Note 3 2 2 4 2" xfId="3660" xr:uid="{00000000-0005-0000-0000-00006C210000}"/>
    <cellStyle name="Note 3 2 2 4 2 2" xfId="7883" xr:uid="{00000000-0005-0000-0000-00006D210000}"/>
    <cellStyle name="Note 3 2 2 4 2 2 2" xfId="16322" xr:uid="{DFE98110-4A5E-4DDD-9DF9-E67504C40B79}"/>
    <cellStyle name="Note 3 2 2 4 2 3" xfId="12104" xr:uid="{B85EB0BE-D7BA-494A-8375-94DAD4CB9AAF}"/>
    <cellStyle name="Note 3 2 2 4 3" xfId="5738" xr:uid="{00000000-0005-0000-0000-00006E210000}"/>
    <cellStyle name="Note 3 2 2 4 3 2" xfId="14177" xr:uid="{D9693B56-4B1C-4B74-99E2-D4572E4194A8}"/>
    <cellStyle name="Note 3 2 2 4 4" xfId="9959" xr:uid="{8444343C-6032-4F82-BB75-10385761FEA7}"/>
    <cellStyle name="Note 3 2 2 5" xfId="1844" xr:uid="{00000000-0005-0000-0000-00006F210000}"/>
    <cellStyle name="Note 3 2 2 5 2" xfId="4073" xr:uid="{00000000-0005-0000-0000-000070210000}"/>
    <cellStyle name="Note 3 2 2 5 2 2" xfId="8296" xr:uid="{00000000-0005-0000-0000-000071210000}"/>
    <cellStyle name="Note 3 2 2 5 2 2 2" xfId="16735" xr:uid="{2D9F346D-55DC-40BA-8BA4-F8EF1123510D}"/>
    <cellStyle name="Note 3 2 2 5 2 3" xfId="12517" xr:uid="{41ABEBDD-62FE-48CF-9F9D-9E9466C0DFA4}"/>
    <cellStyle name="Note 3 2 2 5 3" xfId="6151" xr:uid="{00000000-0005-0000-0000-000072210000}"/>
    <cellStyle name="Note 3 2 2 5 3 2" xfId="14590" xr:uid="{49BF49FB-5F67-4D89-A287-D02A6FC116C8}"/>
    <cellStyle name="Note 3 2 2 5 4" xfId="10372" xr:uid="{0F6E8BCD-C154-4C95-B0AE-60E910608A2B}"/>
    <cellStyle name="Note 3 2 2 6" xfId="2257" xr:uid="{00000000-0005-0000-0000-000073210000}"/>
    <cellStyle name="Note 3 2 2 6 2" xfId="4486" xr:uid="{00000000-0005-0000-0000-000074210000}"/>
    <cellStyle name="Note 3 2 2 6 2 2" xfId="8709" xr:uid="{00000000-0005-0000-0000-000075210000}"/>
    <cellStyle name="Note 3 2 2 6 2 2 2" xfId="17148" xr:uid="{1DD83BC3-2347-4409-B19A-C6C2B4E6FD29}"/>
    <cellStyle name="Note 3 2 2 6 2 3" xfId="12930" xr:uid="{E6996072-6B53-4A53-8902-3FFE7FDBFFE5}"/>
    <cellStyle name="Note 3 2 2 6 3" xfId="6564" xr:uid="{00000000-0005-0000-0000-000076210000}"/>
    <cellStyle name="Note 3 2 2 6 3 2" xfId="15003" xr:uid="{3259704E-11D4-485D-9A90-045D3D7CA68A}"/>
    <cellStyle name="Note 3 2 2 6 4" xfId="10785" xr:uid="{775FD773-4463-4B83-AB24-E8D0B0F27826}"/>
    <cellStyle name="Note 3 2 2 7" xfId="2693" xr:uid="{00000000-0005-0000-0000-000077210000}"/>
    <cellStyle name="Note 3 2 2 7 2" xfId="6977" xr:uid="{00000000-0005-0000-0000-000078210000}"/>
    <cellStyle name="Note 3 2 2 7 2 2" xfId="15416" xr:uid="{01ADEEB5-8F98-43AE-96B5-41295008C5B7}"/>
    <cellStyle name="Note 3 2 2 7 3" xfId="11198" xr:uid="{4D2F50BE-7E5B-4439-9211-D529E4812667}"/>
    <cellStyle name="Note 3 2 2 8" xfId="2752" xr:uid="{00000000-0005-0000-0000-000079210000}"/>
    <cellStyle name="Note 3 2 2 9" xfId="2833" xr:uid="{00000000-0005-0000-0000-00007A210000}"/>
    <cellStyle name="Note 3 2 2 9 2" xfId="7057" xr:uid="{00000000-0005-0000-0000-00007B210000}"/>
    <cellStyle name="Note 3 2 2 9 2 2" xfId="15496" xr:uid="{3D7D9EB2-4EBF-4E92-9B52-A7B3A339F482}"/>
    <cellStyle name="Note 3 2 2 9 3" xfId="11278" xr:uid="{7774FD85-8F1B-4003-AC56-2CF23C782F26}"/>
    <cellStyle name="Note 3 2 3" xfId="557" xr:uid="{00000000-0005-0000-0000-00007C210000}"/>
    <cellStyle name="Note 3 2 3 10" xfId="9135" xr:uid="{F600A1A3-AE59-487C-9B6E-A96F45F4B275}"/>
    <cellStyle name="Note 3 2 3 2" xfId="1017" xr:uid="{00000000-0005-0000-0000-00007D210000}"/>
    <cellStyle name="Note 3 2 3 2 2" xfId="3249" xr:uid="{00000000-0005-0000-0000-00007E210000}"/>
    <cellStyle name="Note 3 2 3 2 2 2" xfId="7472" xr:uid="{00000000-0005-0000-0000-00007F210000}"/>
    <cellStyle name="Note 3 2 3 2 2 2 2" xfId="15911" xr:uid="{EAABCB86-C182-4A25-B7A0-78BDCCA9A52E}"/>
    <cellStyle name="Note 3 2 3 2 2 3" xfId="11693" xr:uid="{8DA3D74A-3338-494B-B777-C8A762B3D088}"/>
    <cellStyle name="Note 3 2 3 2 3" xfId="5327" xr:uid="{00000000-0005-0000-0000-000080210000}"/>
    <cellStyle name="Note 3 2 3 2 3 2" xfId="13766" xr:uid="{EEC51E55-A963-4BDE-984F-79B0A64F79EC}"/>
    <cellStyle name="Note 3 2 3 2 4" xfId="9548" xr:uid="{212CEF76-504C-4EEC-B0A7-C067865C5105}"/>
    <cellStyle name="Note 3 2 3 3" xfId="1432" xr:uid="{00000000-0005-0000-0000-000081210000}"/>
    <cellStyle name="Note 3 2 3 3 2" xfId="3662" xr:uid="{00000000-0005-0000-0000-000082210000}"/>
    <cellStyle name="Note 3 2 3 3 2 2" xfId="7885" xr:uid="{00000000-0005-0000-0000-000083210000}"/>
    <cellStyle name="Note 3 2 3 3 2 2 2" xfId="16324" xr:uid="{2594008D-0FC9-4F03-8065-1E108DD6C33E}"/>
    <cellStyle name="Note 3 2 3 3 2 3" xfId="12106" xr:uid="{0FDB6137-DC69-47BE-A516-390BACA67D2D}"/>
    <cellStyle name="Note 3 2 3 3 3" xfId="5740" xr:uid="{00000000-0005-0000-0000-000084210000}"/>
    <cellStyle name="Note 3 2 3 3 3 2" xfId="14179" xr:uid="{9605A8BE-C64D-496B-A774-21CC825442F9}"/>
    <cellStyle name="Note 3 2 3 3 4" xfId="9961" xr:uid="{9C2FF5FD-B911-49C7-B07D-85B254BA2346}"/>
    <cellStyle name="Note 3 2 3 4" xfId="1846" xr:uid="{00000000-0005-0000-0000-000085210000}"/>
    <cellStyle name="Note 3 2 3 4 2" xfId="4075" xr:uid="{00000000-0005-0000-0000-000086210000}"/>
    <cellStyle name="Note 3 2 3 4 2 2" xfId="8298" xr:uid="{00000000-0005-0000-0000-000087210000}"/>
    <cellStyle name="Note 3 2 3 4 2 2 2" xfId="16737" xr:uid="{359CDF97-0EA2-49A2-A559-4243AAE42378}"/>
    <cellStyle name="Note 3 2 3 4 2 3" xfId="12519" xr:uid="{D88B1B26-9AB3-4E8E-A3DF-5E7492E17522}"/>
    <cellStyle name="Note 3 2 3 4 3" xfId="6153" xr:uid="{00000000-0005-0000-0000-000088210000}"/>
    <cellStyle name="Note 3 2 3 4 3 2" xfId="14592" xr:uid="{5CA46ADE-8D17-4E75-BD92-23D4BA41D8B7}"/>
    <cellStyle name="Note 3 2 3 4 4" xfId="10374" xr:uid="{EF54E9AC-D6C9-4F54-BC51-38B965C99803}"/>
    <cellStyle name="Note 3 2 3 5" xfId="2259" xr:uid="{00000000-0005-0000-0000-000089210000}"/>
    <cellStyle name="Note 3 2 3 5 2" xfId="4488" xr:uid="{00000000-0005-0000-0000-00008A210000}"/>
    <cellStyle name="Note 3 2 3 5 2 2" xfId="8711" xr:uid="{00000000-0005-0000-0000-00008B210000}"/>
    <cellStyle name="Note 3 2 3 5 2 2 2" xfId="17150" xr:uid="{C76CA237-AFD0-437F-A66A-4037E580E5B8}"/>
    <cellStyle name="Note 3 2 3 5 2 3" xfId="12932" xr:uid="{83CBE285-B954-44D1-A46F-764FB835F357}"/>
    <cellStyle name="Note 3 2 3 5 3" xfId="6566" xr:uid="{00000000-0005-0000-0000-00008C210000}"/>
    <cellStyle name="Note 3 2 3 5 3 2" xfId="15005" xr:uid="{CC58223A-9714-4C4D-B2A6-4A97CC2F286E}"/>
    <cellStyle name="Note 3 2 3 5 4" xfId="10787" xr:uid="{7AF08546-3E63-423C-8E35-9B5B3267D8FA}"/>
    <cellStyle name="Note 3 2 3 6" xfId="2695" xr:uid="{00000000-0005-0000-0000-00008D210000}"/>
    <cellStyle name="Note 3 2 3 6 2" xfId="6979" xr:uid="{00000000-0005-0000-0000-00008E210000}"/>
    <cellStyle name="Note 3 2 3 6 2 2" xfId="15418" xr:uid="{723FFA28-B9A2-4669-BC5B-44BCE088A4A6}"/>
    <cellStyle name="Note 3 2 3 6 3" xfId="11200" xr:uid="{75A7D021-D17E-4F4E-BB43-E84C5F5C2F61}"/>
    <cellStyle name="Note 3 2 3 7" xfId="2754" xr:uid="{00000000-0005-0000-0000-00008F210000}"/>
    <cellStyle name="Note 3 2 3 8" xfId="2835" xr:uid="{00000000-0005-0000-0000-000090210000}"/>
    <cellStyle name="Note 3 2 3 8 2" xfId="7059" xr:uid="{00000000-0005-0000-0000-000091210000}"/>
    <cellStyle name="Note 3 2 3 8 2 2" xfId="15498" xr:uid="{69A647AA-6C06-4CF5-A6F7-ACC711C2FF63}"/>
    <cellStyle name="Note 3 2 3 8 3" xfId="11280" xr:uid="{9CE36125-3B5F-459A-B0D9-28E3D1A53B55}"/>
    <cellStyle name="Note 3 2 3 9" xfId="4914" xr:uid="{00000000-0005-0000-0000-000092210000}"/>
    <cellStyle name="Note 3 2 3 9 2" xfId="13353" xr:uid="{BB6FEF34-CF79-4427-9947-883B06C9B86F}"/>
    <cellStyle name="Note 3 2 4" xfId="1014" xr:uid="{00000000-0005-0000-0000-000093210000}"/>
    <cellStyle name="Note 3 2 4 2" xfId="3246" xr:uid="{00000000-0005-0000-0000-000094210000}"/>
    <cellStyle name="Note 3 2 4 2 2" xfId="7469" xr:uid="{00000000-0005-0000-0000-000095210000}"/>
    <cellStyle name="Note 3 2 4 2 2 2" xfId="15908" xr:uid="{63F61E94-7E6B-45C7-B2D3-D83C54956851}"/>
    <cellStyle name="Note 3 2 4 2 3" xfId="11690" xr:uid="{B783A4E7-9747-45D0-949B-FC66ACCBF449}"/>
    <cellStyle name="Note 3 2 4 3" xfId="5324" xr:uid="{00000000-0005-0000-0000-000096210000}"/>
    <cellStyle name="Note 3 2 4 3 2" xfId="13763" xr:uid="{F32294E3-E16F-45BC-B2C9-AF449A1F1A23}"/>
    <cellStyle name="Note 3 2 4 4" xfId="9545" xr:uid="{A072BDE7-9E3C-47B9-BE71-23B0A2EEF09B}"/>
    <cellStyle name="Note 3 2 5" xfId="1429" xr:uid="{00000000-0005-0000-0000-000097210000}"/>
    <cellStyle name="Note 3 2 5 2" xfId="3659" xr:uid="{00000000-0005-0000-0000-000098210000}"/>
    <cellStyle name="Note 3 2 5 2 2" xfId="7882" xr:uid="{00000000-0005-0000-0000-000099210000}"/>
    <cellStyle name="Note 3 2 5 2 2 2" xfId="16321" xr:uid="{F111AD77-5487-49F2-BB27-229B0F118E91}"/>
    <cellStyle name="Note 3 2 5 2 3" xfId="12103" xr:uid="{31848B4A-FC41-4960-9166-2F8A6ACCE5B6}"/>
    <cellStyle name="Note 3 2 5 3" xfId="5737" xr:uid="{00000000-0005-0000-0000-00009A210000}"/>
    <cellStyle name="Note 3 2 5 3 2" xfId="14176" xr:uid="{87AAA0E5-DF38-4FC2-9D6D-183C505B3807}"/>
    <cellStyle name="Note 3 2 5 4" xfId="9958" xr:uid="{F6806BE8-4F7F-44B1-88B6-964DB8F84E03}"/>
    <cellStyle name="Note 3 2 6" xfId="1843" xr:uid="{00000000-0005-0000-0000-00009B210000}"/>
    <cellStyle name="Note 3 2 6 2" xfId="4072" xr:uid="{00000000-0005-0000-0000-00009C210000}"/>
    <cellStyle name="Note 3 2 6 2 2" xfId="8295" xr:uid="{00000000-0005-0000-0000-00009D210000}"/>
    <cellStyle name="Note 3 2 6 2 2 2" xfId="16734" xr:uid="{6625E96C-D46E-43AD-BC58-061BBD31DD5B}"/>
    <cellStyle name="Note 3 2 6 2 3" xfId="12516" xr:uid="{67EFB15B-268F-4126-B222-15A857A70209}"/>
    <cellStyle name="Note 3 2 6 3" xfId="6150" xr:uid="{00000000-0005-0000-0000-00009E210000}"/>
    <cellStyle name="Note 3 2 6 3 2" xfId="14589" xr:uid="{BE14BA34-AA4F-4E06-A588-FC74C55E5ECD}"/>
    <cellStyle name="Note 3 2 6 4" xfId="10371" xr:uid="{45C9737D-EB36-442C-9D8C-C1E85CC74A23}"/>
    <cellStyle name="Note 3 2 7" xfId="2256" xr:uid="{00000000-0005-0000-0000-00009F210000}"/>
    <cellStyle name="Note 3 2 7 2" xfId="4485" xr:uid="{00000000-0005-0000-0000-0000A0210000}"/>
    <cellStyle name="Note 3 2 7 2 2" xfId="8708" xr:uid="{00000000-0005-0000-0000-0000A1210000}"/>
    <cellStyle name="Note 3 2 7 2 2 2" xfId="17147" xr:uid="{A465BA33-17C7-4DED-BD65-BA5E8274739F}"/>
    <cellStyle name="Note 3 2 7 2 3" xfId="12929" xr:uid="{D08653B1-CE40-4DF7-8255-EF3B3C53020E}"/>
    <cellStyle name="Note 3 2 7 3" xfId="6563" xr:uid="{00000000-0005-0000-0000-0000A2210000}"/>
    <cellStyle name="Note 3 2 7 3 2" xfId="15002" xr:uid="{32EDC105-E37A-46D9-BD47-EABF9F900501}"/>
    <cellStyle name="Note 3 2 7 4" xfId="10784" xr:uid="{63506BC5-9085-4DBE-8995-A0296734D6D4}"/>
    <cellStyle name="Note 3 2 8" xfId="2692" xr:uid="{00000000-0005-0000-0000-0000A3210000}"/>
    <cellStyle name="Note 3 2 8 2" xfId="6976" xr:uid="{00000000-0005-0000-0000-0000A4210000}"/>
    <cellStyle name="Note 3 2 8 2 2" xfId="15415" xr:uid="{406EE0E4-E6F3-4E57-9E4A-BFA9CE7E2A39}"/>
    <cellStyle name="Note 3 2 8 3" xfId="11197" xr:uid="{FD51ABA3-A195-43EE-A726-9D6AF10A0AC7}"/>
    <cellStyle name="Note 3 2 9" xfId="2751" xr:uid="{00000000-0005-0000-0000-0000A5210000}"/>
    <cellStyle name="Note 3 3" xfId="558" xr:uid="{00000000-0005-0000-0000-0000A6210000}"/>
    <cellStyle name="Note 3 3 10" xfId="4915" xr:uid="{00000000-0005-0000-0000-0000A7210000}"/>
    <cellStyle name="Note 3 3 10 2" xfId="13354" xr:uid="{629128B6-40C9-4447-B044-E99CC89CB06B}"/>
    <cellStyle name="Note 3 3 11" xfId="9136" xr:uid="{60413837-D6E2-4EB8-8335-056549BA3B74}"/>
    <cellStyle name="Note 3 3 2" xfId="559" xr:uid="{00000000-0005-0000-0000-0000A8210000}"/>
    <cellStyle name="Note 3 3 2 10" xfId="9137" xr:uid="{7479D779-1C8A-4CD7-B63F-1BF86A8C9040}"/>
    <cellStyle name="Note 3 3 2 2" xfId="1019" xr:uid="{00000000-0005-0000-0000-0000A9210000}"/>
    <cellStyle name="Note 3 3 2 2 2" xfId="3251" xr:uid="{00000000-0005-0000-0000-0000AA210000}"/>
    <cellStyle name="Note 3 3 2 2 2 2" xfId="7474" xr:uid="{00000000-0005-0000-0000-0000AB210000}"/>
    <cellStyle name="Note 3 3 2 2 2 2 2" xfId="15913" xr:uid="{E044C1BE-6ABA-498E-9FCB-6AD80EA697CD}"/>
    <cellStyle name="Note 3 3 2 2 2 3" xfId="11695" xr:uid="{DC86B5BF-C841-4C0F-9E71-535472728B7F}"/>
    <cellStyle name="Note 3 3 2 2 3" xfId="5329" xr:uid="{00000000-0005-0000-0000-0000AC210000}"/>
    <cellStyle name="Note 3 3 2 2 3 2" xfId="13768" xr:uid="{72F0025A-ACE0-4762-A6BB-1AF6A354611F}"/>
    <cellStyle name="Note 3 3 2 2 4" xfId="9550" xr:uid="{503E14CD-AA20-4C69-AE1A-979400C19502}"/>
    <cellStyle name="Note 3 3 2 3" xfId="1434" xr:uid="{00000000-0005-0000-0000-0000AD210000}"/>
    <cellStyle name="Note 3 3 2 3 2" xfId="3664" xr:uid="{00000000-0005-0000-0000-0000AE210000}"/>
    <cellStyle name="Note 3 3 2 3 2 2" xfId="7887" xr:uid="{00000000-0005-0000-0000-0000AF210000}"/>
    <cellStyle name="Note 3 3 2 3 2 2 2" xfId="16326" xr:uid="{DD5265A4-8C0F-43F2-B76D-D0892E2AB410}"/>
    <cellStyle name="Note 3 3 2 3 2 3" xfId="12108" xr:uid="{49FFC994-0328-4640-BA5D-10C77E21306D}"/>
    <cellStyle name="Note 3 3 2 3 3" xfId="5742" xr:uid="{00000000-0005-0000-0000-0000B0210000}"/>
    <cellStyle name="Note 3 3 2 3 3 2" xfId="14181" xr:uid="{D3A48C42-F36B-4551-8ECA-01C18D47CF5C}"/>
    <cellStyle name="Note 3 3 2 3 4" xfId="9963" xr:uid="{929055AF-89A7-4AD1-A358-889228DEE40A}"/>
    <cellStyle name="Note 3 3 2 4" xfId="1848" xr:uid="{00000000-0005-0000-0000-0000B1210000}"/>
    <cellStyle name="Note 3 3 2 4 2" xfId="4077" xr:uid="{00000000-0005-0000-0000-0000B2210000}"/>
    <cellStyle name="Note 3 3 2 4 2 2" xfId="8300" xr:uid="{00000000-0005-0000-0000-0000B3210000}"/>
    <cellStyle name="Note 3 3 2 4 2 2 2" xfId="16739" xr:uid="{AAE9DC95-BDE0-4626-94BC-2CB7747D8FA9}"/>
    <cellStyle name="Note 3 3 2 4 2 3" xfId="12521" xr:uid="{4D57B0C3-3F1B-4D79-A02E-3C4B22CE479C}"/>
    <cellStyle name="Note 3 3 2 4 3" xfId="6155" xr:uid="{00000000-0005-0000-0000-0000B4210000}"/>
    <cellStyle name="Note 3 3 2 4 3 2" xfId="14594" xr:uid="{9128D9F4-4DBE-40E0-A9E4-08AEE44B3A50}"/>
    <cellStyle name="Note 3 3 2 4 4" xfId="10376" xr:uid="{174ABF67-DF63-4DDC-9AF2-1E2D5C731EE7}"/>
    <cellStyle name="Note 3 3 2 5" xfId="2261" xr:uid="{00000000-0005-0000-0000-0000B5210000}"/>
    <cellStyle name="Note 3 3 2 5 2" xfId="4490" xr:uid="{00000000-0005-0000-0000-0000B6210000}"/>
    <cellStyle name="Note 3 3 2 5 2 2" xfId="8713" xr:uid="{00000000-0005-0000-0000-0000B7210000}"/>
    <cellStyle name="Note 3 3 2 5 2 2 2" xfId="17152" xr:uid="{61560354-BE06-4428-B1E4-301AE05415D9}"/>
    <cellStyle name="Note 3 3 2 5 2 3" xfId="12934" xr:uid="{2BE4B8F7-F9CE-44C5-93C2-B4885600E7D5}"/>
    <cellStyle name="Note 3 3 2 5 3" xfId="6568" xr:uid="{00000000-0005-0000-0000-0000B8210000}"/>
    <cellStyle name="Note 3 3 2 5 3 2" xfId="15007" xr:uid="{5EC1216F-1064-4611-80D5-BEDDAE158C53}"/>
    <cellStyle name="Note 3 3 2 5 4" xfId="10789" xr:uid="{2A3975A4-ABEB-4087-AFF5-CA7339816D9F}"/>
    <cellStyle name="Note 3 3 2 6" xfId="2697" xr:uid="{00000000-0005-0000-0000-0000B9210000}"/>
    <cellStyle name="Note 3 3 2 6 2" xfId="6981" xr:uid="{00000000-0005-0000-0000-0000BA210000}"/>
    <cellStyle name="Note 3 3 2 6 2 2" xfId="15420" xr:uid="{7A3C9D55-2BB7-42E6-83B5-2A4D253F7862}"/>
    <cellStyle name="Note 3 3 2 6 3" xfId="11202" xr:uid="{704E3E2A-1405-46CA-9D2B-945392568375}"/>
    <cellStyle name="Note 3 3 2 7" xfId="2756" xr:uid="{00000000-0005-0000-0000-0000BB210000}"/>
    <cellStyle name="Note 3 3 2 8" xfId="2837" xr:uid="{00000000-0005-0000-0000-0000BC210000}"/>
    <cellStyle name="Note 3 3 2 8 2" xfId="7061" xr:uid="{00000000-0005-0000-0000-0000BD210000}"/>
    <cellStyle name="Note 3 3 2 8 2 2" xfId="15500" xr:uid="{DC3B3E58-A12A-44E7-B85A-6FD141204522}"/>
    <cellStyle name="Note 3 3 2 8 3" xfId="11282" xr:uid="{F53596ED-EC0B-4984-8346-A0DFAB5DCF9D}"/>
    <cellStyle name="Note 3 3 2 9" xfId="4916" xr:uid="{00000000-0005-0000-0000-0000BE210000}"/>
    <cellStyle name="Note 3 3 2 9 2" xfId="13355" xr:uid="{E393B778-E6B3-4DD0-BDDA-BB1514AB1C80}"/>
    <cellStyle name="Note 3 3 3" xfId="1018" xr:uid="{00000000-0005-0000-0000-0000BF210000}"/>
    <cellStyle name="Note 3 3 3 2" xfId="3250" xr:uid="{00000000-0005-0000-0000-0000C0210000}"/>
    <cellStyle name="Note 3 3 3 2 2" xfId="7473" xr:uid="{00000000-0005-0000-0000-0000C1210000}"/>
    <cellStyle name="Note 3 3 3 2 2 2" xfId="15912" xr:uid="{1D29ECE3-2EC6-47B7-9C5C-995E3298CC24}"/>
    <cellStyle name="Note 3 3 3 2 3" xfId="11694" xr:uid="{9897ADEE-7FDC-4631-8372-5DE1F5950E4D}"/>
    <cellStyle name="Note 3 3 3 3" xfId="5328" xr:uid="{00000000-0005-0000-0000-0000C2210000}"/>
    <cellStyle name="Note 3 3 3 3 2" xfId="13767" xr:uid="{F76D15E1-72AF-40C2-8149-31226F3A27D5}"/>
    <cellStyle name="Note 3 3 3 4" xfId="9549" xr:uid="{71DFC430-040A-4287-8DB9-316FA6697FFE}"/>
    <cellStyle name="Note 3 3 4" xfId="1433" xr:uid="{00000000-0005-0000-0000-0000C3210000}"/>
    <cellStyle name="Note 3 3 4 2" xfId="3663" xr:uid="{00000000-0005-0000-0000-0000C4210000}"/>
    <cellStyle name="Note 3 3 4 2 2" xfId="7886" xr:uid="{00000000-0005-0000-0000-0000C5210000}"/>
    <cellStyle name="Note 3 3 4 2 2 2" xfId="16325" xr:uid="{3D407BA8-1706-4002-94D2-813A7CC3B098}"/>
    <cellStyle name="Note 3 3 4 2 3" xfId="12107" xr:uid="{AB427652-EC11-4F58-85E5-6F2573228C5F}"/>
    <cellStyle name="Note 3 3 4 3" xfId="5741" xr:uid="{00000000-0005-0000-0000-0000C6210000}"/>
    <cellStyle name="Note 3 3 4 3 2" xfId="14180" xr:uid="{80EDDAD1-57CC-45DE-BF59-DF2DFEB119A6}"/>
    <cellStyle name="Note 3 3 4 4" xfId="9962" xr:uid="{B94CA443-7FBE-4A05-96F6-274A3D5EBF8B}"/>
    <cellStyle name="Note 3 3 5" xfId="1847" xr:uid="{00000000-0005-0000-0000-0000C7210000}"/>
    <cellStyle name="Note 3 3 5 2" xfId="4076" xr:uid="{00000000-0005-0000-0000-0000C8210000}"/>
    <cellStyle name="Note 3 3 5 2 2" xfId="8299" xr:uid="{00000000-0005-0000-0000-0000C9210000}"/>
    <cellStyle name="Note 3 3 5 2 2 2" xfId="16738" xr:uid="{E18B45A6-1A7A-4B2E-8B8A-AFAB3470AF3B}"/>
    <cellStyle name="Note 3 3 5 2 3" xfId="12520" xr:uid="{5887D504-DA72-425C-8CE6-8428191117A9}"/>
    <cellStyle name="Note 3 3 5 3" xfId="6154" xr:uid="{00000000-0005-0000-0000-0000CA210000}"/>
    <cellStyle name="Note 3 3 5 3 2" xfId="14593" xr:uid="{65FA4D3F-020E-4459-B323-F0E228BBE8FD}"/>
    <cellStyle name="Note 3 3 5 4" xfId="10375" xr:uid="{193BA64B-51CC-484F-91B8-198A96C647A3}"/>
    <cellStyle name="Note 3 3 6" xfId="2260" xr:uid="{00000000-0005-0000-0000-0000CB210000}"/>
    <cellStyle name="Note 3 3 6 2" xfId="4489" xr:uid="{00000000-0005-0000-0000-0000CC210000}"/>
    <cellStyle name="Note 3 3 6 2 2" xfId="8712" xr:uid="{00000000-0005-0000-0000-0000CD210000}"/>
    <cellStyle name="Note 3 3 6 2 2 2" xfId="17151" xr:uid="{F81FD28C-A897-44B3-8B76-FFEB950DE825}"/>
    <cellStyle name="Note 3 3 6 2 3" xfId="12933" xr:uid="{B7489068-6381-428F-AAF3-015A3AEE7161}"/>
    <cellStyle name="Note 3 3 6 3" xfId="6567" xr:uid="{00000000-0005-0000-0000-0000CE210000}"/>
    <cellStyle name="Note 3 3 6 3 2" xfId="15006" xr:uid="{8A51FBFB-D84A-479F-90D6-58B5A1A726F6}"/>
    <cellStyle name="Note 3 3 6 4" xfId="10788" xr:uid="{AB81A123-E7F0-45D6-AB02-77B7A5F7DEC6}"/>
    <cellStyle name="Note 3 3 7" xfId="2696" xr:uid="{00000000-0005-0000-0000-0000CF210000}"/>
    <cellStyle name="Note 3 3 7 2" xfId="6980" xr:uid="{00000000-0005-0000-0000-0000D0210000}"/>
    <cellStyle name="Note 3 3 7 2 2" xfId="15419" xr:uid="{7BE3968A-DFDC-4C62-B9AD-41C094C2CD26}"/>
    <cellStyle name="Note 3 3 7 3" xfId="11201" xr:uid="{B19B87DF-CBC3-4B49-A8AB-C2D981E78AB9}"/>
    <cellStyle name="Note 3 3 8" xfId="2755" xr:uid="{00000000-0005-0000-0000-0000D1210000}"/>
    <cellStyle name="Note 3 3 9" xfId="2836" xr:uid="{00000000-0005-0000-0000-0000D2210000}"/>
    <cellStyle name="Note 3 3 9 2" xfId="7060" xr:uid="{00000000-0005-0000-0000-0000D3210000}"/>
    <cellStyle name="Note 3 3 9 2 2" xfId="15499" xr:uid="{FE0C35EB-D4F5-4B6B-865F-A07A99929A9F}"/>
    <cellStyle name="Note 3 3 9 3" xfId="11281" xr:uid="{746F80F0-6502-4E8A-A3B3-BFE8579A3302}"/>
    <cellStyle name="Note 3 4" xfId="560" xr:uid="{00000000-0005-0000-0000-0000D4210000}"/>
    <cellStyle name="Note 3 4 10" xfId="9138" xr:uid="{D6B99A62-C767-4DF2-AFE6-FB45E2DDE57E}"/>
    <cellStyle name="Note 3 4 2" xfId="1020" xr:uid="{00000000-0005-0000-0000-0000D5210000}"/>
    <cellStyle name="Note 3 4 2 2" xfId="3252" xr:uid="{00000000-0005-0000-0000-0000D6210000}"/>
    <cellStyle name="Note 3 4 2 2 2" xfId="7475" xr:uid="{00000000-0005-0000-0000-0000D7210000}"/>
    <cellStyle name="Note 3 4 2 2 2 2" xfId="15914" xr:uid="{12C39939-230E-4C34-A83C-244ED2CFD854}"/>
    <cellStyle name="Note 3 4 2 2 3" xfId="11696" xr:uid="{B164ABDF-DF65-4DEF-AE0E-5DF83A39BB02}"/>
    <cellStyle name="Note 3 4 2 3" xfId="5330" xr:uid="{00000000-0005-0000-0000-0000D8210000}"/>
    <cellStyle name="Note 3 4 2 3 2" xfId="13769" xr:uid="{75C6F39A-C47F-4A15-88E2-47674C6873C2}"/>
    <cellStyle name="Note 3 4 2 4" xfId="9551" xr:uid="{D27C9431-FFB4-44FD-8B83-E35CA7FC9319}"/>
    <cellStyle name="Note 3 4 3" xfId="1435" xr:uid="{00000000-0005-0000-0000-0000D9210000}"/>
    <cellStyle name="Note 3 4 3 2" xfId="3665" xr:uid="{00000000-0005-0000-0000-0000DA210000}"/>
    <cellStyle name="Note 3 4 3 2 2" xfId="7888" xr:uid="{00000000-0005-0000-0000-0000DB210000}"/>
    <cellStyle name="Note 3 4 3 2 2 2" xfId="16327" xr:uid="{84676E89-6CDB-4D54-840A-C547CE620B0A}"/>
    <cellStyle name="Note 3 4 3 2 3" xfId="12109" xr:uid="{974BA62F-FA11-4BF9-A1EA-5D5CC27B4F40}"/>
    <cellStyle name="Note 3 4 3 3" xfId="5743" xr:uid="{00000000-0005-0000-0000-0000DC210000}"/>
    <cellStyle name="Note 3 4 3 3 2" xfId="14182" xr:uid="{9EDDD9CB-070A-490F-98FB-8D7E8C2C1D0E}"/>
    <cellStyle name="Note 3 4 3 4" xfId="9964" xr:uid="{69D723AB-B761-43C6-9091-27951D9E3942}"/>
    <cellStyle name="Note 3 4 4" xfId="1849" xr:uid="{00000000-0005-0000-0000-0000DD210000}"/>
    <cellStyle name="Note 3 4 4 2" xfId="4078" xr:uid="{00000000-0005-0000-0000-0000DE210000}"/>
    <cellStyle name="Note 3 4 4 2 2" xfId="8301" xr:uid="{00000000-0005-0000-0000-0000DF210000}"/>
    <cellStyle name="Note 3 4 4 2 2 2" xfId="16740" xr:uid="{CFBA92C4-B915-4173-A74B-91A871C9A938}"/>
    <cellStyle name="Note 3 4 4 2 3" xfId="12522" xr:uid="{8B9187F9-910C-4913-962E-A47CE94939AA}"/>
    <cellStyle name="Note 3 4 4 3" xfId="6156" xr:uid="{00000000-0005-0000-0000-0000E0210000}"/>
    <cellStyle name="Note 3 4 4 3 2" xfId="14595" xr:uid="{E0D414D1-8AB6-456B-AEA7-1ADD8D266265}"/>
    <cellStyle name="Note 3 4 4 4" xfId="10377" xr:uid="{C576D504-3203-49C5-ABA9-6FF48671A156}"/>
    <cellStyle name="Note 3 4 5" xfId="2262" xr:uid="{00000000-0005-0000-0000-0000E1210000}"/>
    <cellStyle name="Note 3 4 5 2" xfId="4491" xr:uid="{00000000-0005-0000-0000-0000E2210000}"/>
    <cellStyle name="Note 3 4 5 2 2" xfId="8714" xr:uid="{00000000-0005-0000-0000-0000E3210000}"/>
    <cellStyle name="Note 3 4 5 2 2 2" xfId="17153" xr:uid="{5C062940-F147-42A1-BB15-FA692FD06130}"/>
    <cellStyle name="Note 3 4 5 2 3" xfId="12935" xr:uid="{EB2FA334-3DCA-4E30-8C20-5DBF34AF64F5}"/>
    <cellStyle name="Note 3 4 5 3" xfId="6569" xr:uid="{00000000-0005-0000-0000-0000E4210000}"/>
    <cellStyle name="Note 3 4 5 3 2" xfId="15008" xr:uid="{8DDA8B84-F391-4888-BF65-5FA7A4CD0F34}"/>
    <cellStyle name="Note 3 4 5 4" xfId="10790" xr:uid="{92CDC9A7-E997-48CF-8B1B-5556E64E7B2D}"/>
    <cellStyle name="Note 3 4 6" xfId="2698" xr:uid="{00000000-0005-0000-0000-0000E5210000}"/>
    <cellStyle name="Note 3 4 6 2" xfId="6982" xr:uid="{00000000-0005-0000-0000-0000E6210000}"/>
    <cellStyle name="Note 3 4 6 2 2" xfId="15421" xr:uid="{EEE6FCF6-0E7A-4CD5-A741-071447FE1958}"/>
    <cellStyle name="Note 3 4 6 3" xfId="11203" xr:uid="{25CCB1CE-85DC-4089-87ED-9B29FA6E6F33}"/>
    <cellStyle name="Note 3 4 7" xfId="2757" xr:uid="{00000000-0005-0000-0000-0000E7210000}"/>
    <cellStyle name="Note 3 4 8" xfId="2838" xr:uid="{00000000-0005-0000-0000-0000E8210000}"/>
    <cellStyle name="Note 3 4 8 2" xfId="7062" xr:uid="{00000000-0005-0000-0000-0000E9210000}"/>
    <cellStyle name="Note 3 4 8 2 2" xfId="15501" xr:uid="{E6082EBD-84AA-4FE8-B565-8A6DA28FE875}"/>
    <cellStyle name="Note 3 4 8 3" xfId="11283" xr:uid="{D2058917-023F-45DF-8EF2-AE84167A8EB7}"/>
    <cellStyle name="Note 3 4 9" xfId="4917" xr:uid="{00000000-0005-0000-0000-0000EA210000}"/>
    <cellStyle name="Note 3 4 9 2" xfId="13356" xr:uid="{B2B2A7E2-51CD-40F3-900A-B465AE7EC08A}"/>
    <cellStyle name="Note 3 5" xfId="561" xr:uid="{00000000-0005-0000-0000-0000EB210000}"/>
    <cellStyle name="Note 3 5 10" xfId="9139" xr:uid="{9139CDB7-0CDA-41C4-AC35-DC5ECAF05D33}"/>
    <cellStyle name="Note 3 5 2" xfId="1021" xr:uid="{00000000-0005-0000-0000-0000EC210000}"/>
    <cellStyle name="Note 3 5 2 2" xfId="3253" xr:uid="{00000000-0005-0000-0000-0000ED210000}"/>
    <cellStyle name="Note 3 5 2 2 2" xfId="7476" xr:uid="{00000000-0005-0000-0000-0000EE210000}"/>
    <cellStyle name="Note 3 5 2 2 2 2" xfId="15915" xr:uid="{82F04EEB-AC1A-4292-85BC-7B70C536F186}"/>
    <cellStyle name="Note 3 5 2 2 3" xfId="11697" xr:uid="{639B483B-2F77-41D2-B69C-925DF64967CC}"/>
    <cellStyle name="Note 3 5 2 3" xfId="5331" xr:uid="{00000000-0005-0000-0000-0000EF210000}"/>
    <cellStyle name="Note 3 5 2 3 2" xfId="13770" xr:uid="{BD37322B-662F-4499-BF0A-DC9865F05F9C}"/>
    <cellStyle name="Note 3 5 2 4" xfId="9552" xr:uid="{DBC71BAF-9B10-4AD6-BED8-35A4C2F1A0CD}"/>
    <cellStyle name="Note 3 5 3" xfId="1436" xr:uid="{00000000-0005-0000-0000-0000F0210000}"/>
    <cellStyle name="Note 3 5 3 2" xfId="3666" xr:uid="{00000000-0005-0000-0000-0000F1210000}"/>
    <cellStyle name="Note 3 5 3 2 2" xfId="7889" xr:uid="{00000000-0005-0000-0000-0000F2210000}"/>
    <cellStyle name="Note 3 5 3 2 2 2" xfId="16328" xr:uid="{017E3F9E-F068-4A69-9D67-B9BCC8BCF8F4}"/>
    <cellStyle name="Note 3 5 3 2 3" xfId="12110" xr:uid="{6B613AB1-9EF2-47E8-ACE0-082E42FA3175}"/>
    <cellStyle name="Note 3 5 3 3" xfId="5744" xr:uid="{00000000-0005-0000-0000-0000F3210000}"/>
    <cellStyle name="Note 3 5 3 3 2" xfId="14183" xr:uid="{04D823FD-BF6D-4722-85BF-727CFD323254}"/>
    <cellStyle name="Note 3 5 3 4" xfId="9965" xr:uid="{5F4F8157-FD16-4EEA-9113-A2D85917AFA6}"/>
    <cellStyle name="Note 3 5 4" xfId="1850" xr:uid="{00000000-0005-0000-0000-0000F4210000}"/>
    <cellStyle name="Note 3 5 4 2" xfId="4079" xr:uid="{00000000-0005-0000-0000-0000F5210000}"/>
    <cellStyle name="Note 3 5 4 2 2" xfId="8302" xr:uid="{00000000-0005-0000-0000-0000F6210000}"/>
    <cellStyle name="Note 3 5 4 2 2 2" xfId="16741" xr:uid="{F4A6F1C4-BA1D-4A82-A807-EB554BD64991}"/>
    <cellStyle name="Note 3 5 4 2 3" xfId="12523" xr:uid="{C95EA3A2-6129-45A2-8B57-D723EB2C92EC}"/>
    <cellStyle name="Note 3 5 4 3" xfId="6157" xr:uid="{00000000-0005-0000-0000-0000F7210000}"/>
    <cellStyle name="Note 3 5 4 3 2" xfId="14596" xr:uid="{5EF5762B-F241-4766-958F-4347DE03BDB1}"/>
    <cellStyle name="Note 3 5 4 4" xfId="10378" xr:uid="{850E3507-EC09-4AFD-AC86-AA39B7F8EBB1}"/>
    <cellStyle name="Note 3 5 5" xfId="2263" xr:uid="{00000000-0005-0000-0000-0000F8210000}"/>
    <cellStyle name="Note 3 5 5 2" xfId="4492" xr:uid="{00000000-0005-0000-0000-0000F9210000}"/>
    <cellStyle name="Note 3 5 5 2 2" xfId="8715" xr:uid="{00000000-0005-0000-0000-0000FA210000}"/>
    <cellStyle name="Note 3 5 5 2 2 2" xfId="17154" xr:uid="{5DFD99A3-102B-4532-893C-ECF3D18909E1}"/>
    <cellStyle name="Note 3 5 5 2 3" xfId="12936" xr:uid="{0B09FE8D-EC84-4509-A19D-7DD775D66D51}"/>
    <cellStyle name="Note 3 5 5 3" xfId="6570" xr:uid="{00000000-0005-0000-0000-0000FB210000}"/>
    <cellStyle name="Note 3 5 5 3 2" xfId="15009" xr:uid="{6B2C7709-C8AB-40C1-8C97-E36848BA4F76}"/>
    <cellStyle name="Note 3 5 5 4" xfId="10791" xr:uid="{E3FC93BF-CD93-4745-B900-C400CAB691D0}"/>
    <cellStyle name="Note 3 5 6" xfId="2699" xr:uid="{00000000-0005-0000-0000-0000FC210000}"/>
    <cellStyle name="Note 3 5 6 2" xfId="6983" xr:uid="{00000000-0005-0000-0000-0000FD210000}"/>
    <cellStyle name="Note 3 5 6 2 2" xfId="15422" xr:uid="{6934347A-D77D-42E3-8E5B-853DC0173BC2}"/>
    <cellStyle name="Note 3 5 6 3" xfId="11204" xr:uid="{3334808D-83F6-475D-B583-96E27192DE89}"/>
    <cellStyle name="Note 3 5 7" xfId="2758" xr:uid="{00000000-0005-0000-0000-0000FE210000}"/>
    <cellStyle name="Note 3 5 8" xfId="2839" xr:uid="{00000000-0005-0000-0000-0000FF210000}"/>
    <cellStyle name="Note 3 5 8 2" xfId="7063" xr:uid="{00000000-0005-0000-0000-000000220000}"/>
    <cellStyle name="Note 3 5 8 2 2" xfId="15502" xr:uid="{E795A8A4-BAC5-4B47-9C21-89D67E8DFFCA}"/>
    <cellStyle name="Note 3 5 8 3" xfId="11284" xr:uid="{D4D6B071-494A-4A3F-86F1-E51C0548D308}"/>
    <cellStyle name="Note 3 5 9" xfId="4918" xr:uid="{00000000-0005-0000-0000-000001220000}"/>
    <cellStyle name="Note 3 5 9 2" xfId="13357" xr:uid="{625ED151-646B-43F7-8DDC-0CAEDA19F695}"/>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40" xr:uid="{590E2983-860F-4286-B41D-8BE93B2AF95D}"/>
    <cellStyle name="Percent 4" xfId="4502" xr:uid="{00000000-0005-0000-0000-000007220000}"/>
    <cellStyle name="Percent 4 2" xfId="8718" xr:uid="{00000000-0005-0000-0000-000008220000}"/>
    <cellStyle name="Percent 4 2 2" xfId="17157" xr:uid="{4F9BF552-E7C4-45F2-8C61-EAD1E5C67B74}"/>
    <cellStyle name="Percent 4 3" xfId="8721" xr:uid="{D09CD3FC-D632-4B66-A68A-5CC92F993799}"/>
    <cellStyle name="Percent 4 3 2" xfId="8725" xr:uid="{D57AE941-8E59-43F0-AB73-09B3BCCFA234}"/>
    <cellStyle name="Percent 4 3 3" xfId="17160" xr:uid="{732B4B08-7307-4FDA-A7D7-EF0079A5FBDE}"/>
    <cellStyle name="Percent 4 4" xfId="12943" xr:uid="{46519A51-282A-4E64-ACD3-29DB4FB2BC7D}"/>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2" dataDxfId="1" headerRowCellStyle="Normal 16 3" dataCellStyle="Normal 16 3">
  <autoFilter ref="BM8:BM13" xr:uid="{EC5E3245-E94C-4732-9264-A1FF7840F5A2}"/>
  <tableColumns count="1">
    <tableColumn id="1" xr3:uid="{65240E69-32D4-48CF-98F7-C12A61079F3B}" name="Construction Type" dataDxfId="0"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111" zoomScaleNormal="100" zoomScaleSheetLayoutView="100" workbookViewId="0">
      <selection activeCell="AB71" sqref="AB71:AU71"/>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1" t="s">
        <v>559</v>
      </c>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row>
    <row r="2" spans="1:38" ht="13.5" thickBot="1">
      <c r="A2" s="1262"/>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3" t="s">
        <v>2430</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90"/>
    </row>
    <row r="8" spans="1:38">
      <c r="A8" s="218"/>
      <c r="B8" s="218"/>
      <c r="C8" s="219"/>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90"/>
    </row>
    <row r="9" spans="1:38">
      <c r="A9" s="218"/>
      <c r="B9" s="218"/>
      <c r="C9" s="219"/>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3" t="s">
        <v>2431</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90"/>
    </row>
    <row r="12" spans="1:38">
      <c r="A12" s="218"/>
      <c r="B12" s="218"/>
      <c r="C12" s="219"/>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90"/>
    </row>
    <row r="13" spans="1:38">
      <c r="A13" s="218"/>
      <c r="B13" s="218"/>
      <c r="C13" s="219"/>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90"/>
    </row>
    <row r="14" spans="1:38" ht="13.15" customHeight="1">
      <c r="A14" s="218"/>
      <c r="B14" s="218"/>
      <c r="C14" s="219"/>
      <c r="E14" s="1263" t="s">
        <v>2432</v>
      </c>
      <c r="F14" s="1263"/>
      <c r="G14" s="1263"/>
      <c r="H14" s="1263"/>
      <c r="I14" s="1263"/>
      <c r="J14" s="1263"/>
      <c r="K14" s="1263"/>
      <c r="L14" s="1263"/>
      <c r="M14" s="1263"/>
      <c r="N14" s="1263"/>
      <c r="O14" s="1263"/>
      <c r="P14" s="1263"/>
      <c r="Q14" s="1263"/>
      <c r="R14" s="1263"/>
      <c r="S14" s="1263"/>
      <c r="T14" s="1263"/>
      <c r="U14" s="1263"/>
      <c r="V14" s="1263"/>
      <c r="W14" s="1263"/>
      <c r="X14" s="1263"/>
      <c r="Y14" s="1263"/>
      <c r="Z14" s="1263"/>
      <c r="AA14" s="1263"/>
      <c r="AB14" s="1263"/>
      <c r="AC14" s="1263"/>
      <c r="AD14" s="1263"/>
      <c r="AE14" s="1263"/>
      <c r="AF14" s="1263"/>
      <c r="AG14" s="1263"/>
      <c r="AH14" s="1263"/>
      <c r="AI14" s="1263"/>
      <c r="AJ14" s="1263"/>
      <c r="AK14" s="1263"/>
      <c r="AL14" s="490"/>
    </row>
    <row r="15" spans="1:38" ht="13.15" customHeight="1">
      <c r="A15" s="218"/>
      <c r="B15" s="218"/>
      <c r="C15" s="219"/>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90"/>
    </row>
    <row r="16" spans="1:38">
      <c r="A16" s="218"/>
      <c r="B16" s="218"/>
      <c r="C16" s="219"/>
      <c r="D16" s="490"/>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3" t="s">
        <v>2433</v>
      </c>
      <c r="E18" s="1263"/>
      <c r="F18" s="1263"/>
      <c r="G18" s="1263"/>
      <c r="H18" s="1263"/>
      <c r="I18" s="1263"/>
      <c r="J18" s="1263"/>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218"/>
    </row>
    <row r="19" spans="1:38">
      <c r="A19" s="218"/>
      <c r="B19" s="218"/>
      <c r="C19" s="219"/>
      <c r="D19" s="1263"/>
      <c r="E19" s="1263"/>
      <c r="F19" s="1263"/>
      <c r="G19" s="1263"/>
      <c r="H19" s="1263"/>
      <c r="I19" s="1263"/>
      <c r="J19" s="1263"/>
      <c r="K19" s="1263"/>
      <c r="L19" s="1263"/>
      <c r="M19" s="1263"/>
      <c r="N19" s="1263"/>
      <c r="O19" s="1263"/>
      <c r="P19" s="1263"/>
      <c r="Q19" s="1263"/>
      <c r="R19" s="1263"/>
      <c r="S19" s="1263"/>
      <c r="T19" s="1263"/>
      <c r="U19" s="1263"/>
      <c r="V19" s="1263"/>
      <c r="W19" s="1263"/>
      <c r="X19" s="1263"/>
      <c r="Y19" s="1263"/>
      <c r="Z19" s="1263"/>
      <c r="AA19" s="1263"/>
      <c r="AB19" s="1263"/>
      <c r="AC19" s="1263"/>
      <c r="AD19" s="1263"/>
      <c r="AE19" s="1263"/>
      <c r="AF19" s="1263"/>
      <c r="AG19" s="1263"/>
      <c r="AH19" s="1263"/>
      <c r="AI19" s="1263"/>
      <c r="AJ19" s="1263"/>
      <c r="AK19" s="1263"/>
      <c r="AL19" s="218"/>
    </row>
    <row r="20" spans="1:38">
      <c r="A20" s="218"/>
      <c r="B20" s="218"/>
      <c r="C20" s="219"/>
      <c r="D20" s="1263"/>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18"/>
    </row>
    <row r="21" spans="1:38" ht="13.15" customHeight="1">
      <c r="A21" s="218"/>
      <c r="B21" s="218"/>
      <c r="C21" s="219"/>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18"/>
    </row>
    <row r="22" spans="1:38">
      <c r="A22" s="218"/>
      <c r="B22" s="218"/>
      <c r="C22" s="219"/>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18"/>
    </row>
    <row r="23" spans="1:38">
      <c r="A23" s="218"/>
      <c r="B23" s="218"/>
      <c r="C23" s="219"/>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18"/>
    </row>
    <row r="24" spans="1:38">
      <c r="A24" s="218"/>
      <c r="B24" s="218"/>
      <c r="C24" s="219"/>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18"/>
    </row>
    <row r="25" spans="1:38">
      <c r="A25" s="218"/>
      <c r="B25" s="218"/>
      <c r="C25" s="219"/>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18"/>
    </row>
    <row r="26" spans="1:38">
      <c r="A26" s="218"/>
      <c r="B26" s="218"/>
      <c r="C26" s="219"/>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18"/>
    </row>
    <row r="27" spans="1:38" ht="11.85" customHeight="1">
      <c r="A27" s="218"/>
      <c r="B27" s="218"/>
      <c r="C27" s="219"/>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18"/>
    </row>
    <row r="28" spans="1:38" ht="13.15" customHeight="1">
      <c r="A28" s="218"/>
      <c r="B28" s="218"/>
      <c r="C28" s="219"/>
      <c r="E28" s="1263" t="s">
        <v>2434</v>
      </c>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18"/>
    </row>
    <row r="29" spans="1:38" ht="13.15" customHeight="1">
      <c r="A29" s="218"/>
      <c r="B29" s="218"/>
      <c r="C29" s="219"/>
      <c r="E29" s="1263"/>
      <c r="F29" s="1263"/>
      <c r="G29" s="1263"/>
      <c r="H29" s="1263"/>
      <c r="I29" s="1263"/>
      <c r="J29" s="1263"/>
      <c r="K29" s="1263"/>
      <c r="L29" s="1263"/>
      <c r="M29" s="1263"/>
      <c r="N29" s="1263"/>
      <c r="O29" s="1263"/>
      <c r="P29" s="1263"/>
      <c r="Q29" s="1263"/>
      <c r="R29" s="1263"/>
      <c r="S29" s="1263"/>
      <c r="T29" s="1263"/>
      <c r="U29" s="1263"/>
      <c r="V29" s="1263"/>
      <c r="W29" s="1263"/>
      <c r="X29" s="1263"/>
      <c r="Y29" s="1263"/>
      <c r="Z29" s="1263"/>
      <c r="AA29" s="1263"/>
      <c r="AB29" s="1263"/>
      <c r="AC29" s="1263"/>
      <c r="AD29" s="1263"/>
      <c r="AE29" s="1263"/>
      <c r="AF29" s="1263"/>
      <c r="AG29" s="1263"/>
      <c r="AH29" s="1263"/>
      <c r="AI29" s="1263"/>
      <c r="AJ29" s="1263"/>
      <c r="AK29" s="1263"/>
      <c r="AL29" s="218"/>
    </row>
    <row r="30" spans="1:38">
      <c r="A30" s="218"/>
      <c r="B30" s="218"/>
      <c r="C30" s="219"/>
      <c r="D30" s="490"/>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3" t="s">
        <v>2435</v>
      </c>
      <c r="E32" s="1263"/>
      <c r="F32" s="1263"/>
      <c r="G32" s="1263"/>
      <c r="H32" s="1263"/>
      <c r="I32" s="1263"/>
      <c r="J32" s="1263"/>
      <c r="K32" s="1263"/>
      <c r="L32" s="1263"/>
      <c r="M32" s="1263"/>
      <c r="N32" s="1263"/>
      <c r="O32" s="1263"/>
      <c r="P32" s="1263"/>
      <c r="Q32" s="1263"/>
      <c r="R32" s="1263"/>
      <c r="S32" s="1263"/>
      <c r="T32" s="1263"/>
      <c r="U32" s="1263"/>
      <c r="V32" s="1263"/>
      <c r="W32" s="1263"/>
      <c r="X32" s="1263"/>
      <c r="Y32" s="1263"/>
      <c r="Z32" s="1263"/>
      <c r="AA32" s="1263"/>
      <c r="AB32" s="1263"/>
      <c r="AC32" s="1263"/>
      <c r="AD32" s="1263"/>
      <c r="AE32" s="1263"/>
      <c r="AF32" s="1263"/>
      <c r="AG32" s="1263"/>
      <c r="AH32" s="1263"/>
      <c r="AI32" s="1263"/>
      <c r="AJ32" s="1263"/>
      <c r="AK32" s="1263"/>
      <c r="AL32" s="218"/>
    </row>
    <row r="33" spans="1:38">
      <c r="A33" s="218"/>
      <c r="B33" s="218"/>
      <c r="C33" s="219"/>
      <c r="D33" s="490"/>
      <c r="E33" s="1270" t="s">
        <v>2620</v>
      </c>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c r="AL33" s="218"/>
    </row>
    <row r="34" spans="1:38">
      <c r="A34" s="4"/>
      <c r="C34" s="2"/>
    </row>
    <row r="35" spans="1:38">
      <c r="A35" s="4"/>
      <c r="D35" s="1264" t="s">
        <v>2615</v>
      </c>
      <c r="E35" s="1264"/>
      <c r="F35" s="1264"/>
      <c r="G35" s="1264"/>
      <c r="H35" s="1264"/>
      <c r="I35" s="1264"/>
      <c r="J35" s="1264"/>
      <c r="K35" s="1264"/>
      <c r="L35" s="1264"/>
      <c r="M35" s="1264"/>
      <c r="N35" s="1264"/>
      <c r="O35" s="1264"/>
      <c r="P35" s="1264"/>
      <c r="Q35" s="1264"/>
      <c r="R35" s="1264"/>
      <c r="S35" s="1264"/>
      <c r="T35" s="1264"/>
      <c r="U35" s="1264"/>
      <c r="V35" s="1264"/>
      <c r="W35" s="1264"/>
      <c r="X35" s="1264"/>
      <c r="Y35" s="1264"/>
      <c r="Z35" s="1264"/>
      <c r="AA35" s="1264"/>
      <c r="AB35" s="1264"/>
      <c r="AC35" s="1264"/>
      <c r="AD35" s="1264"/>
      <c r="AE35" s="1264"/>
      <c r="AF35" s="1264"/>
      <c r="AG35" s="1264"/>
      <c r="AH35" s="1264"/>
      <c r="AI35" s="1264"/>
      <c r="AJ35" s="1264"/>
      <c r="AK35" s="1264"/>
    </row>
    <row r="36" spans="1:38">
      <c r="A36" s="4"/>
      <c r="D36" s="1264"/>
      <c r="E36" s="1264"/>
      <c r="F36" s="1264"/>
      <c r="G36" s="1264"/>
      <c r="H36" s="1264"/>
      <c r="I36" s="1264"/>
      <c r="J36" s="1264"/>
      <c r="K36" s="1264"/>
      <c r="L36" s="1264"/>
      <c r="M36" s="1264"/>
      <c r="N36" s="1264"/>
      <c r="O36" s="1264"/>
      <c r="P36" s="1264"/>
      <c r="Q36" s="1264"/>
      <c r="R36" s="1264"/>
      <c r="S36" s="1264"/>
      <c r="T36" s="1264"/>
      <c r="U36" s="1264"/>
      <c r="V36" s="1264"/>
      <c r="W36" s="1264"/>
      <c r="X36" s="1264"/>
      <c r="Y36" s="1264"/>
      <c r="Z36" s="1264"/>
      <c r="AA36" s="1264"/>
      <c r="AB36" s="1264"/>
      <c r="AC36" s="1264"/>
      <c r="AD36" s="1264"/>
      <c r="AE36" s="1264"/>
      <c r="AF36" s="1264"/>
      <c r="AG36" s="1264"/>
      <c r="AH36" s="1264"/>
      <c r="AI36" s="1264"/>
      <c r="AJ36" s="1264"/>
      <c r="AK36" s="1264"/>
    </row>
    <row r="37" spans="1:38">
      <c r="A37" s="4"/>
      <c r="D37" s="120"/>
      <c r="E37" s="1269" t="s">
        <v>2442</v>
      </c>
      <c r="F37" s="1269"/>
      <c r="G37" s="1269"/>
      <c r="H37" s="1269"/>
      <c r="I37" s="1269"/>
      <c r="J37" s="1269"/>
      <c r="K37" s="1269"/>
      <c r="L37" s="1269"/>
      <c r="M37" s="1269"/>
      <c r="N37" s="1269"/>
      <c r="O37" s="1269"/>
      <c r="P37" s="1269"/>
      <c r="Q37" s="1269"/>
      <c r="R37" s="1269"/>
      <c r="S37" s="1269"/>
      <c r="T37" s="1269"/>
      <c r="U37" s="1269"/>
      <c r="V37" s="1269"/>
      <c r="W37" s="1269"/>
      <c r="X37" s="1269"/>
      <c r="Y37" s="1269"/>
      <c r="Z37" s="1269"/>
      <c r="AA37" s="1269"/>
      <c r="AB37" s="1269"/>
      <c r="AC37" s="1269"/>
      <c r="AD37" s="1269"/>
      <c r="AE37" s="1269"/>
      <c r="AF37" s="1269"/>
      <c r="AG37" s="1269"/>
      <c r="AH37" s="1269"/>
      <c r="AI37" s="1269"/>
      <c r="AJ37" s="1269"/>
      <c r="AK37" s="1269"/>
    </row>
    <row r="38" spans="1:38">
      <c r="A38" s="4"/>
      <c r="D38" s="120"/>
      <c r="E38" s="1269" t="s">
        <v>2443</v>
      </c>
      <c r="F38" s="1269"/>
      <c r="G38" s="1269"/>
      <c r="H38" s="1269"/>
      <c r="I38" s="1269"/>
      <c r="J38" s="1269"/>
      <c r="K38" s="1269"/>
      <c r="L38" s="1269"/>
      <c r="M38" s="1269"/>
      <c r="N38" s="1269"/>
      <c r="O38" s="1269"/>
      <c r="P38" s="1269"/>
      <c r="Q38" s="1269"/>
      <c r="R38" s="1269"/>
      <c r="S38" s="1269"/>
      <c r="T38" s="1269"/>
      <c r="U38" s="1269"/>
      <c r="V38" s="1269"/>
      <c r="W38" s="1269"/>
      <c r="X38" s="1269"/>
      <c r="Y38" s="1269"/>
      <c r="Z38" s="1269"/>
      <c r="AA38" s="1269"/>
      <c r="AB38" s="1269"/>
      <c r="AC38" s="1269"/>
      <c r="AD38" s="1269"/>
      <c r="AE38" s="1269"/>
      <c r="AF38" s="1269"/>
      <c r="AG38" s="1269"/>
      <c r="AH38" s="1269"/>
      <c r="AI38" s="1269"/>
      <c r="AJ38" s="1269"/>
      <c r="AK38" s="1269"/>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3" customFormat="1" ht="13.15" customHeight="1">
      <c r="A42" s="4"/>
      <c r="B42"/>
      <c r="C42" s="2"/>
      <c r="D42" s="4"/>
      <c r="E42" s="4" t="s">
        <v>662</v>
      </c>
      <c r="F42" s="1263" t="s">
        <v>1305</v>
      </c>
    </row>
    <row r="43" spans="1:38" s="1263" customFormat="1" ht="13.15" customHeight="1">
      <c r="A43" s="4"/>
      <c r="B43"/>
      <c r="C43" s="2"/>
      <c r="D43" s="4"/>
      <c r="E43" s="4"/>
    </row>
    <row r="44" spans="1:38">
      <c r="A44" s="4"/>
      <c r="C44" s="2"/>
      <c r="D44" s="4"/>
      <c r="E44" s="4"/>
      <c r="F44" s="35" t="s">
        <v>697</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7" t="s">
        <v>1400</v>
      </c>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s="118" customFormat="1">
      <c r="A46" s="4"/>
      <c r="B46"/>
      <c r="C46" s="2"/>
      <c r="D46" s="4"/>
      <c r="E46" s="4"/>
      <c r="F46" s="1267"/>
      <c r="G46" s="1267"/>
      <c r="H46" s="1267"/>
      <c r="I46" s="1267"/>
      <c r="J46" s="1267"/>
      <c r="K46" s="1267"/>
      <c r="L46" s="1267"/>
      <c r="M46" s="1267"/>
      <c r="N46" s="1267"/>
      <c r="O46" s="1267"/>
      <c r="P46" s="1267"/>
      <c r="Q46" s="1267"/>
      <c r="R46" s="1267"/>
      <c r="S46" s="1267"/>
      <c r="T46" s="1267"/>
      <c r="U46" s="1267"/>
      <c r="V46" s="1267"/>
      <c r="W46" s="1267"/>
      <c r="X46" s="1267"/>
      <c r="Y46" s="1267"/>
      <c r="Z46" s="1267"/>
      <c r="AA46" s="1267"/>
      <c r="AB46" s="1267"/>
      <c r="AC46" s="1267"/>
      <c r="AD46" s="1267"/>
      <c r="AE46" s="1267"/>
      <c r="AF46" s="1267"/>
      <c r="AG46" s="1267"/>
      <c r="AH46" s="1267"/>
      <c r="AI46" s="1267"/>
      <c r="AJ46" s="1267"/>
      <c r="AK46" s="1267"/>
      <c r="AL46" s="1267"/>
    </row>
    <row r="47" spans="1:38" s="118" customFormat="1" ht="13.15" customHeight="1">
      <c r="A47" s="4"/>
      <c r="B47"/>
      <c r="C47" s="2"/>
      <c r="D47" s="4"/>
      <c r="E47" s="4"/>
      <c r="F47" s="1267"/>
      <c r="G47" s="1267"/>
      <c r="H47" s="1267"/>
      <c r="I47" s="1267"/>
      <c r="J47" s="1267"/>
      <c r="K47" s="1267"/>
      <c r="L47" s="1267"/>
      <c r="M47" s="1267"/>
      <c r="N47" s="1267"/>
      <c r="O47" s="1267"/>
      <c r="P47" s="1267"/>
      <c r="Q47" s="1267"/>
      <c r="R47" s="1267"/>
      <c r="S47" s="1267"/>
      <c r="T47" s="1267"/>
      <c r="U47" s="1267"/>
      <c r="V47" s="1267"/>
      <c r="W47" s="1267"/>
      <c r="X47" s="1267"/>
      <c r="Y47" s="1267"/>
      <c r="Z47" s="1267"/>
      <c r="AA47" s="1267"/>
      <c r="AB47" s="1267"/>
      <c r="AC47" s="1267"/>
      <c r="AD47" s="1267"/>
      <c r="AE47" s="1267"/>
      <c r="AF47" s="1267"/>
      <c r="AG47" s="1267"/>
      <c r="AH47" s="1267"/>
      <c r="AI47" s="1267"/>
      <c r="AJ47" s="1267"/>
      <c r="AK47" s="1267"/>
      <c r="AL47" s="1267"/>
    </row>
    <row r="48" spans="1:38">
      <c r="A48" s="4"/>
      <c r="C48" s="2"/>
      <c r="D48" s="4"/>
      <c r="E48" s="4"/>
      <c r="F48" s="118" t="s">
        <v>697</v>
      </c>
      <c r="G48" s="3" t="s">
        <v>2436</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351</v>
      </c>
      <c r="F50" s="1263" t="s">
        <v>2437</v>
      </c>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c r="A51" s="4"/>
      <c r="C51" s="2"/>
      <c r="D51" s="4"/>
      <c r="E51" s="4"/>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row>
    <row r="52" spans="1:38">
      <c r="A52" s="4"/>
      <c r="C52" s="2"/>
      <c r="D52" s="4"/>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1333</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5" t="s">
        <v>1332</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15" customHeight="1">
      <c r="A57" s="218"/>
      <c r="B57" s="218"/>
      <c r="C57" s="219"/>
      <c r="D57" s="219"/>
      <c r="E57" s="218"/>
      <c r="F57" s="220"/>
      <c r="G57" s="513" t="s">
        <v>1334</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584</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518</v>
      </c>
      <c r="G59" s="1265" t="s">
        <v>2438</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1441</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1306</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3" t="s">
        <v>1307</v>
      </c>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c r="A67" s="4"/>
      <c r="C67" s="2"/>
      <c r="D67" s="4"/>
      <c r="E67" s="4"/>
      <c r="G67" s="1263"/>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c r="A68" s="4"/>
      <c r="C68" s="2"/>
      <c r="D68" s="4"/>
      <c r="E68" s="4"/>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ht="13.15" customHeight="1">
      <c r="A69" s="4"/>
      <c r="C69" s="2"/>
      <c r="D69" s="4"/>
      <c r="E69" s="4"/>
      <c r="F69" t="s">
        <v>518</v>
      </c>
      <c r="G69" s="1263" t="s">
        <v>1308</v>
      </c>
      <c r="H69" s="1263"/>
      <c r="I69" s="1263"/>
      <c r="J69" s="1263"/>
      <c r="K69" s="1263"/>
      <c r="L69" s="1263"/>
      <c r="M69" s="1263"/>
      <c r="N69" s="1263"/>
      <c r="O69" s="1263"/>
      <c r="P69" s="1263"/>
      <c r="Q69" s="1263"/>
      <c r="R69" s="1263"/>
      <c r="S69" s="1263"/>
      <c r="T69" s="1263"/>
      <c r="U69" s="1263"/>
      <c r="V69" s="1263"/>
      <c r="W69" s="1263"/>
      <c r="X69" s="1263"/>
      <c r="Y69" s="1263"/>
      <c r="Z69" s="1263"/>
      <c r="AA69" s="1263"/>
      <c r="AB69" s="1263"/>
      <c r="AC69" s="1263"/>
      <c r="AD69" s="1263"/>
      <c r="AE69" s="1263"/>
      <c r="AF69" s="1263"/>
      <c r="AG69" s="1263"/>
      <c r="AH69" s="1263"/>
      <c r="AI69" s="1263"/>
      <c r="AJ69" s="1263"/>
      <c r="AK69" s="1263"/>
    </row>
    <row r="70" spans="1:37">
      <c r="A70" s="4"/>
      <c r="C70" s="2"/>
      <c r="D70" s="4"/>
      <c r="E70" s="4"/>
      <c r="F70" s="27"/>
      <c r="G70" s="1263"/>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697</v>
      </c>
      <c r="G72" s="1263" t="s">
        <v>1309</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c r="A74" s="4"/>
      <c r="C74" s="2"/>
      <c r="D74" s="4"/>
      <c r="E74" s="4"/>
      <c r="F74" s="8" t="s">
        <v>518</v>
      </c>
      <c r="G74" s="1263" t="s">
        <v>1310</v>
      </c>
      <c r="H74" s="1263"/>
      <c r="I74" s="1263"/>
      <c r="J74" s="1263"/>
      <c r="K74" s="1263"/>
      <c r="L74" s="1263"/>
      <c r="M74" s="1263"/>
      <c r="N74" s="1263"/>
      <c r="O74" s="1263"/>
      <c r="P74" s="1263"/>
      <c r="Q74" s="1263"/>
      <c r="R74" s="1263"/>
      <c r="S74" s="1263"/>
      <c r="T74" s="1263"/>
      <c r="U74" s="1263"/>
      <c r="V74" s="1263"/>
      <c r="W74" s="1263"/>
      <c r="X74" s="1263"/>
      <c r="Y74" s="1263"/>
      <c r="Z74" s="1263"/>
      <c r="AA74" s="1263"/>
      <c r="AB74" s="1263"/>
      <c r="AC74" s="1263"/>
      <c r="AD74" s="1263"/>
      <c r="AE74" s="1263"/>
      <c r="AF74" s="1263"/>
      <c r="AG74" s="1263"/>
      <c r="AH74" s="1263"/>
      <c r="AI74" s="1263"/>
      <c r="AJ74" s="1263"/>
      <c r="AK74" s="1263"/>
    </row>
    <row r="75" spans="1:37">
      <c r="A75" s="4"/>
      <c r="C75" s="2"/>
      <c r="D75" s="4"/>
      <c r="E75" s="4"/>
      <c r="F75" s="8"/>
      <c r="G75" s="1263"/>
      <c r="H75" s="1263"/>
      <c r="I75" s="1263"/>
      <c r="J75" s="1263"/>
      <c r="K75" s="1263"/>
      <c r="L75" s="1263"/>
      <c r="M75" s="1263"/>
      <c r="N75" s="1263"/>
      <c r="O75" s="1263"/>
      <c r="P75" s="1263"/>
      <c r="Q75" s="1263"/>
      <c r="R75" s="1263"/>
      <c r="S75" s="1263"/>
      <c r="T75" s="1263"/>
      <c r="U75" s="1263"/>
      <c r="V75" s="1263"/>
      <c r="W75" s="1263"/>
      <c r="X75" s="1263"/>
      <c r="Y75" s="1263"/>
      <c r="Z75" s="1263"/>
      <c r="AA75" s="1263"/>
      <c r="AB75" s="1263"/>
      <c r="AC75" s="1263"/>
      <c r="AD75" s="1263"/>
      <c r="AE75" s="1263"/>
      <c r="AF75" s="1263"/>
      <c r="AG75" s="1263"/>
      <c r="AH75" s="1263"/>
      <c r="AI75" s="1263"/>
      <c r="AJ75" s="1263"/>
      <c r="AK75" s="1263"/>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280</v>
      </c>
      <c r="G78" s="4" t="s">
        <v>1070</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3" t="s">
        <v>1311</v>
      </c>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c r="A83" s="4"/>
      <c r="C83" s="2"/>
      <c r="D83" s="4"/>
      <c r="E83" s="4"/>
      <c r="F83" s="4"/>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row>
    <row r="84" spans="1:37">
      <c r="A84" s="4"/>
      <c r="C84" s="2"/>
      <c r="D84" s="4"/>
      <c r="E84" s="4"/>
      <c r="F84" s="4"/>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3" t="s">
        <v>1312</v>
      </c>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c r="A87" s="4"/>
      <c r="C87" s="2"/>
      <c r="D87" s="4"/>
      <c r="E87" s="4"/>
      <c r="F87" s="4"/>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row>
    <row r="88" spans="1:37">
      <c r="A88" s="4"/>
      <c r="C88" s="2"/>
      <c r="D88" s="4"/>
      <c r="E88" s="4"/>
      <c r="G88" s="1263"/>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t="s">
        <v>264</v>
      </c>
      <c r="F89" t="s">
        <v>894</v>
      </c>
      <c r="G89" s="4"/>
      <c r="L89" s="4"/>
      <c r="M89" s="4"/>
      <c r="P89" s="4"/>
      <c r="Q89" s="4"/>
      <c r="R89" s="4"/>
      <c r="S89" s="4"/>
      <c r="T89" s="4"/>
      <c r="U89" s="4"/>
      <c r="V89" s="4"/>
      <c r="W89" s="4"/>
      <c r="X89" s="4"/>
      <c r="Y89" s="4"/>
      <c r="Z89" s="4"/>
      <c r="AA89" s="4"/>
      <c r="AB89" s="4"/>
    </row>
    <row r="90" spans="1:37">
      <c r="A90" s="4"/>
      <c r="C90" s="2"/>
      <c r="D90" s="4"/>
      <c r="E90" s="4"/>
      <c r="G90" s="1272" t="s">
        <v>1313</v>
      </c>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c r="G91" s="1272"/>
      <c r="H91" s="1272"/>
      <c r="I91" s="1272"/>
      <c r="J91" s="1272"/>
      <c r="K91" s="1272"/>
      <c r="L91" s="1272"/>
      <c r="M91" s="1272"/>
      <c r="N91" s="1272"/>
      <c r="O91" s="1272"/>
      <c r="P91" s="1272"/>
      <c r="Q91" s="1272"/>
      <c r="R91" s="1272"/>
      <c r="S91" s="1272"/>
      <c r="T91" s="1272"/>
      <c r="U91" s="1272"/>
      <c r="V91" s="1272"/>
      <c r="W91" s="1272"/>
      <c r="X91" s="1272"/>
      <c r="Y91" s="1272"/>
      <c r="Z91" s="1272"/>
      <c r="AA91" s="1272"/>
      <c r="AB91" s="1272"/>
      <c r="AC91" s="1272"/>
      <c r="AD91" s="1272"/>
      <c r="AE91" s="1272"/>
      <c r="AF91" s="1272"/>
      <c r="AG91" s="1272"/>
      <c r="AH91" s="1272"/>
      <c r="AI91" s="1272"/>
      <c r="AJ91" s="1272"/>
      <c r="AK91" s="1272"/>
    </row>
    <row r="92" spans="1:37">
      <c r="A92" s="4"/>
      <c r="C92" s="2"/>
      <c r="D92" s="4"/>
      <c r="E92" s="4"/>
      <c r="G92" s="1272"/>
      <c r="H92" s="1272"/>
      <c r="I92" s="1272"/>
      <c r="J92" s="1272"/>
      <c r="K92" s="1272"/>
      <c r="L92" s="1272"/>
      <c r="M92" s="1272"/>
      <c r="N92" s="1272"/>
      <c r="O92" s="1272"/>
      <c r="P92" s="1272"/>
      <c r="Q92" s="1272"/>
      <c r="R92" s="1272"/>
      <c r="S92" s="1272"/>
      <c r="T92" s="1272"/>
      <c r="U92" s="1272"/>
      <c r="V92" s="1272"/>
      <c r="W92" s="1272"/>
      <c r="X92" s="1272"/>
      <c r="Y92" s="1272"/>
      <c r="Z92" s="1272"/>
      <c r="AA92" s="1272"/>
      <c r="AB92" s="1272"/>
      <c r="AC92" s="1272"/>
      <c r="AD92" s="1272"/>
      <c r="AE92" s="1272"/>
      <c r="AF92" s="1272"/>
      <c r="AG92" s="1272"/>
      <c r="AH92" s="1272"/>
      <c r="AI92" s="1272"/>
      <c r="AJ92" s="1272"/>
      <c r="AK92" s="1272"/>
    </row>
    <row r="93" spans="1:37">
      <c r="A93" s="4"/>
      <c r="C93" s="2"/>
      <c r="D93" s="4"/>
      <c r="E93" s="4" t="s">
        <v>265</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3" t="s">
        <v>1314</v>
      </c>
      <c r="H94" s="1263"/>
      <c r="I94" s="1263"/>
      <c r="J94" s="1263"/>
      <c r="K94" s="1263"/>
      <c r="L94" s="1263"/>
      <c r="M94" s="1263"/>
      <c r="N94" s="1263"/>
      <c r="O94" s="1263"/>
      <c r="P94" s="1263"/>
      <c r="Q94" s="1263"/>
      <c r="R94" s="1263"/>
      <c r="S94" s="1263"/>
      <c r="T94" s="1263"/>
      <c r="U94" s="1263"/>
      <c r="V94" s="1263"/>
      <c r="W94" s="1263"/>
      <c r="X94" s="1263"/>
      <c r="Y94" s="1263"/>
      <c r="Z94" s="1263"/>
      <c r="AA94" s="1263"/>
      <c r="AB94" s="1263"/>
      <c r="AC94" s="1263"/>
      <c r="AD94" s="1263"/>
      <c r="AE94" s="1263"/>
      <c r="AF94" s="1263"/>
      <c r="AG94" s="1263"/>
      <c r="AH94" s="1263"/>
      <c r="AI94" s="1263"/>
      <c r="AJ94" s="1263"/>
      <c r="AK94" s="1263"/>
    </row>
    <row r="95" spans="1:37">
      <c r="A95" s="4"/>
      <c r="C95" s="2"/>
      <c r="D95" s="4"/>
      <c r="E95" s="4"/>
      <c r="G95" s="1263"/>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3" t="s">
        <v>1315</v>
      </c>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c r="A98" s="4"/>
      <c r="C98" s="2"/>
      <c r="D98" s="4"/>
      <c r="E98" s="4"/>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row>
    <row r="99" spans="1:38">
      <c r="A99" s="4"/>
      <c r="C99" s="2"/>
      <c r="D99" s="4"/>
      <c r="E99" s="4"/>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row>
    <row r="100" spans="1:38">
      <c r="A100" s="4"/>
      <c r="D100" s="99"/>
      <c r="E100" s="1273" t="s">
        <v>1316</v>
      </c>
      <c r="F100" s="1273"/>
      <c r="G100" s="1273"/>
      <c r="H100" s="1273"/>
      <c r="I100" s="1273"/>
      <c r="J100" s="1273"/>
      <c r="K100" s="1273"/>
      <c r="L100" s="1273"/>
      <c r="M100" s="1273"/>
      <c r="N100" s="1273"/>
      <c r="O100" s="1273"/>
      <c r="P100" s="1273"/>
      <c r="Q100" s="1273"/>
      <c r="R100" s="1273"/>
      <c r="S100" s="1273"/>
      <c r="T100" s="1273"/>
      <c r="U100" s="1273"/>
      <c r="V100" s="1273"/>
      <c r="W100" s="1273"/>
      <c r="X100" s="1273"/>
      <c r="Y100" s="1273"/>
      <c r="Z100" s="1273"/>
      <c r="AA100" s="1273"/>
      <c r="AB100" s="1273"/>
      <c r="AC100" s="1273"/>
      <c r="AD100" s="1273"/>
      <c r="AE100" s="1273"/>
      <c r="AF100" s="1273"/>
      <c r="AG100" s="1273"/>
      <c r="AH100" s="1273"/>
      <c r="AI100" s="1273"/>
      <c r="AJ100" s="1273"/>
      <c r="AK100" s="1273"/>
    </row>
    <row r="101" spans="1:38">
      <c r="A101" s="4"/>
      <c r="D101" s="99"/>
      <c r="E101" s="1273"/>
      <c r="F101" s="1273"/>
      <c r="G101" s="1273"/>
      <c r="H101" s="1273"/>
      <c r="I101" s="1273"/>
      <c r="J101" s="1273"/>
      <c r="K101" s="1273"/>
      <c r="L101" s="1273"/>
      <c r="M101" s="1273"/>
      <c r="N101" s="1273"/>
      <c r="O101" s="1273"/>
      <c r="P101" s="1273"/>
      <c r="Q101" s="1273"/>
      <c r="R101" s="1273"/>
      <c r="S101" s="1273"/>
      <c r="T101" s="1273"/>
      <c r="U101" s="1273"/>
      <c r="V101" s="1273"/>
      <c r="W101" s="1273"/>
      <c r="X101" s="1273"/>
      <c r="Y101" s="1273"/>
      <c r="Z101" s="1273"/>
      <c r="AA101" s="1273"/>
      <c r="AB101" s="1273"/>
      <c r="AC101" s="1273"/>
      <c r="AD101" s="1273"/>
      <c r="AE101" s="1273"/>
      <c r="AF101" s="1273"/>
      <c r="AG101" s="1273"/>
      <c r="AH101" s="1273"/>
      <c r="AI101" s="1273"/>
      <c r="AJ101" s="1273"/>
      <c r="AK101" s="1273"/>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1327</v>
      </c>
      <c r="H105" s="2"/>
      <c r="I105" s="2"/>
      <c r="K105" s="2"/>
    </row>
    <row r="106" spans="1:38">
      <c r="B106" s="2"/>
      <c r="C106" s="2"/>
      <c r="D106" s="2" t="s">
        <v>209</v>
      </c>
      <c r="E106" s="2" t="s">
        <v>1329</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c r="F119" s="4" t="s">
        <v>1071</v>
      </c>
      <c r="G119" s="4"/>
    </row>
    <row r="120" spans="2:16">
      <c r="F120" s="99" t="s">
        <v>1328</v>
      </c>
      <c r="G120" s="99"/>
    </row>
    <row r="121" spans="2:16">
      <c r="G121" s="99"/>
    </row>
    <row r="122" spans="2:16">
      <c r="E122" s="4" t="s">
        <v>787</v>
      </c>
      <c r="F122" s="98" t="s">
        <v>380</v>
      </c>
    </row>
    <row r="123" spans="2:16">
      <c r="E123" s="4"/>
      <c r="F123" s="4" t="s">
        <v>1062</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962</v>
      </c>
      <c r="F127" s="4"/>
    </row>
    <row r="128" spans="2:16"/>
    <row r="129" spans="4:37">
      <c r="D129" s="2" t="s">
        <v>343</v>
      </c>
      <c r="E129" s="2" t="s">
        <v>586</v>
      </c>
    </row>
    <row r="130" spans="4:37">
      <c r="E130" s="4" t="s">
        <v>962</v>
      </c>
      <c r="F130" s="4"/>
    </row>
    <row r="131" spans="4:37"/>
    <row r="132" spans="4:37">
      <c r="D132" s="2" t="s">
        <v>583</v>
      </c>
      <c r="E132" s="2" t="s">
        <v>736</v>
      </c>
      <c r="G132" s="2"/>
      <c r="H132" s="2"/>
      <c r="I132" s="2"/>
      <c r="J132" s="2"/>
      <c r="K132" s="2"/>
      <c r="L132" s="2"/>
      <c r="M132" s="2"/>
      <c r="N132" s="2"/>
    </row>
    <row r="133" spans="4:37">
      <c r="D133" s="2"/>
      <c r="E133" s="119" t="s">
        <v>1413</v>
      </c>
      <c r="G133" s="2"/>
      <c r="H133" s="2"/>
      <c r="I133" s="2"/>
      <c r="J133" s="2"/>
      <c r="K133" s="2"/>
      <c r="L133" s="2"/>
      <c r="M133" s="2"/>
      <c r="N133" s="2"/>
    </row>
    <row r="134" spans="4:37" ht="12.75" customHeight="1">
      <c r="E134" s="119" t="s">
        <v>1411</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1412</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523</v>
      </c>
      <c r="E137" s="2" t="s">
        <v>526</v>
      </c>
      <c r="F137" s="2"/>
    </row>
    <row r="138" spans="4:37">
      <c r="E138" s="3" t="s">
        <v>1354</v>
      </c>
      <c r="F138" s="4"/>
    </row>
    <row r="139" spans="4:37">
      <c r="F139" s="4"/>
    </row>
    <row r="140" spans="4:37">
      <c r="D140" s="2" t="s">
        <v>305</v>
      </c>
      <c r="E140" s="2" t="s">
        <v>2439</v>
      </c>
      <c r="F140" s="2"/>
      <c r="G140" s="2"/>
      <c r="H140" s="2"/>
    </row>
    <row r="141" spans="4:37">
      <c r="E141" t="s">
        <v>113</v>
      </c>
      <c r="F141" t="s">
        <v>52</v>
      </c>
    </row>
    <row r="142" spans="4:37">
      <c r="E142" t="s">
        <v>114</v>
      </c>
      <c r="F142" t="s">
        <v>475</v>
      </c>
    </row>
    <row r="143" spans="4:37"/>
    <row r="144" spans="4:37">
      <c r="D144" s="2" t="s">
        <v>431</v>
      </c>
      <c r="E144" s="2" t="s">
        <v>2440</v>
      </c>
    </row>
    <row r="145" spans="3:7">
      <c r="E145" s="218" t="s">
        <v>2441</v>
      </c>
      <c r="F145" s="218"/>
    </row>
    <row r="146" spans="3:7"/>
    <row r="147" spans="3:7">
      <c r="C147" s="2" t="s">
        <v>6</v>
      </c>
      <c r="G147" s="2" t="s">
        <v>382</v>
      </c>
    </row>
    <row r="148" spans="3:7">
      <c r="D148" s="2" t="s">
        <v>209</v>
      </c>
      <c r="E148" s="2" t="s">
        <v>136</v>
      </c>
    </row>
    <row r="149" spans="3:7">
      <c r="E149" t="s">
        <v>821</v>
      </c>
    </row>
    <row r="150" spans="3:7"/>
    <row r="151" spans="3:7">
      <c r="D151" s="2" t="s">
        <v>343</v>
      </c>
      <c r="E151" s="2" t="s">
        <v>533</v>
      </c>
      <c r="F151" s="2"/>
    </row>
    <row r="152" spans="3:7">
      <c r="E152" s="4" t="s">
        <v>964</v>
      </c>
      <c r="F152" s="4"/>
    </row>
    <row r="153" spans="3:7"/>
    <row r="154" spans="3:7">
      <c r="D154" s="2" t="s">
        <v>583</v>
      </c>
      <c r="E154" s="2" t="s">
        <v>562</v>
      </c>
    </row>
    <row r="155" spans="3:7">
      <c r="E155" s="4" t="s">
        <v>965</v>
      </c>
    </row>
    <row r="156" spans="3:7">
      <c r="E156" s="4" t="s">
        <v>963</v>
      </c>
      <c r="G156" s="4"/>
    </row>
    <row r="157" spans="3:7"/>
    <row r="158" spans="3:7">
      <c r="D158" s="2" t="s">
        <v>523</v>
      </c>
      <c r="E158" s="2" t="s">
        <v>542</v>
      </c>
    </row>
    <row r="159" spans="3:7">
      <c r="E159" t="s">
        <v>113</v>
      </c>
      <c r="F159" s="4" t="s">
        <v>966</v>
      </c>
    </row>
    <row r="160" spans="3:7">
      <c r="E160" s="4" t="s">
        <v>114</v>
      </c>
      <c r="F160" s="4" t="s">
        <v>967</v>
      </c>
    </row>
    <row r="161" spans="3:20">
      <c r="E161" s="4" t="s">
        <v>120</v>
      </c>
      <c r="F161" t="s">
        <v>737</v>
      </c>
    </row>
    <row r="162" spans="3:20"/>
    <row r="163" spans="3:20">
      <c r="D163" s="2" t="s">
        <v>305</v>
      </c>
      <c r="E163" s="2" t="s">
        <v>383</v>
      </c>
    </row>
    <row r="164" spans="3:20">
      <c r="E164" s="4" t="s">
        <v>968</v>
      </c>
      <c r="F164" s="4"/>
    </row>
    <row r="165" spans="3:20"/>
    <row r="166" spans="3:20">
      <c r="D166" s="2" t="s">
        <v>431</v>
      </c>
      <c r="E166" s="2" t="s">
        <v>173</v>
      </c>
    </row>
    <row r="167" spans="3:20">
      <c r="E167" s="4" t="s">
        <v>970</v>
      </c>
    </row>
    <row r="168" spans="3:20">
      <c r="E168" s="4" t="s">
        <v>969</v>
      </c>
    </row>
    <row r="169" spans="3:20"/>
    <row r="170" spans="3:20">
      <c r="D170" s="2" t="s">
        <v>566</v>
      </c>
      <c r="E170" s="2" t="s">
        <v>631</v>
      </c>
    </row>
    <row r="171" spans="3:20">
      <c r="E171" t="s">
        <v>113</v>
      </c>
      <c r="F171" t="s">
        <v>738</v>
      </c>
    </row>
    <row r="172" spans="3:20">
      <c r="E172" t="s">
        <v>114</v>
      </c>
      <c r="F172" t="s">
        <v>299</v>
      </c>
    </row>
    <row r="173" spans="3:20">
      <c r="F173" s="4"/>
    </row>
    <row r="174" spans="3:20">
      <c r="C174" s="2" t="s">
        <v>7</v>
      </c>
      <c r="E174" s="4"/>
      <c r="G174" s="2" t="s">
        <v>384</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209</v>
      </c>
      <c r="E178" s="2" t="s">
        <v>300</v>
      </c>
      <c r="G178" s="4"/>
      <c r="H178" s="4"/>
      <c r="I178" s="4"/>
      <c r="J178" s="4"/>
      <c r="K178" s="4"/>
      <c r="L178" s="4"/>
      <c r="M178" s="4"/>
      <c r="N178" s="4"/>
    </row>
    <row r="179" spans="2:19">
      <c r="E179" t="s">
        <v>113</v>
      </c>
      <c r="F179" s="4" t="s">
        <v>971</v>
      </c>
    </row>
    <row r="180" spans="2:19">
      <c r="F180" s="120" t="s">
        <v>1285</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343</v>
      </c>
      <c r="E185" s="2" t="s">
        <v>1063</v>
      </c>
    </row>
    <row r="186" spans="2:19">
      <c r="B186" s="4"/>
      <c r="C186" s="4"/>
      <c r="E186" s="4" t="s">
        <v>721</v>
      </c>
      <c r="F186" s="4"/>
      <c r="I186" s="4"/>
    </row>
    <row r="187" spans="2:19">
      <c r="B187" s="4"/>
      <c r="C187" s="4"/>
      <c r="E187" s="4" t="s">
        <v>1061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523</v>
      </c>
      <c r="E192" s="2" t="s">
        <v>112</v>
      </c>
    </row>
    <row r="193" spans="2:37">
      <c r="B193" s="4"/>
      <c r="C193" s="2"/>
      <c r="E193" t="s">
        <v>113</v>
      </c>
      <c r="F193" s="4" t="s">
        <v>1072</v>
      </c>
      <c r="G193" s="4"/>
      <c r="H193" s="4"/>
      <c r="I193" s="4"/>
    </row>
    <row r="194" spans="2:37">
      <c r="B194" s="4"/>
      <c r="C194" s="2"/>
      <c r="F194" s="4" t="s">
        <v>662</v>
      </c>
      <c r="G194" s="3" t="s">
        <v>1348</v>
      </c>
    </row>
    <row r="195" spans="2:37">
      <c r="B195" s="4"/>
      <c r="C195" s="4"/>
      <c r="F195" s="4" t="s">
        <v>350</v>
      </c>
      <c r="G195" s="3" t="s">
        <v>1349</v>
      </c>
      <c r="I195" s="4"/>
      <c r="J195" s="4"/>
      <c r="M195" s="4"/>
      <c r="N195" s="4"/>
      <c r="O195" s="4"/>
      <c r="P195" s="4"/>
      <c r="Q195" s="4"/>
      <c r="R195" s="4"/>
      <c r="S195" s="4"/>
    </row>
    <row r="196" spans="2:37">
      <c r="B196" s="4"/>
      <c r="C196" s="4"/>
      <c r="F196" s="4" t="s">
        <v>351</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1073</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590</v>
      </c>
      <c r="F206" s="4" t="s">
        <v>976</v>
      </c>
      <c r="M206" s="4"/>
      <c r="N206" s="4"/>
      <c r="O206" s="4"/>
      <c r="P206" s="4"/>
      <c r="Q206" s="4"/>
      <c r="R206" s="4"/>
      <c r="S206" s="4"/>
    </row>
    <row r="207" spans="2:37">
      <c r="B207" s="4"/>
      <c r="C207" s="4"/>
      <c r="D207" s="2"/>
      <c r="F207" t="s">
        <v>662</v>
      </c>
      <c r="G207" s="1263" t="s">
        <v>1317</v>
      </c>
      <c r="H207" s="1263"/>
      <c r="I207" s="1263"/>
      <c r="J207" s="1263"/>
      <c r="K207" s="1263"/>
      <c r="L207" s="1263"/>
      <c r="M207" s="1263"/>
      <c r="N207" s="1263"/>
      <c r="O207" s="1263"/>
      <c r="P207" s="1263"/>
      <c r="Q207" s="1263"/>
      <c r="R207" s="1263"/>
      <c r="S207" s="1263"/>
      <c r="T207" s="1263"/>
      <c r="U207" s="1263"/>
      <c r="V207" s="1263"/>
      <c r="W207" s="1263"/>
      <c r="X207" s="1263"/>
      <c r="Y207" s="1263"/>
      <c r="Z207" s="1263"/>
      <c r="AA207" s="1263"/>
      <c r="AB207" s="1263"/>
      <c r="AC207" s="1263"/>
      <c r="AD207" s="1263"/>
      <c r="AE207" s="1263"/>
      <c r="AF207" s="1263"/>
      <c r="AG207" s="1263"/>
      <c r="AH207" s="1263"/>
      <c r="AI207" s="1263"/>
      <c r="AJ207" s="1263"/>
      <c r="AK207" s="1263"/>
    </row>
    <row r="208" spans="2:37">
      <c r="B208" s="4"/>
      <c r="C208" s="4"/>
      <c r="D208" s="2"/>
      <c r="G208" s="1263"/>
      <c r="H208" s="1263"/>
      <c r="I208" s="1263"/>
      <c r="J208" s="1263"/>
      <c r="K208" s="1263"/>
      <c r="L208" s="1263"/>
      <c r="M208" s="1263"/>
      <c r="N208" s="1263"/>
      <c r="O208" s="1263"/>
      <c r="P208" s="1263"/>
      <c r="Q208" s="1263"/>
      <c r="R208" s="1263"/>
      <c r="S208" s="1263"/>
      <c r="T208" s="1263"/>
      <c r="U208" s="1263"/>
      <c r="V208" s="1263"/>
      <c r="W208" s="1263"/>
      <c r="X208" s="1263"/>
      <c r="Y208" s="1263"/>
      <c r="Z208" s="1263"/>
      <c r="AA208" s="1263"/>
      <c r="AB208" s="1263"/>
      <c r="AC208" s="1263"/>
      <c r="AD208" s="1263"/>
      <c r="AE208" s="1263"/>
      <c r="AF208" s="1263"/>
      <c r="AG208" s="1263"/>
      <c r="AH208" s="1263"/>
      <c r="AI208" s="1263"/>
      <c r="AJ208" s="1263"/>
      <c r="AK208" s="1263"/>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350</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350</v>
      </c>
      <c r="G244" s="136" t="s">
        <v>982</v>
      </c>
      <c r="I244" s="4"/>
      <c r="M244" s="4"/>
      <c r="N244" s="4"/>
      <c r="O244" s="4"/>
      <c r="P244" s="4"/>
      <c r="Q244" s="4"/>
      <c r="R244" s="4"/>
      <c r="S244" s="4"/>
    </row>
    <row r="245" spans="2:21">
      <c r="B245" s="4"/>
      <c r="C245" s="4"/>
      <c r="F245" s="4" t="s">
        <v>351</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662</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1286</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662</v>
      </c>
      <c r="G255" s="218" t="s">
        <v>836</v>
      </c>
      <c r="I255" s="3"/>
      <c r="K255" s="3"/>
      <c r="L255" s="3"/>
      <c r="M255" s="3"/>
      <c r="N255" s="3"/>
      <c r="O255" s="3"/>
      <c r="Q255" s="4"/>
      <c r="R255" s="4"/>
      <c r="S255" s="4"/>
      <c r="T255" s="4"/>
      <c r="U255" s="4"/>
    </row>
    <row r="256" spans="2:21">
      <c r="B256" s="2"/>
      <c r="C256" s="2"/>
      <c r="E256" s="4"/>
      <c r="F256" s="218"/>
      <c r="G256" s="218" t="s">
        <v>837</v>
      </c>
      <c r="I256" s="3"/>
      <c r="K256" s="3"/>
      <c r="L256" s="3"/>
      <c r="M256" s="3"/>
      <c r="N256" s="3"/>
      <c r="O256" s="3"/>
      <c r="P256" s="3"/>
    </row>
    <row r="257" spans="2:21">
      <c r="B257" s="2"/>
      <c r="C257" s="2"/>
      <c r="E257" s="4"/>
      <c r="F257" s="218" t="s">
        <v>350</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8"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1074</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289</v>
      </c>
      <c r="G270" s="4"/>
    </row>
    <row r="271" spans="2:21">
      <c r="B271" s="2"/>
      <c r="C271" s="2"/>
      <c r="E271" s="4" t="s">
        <v>257</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1066</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4"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1287</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662</v>
      </c>
      <c r="G293" s="4" t="s">
        <v>262</v>
      </c>
      <c r="K293" s="4"/>
      <c r="L293" s="4"/>
      <c r="M293" s="4"/>
      <c r="N293" s="4"/>
      <c r="O293" s="4"/>
      <c r="P293" s="4"/>
      <c r="Q293" s="4"/>
      <c r="R293" s="4"/>
      <c r="S293" s="4"/>
      <c r="T293" s="4"/>
      <c r="U293" s="4"/>
      <c r="V293" s="4"/>
      <c r="W293" s="4"/>
    </row>
    <row r="294" spans="2:23">
      <c r="B294" s="2"/>
      <c r="D294" s="4"/>
      <c r="E294" s="4"/>
      <c r="F294" s="4" t="s">
        <v>350</v>
      </c>
      <c r="G294" s="4" t="s">
        <v>979</v>
      </c>
      <c r="H294" s="4"/>
      <c r="K294" s="4"/>
      <c r="L294" s="4"/>
      <c r="M294" s="4"/>
      <c r="N294" s="4"/>
      <c r="O294" s="4"/>
      <c r="P294" s="4"/>
      <c r="Q294" s="4"/>
      <c r="R294" s="4"/>
      <c r="S294" s="4"/>
      <c r="T294" s="4"/>
      <c r="U294" s="4"/>
      <c r="V294" s="4"/>
      <c r="W294" s="4"/>
    </row>
    <row r="295" spans="2:23">
      <c r="B295" s="2"/>
      <c r="D295" s="4"/>
      <c r="E295" s="4"/>
      <c r="F295" s="4" t="s">
        <v>351</v>
      </c>
      <c r="G295" s="4" t="s">
        <v>570</v>
      </c>
      <c r="K295" s="4"/>
      <c r="L295" s="4"/>
      <c r="M295" s="4"/>
      <c r="N295" s="4"/>
      <c r="O295" s="4"/>
      <c r="P295" s="4"/>
      <c r="Q295" s="4"/>
      <c r="R295" s="4"/>
      <c r="S295" s="4"/>
      <c r="T295" s="4"/>
      <c r="U295" s="4"/>
      <c r="V295" s="4"/>
      <c r="W295" s="4"/>
    </row>
    <row r="296" spans="2:23">
      <c r="B296" s="2"/>
      <c r="D296" s="4"/>
      <c r="E296" s="4"/>
      <c r="F296" s="4" t="s">
        <v>447</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1001</v>
      </c>
      <c r="G301" s="120"/>
      <c r="H301" s="120"/>
      <c r="I301" s="120"/>
      <c r="J301" s="120"/>
      <c r="K301" s="120"/>
      <c r="L301" s="120"/>
      <c r="M301" s="4"/>
      <c r="N301" s="4"/>
      <c r="O301" s="4"/>
      <c r="P301" s="4"/>
      <c r="Q301" s="4"/>
      <c r="R301" s="4"/>
      <c r="S301" s="4"/>
      <c r="T301" s="4"/>
      <c r="U301" s="4"/>
      <c r="V301" s="4"/>
      <c r="W301" s="4"/>
    </row>
    <row r="302" spans="2:23">
      <c r="B302" s="2"/>
      <c r="D302" s="4"/>
      <c r="E302" s="4"/>
      <c r="F302" s="120" t="s">
        <v>1002</v>
      </c>
      <c r="G302" s="120"/>
      <c r="H302" s="120"/>
      <c r="I302" s="120"/>
      <c r="J302" s="120"/>
      <c r="K302" s="120"/>
      <c r="L302" s="120"/>
      <c r="M302" s="4"/>
      <c r="N302" s="4"/>
      <c r="O302" s="4"/>
      <c r="P302" s="4"/>
      <c r="Q302" s="4"/>
      <c r="R302" s="4"/>
      <c r="S302" s="4"/>
      <c r="T302" s="4"/>
      <c r="U302" s="4"/>
      <c r="V302" s="4"/>
      <c r="W302" s="4"/>
    </row>
    <row r="303" spans="2:23">
      <c r="B303" s="2"/>
      <c r="D303" s="4"/>
      <c r="E303" s="4"/>
      <c r="F303" s="120" t="s">
        <v>1003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291</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343</v>
      </c>
      <c r="E316" s="2" t="s">
        <v>763</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252</v>
      </c>
      <c r="D325" s="2" t="s">
        <v>209</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1288</v>
      </c>
      <c r="I328" s="120"/>
      <c r="J328" s="4"/>
      <c r="K328" s="4"/>
      <c r="L328" s="4"/>
      <c r="M328" s="4"/>
      <c r="N328" s="4"/>
      <c r="O328" s="4"/>
      <c r="P328" s="4"/>
      <c r="Q328" s="4"/>
      <c r="R328" s="4"/>
      <c r="S328" s="4"/>
    </row>
    <row r="329" spans="1:38">
      <c r="F329" s="120" t="s">
        <v>1289</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3" t="s">
        <v>1292</v>
      </c>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c r="B339" s="2"/>
      <c r="E339" s="4"/>
      <c r="F339" s="1263"/>
      <c r="G339" s="1263"/>
      <c r="H339" s="1263"/>
      <c r="I339" s="1263"/>
      <c r="J339" s="1263"/>
      <c r="K339" s="1263"/>
      <c r="L339" s="1263"/>
      <c r="M339" s="1263"/>
      <c r="N339" s="1263"/>
      <c r="O339" s="1263"/>
      <c r="P339" s="1263"/>
      <c r="Q339" s="1263"/>
      <c r="R339" s="1263"/>
      <c r="S339" s="1263"/>
      <c r="T339" s="1263"/>
      <c r="U339" s="1263"/>
      <c r="V339" s="1263"/>
      <c r="W339" s="1263"/>
      <c r="X339" s="1263"/>
      <c r="Y339" s="1263"/>
      <c r="Z339" s="1263"/>
      <c r="AA339" s="1263"/>
      <c r="AB339" s="1263"/>
      <c r="AC339" s="1263"/>
      <c r="AD339" s="1263"/>
      <c r="AE339" s="1263"/>
      <c r="AF339" s="1263"/>
      <c r="AG339" s="1263"/>
      <c r="AH339" s="1263"/>
      <c r="AI339" s="1263"/>
      <c r="AJ339" s="1263"/>
      <c r="AK339" s="1263"/>
    </row>
    <row r="340" spans="2:37">
      <c r="B340" s="2"/>
      <c r="E340" s="4"/>
      <c r="F340" s="1263"/>
      <c r="G340" s="1263"/>
      <c r="H340" s="1263"/>
      <c r="I340" s="1263"/>
      <c r="J340" s="1263"/>
      <c r="K340" s="1263"/>
      <c r="L340" s="1263"/>
      <c r="M340" s="1263"/>
      <c r="N340" s="1263"/>
      <c r="O340" s="1263"/>
      <c r="P340" s="1263"/>
      <c r="Q340" s="1263"/>
      <c r="R340" s="1263"/>
      <c r="S340" s="1263"/>
      <c r="T340" s="1263"/>
      <c r="U340" s="1263"/>
      <c r="V340" s="1263"/>
      <c r="W340" s="1263"/>
      <c r="X340" s="1263"/>
      <c r="Y340" s="1263"/>
      <c r="Z340" s="1263"/>
      <c r="AA340" s="1263"/>
      <c r="AB340" s="1263"/>
      <c r="AC340" s="1263"/>
      <c r="AD340" s="1263"/>
      <c r="AE340" s="1263"/>
      <c r="AF340" s="1263"/>
      <c r="AG340" s="1263"/>
      <c r="AH340" s="1263"/>
      <c r="AI340" s="1263"/>
      <c r="AJ340" s="1263"/>
      <c r="AK340" s="1263"/>
    </row>
    <row r="341" spans="2:37">
      <c r="B341" s="2"/>
      <c r="F341" s="4"/>
      <c r="H341" s="4"/>
      <c r="I341" s="4"/>
      <c r="J341" s="4"/>
      <c r="K341" s="4"/>
      <c r="L341" s="4"/>
      <c r="M341" s="4"/>
      <c r="N341" s="4"/>
      <c r="O341" s="4"/>
      <c r="P341" s="4"/>
      <c r="Q341" s="4"/>
      <c r="R341" s="4"/>
      <c r="S341" s="4"/>
    </row>
    <row r="342" spans="2:37">
      <c r="B342" s="2"/>
      <c r="C342" s="2" t="s">
        <v>433</v>
      </c>
      <c r="G342" s="2" t="s">
        <v>1373</v>
      </c>
      <c r="I342" s="2"/>
      <c r="J342" s="4"/>
      <c r="K342" s="4"/>
      <c r="L342" s="4"/>
      <c r="M342" s="4"/>
      <c r="N342" s="4"/>
      <c r="O342" s="4"/>
      <c r="P342" s="4"/>
      <c r="Q342" s="4"/>
      <c r="R342" s="4"/>
      <c r="S342" s="4"/>
    </row>
    <row r="343" spans="2:37" ht="13.15" customHeight="1">
      <c r="B343" s="2"/>
      <c r="E343" s="1265" t="s">
        <v>1380</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3" t="s">
        <v>1382</v>
      </c>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c r="B350" s="2"/>
      <c r="E350" s="3"/>
      <c r="F350" s="1263"/>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c r="B351" s="2"/>
      <c r="E351" s="3"/>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c r="B352" s="2"/>
      <c r="E352" s="3" t="s">
        <v>114</v>
      </c>
      <c r="F352" s="1263" t="s">
        <v>1381</v>
      </c>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c r="B353" s="2"/>
      <c r="F353" s="1263"/>
      <c r="G353" s="1263"/>
      <c r="H353" s="1263"/>
      <c r="I353" s="1263"/>
      <c r="J353" s="1263"/>
      <c r="K353" s="1263"/>
      <c r="L353" s="1263"/>
      <c r="M353" s="1263"/>
      <c r="N353" s="1263"/>
      <c r="O353" s="1263"/>
      <c r="P353" s="1263"/>
      <c r="Q353" s="1263"/>
      <c r="R353" s="1263"/>
      <c r="S353" s="1263"/>
      <c r="T353" s="1263"/>
      <c r="U353" s="1263"/>
      <c r="V353" s="1263"/>
      <c r="W353" s="1263"/>
      <c r="X353" s="1263"/>
      <c r="Y353" s="1263"/>
      <c r="Z353" s="1263"/>
      <c r="AA353" s="1263"/>
      <c r="AB353" s="1263"/>
      <c r="AC353" s="1263"/>
      <c r="AD353" s="1263"/>
      <c r="AE353" s="1263"/>
      <c r="AF353" s="1263"/>
      <c r="AG353" s="1263"/>
      <c r="AH353" s="1263"/>
      <c r="AI353" s="1263"/>
      <c r="AJ353" s="1263"/>
      <c r="AK353" s="1263"/>
    </row>
    <row r="354" spans="1:38">
      <c r="B354" s="2"/>
      <c r="F354" s="1263"/>
      <c r="G354" s="1263"/>
      <c r="H354" s="1263"/>
      <c r="I354" s="1263"/>
      <c r="J354" s="1263"/>
      <c r="K354" s="1263"/>
      <c r="L354" s="1263"/>
      <c r="M354" s="1263"/>
      <c r="N354" s="1263"/>
      <c r="O354" s="1263"/>
      <c r="P354" s="1263"/>
      <c r="Q354" s="1263"/>
      <c r="R354" s="1263"/>
      <c r="S354" s="1263"/>
      <c r="T354" s="1263"/>
      <c r="U354" s="1263"/>
      <c r="V354" s="1263"/>
      <c r="W354" s="1263"/>
      <c r="X354" s="1263"/>
      <c r="Y354" s="1263"/>
      <c r="Z354" s="1263"/>
      <c r="AA354" s="1263"/>
      <c r="AB354" s="1263"/>
      <c r="AC354" s="1263"/>
      <c r="AD354" s="1263"/>
      <c r="AE354" s="1263"/>
      <c r="AF354" s="1263"/>
      <c r="AG354" s="1263"/>
      <c r="AH354" s="1263"/>
      <c r="AI354" s="1263"/>
      <c r="AJ354" s="1263"/>
      <c r="AK354" s="1263"/>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1360</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66" t="s">
        <v>1371</v>
      </c>
      <c r="F367" s="1266"/>
      <c r="G367" s="1266"/>
      <c r="H367" s="1266"/>
      <c r="I367" s="1266"/>
      <c r="J367" s="1266"/>
      <c r="K367" s="1266"/>
      <c r="L367" s="1266"/>
      <c r="M367" s="1266"/>
      <c r="N367" s="1266"/>
      <c r="O367" s="1266"/>
      <c r="P367" s="1266"/>
      <c r="Q367" s="1266"/>
      <c r="R367" s="1266"/>
      <c r="S367" s="1266"/>
      <c r="T367" s="1266"/>
      <c r="U367" s="1266"/>
      <c r="V367" s="1266"/>
      <c r="W367" s="1266"/>
      <c r="X367" s="1266"/>
      <c r="Y367" s="1266"/>
      <c r="Z367" s="1266"/>
      <c r="AA367" s="1266"/>
      <c r="AB367" s="1266"/>
      <c r="AC367" s="1266"/>
      <c r="AD367" s="1266"/>
      <c r="AE367" s="1266"/>
      <c r="AF367" s="1266"/>
      <c r="AG367" s="1266"/>
      <c r="AH367" s="1266"/>
      <c r="AI367" s="1266"/>
      <c r="AJ367" s="1266"/>
      <c r="AK367" s="1266"/>
      <c r="AL367" s="1266"/>
    </row>
    <row r="368" spans="1:38">
      <c r="B368" s="2"/>
      <c r="E368" s="1266"/>
      <c r="F368" s="1266"/>
      <c r="G368" s="1266"/>
      <c r="H368" s="1266"/>
      <c r="I368" s="1266"/>
      <c r="J368" s="1266"/>
      <c r="K368" s="1266"/>
      <c r="L368" s="1266"/>
      <c r="M368" s="1266"/>
      <c r="N368" s="1266"/>
      <c r="O368" s="1266"/>
      <c r="P368" s="1266"/>
      <c r="Q368" s="1266"/>
      <c r="R368" s="1266"/>
      <c r="S368" s="1266"/>
      <c r="T368" s="1266"/>
      <c r="U368" s="1266"/>
      <c r="V368" s="1266"/>
      <c r="W368" s="1266"/>
      <c r="X368" s="1266"/>
      <c r="Y368" s="1266"/>
      <c r="Z368" s="1266"/>
      <c r="AA368" s="1266"/>
      <c r="AB368" s="1266"/>
      <c r="AC368" s="1266"/>
      <c r="AD368" s="1266"/>
      <c r="AE368" s="1266"/>
      <c r="AF368" s="1266"/>
      <c r="AG368" s="1266"/>
      <c r="AH368" s="1266"/>
      <c r="AI368" s="1266"/>
      <c r="AJ368" s="1266"/>
      <c r="AK368" s="1266"/>
      <c r="AL368" s="1266"/>
    </row>
    <row r="369" spans="1:37" s="1268" customFormat="1">
      <c r="A369"/>
      <c r="B369" s="2"/>
      <c r="C369"/>
      <c r="D369"/>
      <c r="E369" s="1267" t="s">
        <v>1414</v>
      </c>
    </row>
    <row r="370" spans="1:37" s="1268"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1290</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1415</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1293</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1416</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1290</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3" t="s">
        <v>1425</v>
      </c>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c r="B389" s="2"/>
      <c r="E389" s="3"/>
      <c r="F389" s="1263"/>
      <c r="G389" s="1263"/>
      <c r="H389" s="1263"/>
      <c r="I389" s="1263"/>
      <c r="J389" s="1263"/>
      <c r="K389" s="1263"/>
      <c r="L389" s="1263"/>
      <c r="M389" s="1263"/>
      <c r="N389" s="1263"/>
      <c r="O389" s="1263"/>
      <c r="P389" s="1263"/>
      <c r="Q389" s="1263"/>
      <c r="R389" s="1263"/>
      <c r="S389" s="1263"/>
      <c r="T389" s="1263"/>
      <c r="U389" s="1263"/>
      <c r="V389" s="1263"/>
      <c r="W389" s="1263"/>
      <c r="X389" s="1263"/>
      <c r="Y389" s="1263"/>
      <c r="Z389" s="1263"/>
      <c r="AA389" s="1263"/>
      <c r="AB389" s="1263"/>
      <c r="AC389" s="1263"/>
      <c r="AD389" s="1263"/>
      <c r="AE389" s="1263"/>
      <c r="AF389" s="1263"/>
      <c r="AG389" s="1263"/>
      <c r="AH389" s="1263"/>
      <c r="AI389" s="1263"/>
      <c r="AJ389" s="1263"/>
      <c r="AK389" s="1263"/>
    </row>
    <row r="390" spans="1:38">
      <c r="B390" s="2"/>
      <c r="E390" s="3"/>
      <c r="F390" s="1263"/>
      <c r="G390" s="1263"/>
      <c r="H390" s="1263"/>
      <c r="I390" s="1263"/>
      <c r="J390" s="1263"/>
      <c r="K390" s="1263"/>
      <c r="L390" s="1263"/>
      <c r="M390" s="1263"/>
      <c r="N390" s="1263"/>
      <c r="O390" s="1263"/>
      <c r="P390" s="1263"/>
      <c r="Q390" s="1263"/>
      <c r="R390" s="1263"/>
      <c r="S390" s="1263"/>
      <c r="T390" s="1263"/>
      <c r="U390" s="1263"/>
      <c r="V390" s="1263"/>
      <c r="W390" s="1263"/>
      <c r="X390" s="1263"/>
      <c r="Y390" s="1263"/>
      <c r="Z390" s="1263"/>
      <c r="AA390" s="1263"/>
      <c r="AB390" s="1263"/>
      <c r="AC390" s="1263"/>
      <c r="AD390" s="1263"/>
      <c r="AE390" s="1263"/>
      <c r="AF390" s="1263"/>
      <c r="AG390" s="1263"/>
      <c r="AH390" s="1263"/>
      <c r="AI390" s="1263"/>
      <c r="AJ390" s="1263"/>
      <c r="AK390" s="1263"/>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1431</v>
      </c>
      <c r="F392" s="3"/>
      <c r="G392" s="2"/>
      <c r="I392" s="120"/>
      <c r="J392" s="3"/>
      <c r="K392" s="3"/>
      <c r="L392" s="3"/>
      <c r="M392" s="3"/>
      <c r="N392" s="3"/>
      <c r="O392" s="3"/>
      <c r="P392" s="3"/>
      <c r="Q392" s="3"/>
      <c r="R392" s="3"/>
      <c r="S392" s="3"/>
    </row>
    <row r="393" spans="1:38" ht="13.15" customHeight="1">
      <c r="B393" s="2"/>
      <c r="D393" s="2"/>
      <c r="E393" s="3" t="s">
        <v>1430</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1293</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7" zoomScaleNormal="100" zoomScaleSheetLayoutView="100" workbookViewId="0">
      <selection activeCell="AB71" sqref="AB71:AU71"/>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205" t="s">
        <v>1442</v>
      </c>
      <c r="B1" s="2205"/>
      <c r="C1" s="2205"/>
      <c r="D1" s="2205"/>
      <c r="E1" s="2205"/>
      <c r="F1" s="2205"/>
      <c r="G1" s="2205"/>
      <c r="H1" s="2205"/>
      <c r="I1" s="2205"/>
      <c r="J1" s="2205"/>
      <c r="K1" s="2205"/>
      <c r="L1" s="2205"/>
      <c r="M1" s="2205"/>
      <c r="N1" s="2205"/>
      <c r="O1" s="2205"/>
      <c r="P1" s="2205"/>
      <c r="Q1" s="2205"/>
      <c r="R1" s="2205"/>
      <c r="S1" s="2205"/>
      <c r="T1" s="2205"/>
      <c r="U1" s="2205"/>
      <c r="V1" s="2205"/>
      <c r="W1" s="2205"/>
      <c r="X1" s="2205"/>
      <c r="Y1" s="2205"/>
      <c r="Z1" s="2205"/>
      <c r="AA1" s="2205"/>
      <c r="AB1" s="2205"/>
      <c r="AC1" s="2205"/>
      <c r="AD1" s="2205"/>
      <c r="AE1" s="2205"/>
      <c r="AF1" s="2205"/>
      <c r="AG1" s="2205"/>
      <c r="AH1" s="2205"/>
      <c r="AI1" s="2205"/>
      <c r="AJ1" s="2205"/>
      <c r="AK1" s="2205"/>
      <c r="AL1" s="2205"/>
      <c r="AM1" s="2205"/>
      <c r="AN1" s="2205"/>
    </row>
    <row r="2" spans="1:40" ht="12.95" customHeight="1" thickBot="1">
      <c r="A2" s="2206"/>
      <c r="B2" s="2206"/>
      <c r="C2" s="2206"/>
      <c r="D2" s="2206"/>
      <c r="E2" s="2206"/>
      <c r="F2" s="2206"/>
      <c r="G2" s="2206"/>
      <c r="H2" s="2206"/>
      <c r="I2" s="2206"/>
      <c r="J2" s="2206"/>
      <c r="K2" s="2206"/>
      <c r="L2" s="2206"/>
      <c r="M2" s="2206"/>
      <c r="N2" s="2206"/>
      <c r="O2" s="2206"/>
      <c r="P2" s="2206"/>
      <c r="Q2" s="2206"/>
      <c r="R2" s="2206"/>
      <c r="S2" s="2206"/>
      <c r="T2" s="2206"/>
      <c r="U2" s="2206"/>
      <c r="V2" s="2206"/>
      <c r="W2" s="2206"/>
      <c r="X2" s="2206"/>
      <c r="Y2" s="2206"/>
      <c r="Z2" s="2206"/>
      <c r="AA2" s="2206"/>
      <c r="AB2" s="2206"/>
      <c r="AC2" s="2206"/>
      <c r="AD2" s="2206"/>
      <c r="AE2" s="2206"/>
      <c r="AF2" s="2206"/>
      <c r="AG2" s="2206"/>
      <c r="AH2" s="2206"/>
      <c r="AI2" s="2206"/>
      <c r="AJ2" s="2206"/>
      <c r="AK2" s="2206"/>
      <c r="AL2" s="2206"/>
      <c r="AM2" s="2206"/>
      <c r="AN2" s="2206"/>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1383</v>
      </c>
    </row>
    <row r="7" spans="1:40" ht="12.95" customHeight="1">
      <c r="B7" s="437"/>
      <c r="C7" s="438"/>
      <c r="D7" s="438"/>
      <c r="E7" s="438"/>
      <c r="F7" s="438"/>
      <c r="G7" s="438"/>
      <c r="H7" s="438"/>
      <c r="I7" s="438"/>
      <c r="J7" s="438"/>
      <c r="K7" s="438"/>
      <c r="L7" s="438"/>
      <c r="M7" s="438"/>
      <c r="N7" s="438"/>
      <c r="O7" s="438"/>
      <c r="P7" s="438"/>
      <c r="Q7" s="438"/>
      <c r="R7" s="438"/>
      <c r="S7" s="438"/>
      <c r="T7" s="2185" t="str">
        <f xml:space="preserve"> IF(T25=100%,'Sources and Basis Breakdown'!G2,'Sources and Basis Breakdown'!F2)</f>
        <v>30% PVC for New Const/
Rehabilitation
DDA/QCT
Building(s)</v>
      </c>
      <c r="U7" s="2185"/>
      <c r="V7" s="2185"/>
      <c r="W7" s="2185"/>
      <c r="X7" s="2185"/>
      <c r="Y7" s="2185" t="str">
        <f>IF(T25=100%," ",'Sources and Basis Breakdown'!G2)</f>
        <v>30% PVC for New Const/
Rehabilitation
NON-DDA/
NON-QCT Building(s)</v>
      </c>
      <c r="Z7" s="2185"/>
      <c r="AA7" s="2185"/>
      <c r="AB7" s="2185"/>
      <c r="AC7" s="2185"/>
      <c r="AD7" s="2185" t="str">
        <f xml:space="preserve"> IF(T25=100%, 'Sources and Basis Breakdown'!J2,'Sources and Basis Breakdown'!I2)</f>
        <v>30% PVC for Acquisition
DDA/QCT Building(s)</v>
      </c>
      <c r="AE7" s="2185"/>
      <c r="AF7" s="2185"/>
      <c r="AG7" s="2185"/>
      <c r="AH7" s="2185"/>
      <c r="AI7" s="2185" t="str">
        <f>IF(T25=100%," ",'Sources and Basis Breakdown'!J2)</f>
        <v>30% PVC for Acquisition
NON-DDA/
NON-QCT Building(s)</v>
      </c>
      <c r="AJ7" s="2185"/>
      <c r="AK7" s="2185"/>
      <c r="AL7" s="2185"/>
      <c r="AM7" s="2185"/>
    </row>
    <row r="8" spans="1:40" ht="12.95" customHeight="1">
      <c r="B8" s="439"/>
      <c r="T8" s="2185"/>
      <c r="U8" s="2185"/>
      <c r="V8" s="2185"/>
      <c r="W8" s="2185"/>
      <c r="X8" s="2185"/>
      <c r="Y8" s="2185"/>
      <c r="Z8" s="2185"/>
      <c r="AA8" s="2185"/>
      <c r="AB8" s="2185"/>
      <c r="AC8" s="2185"/>
      <c r="AD8" s="2185"/>
      <c r="AE8" s="2185"/>
      <c r="AF8" s="2185"/>
      <c r="AG8" s="2185"/>
      <c r="AH8" s="2185"/>
      <c r="AI8" s="2185"/>
      <c r="AJ8" s="2185"/>
      <c r="AK8" s="2185"/>
      <c r="AL8" s="2185"/>
      <c r="AM8" s="2185"/>
    </row>
    <row r="9" spans="1:40" ht="12.95" customHeight="1">
      <c r="B9" s="439"/>
      <c r="T9" s="2185"/>
      <c r="U9" s="2185"/>
      <c r="V9" s="2185"/>
      <c r="W9" s="2185"/>
      <c r="X9" s="2185"/>
      <c r="Y9" s="2185"/>
      <c r="Z9" s="2185"/>
      <c r="AA9" s="2185"/>
      <c r="AB9" s="2185"/>
      <c r="AC9" s="2185"/>
      <c r="AD9" s="2185"/>
      <c r="AE9" s="2185"/>
      <c r="AF9" s="2185"/>
      <c r="AG9" s="2185"/>
      <c r="AH9" s="2185"/>
      <c r="AI9" s="2185"/>
      <c r="AJ9" s="2185"/>
      <c r="AK9" s="2185"/>
      <c r="AL9" s="2185"/>
      <c r="AM9" s="2185"/>
    </row>
    <row r="10" spans="1:40" ht="12.95" customHeight="1">
      <c r="B10" s="440"/>
      <c r="C10" s="441"/>
      <c r="D10" s="441"/>
      <c r="E10" s="441"/>
      <c r="F10" s="441"/>
      <c r="G10" s="441"/>
      <c r="H10" s="441"/>
      <c r="I10" s="441"/>
      <c r="J10" s="441"/>
      <c r="K10" s="441"/>
      <c r="L10" s="441"/>
      <c r="M10" s="441"/>
      <c r="N10" s="441"/>
      <c r="O10" s="441"/>
      <c r="P10" s="441"/>
      <c r="Q10" s="441"/>
      <c r="R10" s="441"/>
      <c r="S10" s="441"/>
      <c r="T10" s="2185"/>
      <c r="U10" s="2185"/>
      <c r="V10" s="2185"/>
      <c r="W10" s="2185"/>
      <c r="X10" s="2185"/>
      <c r="Y10" s="2185"/>
      <c r="Z10" s="2185"/>
      <c r="AA10" s="2185"/>
      <c r="AB10" s="2185"/>
      <c r="AC10" s="2185"/>
      <c r="AD10" s="2185"/>
      <c r="AE10" s="2185"/>
      <c r="AF10" s="2185"/>
      <c r="AG10" s="2185"/>
      <c r="AH10" s="2185"/>
      <c r="AI10" s="2185"/>
      <c r="AJ10" s="2185"/>
      <c r="AK10" s="2185"/>
      <c r="AL10" s="2185"/>
      <c r="AM10" s="2185"/>
    </row>
    <row r="11" spans="1:40" ht="12.95" customHeight="1">
      <c r="B11" s="2168" t="s">
        <v>377</v>
      </c>
      <c r="C11" s="2169"/>
      <c r="D11" s="2169"/>
      <c r="E11" s="2169"/>
      <c r="F11" s="2169"/>
      <c r="G11" s="2169"/>
      <c r="H11" s="2169"/>
      <c r="I11" s="2169"/>
      <c r="J11" s="2169"/>
      <c r="K11" s="2169"/>
      <c r="L11" s="2169"/>
      <c r="M11" s="2169"/>
      <c r="N11" s="2169"/>
      <c r="O11" s="2169"/>
      <c r="P11" s="2169"/>
      <c r="Q11" s="2169"/>
      <c r="R11" s="2169"/>
      <c r="S11" s="2170"/>
      <c r="T11" s="2207">
        <f>IF('Sources and Basis Breakdown'!F107=0,'Sources and Basis Breakdown'!E107,'Sources and Basis Breakdown'!F107)</f>
        <v>84167708.173505157</v>
      </c>
      <c r="U11" s="2208"/>
      <c r="V11" s="2208"/>
      <c r="W11" s="2208"/>
      <c r="X11" s="2208"/>
      <c r="Y11" s="2207">
        <f>IF(Y7=" ",0,IF('Sources and Basis Breakdown'!G107+'Sources and Basis Breakdown'!F107='Sources and Basis Breakdown'!E107,'Sources and Basis Breakdown'!G107,0))</f>
        <v>0</v>
      </c>
      <c r="Z11" s="2208"/>
      <c r="AA11" s="2208"/>
      <c r="AB11" s="2208"/>
      <c r="AC11" s="2208"/>
      <c r="AD11" s="2208">
        <f>IF('Sources and Basis Breakdown'!I107=0,'Sources and Basis Breakdown'!H107,'Sources and Basis Breakdown'!I107)</f>
        <v>0</v>
      </c>
      <c r="AE11" s="2208"/>
      <c r="AF11" s="2208"/>
      <c r="AG11" s="2208"/>
      <c r="AH11" s="2208"/>
      <c r="AI11" s="2208">
        <f>IF(Y7=" ",0,IF('Sources and Basis Breakdown'!I107+'Sources and Basis Breakdown'!J107='Sources and Basis Breakdown'!H107,'Sources and Basis Breakdown'!J107,0))</f>
        <v>0</v>
      </c>
      <c r="AJ11" s="2208"/>
      <c r="AK11" s="2208"/>
      <c r="AL11" s="2208"/>
      <c r="AM11" s="2208"/>
    </row>
    <row r="12" spans="1:40" ht="12.95" customHeight="1">
      <c r="B12" s="2209" t="s">
        <v>506</v>
      </c>
      <c r="C12" s="1278"/>
      <c r="D12" s="1278"/>
      <c r="E12" s="1278"/>
      <c r="F12" s="1278"/>
      <c r="G12" s="1278"/>
      <c r="H12" s="1278"/>
      <c r="I12" s="1278"/>
      <c r="J12" s="1278"/>
      <c r="K12" s="1278"/>
      <c r="L12" s="1278"/>
      <c r="M12" s="1278"/>
      <c r="N12" s="1278"/>
      <c r="O12" s="1278"/>
      <c r="P12" s="1278"/>
      <c r="Q12" s="1278"/>
      <c r="R12" s="1278"/>
      <c r="S12" s="2210"/>
      <c r="T12" s="2200"/>
      <c r="U12" s="2201"/>
      <c r="V12" s="2201"/>
      <c r="W12" s="2201"/>
      <c r="X12" s="2202"/>
      <c r="Y12" s="2200"/>
      <c r="Z12" s="2201"/>
      <c r="AA12" s="2201"/>
      <c r="AB12" s="2201"/>
      <c r="AC12" s="2202"/>
      <c r="AD12" s="2200"/>
      <c r="AE12" s="2201"/>
      <c r="AF12" s="2201"/>
      <c r="AG12" s="2201"/>
      <c r="AH12" s="2202"/>
      <c r="AI12" s="2200"/>
      <c r="AJ12" s="2201"/>
      <c r="AK12" s="2201"/>
      <c r="AL12" s="2201"/>
      <c r="AM12" s="2202"/>
    </row>
    <row r="13" spans="1:40" ht="12.95" customHeight="1">
      <c r="B13" s="468"/>
      <c r="C13" s="2211" t="s">
        <v>507</v>
      </c>
      <c r="D13" s="2211"/>
      <c r="E13" s="2211"/>
      <c r="F13" s="2211"/>
      <c r="G13" s="2211"/>
      <c r="H13" s="2211"/>
      <c r="I13" s="2211"/>
      <c r="J13" s="2211"/>
      <c r="K13" s="2211"/>
      <c r="L13" s="2211"/>
      <c r="M13" s="2211"/>
      <c r="N13" s="2211"/>
      <c r="O13" s="2211"/>
      <c r="P13" s="2211"/>
      <c r="Q13" s="2211"/>
      <c r="R13" s="2211"/>
      <c r="S13" s="2212"/>
      <c r="T13" s="2203"/>
      <c r="U13" s="2204"/>
      <c r="V13" s="2204"/>
      <c r="W13" s="2204"/>
      <c r="X13" s="2204"/>
      <c r="Y13" s="2203"/>
      <c r="Z13" s="2204"/>
      <c r="AA13" s="2204"/>
      <c r="AB13" s="2204"/>
      <c r="AC13" s="2204"/>
      <c r="AD13" s="2204"/>
      <c r="AE13" s="2204"/>
      <c r="AF13" s="2204"/>
      <c r="AG13" s="2204"/>
      <c r="AH13" s="2204"/>
      <c r="AI13" s="2204"/>
      <c r="AJ13" s="2204"/>
      <c r="AK13" s="2204"/>
      <c r="AL13" s="2204"/>
      <c r="AM13" s="2204"/>
    </row>
    <row r="14" spans="1:40" ht="12.95" customHeight="1">
      <c r="B14" s="468"/>
      <c r="C14" s="2211" t="s">
        <v>508</v>
      </c>
      <c r="D14" s="2211"/>
      <c r="E14" s="2211"/>
      <c r="F14" s="2211"/>
      <c r="G14" s="2211"/>
      <c r="H14" s="2211"/>
      <c r="I14" s="2211"/>
      <c r="J14" s="2211"/>
      <c r="K14" s="2211"/>
      <c r="L14" s="2211"/>
      <c r="M14" s="2211"/>
      <c r="N14" s="2211"/>
      <c r="O14" s="2211"/>
      <c r="P14" s="2211"/>
      <c r="Q14" s="2211"/>
      <c r="R14" s="2211"/>
      <c r="S14" s="2212"/>
      <c r="T14" s="2193"/>
      <c r="U14" s="2194"/>
      <c r="V14" s="2194"/>
      <c r="W14" s="2194"/>
      <c r="X14" s="2194"/>
      <c r="Y14" s="2193"/>
      <c r="Z14" s="2194"/>
      <c r="AA14" s="2194"/>
      <c r="AB14" s="2194"/>
      <c r="AC14" s="2194"/>
      <c r="AD14" s="2194"/>
      <c r="AE14" s="2194"/>
      <c r="AF14" s="2194"/>
      <c r="AG14" s="2194"/>
      <c r="AH14" s="2194"/>
      <c r="AI14" s="2194"/>
      <c r="AJ14" s="2194"/>
      <c r="AK14" s="2194"/>
      <c r="AL14" s="2194"/>
      <c r="AM14" s="2194"/>
    </row>
    <row r="15" spans="1:40" ht="12.95" customHeight="1">
      <c r="B15" s="468"/>
      <c r="C15" s="2211" t="s">
        <v>509</v>
      </c>
      <c r="D15" s="2211"/>
      <c r="E15" s="2211"/>
      <c r="F15" s="2211"/>
      <c r="G15" s="2211"/>
      <c r="H15" s="2211"/>
      <c r="I15" s="2211"/>
      <c r="J15" s="2211"/>
      <c r="K15" s="2211"/>
      <c r="L15" s="2211"/>
      <c r="M15" s="2211"/>
      <c r="N15" s="2211"/>
      <c r="O15" s="2211"/>
      <c r="P15" s="2211"/>
      <c r="Q15" s="2211"/>
      <c r="R15" s="2211"/>
      <c r="S15" s="2212"/>
      <c r="T15" s="2193"/>
      <c r="U15" s="2194"/>
      <c r="V15" s="2194"/>
      <c r="W15" s="2194"/>
      <c r="X15" s="2194"/>
      <c r="Y15" s="2193"/>
      <c r="Z15" s="2194"/>
      <c r="AA15" s="2194"/>
      <c r="AB15" s="2194"/>
      <c r="AC15" s="2194"/>
      <c r="AD15" s="2194"/>
      <c r="AE15" s="2194"/>
      <c r="AF15" s="2194"/>
      <c r="AG15" s="2194"/>
      <c r="AH15" s="2194"/>
      <c r="AI15" s="2194"/>
      <c r="AJ15" s="2194"/>
      <c r="AK15" s="2194"/>
      <c r="AL15" s="2194"/>
      <c r="AM15" s="2194"/>
    </row>
    <row r="16" spans="1:40" ht="12.95" customHeight="1">
      <c r="B16" s="468"/>
      <c r="C16" s="2211" t="s">
        <v>830</v>
      </c>
      <c r="D16" s="2211"/>
      <c r="E16" s="2211"/>
      <c r="F16" s="2211"/>
      <c r="G16" s="2211"/>
      <c r="H16" s="2211"/>
      <c r="I16" s="2211"/>
      <c r="J16" s="2211"/>
      <c r="K16" s="2211"/>
      <c r="L16" s="2211"/>
      <c r="M16" s="2211"/>
      <c r="N16" s="2211"/>
      <c r="O16" s="2211"/>
      <c r="P16" s="2211"/>
      <c r="Q16" s="2211"/>
      <c r="R16" s="2211"/>
      <c r="S16" s="2212"/>
      <c r="T16" s="2193"/>
      <c r="U16" s="2194"/>
      <c r="V16" s="2194"/>
      <c r="W16" s="2194"/>
      <c r="X16" s="2194"/>
      <c r="Y16" s="2193"/>
      <c r="Z16" s="2194"/>
      <c r="AA16" s="2194"/>
      <c r="AB16" s="2194"/>
      <c r="AC16" s="2194"/>
      <c r="AD16" s="2194"/>
      <c r="AE16" s="2194"/>
      <c r="AF16" s="2194"/>
      <c r="AG16" s="2194"/>
      <c r="AH16" s="2194"/>
      <c r="AI16" s="2194"/>
      <c r="AJ16" s="2194"/>
      <c r="AK16" s="2194"/>
      <c r="AL16" s="2194"/>
      <c r="AM16" s="2194"/>
    </row>
    <row r="17" spans="1:40" ht="12.95" customHeight="1">
      <c r="B17" s="468"/>
      <c r="C17" s="2211" t="s">
        <v>510</v>
      </c>
      <c r="D17" s="2211"/>
      <c r="E17" s="2211"/>
      <c r="F17" s="2211"/>
      <c r="G17" s="2211"/>
      <c r="H17" s="2211"/>
      <c r="I17" s="2211"/>
      <c r="J17" s="2211"/>
      <c r="K17" s="2211"/>
      <c r="L17" s="2211"/>
      <c r="M17" s="2211"/>
      <c r="N17" s="2211"/>
      <c r="O17" s="2211"/>
      <c r="P17" s="2211"/>
      <c r="Q17" s="2211"/>
      <c r="R17" s="2211"/>
      <c r="S17" s="2212"/>
      <c r="T17" s="2193"/>
      <c r="U17" s="2194"/>
      <c r="V17" s="2194"/>
      <c r="W17" s="2194"/>
      <c r="X17" s="2194"/>
      <c r="Y17" s="2193"/>
      <c r="Z17" s="2194"/>
      <c r="AA17" s="2194"/>
      <c r="AB17" s="2194"/>
      <c r="AC17" s="2194"/>
      <c r="AD17" s="2194"/>
      <c r="AE17" s="2194"/>
      <c r="AF17" s="2194"/>
      <c r="AG17" s="2194"/>
      <c r="AH17" s="2194"/>
      <c r="AI17" s="2194"/>
      <c r="AJ17" s="2194"/>
      <c r="AK17" s="2194"/>
      <c r="AL17" s="2194"/>
      <c r="AM17" s="2194"/>
    </row>
    <row r="18" spans="1:40" ht="12.95" customHeight="1">
      <c r="A18"/>
      <c r="B18" s="1202"/>
      <c r="C18" s="1685" t="s">
        <v>999</v>
      </c>
      <c r="D18" s="1685"/>
      <c r="E18" s="1685"/>
      <c r="F18" s="1685"/>
      <c r="G18" s="1685"/>
      <c r="H18" s="1685"/>
      <c r="I18" s="1685"/>
      <c r="J18" s="1685"/>
      <c r="K18" s="1685"/>
      <c r="L18" s="1685"/>
      <c r="M18" s="1685"/>
      <c r="N18" s="1685"/>
      <c r="O18" s="1685"/>
      <c r="P18" s="1685"/>
      <c r="Q18" s="1685"/>
      <c r="R18" s="1685"/>
      <c r="S18" s="1686"/>
      <c r="T18" s="2193"/>
      <c r="U18" s="2194"/>
      <c r="V18" s="2194"/>
      <c r="W18" s="2194"/>
      <c r="X18" s="2194"/>
      <c r="Y18" s="2193"/>
      <c r="Z18" s="2194"/>
      <c r="AA18" s="2194"/>
      <c r="AB18" s="2194"/>
      <c r="AC18" s="2194"/>
      <c r="AD18" s="2194"/>
      <c r="AE18" s="2194"/>
      <c r="AF18" s="2194"/>
      <c r="AG18" s="2194"/>
      <c r="AH18" s="2194"/>
      <c r="AI18" s="2194"/>
      <c r="AJ18" s="2194"/>
      <c r="AK18" s="2194"/>
      <c r="AL18" s="2194"/>
      <c r="AM18" s="2194"/>
    </row>
    <row r="19" spans="1:40" ht="12.95" customHeight="1">
      <c r="B19" s="1202"/>
      <c r="C19" s="1685" t="s">
        <v>999</v>
      </c>
      <c r="D19" s="1685"/>
      <c r="E19" s="1685"/>
      <c r="F19" s="1685"/>
      <c r="G19" s="1685"/>
      <c r="H19" s="1685"/>
      <c r="I19" s="1685"/>
      <c r="J19" s="1685"/>
      <c r="K19" s="1685"/>
      <c r="L19" s="1685"/>
      <c r="M19" s="1685"/>
      <c r="N19" s="1685"/>
      <c r="O19" s="1685"/>
      <c r="P19" s="1685"/>
      <c r="Q19" s="1685"/>
      <c r="R19" s="1685"/>
      <c r="S19" s="1686"/>
      <c r="T19" s="2193"/>
      <c r="U19" s="2194"/>
      <c r="V19" s="2194"/>
      <c r="W19" s="2194"/>
      <c r="X19" s="2194"/>
      <c r="Y19" s="2193"/>
      <c r="Z19" s="2194"/>
      <c r="AA19" s="2194"/>
      <c r="AB19" s="2194"/>
      <c r="AC19" s="2194"/>
      <c r="AD19" s="2194"/>
      <c r="AE19" s="2194"/>
      <c r="AF19" s="2194"/>
      <c r="AG19" s="2194"/>
      <c r="AH19" s="2194"/>
      <c r="AI19" s="2194"/>
      <c r="AJ19" s="2194"/>
      <c r="AK19" s="2194"/>
      <c r="AL19" s="2194"/>
      <c r="AM19" s="2194"/>
    </row>
    <row r="20" spans="1:40" ht="12.95" customHeight="1">
      <c r="B20" s="2168" t="s">
        <v>511</v>
      </c>
      <c r="C20" s="2169"/>
      <c r="D20" s="2169"/>
      <c r="E20" s="2169"/>
      <c r="F20" s="2169"/>
      <c r="G20" s="2169"/>
      <c r="H20" s="2169"/>
      <c r="I20" s="2169"/>
      <c r="J20" s="2169"/>
      <c r="K20" s="2169"/>
      <c r="L20" s="2169"/>
      <c r="M20" s="2169"/>
      <c r="N20" s="2169"/>
      <c r="O20" s="2169"/>
      <c r="P20" s="2169"/>
      <c r="Q20" s="2169"/>
      <c r="R20" s="2169"/>
      <c r="S20" s="2170"/>
      <c r="T20" s="2184">
        <f>SUM(T13:X19)</f>
        <v>0</v>
      </c>
      <c r="U20" s="2162"/>
      <c r="V20" s="2162"/>
      <c r="W20" s="2162"/>
      <c r="X20" s="2162"/>
      <c r="Y20" s="2184">
        <f>SUM(Y13:AC19)</f>
        <v>0</v>
      </c>
      <c r="Z20" s="2162"/>
      <c r="AA20" s="2162"/>
      <c r="AB20" s="2162"/>
      <c r="AC20" s="2162"/>
      <c r="AD20" s="2172">
        <f>SUM(AD13:AH19)</f>
        <v>0</v>
      </c>
      <c r="AE20" s="2183"/>
      <c r="AF20" s="2183"/>
      <c r="AG20" s="2183"/>
      <c r="AH20" s="2184"/>
      <c r="AI20" s="2172">
        <f>SUM(AI13:AM19)</f>
        <v>0</v>
      </c>
      <c r="AJ20" s="2183"/>
      <c r="AK20" s="2183"/>
      <c r="AL20" s="2183"/>
      <c r="AM20" s="2184"/>
    </row>
    <row r="21" spans="1:40" ht="12.95" customHeight="1">
      <c r="B21" s="2168" t="s">
        <v>1419</v>
      </c>
      <c r="C21" s="2169"/>
      <c r="D21" s="2169"/>
      <c r="E21" s="2169"/>
      <c r="F21" s="2169"/>
      <c r="G21" s="2169"/>
      <c r="H21" s="2169"/>
      <c r="I21" s="2169"/>
      <c r="J21" s="2169"/>
      <c r="K21" s="2169"/>
      <c r="L21" s="2169"/>
      <c r="M21" s="2169"/>
      <c r="N21" s="2169"/>
      <c r="O21" s="2169"/>
      <c r="P21" s="2169"/>
      <c r="Q21" s="2169"/>
      <c r="R21" s="2169"/>
      <c r="S21" s="2170"/>
      <c r="T21" s="2193"/>
      <c r="U21" s="2194"/>
      <c r="V21" s="2194"/>
      <c r="W21" s="2194"/>
      <c r="X21" s="2194"/>
      <c r="Y21" s="2193"/>
      <c r="Z21" s="2194"/>
      <c r="AA21" s="2194"/>
      <c r="AB21" s="2194"/>
      <c r="AC21" s="2194"/>
      <c r="AD21" s="2200"/>
      <c r="AE21" s="2201"/>
      <c r="AF21" s="2201"/>
      <c r="AG21" s="2201"/>
      <c r="AH21" s="2202"/>
      <c r="AI21" s="2200"/>
      <c r="AJ21" s="2201"/>
      <c r="AK21" s="2201"/>
      <c r="AL21" s="2201"/>
      <c r="AM21" s="2202"/>
    </row>
    <row r="22" spans="1:40" ht="12.95" customHeight="1">
      <c r="B22" s="2168" t="s">
        <v>512</v>
      </c>
      <c r="C22" s="2169"/>
      <c r="D22" s="2169"/>
      <c r="E22" s="2169"/>
      <c r="F22" s="2169"/>
      <c r="G22" s="2169"/>
      <c r="H22" s="2169"/>
      <c r="I22" s="2169"/>
      <c r="J22" s="2169"/>
      <c r="K22" s="2169"/>
      <c r="L22" s="2169"/>
      <c r="M22" s="2169"/>
      <c r="N22" s="2169"/>
      <c r="O22" s="2169"/>
      <c r="P22" s="2169"/>
      <c r="Q22" s="2169"/>
      <c r="R22" s="2169"/>
      <c r="S22" s="2170"/>
      <c r="T22" s="2189">
        <f>(T20+T21)*-1</f>
        <v>0</v>
      </c>
      <c r="U22" s="2190"/>
      <c r="V22" s="2190"/>
      <c r="W22" s="2190"/>
      <c r="X22" s="2190"/>
      <c r="Y22" s="2189">
        <f>(Y20+Y21)*-1</f>
        <v>0</v>
      </c>
      <c r="Z22" s="2190"/>
      <c r="AA22" s="2190"/>
      <c r="AB22" s="2190"/>
      <c r="AC22" s="2190"/>
      <c r="AD22" s="2191">
        <f>(AD20)*-1</f>
        <v>0</v>
      </c>
      <c r="AE22" s="2192"/>
      <c r="AF22" s="2192"/>
      <c r="AG22" s="2192"/>
      <c r="AH22" s="2189"/>
      <c r="AI22" s="2191">
        <f>(AI20)*-1</f>
        <v>0</v>
      </c>
      <c r="AJ22" s="2192"/>
      <c r="AK22" s="2192"/>
      <c r="AL22" s="2192"/>
      <c r="AM22" s="2189"/>
    </row>
    <row r="23" spans="1:40" ht="12.95" customHeight="1">
      <c r="B23" s="2168" t="s">
        <v>513</v>
      </c>
      <c r="C23" s="2169"/>
      <c r="D23" s="2169"/>
      <c r="E23" s="2169"/>
      <c r="F23" s="2169"/>
      <c r="G23" s="2169"/>
      <c r="H23" s="2169"/>
      <c r="I23" s="2169"/>
      <c r="J23" s="2169"/>
      <c r="K23" s="2169"/>
      <c r="L23" s="2169"/>
      <c r="M23" s="2169"/>
      <c r="N23" s="2169"/>
      <c r="O23" s="2169"/>
      <c r="P23" s="2169"/>
      <c r="Q23" s="2169"/>
      <c r="R23" s="2169"/>
      <c r="S23" s="2170"/>
      <c r="T23" s="2184">
        <f>T11+T22</f>
        <v>84167708.173505157</v>
      </c>
      <c r="U23" s="2162"/>
      <c r="V23" s="2162"/>
      <c r="W23" s="2162"/>
      <c r="X23" s="2162"/>
      <c r="Y23" s="2184">
        <f>Y11+Y22</f>
        <v>0</v>
      </c>
      <c r="Z23" s="2162"/>
      <c r="AA23" s="2162"/>
      <c r="AB23" s="2162"/>
      <c r="AC23" s="2162"/>
      <c r="AD23" s="2184">
        <f>AD11+AD22</f>
        <v>0</v>
      </c>
      <c r="AE23" s="2162"/>
      <c r="AF23" s="2162"/>
      <c r="AG23" s="2162"/>
      <c r="AH23" s="2162"/>
      <c r="AI23" s="2184">
        <f>AI11+AI22</f>
        <v>0</v>
      </c>
      <c r="AJ23" s="2162"/>
      <c r="AK23" s="2162"/>
      <c r="AL23" s="2162"/>
      <c r="AM23" s="2162"/>
    </row>
    <row r="24" spans="1:40" ht="12.95" customHeight="1">
      <c r="B24" s="2168" t="s">
        <v>1000</v>
      </c>
      <c r="C24" s="2169"/>
      <c r="D24" s="2169"/>
      <c r="E24" s="2169"/>
      <c r="F24" s="2169"/>
      <c r="G24" s="2169"/>
      <c r="H24" s="2169"/>
      <c r="I24" s="2169"/>
      <c r="J24" s="2169"/>
      <c r="K24" s="2169"/>
      <c r="L24" s="2169"/>
      <c r="M24" s="2169"/>
      <c r="N24" s="2169"/>
      <c r="O24" s="2169"/>
      <c r="P24" s="2169"/>
      <c r="Q24" s="2169"/>
      <c r="R24" s="2169"/>
      <c r="S24" s="2170"/>
      <c r="T24" s="2172">
        <f>Application!AJ1018</f>
        <v>175530332.97999999</v>
      </c>
      <c r="U24" s="2183"/>
      <c r="V24" s="2183"/>
      <c r="W24" s="2183"/>
      <c r="X24" s="2183"/>
      <c r="Y24" s="2183"/>
      <c r="Z24" s="2183"/>
      <c r="AA24" s="2183"/>
      <c r="AB24" s="2183"/>
      <c r="AC24" s="2183"/>
      <c r="AD24" s="2183"/>
      <c r="AE24" s="2183"/>
      <c r="AF24" s="2183"/>
      <c r="AG24" s="2183"/>
      <c r="AH24" s="2183"/>
      <c r="AI24" s="2183"/>
      <c r="AJ24" s="2183"/>
      <c r="AK24" s="2183"/>
      <c r="AL24" s="2183"/>
      <c r="AM24" s="2184"/>
    </row>
    <row r="25" spans="1:40" ht="12.95" customHeight="1">
      <c r="B25" s="2215" t="s">
        <v>1420</v>
      </c>
      <c r="C25" s="2216"/>
      <c r="D25" s="2216"/>
      <c r="E25" s="2216"/>
      <c r="F25" s="2216"/>
      <c r="G25" s="2216"/>
      <c r="H25" s="2216"/>
      <c r="I25" s="2216"/>
      <c r="J25" s="2216"/>
      <c r="K25" s="2216"/>
      <c r="L25" s="2216"/>
      <c r="M25" s="2216"/>
      <c r="N25" s="2216"/>
      <c r="O25" s="2216"/>
      <c r="P25" s="2216"/>
      <c r="Q25" s="2216"/>
      <c r="R25" s="2216"/>
      <c r="S25" s="2217"/>
      <c r="T25" s="2197">
        <f>IF(OR(Application!T195="yes",Application!T194="yes"),1.3,1)</f>
        <v>1.3</v>
      </c>
      <c r="U25" s="2198"/>
      <c r="V25" s="2198"/>
      <c r="W25" s="2198"/>
      <c r="X25" s="2198"/>
      <c r="Y25" s="2197">
        <v>1</v>
      </c>
      <c r="Z25" s="2198"/>
      <c r="AA25" s="2198"/>
      <c r="AB25" s="2198"/>
      <c r="AC25" s="2198"/>
      <c r="AD25" s="2197">
        <v>1</v>
      </c>
      <c r="AE25" s="2198"/>
      <c r="AF25" s="2198"/>
      <c r="AG25" s="2198"/>
      <c r="AH25" s="2199"/>
      <c r="AI25" s="2197">
        <v>1</v>
      </c>
      <c r="AJ25" s="2198"/>
      <c r="AK25" s="2198"/>
      <c r="AL25" s="2198"/>
      <c r="AM25" s="2199"/>
    </row>
    <row r="26" spans="1:40" ht="12.95" customHeight="1">
      <c r="B26" s="2168" t="s">
        <v>514</v>
      </c>
      <c r="C26" s="2169"/>
      <c r="D26" s="2169"/>
      <c r="E26" s="2169"/>
      <c r="F26" s="2169"/>
      <c r="G26" s="2169"/>
      <c r="H26" s="2169"/>
      <c r="I26" s="2169"/>
      <c r="J26" s="2169"/>
      <c r="K26" s="2169"/>
      <c r="L26" s="2169"/>
      <c r="M26" s="2169"/>
      <c r="N26" s="2169"/>
      <c r="O26" s="2169"/>
      <c r="P26" s="2169"/>
      <c r="Q26" s="2169"/>
      <c r="R26" s="2169"/>
      <c r="S26" s="2170"/>
      <c r="T26" s="2184">
        <f>T23*T25</f>
        <v>109418020.62555671</v>
      </c>
      <c r="U26" s="2162"/>
      <c r="V26" s="2162"/>
      <c r="W26" s="2162"/>
      <c r="X26" s="2162"/>
      <c r="Y26" s="2184">
        <f>Y23*Y25</f>
        <v>0</v>
      </c>
      <c r="Z26" s="2162"/>
      <c r="AA26" s="2162"/>
      <c r="AB26" s="2162"/>
      <c r="AC26" s="2162"/>
      <c r="AD26" s="2184">
        <f>AD23*AD25</f>
        <v>0</v>
      </c>
      <c r="AE26" s="2162"/>
      <c r="AF26" s="2162"/>
      <c r="AG26" s="2162"/>
      <c r="AH26" s="2162"/>
      <c r="AI26" s="2184">
        <f>AI23*AI25</f>
        <v>0</v>
      </c>
      <c r="AJ26" s="2162"/>
      <c r="AK26" s="2162"/>
      <c r="AL26" s="2162"/>
      <c r="AM26" s="2162"/>
    </row>
    <row r="27" spans="1:40" ht="12.95" customHeight="1">
      <c r="A27" s="442"/>
      <c r="B27" s="2218" t="s">
        <v>428</v>
      </c>
      <c r="C27" s="2219"/>
      <c r="D27" s="2219"/>
      <c r="E27" s="2219"/>
      <c r="F27" s="2219"/>
      <c r="G27" s="2219"/>
      <c r="H27" s="2219"/>
      <c r="I27" s="2219"/>
      <c r="J27" s="2219"/>
      <c r="K27" s="2219"/>
      <c r="L27" s="2219"/>
      <c r="M27" s="2219"/>
      <c r="N27" s="2219"/>
      <c r="O27" s="2219"/>
      <c r="P27" s="2219"/>
      <c r="Q27" s="2219"/>
      <c r="R27" s="2219"/>
      <c r="S27" s="2220"/>
      <c r="T27" s="2195">
        <f>Application!$AG$444</f>
        <v>1</v>
      </c>
      <c r="U27" s="2196"/>
      <c r="V27" s="2196"/>
      <c r="W27" s="2196"/>
      <c r="X27" s="2196"/>
      <c r="Y27" s="2195">
        <f>Application!$AG$444</f>
        <v>1</v>
      </c>
      <c r="Z27" s="2196"/>
      <c r="AA27" s="2196"/>
      <c r="AB27" s="2196"/>
      <c r="AC27" s="2196"/>
      <c r="AD27" s="2195">
        <f>Application!$AG$444</f>
        <v>1</v>
      </c>
      <c r="AE27" s="2196"/>
      <c r="AF27" s="2196"/>
      <c r="AG27" s="2196"/>
      <c r="AH27" s="2196"/>
      <c r="AI27" s="2195">
        <f>Application!$AG$444</f>
        <v>1</v>
      </c>
      <c r="AJ27" s="2196"/>
      <c r="AK27" s="2196"/>
      <c r="AL27" s="2196"/>
      <c r="AM27" s="2196"/>
    </row>
    <row r="28" spans="1:40" ht="12.95" customHeight="1">
      <c r="A28" s="436"/>
      <c r="B28" s="2168" t="s">
        <v>515</v>
      </c>
      <c r="C28" s="2169"/>
      <c r="D28" s="2169"/>
      <c r="E28" s="2169"/>
      <c r="F28" s="2169"/>
      <c r="G28" s="2169"/>
      <c r="H28" s="2169"/>
      <c r="I28" s="2169"/>
      <c r="J28" s="2169"/>
      <c r="K28" s="2169"/>
      <c r="L28" s="2169"/>
      <c r="M28" s="2169"/>
      <c r="N28" s="2169"/>
      <c r="O28" s="2169"/>
      <c r="P28" s="2169"/>
      <c r="Q28" s="2169"/>
      <c r="R28" s="2169"/>
      <c r="S28" s="2170"/>
      <c r="T28" s="2184">
        <f>IF(ISERROR((T26*T27)),0,(T26*T27))</f>
        <v>109418020.62555671</v>
      </c>
      <c r="U28" s="2162"/>
      <c r="V28" s="2162"/>
      <c r="W28" s="2162"/>
      <c r="X28" s="2162"/>
      <c r="Y28" s="2184">
        <f>IF(ISERROR((Y26*Y27)),0,(Y26*Y27))</f>
        <v>0</v>
      </c>
      <c r="Z28" s="2162"/>
      <c r="AA28" s="2162"/>
      <c r="AB28" s="2162"/>
      <c r="AC28" s="2162"/>
      <c r="AD28" s="2184">
        <f>IF(ISERROR((AD26*AD27)),0,(AD26*AD27))</f>
        <v>0</v>
      </c>
      <c r="AE28" s="2162"/>
      <c r="AF28" s="2162"/>
      <c r="AG28" s="2162"/>
      <c r="AH28" s="2162"/>
      <c r="AI28" s="2184">
        <f>IF(ISERROR((AI26*AI27)),0,(AI26*AI27))</f>
        <v>0</v>
      </c>
      <c r="AJ28" s="2162"/>
      <c r="AK28" s="2162"/>
      <c r="AL28" s="2162"/>
      <c r="AM28" s="2162"/>
    </row>
    <row r="29" spans="1:40" ht="12.95" customHeight="1">
      <c r="B29" s="2168" t="s">
        <v>532</v>
      </c>
      <c r="C29" s="2169"/>
      <c r="D29" s="2169"/>
      <c r="E29" s="2169"/>
      <c r="F29" s="2169"/>
      <c r="G29" s="2169"/>
      <c r="H29" s="2169"/>
      <c r="I29" s="2169"/>
      <c r="J29" s="2169"/>
      <c r="K29" s="2169"/>
      <c r="L29" s="2169"/>
      <c r="M29" s="2169"/>
      <c r="N29" s="2169"/>
      <c r="O29" s="2169"/>
      <c r="P29" s="2169"/>
      <c r="Q29" s="2169"/>
      <c r="R29" s="2169"/>
      <c r="S29" s="2170"/>
      <c r="T29" s="2172">
        <f>T28+Y28+AD28+AI28</f>
        <v>109418020.62555671</v>
      </c>
      <c r="U29" s="2183"/>
      <c r="V29" s="2183"/>
      <c r="W29" s="2183"/>
      <c r="X29" s="2183"/>
      <c r="Y29" s="2183"/>
      <c r="Z29" s="2183"/>
      <c r="AA29" s="2183"/>
      <c r="AB29" s="2183"/>
      <c r="AC29" s="2183"/>
      <c r="AD29" s="2183"/>
      <c r="AE29" s="2183"/>
      <c r="AF29" s="2183"/>
      <c r="AG29" s="2183"/>
      <c r="AH29" s="2183"/>
      <c r="AI29" s="2183"/>
      <c r="AJ29" s="2183"/>
      <c r="AK29" s="2183"/>
      <c r="AL29" s="2183"/>
      <c r="AM29" s="2184"/>
    </row>
    <row r="30" spans="1:40" ht="12.95" customHeight="1">
      <c r="B30" s="2188" t="s">
        <v>1422</v>
      </c>
      <c r="C30" s="2188"/>
      <c r="D30" s="2188"/>
      <c r="E30" s="2188"/>
      <c r="F30" s="2188"/>
      <c r="G30" s="2188"/>
      <c r="H30" s="2188"/>
      <c r="I30" s="2188"/>
      <c r="J30" s="2188"/>
      <c r="K30" s="2188"/>
      <c r="L30" s="2188"/>
      <c r="M30" s="2188"/>
      <c r="N30" s="2188"/>
      <c r="O30" s="2188"/>
      <c r="P30" s="2188"/>
      <c r="Q30" s="2188"/>
      <c r="R30" s="2188"/>
      <c r="S30" s="2188"/>
      <c r="T30" s="2188"/>
      <c r="U30" s="2188"/>
      <c r="V30" s="2188"/>
      <c r="W30" s="2188"/>
      <c r="X30" s="2188"/>
      <c r="Y30" s="2188"/>
      <c r="Z30" s="2188"/>
      <c r="AA30" s="2188"/>
      <c r="AB30" s="2188"/>
      <c r="AC30" s="2188"/>
      <c r="AD30" s="2188"/>
      <c r="AE30" s="2188"/>
      <c r="AF30" s="2188"/>
      <c r="AG30" s="2188"/>
      <c r="AH30" s="2188"/>
      <c r="AI30" s="2188"/>
      <c r="AJ30" s="2188"/>
      <c r="AK30" s="2188"/>
      <c r="AL30" s="2188"/>
      <c r="AM30" s="2188"/>
    </row>
    <row r="31" spans="1:40" ht="12.95" customHeight="1">
      <c r="B31" s="2188" t="s">
        <v>1421</v>
      </c>
      <c r="C31" s="2188"/>
      <c r="D31" s="2188"/>
      <c r="E31" s="2188"/>
      <c r="F31" s="2188"/>
      <c r="G31" s="2188"/>
      <c r="H31" s="2188"/>
      <c r="I31" s="2188"/>
      <c r="J31" s="2188"/>
      <c r="K31" s="2188"/>
      <c r="L31" s="2188"/>
      <c r="M31" s="2188"/>
      <c r="N31" s="2188"/>
      <c r="O31" s="2188"/>
      <c r="P31" s="2188"/>
      <c r="Q31" s="2188"/>
      <c r="R31" s="2188"/>
      <c r="S31" s="2188"/>
      <c r="T31" s="2188"/>
      <c r="U31" s="2188"/>
      <c r="V31" s="2188"/>
      <c r="W31" s="2188"/>
      <c r="X31" s="2188"/>
      <c r="Y31" s="2188"/>
      <c r="Z31" s="2188"/>
      <c r="AA31" s="2188"/>
      <c r="AB31" s="2188"/>
      <c r="AC31" s="2188"/>
      <c r="AD31" s="2188"/>
      <c r="AE31" s="2188"/>
      <c r="AF31" s="2188"/>
      <c r="AG31" s="2188"/>
      <c r="AH31" s="2188"/>
      <c r="AI31" s="2188"/>
      <c r="AJ31" s="2188"/>
      <c r="AK31" s="2188"/>
      <c r="AL31" s="2188"/>
      <c r="AM31" s="2188"/>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585</v>
      </c>
      <c r="C34" s="436" t="s">
        <v>577</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185" t="s">
        <v>1291</v>
      </c>
      <c r="Z35" s="2185"/>
      <c r="AA35" s="2185"/>
      <c r="AB35" s="2185"/>
      <c r="AC35" s="2185"/>
      <c r="AD35" s="2186" t="s">
        <v>371</v>
      </c>
      <c r="AE35" s="2186"/>
      <c r="AF35" s="2186"/>
      <c r="AG35" s="2186"/>
      <c r="AH35" s="2186"/>
    </row>
    <row r="36" spans="1:76" ht="12.95" customHeight="1">
      <c r="B36" s="439"/>
      <c r="X36" s="444"/>
      <c r="Y36" s="2185"/>
      <c r="Z36" s="2185"/>
      <c r="AA36" s="2185"/>
      <c r="AB36" s="2185"/>
      <c r="AC36" s="2185"/>
      <c r="AD36" s="2186"/>
      <c r="AE36" s="2186"/>
      <c r="AF36" s="2186"/>
      <c r="AG36" s="2186"/>
      <c r="AH36" s="2186"/>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185"/>
      <c r="Z37" s="2185"/>
      <c r="AA37" s="2185"/>
      <c r="AB37" s="2185"/>
      <c r="AC37" s="2185"/>
      <c r="AD37" s="2186"/>
      <c r="AE37" s="2186"/>
      <c r="AF37" s="2186"/>
      <c r="AG37" s="2186"/>
      <c r="AH37" s="2186"/>
    </row>
    <row r="38" spans="1:76" ht="12.95" customHeight="1">
      <c r="A38" s="436"/>
      <c r="B38" s="2168" t="s">
        <v>515</v>
      </c>
      <c r="C38" s="2169"/>
      <c r="D38" s="2169"/>
      <c r="E38" s="2169"/>
      <c r="F38" s="2169"/>
      <c r="G38" s="2169"/>
      <c r="H38" s="2169"/>
      <c r="I38" s="2169"/>
      <c r="J38" s="2169"/>
      <c r="K38" s="2169"/>
      <c r="L38" s="2169"/>
      <c r="M38" s="2169"/>
      <c r="N38" s="2169"/>
      <c r="O38" s="2169"/>
      <c r="P38" s="2169"/>
      <c r="Q38" s="2169"/>
      <c r="R38" s="2169"/>
      <c r="S38" s="2169"/>
      <c r="T38" s="2169"/>
      <c r="U38" s="2169"/>
      <c r="V38" s="2169"/>
      <c r="W38" s="2169"/>
      <c r="X38" s="2170"/>
      <c r="Y38" s="2162">
        <f>IF(T24&gt;=(T23+Y23+AD23+AI23),T28+Y28,0)</f>
        <v>109418020.62555671</v>
      </c>
      <c r="Z38" s="2162"/>
      <c r="AA38" s="2162"/>
      <c r="AB38" s="2162"/>
      <c r="AC38" s="2162"/>
      <c r="AD38" s="2162">
        <f>IF(T24&gt;=(T23+Y23+AD23+AI23),AD28+AI28,0)</f>
        <v>0</v>
      </c>
      <c r="AE38" s="2162"/>
      <c r="AF38" s="2162"/>
      <c r="AG38" s="2162"/>
      <c r="AH38" s="2162"/>
    </row>
    <row r="39" spans="1:76" ht="12.95" customHeight="1">
      <c r="B39" s="2168" t="s">
        <v>1949</v>
      </c>
      <c r="C39" s="2169"/>
      <c r="D39" s="2169"/>
      <c r="E39" s="2169"/>
      <c r="F39" s="2169"/>
      <c r="G39" s="2169"/>
      <c r="H39" s="2169"/>
      <c r="I39" s="2169"/>
      <c r="J39" s="2169"/>
      <c r="K39" s="2169"/>
      <c r="L39" s="2169"/>
      <c r="M39" s="2169"/>
      <c r="N39" s="2169"/>
      <c r="O39" s="2169"/>
      <c r="P39" s="2169"/>
      <c r="Q39" s="2169"/>
      <c r="R39" s="2169"/>
      <c r="S39" s="2169"/>
      <c r="T39" s="2169"/>
      <c r="U39" s="2169"/>
      <c r="V39" s="2169"/>
      <c r="W39" s="2169"/>
      <c r="X39" s="2170"/>
      <c r="Y39" s="2187">
        <v>0.04</v>
      </c>
      <c r="Z39" s="2187"/>
      <c r="AA39" s="2187"/>
      <c r="AB39" s="2187"/>
      <c r="AC39" s="2187"/>
      <c r="AD39" s="2187">
        <v>0.04</v>
      </c>
      <c r="AE39" s="2187"/>
      <c r="AF39" s="2187"/>
      <c r="AG39" s="2187"/>
      <c r="AH39" s="2187"/>
    </row>
    <row r="40" spans="1:76" ht="12.95" customHeight="1">
      <c r="A40" s="436"/>
      <c r="B40" s="2168" t="s">
        <v>651</v>
      </c>
      <c r="C40" s="2169"/>
      <c r="D40" s="2169"/>
      <c r="E40" s="2169"/>
      <c r="F40" s="2169"/>
      <c r="G40" s="2169"/>
      <c r="H40" s="2169"/>
      <c r="I40" s="2169"/>
      <c r="J40" s="2169"/>
      <c r="K40" s="2169"/>
      <c r="L40" s="2169"/>
      <c r="M40" s="2169"/>
      <c r="N40" s="2169"/>
      <c r="O40" s="2169"/>
      <c r="P40" s="2169"/>
      <c r="Q40" s="2169"/>
      <c r="R40" s="2169"/>
      <c r="S40" s="2169"/>
      <c r="T40" s="2169"/>
      <c r="U40" s="2169"/>
      <c r="V40" s="2169"/>
      <c r="W40" s="2169"/>
      <c r="X40" s="2170"/>
      <c r="Y40" s="2162">
        <f>ROUND(Y38*Y39,0)</f>
        <v>4376721</v>
      </c>
      <c r="Z40" s="2162"/>
      <c r="AA40" s="2162"/>
      <c r="AB40" s="2162"/>
      <c r="AC40" s="2162"/>
      <c r="AD40" s="2184">
        <f>ROUND(AD38*AD39,0)</f>
        <v>0</v>
      </c>
      <c r="AE40" s="2162"/>
      <c r="AF40" s="2162"/>
      <c r="AG40" s="2162"/>
      <c r="AH40" s="2162"/>
    </row>
    <row r="41" spans="1:76" ht="12.95" customHeight="1">
      <c r="B41" s="2168" t="s">
        <v>652</v>
      </c>
      <c r="C41" s="2169"/>
      <c r="D41" s="2169"/>
      <c r="E41" s="2169"/>
      <c r="F41" s="2169"/>
      <c r="G41" s="2169"/>
      <c r="H41" s="2169"/>
      <c r="I41" s="2169"/>
      <c r="J41" s="2169"/>
      <c r="K41" s="2169"/>
      <c r="L41" s="2169"/>
      <c r="M41" s="2169"/>
      <c r="N41" s="2169"/>
      <c r="O41" s="2169"/>
      <c r="P41" s="2169"/>
      <c r="Q41" s="2169"/>
      <c r="R41" s="2169"/>
      <c r="S41" s="2169"/>
      <c r="T41" s="2169"/>
      <c r="U41" s="2169"/>
      <c r="V41" s="2169"/>
      <c r="W41" s="2169"/>
      <c r="X41" s="2170"/>
      <c r="Y41" s="2172">
        <f>Y40+AD40</f>
        <v>4376721</v>
      </c>
      <c r="Z41" s="2183"/>
      <c r="AA41" s="2183"/>
      <c r="AB41" s="2183"/>
      <c r="AC41" s="2183"/>
      <c r="AD41" s="2183"/>
      <c r="AE41" s="2183"/>
      <c r="AF41" s="2183"/>
      <c r="AG41" s="2183"/>
      <c r="AH41" s="2184"/>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182" t="s">
        <v>1432</v>
      </c>
      <c r="B44" s="2182"/>
      <c r="C44" s="2182"/>
      <c r="D44" s="2182"/>
      <c r="E44" s="2182"/>
      <c r="F44" s="2182"/>
      <c r="G44" s="2182"/>
      <c r="H44" s="2182"/>
      <c r="I44" s="2182"/>
      <c r="J44" s="2182"/>
      <c r="K44" s="2182"/>
      <c r="L44" s="2182"/>
      <c r="M44" s="2182"/>
      <c r="N44" s="2182"/>
      <c r="O44" s="2182"/>
      <c r="P44" s="2182"/>
      <c r="Q44" s="2182"/>
      <c r="R44" s="2182"/>
      <c r="S44" s="2182"/>
      <c r="T44" s="2182"/>
      <c r="U44" s="2182"/>
      <c r="V44" s="2182"/>
      <c r="W44" s="2182"/>
      <c r="X44" s="2182"/>
      <c r="Y44" s="2182"/>
      <c r="Z44" s="2182"/>
      <c r="AA44" s="2182"/>
      <c r="AB44" s="2182"/>
      <c r="AC44" s="2182"/>
      <c r="AD44" s="2182"/>
      <c r="AE44" s="2182"/>
      <c r="AF44" s="2182"/>
      <c r="AG44" s="2182"/>
      <c r="AH44" s="2182"/>
      <c r="AI44" s="2182"/>
      <c r="AJ44" s="2182"/>
      <c r="AK44" s="2182"/>
      <c r="AL44" s="2182"/>
      <c r="AM44" s="2182"/>
      <c r="AN44" s="2182"/>
      <c r="AO44" s="2182"/>
      <c r="AP44" s="2182"/>
      <c r="AQ44" s="2182"/>
      <c r="AR44" s="2182"/>
      <c r="AS44" s="2182"/>
      <c r="AT44" s="2182"/>
      <c r="AU44" s="2182"/>
      <c r="AV44" s="2182"/>
      <c r="AW44" s="2182"/>
      <c r="AX44" s="2182"/>
      <c r="AY44" s="2182"/>
      <c r="AZ44" s="2182"/>
      <c r="BA44" s="2182"/>
      <c r="BB44" s="2182"/>
      <c r="BC44" s="2182"/>
      <c r="BD44" s="2182"/>
      <c r="BE44" s="2182"/>
      <c r="BF44" s="2182"/>
      <c r="BG44" s="2182"/>
      <c r="BH44" s="2182"/>
      <c r="BI44" s="2182"/>
      <c r="BJ44" s="2182"/>
      <c r="BK44" s="2182"/>
      <c r="BL44" s="2182"/>
      <c r="BM44" s="2182"/>
      <c r="BN44" s="2182"/>
      <c r="BO44" s="2182"/>
      <c r="BP44" s="2182"/>
      <c r="BQ44" s="2182"/>
      <c r="BR44" s="2182"/>
      <c r="BS44" s="2182"/>
      <c r="BT44" s="2182"/>
      <c r="BU44" s="2182"/>
      <c r="BV44" s="2182"/>
      <c r="BW44" s="2182"/>
      <c r="BX44" s="2182"/>
    </row>
    <row r="45" spans="1:76" s="218" customFormat="1" ht="12.95" customHeight="1" thickTop="1"/>
    <row r="46" spans="1:76" ht="12.95" customHeight="1">
      <c r="A46" s="436" t="s">
        <v>595</v>
      </c>
      <c r="C46" s="436" t="s">
        <v>284</v>
      </c>
    </row>
    <row r="47" spans="1:76" ht="12.95" customHeight="1">
      <c r="D47" s="436" t="s">
        <v>285</v>
      </c>
      <c r="AB47" s="2176">
        <f>'Sources and Uses Budget'!B105-MAX(IF('Sources and Uses Budget'!B15="",0,'Sources and Uses Budget'!B15),IF(Application!AG394="",0,Application!AG394))</f>
        <v>100535241.86501113</v>
      </c>
      <c r="AC47" s="2177"/>
      <c r="AD47" s="2177"/>
      <c r="AE47" s="2177"/>
      <c r="AF47" s="2178"/>
    </row>
    <row r="48" spans="1:76" ht="12.95" customHeight="1">
      <c r="D48" s="436" t="s">
        <v>21</v>
      </c>
      <c r="AB48" s="2176">
        <f>Application!AO635-MAX(IF('Sources and Uses Budget'!B15="",0,'Sources and Uses Budget'!B15),IF(Application!AG394="",0,Application!AG394))</f>
        <v>37782154.041484714</v>
      </c>
      <c r="AC48" s="2177"/>
      <c r="AD48" s="2177"/>
      <c r="AE48" s="2177"/>
      <c r="AF48" s="2178"/>
    </row>
    <row r="49" spans="1:76" ht="12.95" customHeight="1">
      <c r="D49" s="436" t="s">
        <v>92</v>
      </c>
      <c r="AB49" s="2176">
        <f>AB47-AB48</f>
        <v>62753087.823526412</v>
      </c>
      <c r="AC49" s="2177"/>
      <c r="AD49" s="2177"/>
      <c r="AE49" s="2177"/>
      <c r="AF49" s="2178"/>
    </row>
    <row r="50" spans="1:76" ht="12.95" customHeight="1">
      <c r="D50" s="436" t="s">
        <v>690</v>
      </c>
      <c r="AA50" s="447"/>
      <c r="AB50" s="2164">
        <v>0.91990800000000006</v>
      </c>
      <c r="AC50" s="2165"/>
      <c r="AD50" s="2165"/>
      <c r="AE50" s="2165"/>
      <c r="AF50" s="2166"/>
    </row>
    <row r="51" spans="1:76" s="449" customFormat="1" ht="12.95" customHeight="1">
      <c r="A51" s="434"/>
      <c r="B51" s="434"/>
      <c r="C51" s="434"/>
      <c r="D51" s="434"/>
      <c r="E51" s="2175" t="s">
        <v>2110</v>
      </c>
      <c r="F51" s="2175"/>
      <c r="G51" s="2175"/>
      <c r="H51" s="2175"/>
      <c r="I51" s="2175"/>
      <c r="J51" s="2175"/>
      <c r="K51" s="2175"/>
      <c r="L51" s="2175"/>
      <c r="M51" s="2175"/>
      <c r="N51" s="2175"/>
      <c r="O51" s="2175"/>
      <c r="P51" s="2175"/>
      <c r="Q51" s="2175"/>
      <c r="R51" s="2175"/>
      <c r="S51" s="2175"/>
      <c r="T51" s="2175"/>
      <c r="U51" s="2175"/>
      <c r="V51" s="2175"/>
      <c r="W51" s="2175"/>
      <c r="X51" s="2175"/>
      <c r="Y51" s="2175"/>
      <c r="Z51" s="2175"/>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175"/>
      <c r="F52" s="2175"/>
      <c r="G52" s="2175"/>
      <c r="H52" s="2175"/>
      <c r="I52" s="2175"/>
      <c r="J52" s="2175"/>
      <c r="K52" s="2175"/>
      <c r="L52" s="2175"/>
      <c r="M52" s="2175"/>
      <c r="N52" s="2175"/>
      <c r="O52" s="2175"/>
      <c r="P52" s="2175"/>
      <c r="Q52" s="2175"/>
      <c r="R52" s="2175"/>
      <c r="S52" s="2175"/>
      <c r="T52" s="2175"/>
      <c r="U52" s="2175"/>
      <c r="V52" s="2175"/>
      <c r="W52" s="2175"/>
      <c r="X52" s="2175"/>
      <c r="Y52" s="2175"/>
      <c r="Z52" s="2175"/>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176">
        <f>ROUND(IF(ISERROR((AB49/AB50)),0,(AB49/AB50)),0)</f>
        <v>68216700</v>
      </c>
      <c r="AC54" s="2177"/>
      <c r="AD54" s="2177"/>
      <c r="AE54" s="2177"/>
      <c r="AF54" s="2178"/>
    </row>
    <row r="55" spans="1:76" ht="12.95" customHeight="1">
      <c r="D55" s="436" t="s">
        <v>335</v>
      </c>
      <c r="AB55" s="2176">
        <f>(AB54/10)</f>
        <v>6821670</v>
      </c>
      <c r="AC55" s="2177"/>
      <c r="AD55" s="2177"/>
      <c r="AE55" s="2177"/>
      <c r="AF55" s="2178"/>
    </row>
    <row r="56" spans="1:76" ht="12.95" customHeight="1">
      <c r="D56" s="436" t="s">
        <v>768</v>
      </c>
      <c r="AB56" s="2179">
        <f>(IF((Y41&lt;AB55),Y41,AB55))</f>
        <v>4376721</v>
      </c>
      <c r="AC56" s="2180"/>
      <c r="AD56" s="2180"/>
      <c r="AE56" s="2180"/>
      <c r="AF56" s="2181"/>
    </row>
    <row r="57" spans="1:76" ht="12.95" customHeight="1">
      <c r="D57" s="436" t="s">
        <v>767</v>
      </c>
      <c r="AB57" s="2176">
        <f>ROUND((10*AB56*AB50),0)</f>
        <v>40261807</v>
      </c>
      <c r="AC57" s="2177"/>
      <c r="AD57" s="2177"/>
      <c r="AE57" s="2177"/>
      <c r="AF57" s="2178"/>
    </row>
    <row r="58" spans="1:76" ht="12.95" customHeight="1">
      <c r="D58" s="436"/>
      <c r="AB58" s="455"/>
      <c r="AC58" s="455"/>
      <c r="AD58" s="455"/>
      <c r="AE58" s="455"/>
      <c r="AF58" s="455"/>
    </row>
    <row r="59" spans="1:76" ht="12.95" customHeight="1">
      <c r="D59" s="436" t="s">
        <v>766</v>
      </c>
      <c r="AB59" s="2160">
        <f>AB49-AB57</f>
        <v>22491280.823526412</v>
      </c>
      <c r="AC59" s="2160"/>
      <c r="AD59" s="2160"/>
      <c r="AE59" s="2160"/>
      <c r="AF59" s="2160"/>
    </row>
    <row r="60" spans="1:76" ht="12.95" customHeight="1">
      <c r="D60" s="436"/>
      <c r="AB60" s="455"/>
      <c r="AC60" s="455"/>
      <c r="AD60" s="455"/>
      <c r="AE60" s="455"/>
      <c r="AF60" s="455"/>
    </row>
    <row r="61" spans="1:76" s="218" customFormat="1" ht="12.95" customHeight="1" thickBot="1">
      <c r="A61" s="2182" t="str">
        <f>IF(Application!AP204="yes","Farmworker State Credit", "State Credit" )</f>
        <v>State Credit</v>
      </c>
      <c r="B61" s="2182"/>
      <c r="C61" s="2182"/>
      <c r="D61" s="2182"/>
      <c r="E61" s="2182"/>
      <c r="F61" s="2182"/>
      <c r="G61" s="2182"/>
      <c r="H61" s="2182"/>
      <c r="I61" s="2182"/>
      <c r="J61" s="2182"/>
      <c r="K61" s="2182"/>
      <c r="L61" s="2182"/>
      <c r="M61" s="2182"/>
      <c r="N61" s="2182"/>
      <c r="O61" s="2182"/>
      <c r="P61" s="2182"/>
      <c r="Q61" s="2182"/>
      <c r="R61" s="2182"/>
      <c r="S61" s="2182"/>
      <c r="T61" s="2182"/>
      <c r="U61" s="2182"/>
      <c r="V61" s="2182"/>
      <c r="W61" s="2182"/>
      <c r="X61" s="2182"/>
      <c r="Y61" s="2182"/>
      <c r="Z61" s="2182"/>
      <c r="AA61" s="2182"/>
      <c r="AB61" s="2182"/>
      <c r="AC61" s="2182"/>
      <c r="AD61" s="2182"/>
      <c r="AE61" s="2182"/>
      <c r="AF61" s="2182"/>
      <c r="AG61" s="2182"/>
      <c r="AH61" s="2182"/>
      <c r="AI61" s="2182"/>
      <c r="AJ61" s="2182"/>
      <c r="AK61" s="2182"/>
      <c r="AL61" s="2182"/>
      <c r="AM61" s="2182"/>
      <c r="AN61" s="2182"/>
      <c r="AO61" s="2182"/>
      <c r="AP61" s="2182"/>
      <c r="AQ61" s="2182"/>
      <c r="AR61" s="2182"/>
      <c r="AS61" s="2182"/>
      <c r="AT61" s="2182"/>
      <c r="AU61" s="2182"/>
      <c r="AV61" s="2182"/>
      <c r="AW61" s="2182"/>
      <c r="AX61" s="2182"/>
      <c r="AY61" s="2182"/>
      <c r="AZ61" s="2182"/>
      <c r="BA61" s="2182"/>
      <c r="BB61" s="2182"/>
      <c r="BC61" s="2182"/>
      <c r="BD61" s="2182"/>
      <c r="BE61" s="2182"/>
      <c r="BF61" s="2182"/>
      <c r="BG61" s="2182"/>
      <c r="BH61" s="2182"/>
      <c r="BI61" s="2182"/>
      <c r="BJ61" s="2182"/>
      <c r="BK61" s="2182"/>
      <c r="BL61" s="2182"/>
      <c r="BM61" s="2182"/>
      <c r="BN61" s="2182"/>
      <c r="BO61" s="2182"/>
      <c r="BP61" s="2182"/>
      <c r="BQ61" s="2182"/>
      <c r="BR61" s="2182"/>
      <c r="BS61" s="2182"/>
      <c r="BT61" s="2182"/>
      <c r="BU61" s="2182"/>
      <c r="BV61" s="2182"/>
      <c r="BW61" s="2182"/>
      <c r="BX61" s="2182"/>
    </row>
    <row r="62" spans="1:76" s="218" customFormat="1" ht="12.95" customHeight="1" thickTop="1"/>
    <row r="63" spans="1:76" ht="12.95" customHeight="1">
      <c r="A63" s="436" t="s">
        <v>598</v>
      </c>
      <c r="C63" s="219" t="s">
        <v>1403</v>
      </c>
      <c r="Y63" s="2171" t="s">
        <v>1022</v>
      </c>
      <c r="Z63" s="2171"/>
      <c r="AA63" s="2171"/>
      <c r="AB63" s="2171"/>
      <c r="AC63" s="2171"/>
      <c r="AD63" s="2171" t="s">
        <v>371</v>
      </c>
      <c r="AE63" s="2171"/>
      <c r="AF63" s="2171"/>
      <c r="AG63" s="2171"/>
      <c r="AH63" s="2171"/>
    </row>
    <row r="64" spans="1:76" ht="12.95" customHeight="1">
      <c r="C64" s="436"/>
      <c r="D64" s="409" t="s">
        <v>1404</v>
      </c>
      <c r="E64" s="452"/>
      <c r="F64" s="452"/>
      <c r="G64" s="452"/>
      <c r="H64" s="452"/>
      <c r="I64" s="452"/>
      <c r="J64" s="452"/>
      <c r="K64" s="452"/>
      <c r="L64" s="452"/>
      <c r="M64" s="452"/>
      <c r="N64" s="452"/>
      <c r="O64" s="452"/>
      <c r="P64" s="452"/>
      <c r="Q64" s="452"/>
      <c r="R64" s="452"/>
      <c r="S64" s="452"/>
      <c r="T64" s="452"/>
      <c r="U64" s="452"/>
      <c r="V64" s="452"/>
      <c r="W64" s="452"/>
      <c r="X64" s="452"/>
      <c r="Y64" s="2172">
        <f>IF(Application!Z204="(select)",0,((T23*T27)+Y28))</f>
        <v>84167708.173505157</v>
      </c>
      <c r="Z64" s="2173"/>
      <c r="AA64" s="2173"/>
      <c r="AB64" s="2173"/>
      <c r="AC64" s="2174"/>
      <c r="AD64" s="2172">
        <f>IF(AND(OR(Application!D210="At-Risk",Application!D210="At-Risk and Special Needs"),Application!M357="yes"),AD28+AI28,0)</f>
        <v>0</v>
      </c>
      <c r="AE64" s="2173"/>
      <c r="AF64" s="2173"/>
      <c r="AG64" s="2173"/>
      <c r="AH64" s="2174"/>
    </row>
    <row r="65" spans="1:36" ht="12.95" customHeight="1">
      <c r="C65" s="436"/>
      <c r="E65" s="1053" t="s">
        <v>2108</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3" t="s">
        <v>2109</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161">
        <f>IF(Application!AP204="yes",0.75,IF(Application!Z203="15% set-aside",0.13,IF(Application!Z203="15% set-aside with qualifying low value rehab",0.95,0.3)))</f>
        <v>0.3</v>
      </c>
      <c r="Z67" s="2161"/>
      <c r="AA67" s="2161"/>
      <c r="AB67" s="2161"/>
      <c r="AC67" s="2161"/>
      <c r="AD67" s="2161">
        <f>IF(Application!Z203="15% set-aside with qualifying low value rehab", 0.95,0.13)</f>
        <v>0.13</v>
      </c>
      <c r="AE67" s="2161"/>
      <c r="AF67" s="2161"/>
      <c r="AG67" s="2161"/>
      <c r="AH67" s="2161"/>
    </row>
    <row r="68" spans="1:36" ht="12.95" customHeight="1">
      <c r="C68" s="436"/>
      <c r="D68" s="219" t="s">
        <v>1405</v>
      </c>
      <c r="Y68" s="2162">
        <f>ROUND(Y64*Y67,0)</f>
        <v>25250312</v>
      </c>
      <c r="Z68" s="2163"/>
      <c r="AA68" s="2163"/>
      <c r="AB68" s="2163"/>
      <c r="AC68" s="2163"/>
      <c r="AD68" s="2162">
        <f>ROUND(AD64*AD67,0)</f>
        <v>0</v>
      </c>
      <c r="AE68" s="2163"/>
      <c r="AF68" s="2163"/>
      <c r="AG68" s="2163"/>
      <c r="AH68" s="2163"/>
    </row>
    <row r="69" spans="1:36" ht="12.95" customHeight="1">
      <c r="C69" s="436"/>
      <c r="E69" s="436"/>
      <c r="AB69" s="454"/>
      <c r="AC69" s="454"/>
      <c r="AD69" s="454"/>
      <c r="AE69" s="454"/>
      <c r="AF69" s="454"/>
    </row>
    <row r="70" spans="1:36" ht="12.95" customHeight="1">
      <c r="A70" s="436" t="s">
        <v>599</v>
      </c>
      <c r="C70" s="219" t="s">
        <v>286</v>
      </c>
    </row>
    <row r="71" spans="1:36" ht="12.95" customHeight="1">
      <c r="A71" s="436"/>
      <c r="C71" s="436"/>
      <c r="D71" s="219" t="s">
        <v>1406</v>
      </c>
      <c r="AB71" s="2164">
        <v>0.9</v>
      </c>
      <c r="AC71" s="2165"/>
      <c r="AD71" s="2165"/>
      <c r="AE71" s="2165"/>
      <c r="AF71" s="2166"/>
    </row>
    <row r="72" spans="1:36" ht="12.95" customHeight="1">
      <c r="A72" s="436"/>
      <c r="C72" s="436"/>
      <c r="D72" s="436"/>
      <c r="E72" s="2167" t="s">
        <v>1407</v>
      </c>
      <c r="F72" s="2167"/>
      <c r="G72" s="2167"/>
      <c r="H72" s="2167"/>
      <c r="I72" s="2167"/>
      <c r="J72" s="2167"/>
      <c r="K72" s="2167"/>
      <c r="L72" s="2167"/>
      <c r="M72" s="2167"/>
      <c r="N72" s="2167"/>
      <c r="O72" s="2167"/>
      <c r="P72" s="2167"/>
      <c r="Q72" s="2167"/>
      <c r="R72" s="2167"/>
      <c r="S72" s="2167"/>
      <c r="T72" s="2167"/>
      <c r="U72" s="2167"/>
      <c r="V72" s="2167"/>
      <c r="W72" s="2167"/>
      <c r="X72" s="2167"/>
      <c r="Y72" s="2167"/>
      <c r="Z72" s="2167"/>
      <c r="AA72" s="2167"/>
      <c r="AB72" s="472"/>
      <c r="AC72" s="472"/>
    </row>
    <row r="73" spans="1:36" ht="12.95" customHeight="1">
      <c r="A73" s="436"/>
      <c r="C73" s="436"/>
      <c r="D73" s="436"/>
      <c r="E73" s="2167"/>
      <c r="F73" s="2167"/>
      <c r="G73" s="2167"/>
      <c r="H73" s="2167"/>
      <c r="I73" s="2167"/>
      <c r="J73" s="2167"/>
      <c r="K73" s="2167"/>
      <c r="L73" s="2167"/>
      <c r="M73" s="2167"/>
      <c r="N73" s="2167"/>
      <c r="O73" s="2167"/>
      <c r="P73" s="2167"/>
      <c r="Q73" s="2167"/>
      <c r="R73" s="2167"/>
      <c r="S73" s="2167"/>
      <c r="T73" s="2167"/>
      <c r="U73" s="2167"/>
      <c r="V73" s="2167"/>
      <c r="W73" s="2167"/>
      <c r="X73" s="2167"/>
      <c r="Y73" s="2167"/>
      <c r="Z73" s="2167"/>
      <c r="AA73" s="2167"/>
      <c r="AB73" s="472"/>
      <c r="AC73" s="472"/>
    </row>
    <row r="74" spans="1:36" ht="12.95" customHeight="1">
      <c r="A74" s="436"/>
      <c r="C74" s="436"/>
      <c r="D74" s="436"/>
      <c r="E74" s="2167"/>
      <c r="F74" s="2167"/>
      <c r="G74" s="2167"/>
      <c r="H74" s="2167"/>
      <c r="I74" s="2167"/>
      <c r="J74" s="2167"/>
      <c r="K74" s="2167"/>
      <c r="L74" s="2167"/>
      <c r="M74" s="2167"/>
      <c r="N74" s="2167"/>
      <c r="O74" s="2167"/>
      <c r="P74" s="2167"/>
      <c r="Q74" s="2167"/>
      <c r="R74" s="2167"/>
      <c r="S74" s="2167"/>
      <c r="T74" s="2167"/>
      <c r="U74" s="2167"/>
      <c r="V74" s="2167"/>
      <c r="W74" s="2167"/>
      <c r="X74" s="2167"/>
      <c r="Y74" s="2167"/>
      <c r="Z74" s="2167"/>
      <c r="AA74" s="2167"/>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1408</v>
      </c>
      <c r="AB76" s="2155">
        <f>ROUND(IF(ISERROR((AB59/AB71)),0,(AB59/AB71)),0)</f>
        <v>24990312</v>
      </c>
      <c r="AC76" s="2155"/>
      <c r="AD76" s="2155"/>
      <c r="AE76" s="2155"/>
      <c r="AF76" s="2155"/>
    </row>
    <row r="77" spans="1:36" ht="12.95" customHeight="1">
      <c r="C77" s="436"/>
      <c r="D77" s="219" t="s">
        <v>1409</v>
      </c>
      <c r="AB77" s="2156">
        <f>IF((Y68+AD68&lt;AB76),Y68+AD68,AB76)</f>
        <v>24990312</v>
      </c>
      <c r="AC77" s="2157"/>
      <c r="AD77" s="2157"/>
      <c r="AE77" s="2157"/>
      <c r="AF77" s="2158"/>
    </row>
    <row r="78" spans="1:36" ht="12.95" customHeight="1">
      <c r="C78" s="436"/>
      <c r="D78" s="219" t="s">
        <v>1410</v>
      </c>
      <c r="AB78" s="2159">
        <f>AB77*AB71</f>
        <v>22491280.800000001</v>
      </c>
      <c r="AC78" s="2159"/>
      <c r="AD78" s="2159"/>
      <c r="AE78" s="2159"/>
      <c r="AF78" s="2159"/>
    </row>
    <row r="79" spans="1:36" ht="12.95" customHeight="1">
      <c r="C79" s="436"/>
      <c r="D79" s="436"/>
      <c r="AB79" s="457"/>
      <c r="AC79" s="457"/>
      <c r="AD79" s="457"/>
      <c r="AE79" s="457"/>
      <c r="AF79" s="457"/>
    </row>
    <row r="80" spans="1:36" ht="12.95" customHeight="1">
      <c r="D80" s="436" t="s">
        <v>766</v>
      </c>
      <c r="AB80" s="2160">
        <f>AB49-(AB57+AB78)</f>
        <v>2.3526415228843689E-2</v>
      </c>
      <c r="AC80" s="2160"/>
      <c r="AD80" s="2160"/>
      <c r="AE80" s="2160"/>
      <c r="AF80" s="2160"/>
    </row>
    <row r="81" spans="1:78" ht="12.95" customHeight="1">
      <c r="F81" s="557"/>
      <c r="J81" s="557" t="str">
        <f>IF(AB80&gt;0,"FUNDING GAP MUST NOT EXCEED ZERO","")</f>
        <v>FUNDING GAP MUST NOT EXCEED ZERO</v>
      </c>
    </row>
    <row r="82" spans="1:78" ht="12.95" customHeight="1">
      <c r="D82" s="558"/>
    </row>
    <row r="83" spans="1:78" ht="12.95" customHeight="1" thickBot="1">
      <c r="A83" s="2182"/>
      <c r="B83" s="2182"/>
      <c r="C83" s="2182"/>
      <c r="D83" s="2182"/>
      <c r="E83" s="2182"/>
      <c r="F83" s="2182"/>
      <c r="G83" s="2182"/>
      <c r="H83" s="2182"/>
      <c r="I83" s="2182"/>
      <c r="J83" s="2182"/>
      <c r="K83" s="2182"/>
      <c r="L83" s="2182"/>
      <c r="M83" s="2182"/>
      <c r="N83" s="2182"/>
      <c r="O83" s="2182"/>
      <c r="P83" s="2182"/>
      <c r="Q83" s="2182"/>
      <c r="R83" s="2182"/>
      <c r="S83" s="2182"/>
      <c r="T83" s="2182"/>
      <c r="U83" s="2182"/>
      <c r="V83" s="2182"/>
      <c r="W83" s="2182"/>
      <c r="X83" s="2182"/>
      <c r="Y83" s="2182"/>
      <c r="Z83" s="2182"/>
      <c r="AA83" s="2182"/>
      <c r="AB83" s="2182"/>
      <c r="AC83" s="2182"/>
      <c r="AD83" s="2182"/>
      <c r="AE83" s="2182"/>
      <c r="AF83" s="2182"/>
      <c r="AG83" s="2182"/>
      <c r="AH83" s="2182"/>
      <c r="AI83" s="2182"/>
      <c r="AJ83" s="2182"/>
      <c r="AK83" s="2182"/>
      <c r="AL83" s="2182"/>
      <c r="AM83" s="2182"/>
      <c r="AN83" s="2182"/>
      <c r="AO83" s="2182"/>
      <c r="AP83" s="2182"/>
      <c r="AQ83" s="2182"/>
      <c r="AR83" s="2182"/>
      <c r="AS83" s="2182"/>
      <c r="AT83" s="2182"/>
      <c r="AU83" s="2182"/>
      <c r="AV83" s="2182"/>
      <c r="AW83" s="2182"/>
      <c r="AX83" s="2182"/>
      <c r="AY83" s="2182"/>
      <c r="AZ83" s="2182"/>
      <c r="BA83" s="2182"/>
      <c r="BB83" s="2182"/>
      <c r="BC83" s="2182"/>
      <c r="BD83" s="2182"/>
      <c r="BE83" s="2182"/>
      <c r="BF83" s="2182"/>
      <c r="BG83" s="2182"/>
      <c r="BH83" s="2182"/>
      <c r="BI83" s="2182"/>
      <c r="BJ83" s="2182"/>
      <c r="BK83" s="2182"/>
      <c r="BL83" s="2182"/>
      <c r="BM83" s="2182"/>
      <c r="BN83" s="2182"/>
      <c r="BO83" s="2182"/>
      <c r="BP83" s="2182"/>
      <c r="BQ83" s="2182"/>
      <c r="BR83" s="2182"/>
      <c r="BS83" s="2182"/>
      <c r="BT83" s="2182"/>
      <c r="BU83" s="2182"/>
      <c r="BV83" s="2182"/>
      <c r="BW83" s="2182"/>
      <c r="BX83" s="2182"/>
    </row>
    <row r="84" spans="1:78" ht="12.95" customHeight="1" thickTop="1"/>
    <row r="85" spans="1:78" ht="12.95" customHeight="1">
      <c r="A85" s="436"/>
      <c r="C85" s="219"/>
    </row>
    <row r="86" spans="1:78" ht="12.95" customHeight="1">
      <c r="D86" s="219"/>
      <c r="AB86" s="2214"/>
      <c r="AC86" s="2214"/>
      <c r="AD86" s="2214"/>
      <c r="AE86" s="2214"/>
      <c r="AF86" s="2214"/>
    </row>
    <row r="87" spans="1:78" ht="12.95" customHeight="1" thickBot="1">
      <c r="D87" s="219"/>
      <c r="AB87" s="2213"/>
      <c r="AC87" s="2213"/>
      <c r="AD87" s="2213"/>
      <c r="AE87" s="2213"/>
      <c r="AF87" s="2213"/>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6" priority="5" stopIfTrue="1" operator="greaterThan">
      <formula>0</formula>
    </cfRule>
  </conditionalFormatting>
  <conditionalFormatting sqref="C18:S18">
    <cfRule type="expression" dxfId="5" priority="2">
      <formula>AND(T18&gt;0,OR(C18="",C18="Subtract (specify other ineligible amounts):"))</formula>
    </cfRule>
  </conditionalFormatting>
  <conditionalFormatting sqref="B18:B19">
    <cfRule type="expression" dxfId="4" priority="3">
      <formula>AND($T$18&gt;0,OR($C$18="",$C$18="Subtract (specify other ineligible amounts):"))</formula>
    </cfRule>
  </conditionalFormatting>
  <conditionalFormatting sqref="C19:S19">
    <cfRule type="expression" dxfId="3"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B71" sqref="AB71:AU71"/>
    </sheetView>
  </sheetViews>
  <sheetFormatPr defaultColWidth="2.7109375" defaultRowHeight="15.75" customHeight="1"/>
  <cols>
    <col min="1" max="37" width="2.7109375" style="1203"/>
    <col min="38" max="38" width="3" style="1203" customWidth="1"/>
    <col min="39" max="64" width="2.7109375" style="1203"/>
    <col min="65" max="65" width="10.42578125" style="1203" hidden="1" customWidth="1"/>
    <col min="66" max="70" width="5.5703125" style="1203" bestFit="1" customWidth="1"/>
    <col min="71" max="71" width="6.140625" style="1203" bestFit="1" customWidth="1"/>
    <col min="72" max="76" width="5.5703125" style="1203" bestFit="1" customWidth="1"/>
    <col min="77" max="77" width="6.140625" style="1203" bestFit="1" customWidth="1"/>
    <col min="78" max="78" width="5.5703125" style="1203" bestFit="1" customWidth="1"/>
    <col min="79" max="16384" width="2.7109375" style="1203"/>
  </cols>
  <sheetData>
    <row r="1" spans="1:65" ht="15.75" customHeight="1">
      <c r="A1" s="2532" t="s">
        <v>2518</v>
      </c>
      <c r="B1" s="2533"/>
      <c r="C1" s="2533"/>
      <c r="D1" s="2533"/>
      <c r="E1" s="2533"/>
      <c r="F1" s="2533"/>
      <c r="G1" s="2533"/>
      <c r="H1" s="2533"/>
      <c r="I1" s="2533"/>
      <c r="J1" s="2533"/>
      <c r="K1" s="2533"/>
      <c r="L1" s="2533"/>
      <c r="M1" s="2533"/>
      <c r="N1" s="2533"/>
      <c r="O1" s="2533"/>
      <c r="P1" s="2533"/>
      <c r="Q1" s="2533"/>
      <c r="R1" s="2533"/>
      <c r="S1" s="2533"/>
      <c r="T1" s="2533"/>
      <c r="U1" s="2533"/>
      <c r="V1" s="2533"/>
      <c r="W1" s="2533"/>
      <c r="X1" s="2533"/>
      <c r="Y1" s="2533"/>
      <c r="Z1" s="2533"/>
      <c r="AA1" s="2533"/>
      <c r="AB1" s="2533"/>
      <c r="AC1" s="2533"/>
      <c r="AD1" s="2533"/>
      <c r="AE1" s="2533"/>
      <c r="AF1" s="2533"/>
      <c r="AG1" s="2533"/>
      <c r="AH1" s="2533"/>
      <c r="AI1" s="2533"/>
      <c r="AJ1" s="2533"/>
      <c r="AK1" s="2533"/>
      <c r="AL1" s="2533"/>
      <c r="AM1" s="2533"/>
      <c r="AN1" s="2533"/>
      <c r="AO1" s="2533"/>
      <c r="AP1" s="2533"/>
      <c r="AQ1" s="2533"/>
      <c r="AR1" s="2533"/>
      <c r="AS1" s="2533"/>
      <c r="AT1" s="2533"/>
      <c r="AU1" s="2533"/>
      <c r="AV1" s="2533"/>
      <c r="AW1" s="2533"/>
      <c r="AX1" s="2533"/>
      <c r="AY1" s="2533"/>
      <c r="AZ1" s="2533"/>
      <c r="BA1" s="2533"/>
      <c r="BB1" s="2533"/>
      <c r="BC1" s="2533"/>
      <c r="BD1" s="2533"/>
      <c r="BE1" s="2534"/>
    </row>
    <row r="2" spans="1:65" ht="15.75" customHeight="1">
      <c r="A2" s="2535" t="s">
        <v>2566</v>
      </c>
      <c r="B2" s="2536"/>
      <c r="C2" s="2536"/>
      <c r="D2" s="2536"/>
      <c r="E2" s="2536"/>
      <c r="F2" s="2536"/>
      <c r="G2" s="2536"/>
      <c r="H2" s="2536"/>
      <c r="I2" s="2536"/>
      <c r="J2" s="2536"/>
      <c r="K2" s="2536"/>
      <c r="L2" s="2536"/>
      <c r="M2" s="2536"/>
      <c r="N2" s="2536"/>
      <c r="O2" s="2536"/>
      <c r="P2" s="2536"/>
      <c r="Q2" s="2536"/>
      <c r="R2" s="2536"/>
      <c r="S2" s="2536"/>
      <c r="T2" s="2536"/>
      <c r="U2" s="2536"/>
      <c r="V2" s="2536"/>
      <c r="W2" s="2536"/>
      <c r="X2" s="2536"/>
      <c r="Y2" s="2536"/>
      <c r="Z2" s="2536"/>
      <c r="AA2" s="2536"/>
      <c r="AB2" s="2536"/>
      <c r="AC2" s="2536"/>
      <c r="AD2" s="2536"/>
      <c r="AE2" s="2536"/>
      <c r="AF2" s="2536"/>
      <c r="AG2" s="2536"/>
      <c r="AH2" s="2536"/>
      <c r="AI2" s="2536"/>
      <c r="AJ2" s="2536"/>
      <c r="AK2" s="2536"/>
      <c r="AL2" s="2536"/>
      <c r="AM2" s="2536"/>
      <c r="AN2" s="2536"/>
      <c r="AO2" s="2536"/>
      <c r="AP2" s="2536"/>
      <c r="AQ2" s="2536"/>
      <c r="AR2" s="2536"/>
      <c r="AS2" s="2536"/>
      <c r="AT2" s="2536"/>
      <c r="AU2" s="2536"/>
      <c r="AV2" s="2536"/>
      <c r="AW2" s="2536"/>
      <c r="AX2" s="2536"/>
      <c r="AY2" s="2536"/>
      <c r="AZ2" s="2536"/>
      <c r="BA2" s="2536"/>
      <c r="BB2" s="2536"/>
      <c r="BC2" s="2536"/>
      <c r="BD2" s="2536"/>
      <c r="BE2" s="2537"/>
      <c r="BF2" s="1204"/>
    </row>
    <row r="3" spans="1:65" ht="15.75" customHeight="1" thickBot="1">
      <c r="A3" s="1205"/>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07"/>
    </row>
    <row r="4" spans="1:65" ht="15.75" customHeight="1" thickBot="1">
      <c r="A4" s="1205"/>
      <c r="B4" s="1208" t="s">
        <v>665</v>
      </c>
      <c r="C4" s="1208"/>
      <c r="D4" s="1208"/>
      <c r="E4" s="1208"/>
      <c r="F4" s="1208"/>
      <c r="G4" s="1206"/>
      <c r="H4" s="1206"/>
      <c r="I4" s="1206"/>
      <c r="J4" s="1206"/>
      <c r="K4" s="1206"/>
      <c r="L4" s="2524" t="str">
        <f>IF(Application!H18="","",Application!H18)</f>
        <v>Warner Center I</v>
      </c>
      <c r="M4" s="2525"/>
      <c r="N4" s="2525"/>
      <c r="O4" s="2525"/>
      <c r="P4" s="2525"/>
      <c r="Q4" s="2525"/>
      <c r="R4" s="2525"/>
      <c r="S4" s="2525"/>
      <c r="T4" s="2525"/>
      <c r="U4" s="2525"/>
      <c r="V4" s="2525"/>
      <c r="W4" s="2525"/>
      <c r="X4" s="2525"/>
      <c r="Y4" s="2525"/>
      <c r="Z4" s="2525"/>
      <c r="AA4" s="2525"/>
      <c r="AB4" s="2525"/>
      <c r="AC4" s="2526"/>
      <c r="AD4" s="1206"/>
      <c r="AE4" s="1206"/>
      <c r="AF4" s="2538" t="s">
        <v>2567</v>
      </c>
      <c r="AG4" s="2538"/>
      <c r="AH4" s="2538"/>
      <c r="AI4" s="2538"/>
      <c r="AJ4" s="2538"/>
      <c r="AK4" s="2538"/>
      <c r="AL4" s="2538"/>
      <c r="AM4" s="2538"/>
      <c r="AN4" s="2538"/>
      <c r="AO4" s="2538"/>
      <c r="AP4" s="2539"/>
      <c r="AQ4" s="2540"/>
      <c r="AR4" s="2540"/>
      <c r="AS4" s="2540"/>
      <c r="AT4" s="2540"/>
      <c r="AU4" s="2540"/>
      <c r="AV4" s="1206"/>
      <c r="AW4" s="1206"/>
      <c r="AX4" s="1206"/>
      <c r="AY4" s="1206"/>
      <c r="AZ4" s="1206"/>
      <c r="BA4" s="1206"/>
      <c r="BB4" s="1206"/>
      <c r="BC4" s="1206"/>
      <c r="BD4" s="1206"/>
      <c r="BE4" s="1207"/>
    </row>
    <row r="5" spans="1:65" ht="15.75" customHeight="1" thickBot="1">
      <c r="A5" s="1205"/>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538" t="s">
        <v>2568</v>
      </c>
      <c r="AG5" s="2538"/>
      <c r="AH5" s="2538"/>
      <c r="AI5" s="2538"/>
      <c r="AJ5" s="2538"/>
      <c r="AK5" s="2538"/>
      <c r="AL5" s="2538"/>
      <c r="AM5" s="2538"/>
      <c r="AN5" s="2538"/>
      <c r="AO5" s="2538"/>
      <c r="AP5" s="2539"/>
      <c r="AQ5" s="2540"/>
      <c r="AR5" s="2540"/>
      <c r="AS5" s="2540"/>
      <c r="AT5" s="2540"/>
      <c r="AU5" s="2540"/>
      <c r="AV5" s="1206"/>
      <c r="AW5" s="1206"/>
      <c r="AX5" s="1206"/>
      <c r="AY5" s="1206"/>
      <c r="AZ5" s="1206"/>
      <c r="BA5" s="1206"/>
      <c r="BB5" s="1206"/>
      <c r="BC5" s="1206"/>
      <c r="BD5" s="1206"/>
      <c r="BE5" s="1207"/>
    </row>
    <row r="6" spans="1:65" ht="15.75" customHeight="1" thickBot="1">
      <c r="A6" s="1205"/>
      <c r="B6" s="1208" t="s">
        <v>1855</v>
      </c>
      <c r="C6" s="1206"/>
      <c r="D6" s="1206"/>
      <c r="E6" s="1206"/>
      <c r="F6" s="1206"/>
      <c r="G6" s="1206"/>
      <c r="H6" s="1206"/>
      <c r="I6" s="1206"/>
      <c r="J6" s="1206"/>
      <c r="K6" s="1206"/>
      <c r="L6" s="2524" t="str">
        <f>IF(Application!H16="","",Application!H16)</f>
        <v>Warner Center I, L.P.</v>
      </c>
      <c r="M6" s="2525"/>
      <c r="N6" s="2525"/>
      <c r="O6" s="2525"/>
      <c r="P6" s="2525"/>
      <c r="Q6" s="2525"/>
      <c r="R6" s="2525"/>
      <c r="S6" s="2525"/>
      <c r="T6" s="2525"/>
      <c r="U6" s="2525"/>
      <c r="V6" s="2525"/>
      <c r="W6" s="2525"/>
      <c r="X6" s="2525"/>
      <c r="Y6" s="2525"/>
      <c r="Z6" s="2525"/>
      <c r="AA6" s="2525"/>
      <c r="AB6" s="2525"/>
      <c r="AC6" s="2526"/>
      <c r="AD6" s="1206"/>
      <c r="AE6" s="1206"/>
      <c r="AF6" s="2527" t="s">
        <v>2569</v>
      </c>
      <c r="AG6" s="2527"/>
      <c r="AH6" s="2527"/>
      <c r="AI6" s="2527"/>
      <c r="AJ6" s="2527"/>
      <c r="AK6" s="2527"/>
      <c r="AL6" s="2527"/>
      <c r="AM6" s="2527"/>
      <c r="AN6" s="2527"/>
      <c r="AO6" s="2527"/>
      <c r="AP6" s="2528">
        <v>0</v>
      </c>
      <c r="AQ6" s="2528"/>
      <c r="AR6" s="2528"/>
      <c r="AS6" s="2528"/>
      <c r="AT6" s="2528"/>
      <c r="AU6" s="2528"/>
      <c r="AV6" s="1206"/>
      <c r="AW6" s="1206"/>
      <c r="AX6" s="1206"/>
      <c r="AY6" s="1206"/>
      <c r="AZ6" s="1206"/>
      <c r="BA6" s="1206"/>
      <c r="BB6" s="1206"/>
      <c r="BC6" s="1206"/>
      <c r="BD6" s="1206"/>
      <c r="BE6" s="1207"/>
    </row>
    <row r="7" spans="1:65" thickBot="1">
      <c r="A7" s="1205"/>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27" t="s">
        <v>2570</v>
      </c>
      <c r="AG7" s="2527"/>
      <c r="AH7" s="2527"/>
      <c r="AI7" s="2527"/>
      <c r="AJ7" s="2527"/>
      <c r="AK7" s="2527"/>
      <c r="AL7" s="2527"/>
      <c r="AM7" s="2527"/>
      <c r="AN7" s="2527"/>
      <c r="AO7" s="2527"/>
      <c r="AP7" s="2528">
        <v>0</v>
      </c>
      <c r="AQ7" s="2528"/>
      <c r="AR7" s="2528"/>
      <c r="AS7" s="2528"/>
      <c r="AT7" s="2528"/>
      <c r="AU7" s="2528"/>
      <c r="AV7" s="1206"/>
      <c r="AW7" s="1206"/>
      <c r="AX7" s="1206"/>
      <c r="AY7" s="1206"/>
      <c r="AZ7" s="1206"/>
      <c r="BA7" s="1206"/>
      <c r="BB7" s="1206"/>
      <c r="BC7" s="1206"/>
      <c r="BD7" s="1206"/>
      <c r="BE7" s="1207"/>
    </row>
    <row r="8" spans="1:65" thickBot="1">
      <c r="A8" s="1205"/>
      <c r="B8" s="1208" t="s">
        <v>1856</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29" t="str">
        <f>Application!T196</f>
        <v>No</v>
      </c>
      <c r="AC8" s="2530"/>
      <c r="AD8" s="2531"/>
      <c r="AE8" s="1206"/>
      <c r="AF8" s="2527" t="s">
        <v>2571</v>
      </c>
      <c r="AG8" s="2527"/>
      <c r="AH8" s="2527"/>
      <c r="AI8" s="2527"/>
      <c r="AJ8" s="2527"/>
      <c r="AK8" s="2527"/>
      <c r="AL8" s="2527"/>
      <c r="AM8" s="2527"/>
      <c r="AN8" s="2527"/>
      <c r="AO8" s="2527"/>
      <c r="AP8" s="2528" t="s">
        <v>2523</v>
      </c>
      <c r="AQ8" s="2528"/>
      <c r="AR8" s="2528"/>
      <c r="AS8" s="2528"/>
      <c r="AT8" s="2528"/>
      <c r="AU8" s="2528"/>
      <c r="AV8" s="1206"/>
      <c r="AW8" s="1206"/>
      <c r="AX8" s="1206"/>
      <c r="AY8" s="1206"/>
      <c r="AZ8" s="1206"/>
      <c r="BA8" s="1206"/>
      <c r="BB8" s="1206"/>
      <c r="BC8" s="1206"/>
      <c r="BD8" s="1206"/>
      <c r="BE8" s="1207"/>
      <c r="BM8" s="1203" t="s">
        <v>2374</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1206"/>
      <c r="AG9" s="1206"/>
      <c r="AH9" s="1206"/>
      <c r="AI9" s="1206"/>
      <c r="AJ9" s="1206"/>
      <c r="AK9" s="1206"/>
      <c r="AL9" s="1206"/>
      <c r="AM9" s="1206"/>
      <c r="AN9" s="1206"/>
      <c r="AO9" s="1206"/>
      <c r="AP9" s="1206"/>
      <c r="AQ9" s="1209"/>
      <c r="AR9" s="1209"/>
      <c r="AS9" s="1206"/>
      <c r="AT9" s="1206"/>
      <c r="AU9" s="1206"/>
      <c r="AV9" s="1206"/>
      <c r="AW9" s="1206"/>
      <c r="AX9" s="1206"/>
      <c r="AY9" s="1206"/>
      <c r="AZ9" s="1206"/>
      <c r="BA9" s="1206"/>
      <c r="BB9" s="1206"/>
      <c r="BC9" s="1206"/>
      <c r="BD9" s="1206"/>
      <c r="BE9" s="1207"/>
      <c r="BM9" s="1203" t="s">
        <v>2572</v>
      </c>
    </row>
    <row r="10" spans="1:65" ht="15">
      <c r="A10" s="1205"/>
      <c r="B10" s="1208" t="s">
        <v>1857</v>
      </c>
      <c r="C10" s="1208"/>
      <c r="D10" s="1208"/>
      <c r="E10" s="1208"/>
      <c r="F10" s="1208"/>
      <c r="G10" s="1208"/>
      <c r="H10" s="1208"/>
      <c r="I10" s="1208"/>
      <c r="J10" s="1208"/>
      <c r="K10" s="1208"/>
      <c r="L10" s="1208"/>
      <c r="M10" s="1206"/>
      <c r="N10" s="2520">
        <f>Application!AO623</f>
        <v>29628363.579204351</v>
      </c>
      <c r="O10" s="2520"/>
      <c r="P10" s="2520"/>
      <c r="Q10" s="2520"/>
      <c r="R10" s="2520"/>
      <c r="S10" s="2520"/>
      <c r="T10" s="2520"/>
      <c r="U10" s="1206"/>
      <c r="V10" s="1206"/>
      <c r="W10" s="1206"/>
      <c r="X10" s="2506" t="s">
        <v>2573</v>
      </c>
      <c r="Y10" s="2506"/>
      <c r="Z10" s="2506"/>
      <c r="AA10" s="2506"/>
      <c r="AB10" s="2506"/>
      <c r="AC10" s="2506"/>
      <c r="AD10" s="2506"/>
      <c r="AE10" s="2506"/>
      <c r="AF10" s="2506"/>
      <c r="AG10" s="2506"/>
      <c r="AH10" s="2506"/>
      <c r="AI10" s="2506"/>
      <c r="AJ10" s="2506"/>
      <c r="AK10" s="2506"/>
      <c r="AL10" s="2521">
        <f>Application!W471</f>
        <v>44</v>
      </c>
      <c r="AM10" s="2522"/>
      <c r="AN10" s="2522"/>
      <c r="AO10" s="2522"/>
      <c r="AP10" s="2522"/>
      <c r="AQ10" s="1209"/>
      <c r="AR10" s="1209"/>
      <c r="AS10" s="1209"/>
      <c r="AT10" s="1209"/>
      <c r="AU10" s="1209"/>
      <c r="AV10" s="1209"/>
      <c r="AW10" s="1209"/>
      <c r="AX10" s="1206"/>
      <c r="AY10" s="1206"/>
      <c r="AZ10" s="1206"/>
      <c r="BA10" s="1206"/>
      <c r="BB10" s="1206"/>
      <c r="BC10" s="1206"/>
      <c r="BD10" s="1206"/>
      <c r="BE10" s="1207"/>
      <c r="BM10" s="1203" t="s">
        <v>2574</v>
      </c>
    </row>
    <row r="11" spans="1:65" ht="15">
      <c r="A11" s="1205"/>
      <c r="B11" s="1208" t="s">
        <v>1858</v>
      </c>
      <c r="C11" s="1208"/>
      <c r="D11" s="1208"/>
      <c r="E11" s="1208"/>
      <c r="F11" s="1208"/>
      <c r="G11" s="1208"/>
      <c r="H11" s="1208"/>
      <c r="I11" s="1208"/>
      <c r="J11" s="1208"/>
      <c r="K11" s="1208"/>
      <c r="L11" s="1208"/>
      <c r="M11" s="1206"/>
      <c r="N11" s="2520">
        <f>Application!AA911</f>
        <v>0</v>
      </c>
      <c r="O11" s="2520"/>
      <c r="P11" s="2520"/>
      <c r="Q11" s="2520"/>
      <c r="R11" s="2520"/>
      <c r="S11" s="2520"/>
      <c r="T11" s="2520"/>
      <c r="U11" s="1206"/>
      <c r="V11" s="1206"/>
      <c r="W11" s="1206"/>
      <c r="X11" s="2523" t="s">
        <v>2575</v>
      </c>
      <c r="Y11" s="2523"/>
      <c r="Z11" s="2523"/>
      <c r="AA11" s="2523"/>
      <c r="AB11" s="2523"/>
      <c r="AC11" s="2523"/>
      <c r="AD11" s="2523"/>
      <c r="AE11" s="2523"/>
      <c r="AF11" s="2523"/>
      <c r="AG11" s="2523"/>
      <c r="AH11" s="2523"/>
      <c r="AI11" s="2523"/>
      <c r="AJ11" s="2523"/>
      <c r="AK11" s="2523"/>
      <c r="AL11" s="2507"/>
      <c r="AM11" s="2508"/>
      <c r="AN11" s="2508"/>
      <c r="AO11" s="2508"/>
      <c r="AP11" s="2508"/>
      <c r="AQ11" s="1210"/>
      <c r="AR11" s="1211"/>
      <c r="AS11" s="1209"/>
      <c r="AT11" s="1209"/>
      <c r="AU11" s="1209"/>
      <c r="AV11" s="1209"/>
      <c r="AW11" s="1209"/>
      <c r="AX11" s="1206"/>
      <c r="AY11" s="1206"/>
      <c r="AZ11" s="1206"/>
      <c r="BA11" s="1206"/>
      <c r="BB11" s="1206"/>
      <c r="BC11" s="1206"/>
      <c r="BD11" s="1206"/>
      <c r="BE11" s="1207"/>
      <c r="BM11" s="1203" t="s">
        <v>2523</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2506" t="s">
        <v>2576</v>
      </c>
      <c r="Y12" s="2506"/>
      <c r="Z12" s="2506"/>
      <c r="AA12" s="2506"/>
      <c r="AB12" s="2506"/>
      <c r="AC12" s="2506"/>
      <c r="AD12" s="2506"/>
      <c r="AE12" s="2506"/>
      <c r="AF12" s="2506"/>
      <c r="AG12" s="2506"/>
      <c r="AH12" s="2506"/>
      <c r="AI12" s="2506"/>
      <c r="AJ12" s="2506"/>
      <c r="AK12" s="2506"/>
      <c r="AL12" s="2507"/>
      <c r="AM12" s="2508"/>
      <c r="AN12" s="2508"/>
      <c r="AO12" s="2508"/>
      <c r="AP12" s="2508"/>
      <c r="AQ12" s="1209"/>
      <c r="AR12" s="1209"/>
      <c r="AS12" s="1209"/>
      <c r="AT12" s="1209"/>
      <c r="AU12" s="1209"/>
      <c r="AV12" s="1206"/>
      <c r="AW12" s="1206"/>
      <c r="AX12" s="1206"/>
      <c r="AY12" s="1206"/>
      <c r="AZ12" s="1206"/>
      <c r="BA12" s="1206"/>
      <c r="BB12" s="1206"/>
      <c r="BC12" s="1206"/>
      <c r="BD12" s="1206"/>
      <c r="BE12" s="1212"/>
      <c r="BM12" s="1203" t="s">
        <v>2577</v>
      </c>
    </row>
    <row r="13" spans="1:65" thickBot="1">
      <c r="A13" s="1206"/>
      <c r="B13" s="2509" t="s">
        <v>1859</v>
      </c>
      <c r="C13" s="2510"/>
      <c r="D13" s="2510"/>
      <c r="E13" s="2510"/>
      <c r="F13" s="2510"/>
      <c r="G13" s="2510"/>
      <c r="H13" s="2510"/>
      <c r="I13" s="2510"/>
      <c r="J13" s="2510"/>
      <c r="K13" s="2510"/>
      <c r="L13" s="2510"/>
      <c r="M13" s="2510"/>
      <c r="N13" s="2510"/>
      <c r="O13" s="2510"/>
      <c r="P13" s="2511"/>
      <c r="Q13" s="2512" t="s">
        <v>678</v>
      </c>
      <c r="R13" s="2513"/>
      <c r="S13" s="2513"/>
      <c r="T13" s="2514"/>
      <c r="U13" s="1209"/>
      <c r="V13" s="1206"/>
      <c r="W13" s="1206"/>
      <c r="X13" s="1206"/>
      <c r="Y13" s="1206"/>
      <c r="Z13" s="1206"/>
      <c r="AA13" s="1209"/>
      <c r="AB13" s="1209"/>
      <c r="AC13" s="1209"/>
      <c r="AD13" s="1209"/>
      <c r="AE13" s="1209"/>
      <c r="AF13" s="1209"/>
      <c r="AG13" s="1209"/>
      <c r="AH13" s="1209"/>
      <c r="AI13" s="1209"/>
      <c r="AJ13" s="1209"/>
      <c r="AK13" s="1209"/>
      <c r="AL13" s="1209"/>
      <c r="AM13" s="1209"/>
      <c r="AN13" s="1209"/>
      <c r="AO13" s="1209"/>
      <c r="AP13" s="1209"/>
      <c r="AQ13" s="1209"/>
      <c r="AR13" s="1209"/>
      <c r="AS13" s="1209"/>
      <c r="AT13" s="1209"/>
      <c r="AU13" s="1209"/>
      <c r="AV13" s="1209"/>
      <c r="AW13" s="1209"/>
      <c r="AX13" s="1209"/>
      <c r="AY13" s="1209"/>
      <c r="AZ13" s="1209"/>
      <c r="BA13" s="1209"/>
      <c r="BB13" s="1209"/>
      <c r="BC13" s="1209"/>
      <c r="BD13" s="1209"/>
      <c r="BE13" s="1212"/>
      <c r="BM13" s="1203" t="s">
        <v>2578</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1209"/>
      <c r="AB14" s="1209"/>
      <c r="AC14" s="1209"/>
      <c r="AD14" s="1209"/>
      <c r="AE14" s="1209"/>
      <c r="AF14" s="1209"/>
      <c r="AG14" s="1209"/>
      <c r="AH14" s="1209"/>
      <c r="AI14" s="1209"/>
      <c r="AJ14" s="1209"/>
      <c r="AK14" s="1209"/>
      <c r="AL14" s="1209"/>
      <c r="AM14" s="1209"/>
      <c r="AN14" s="1209"/>
      <c r="AO14" s="1209"/>
      <c r="AP14" s="1209"/>
      <c r="AQ14" s="1209"/>
      <c r="AR14" s="1209"/>
      <c r="AS14" s="1209"/>
      <c r="AT14" s="1209"/>
      <c r="AU14" s="1209"/>
      <c r="AV14" s="1209"/>
      <c r="AW14" s="1209"/>
      <c r="AX14" s="1209"/>
      <c r="AY14" s="1209"/>
      <c r="AZ14" s="1209"/>
      <c r="BA14" s="1209"/>
      <c r="BB14" s="1209"/>
      <c r="BC14" s="1209"/>
      <c r="BD14" s="1209"/>
      <c r="BE14" s="1212"/>
    </row>
    <row r="15" spans="1:65" thickBot="1">
      <c r="A15" s="1206"/>
      <c r="B15" s="2515" t="s">
        <v>1860</v>
      </c>
      <c r="C15" s="2516"/>
      <c r="D15" s="2516"/>
      <c r="E15" s="2516"/>
      <c r="F15" s="2516"/>
      <c r="G15" s="2516"/>
      <c r="H15" s="2516"/>
      <c r="I15" s="2516"/>
      <c r="J15" s="2516"/>
      <c r="K15" s="2516"/>
      <c r="L15" s="2516"/>
      <c r="M15" s="2516"/>
      <c r="N15" s="2516"/>
      <c r="O15" s="2516"/>
      <c r="P15" s="2516"/>
      <c r="Q15" s="2516"/>
      <c r="R15" s="2517"/>
      <c r="S15" s="2518" t="str">
        <f>IF(Application!AB214="","",Application!AB214)</f>
        <v/>
      </c>
      <c r="T15" s="2518"/>
      <c r="U15" s="2518"/>
      <c r="V15" s="2518"/>
      <c r="W15" s="2519"/>
      <c r="X15" s="1209"/>
      <c r="Y15" s="1206"/>
      <c r="Z15" s="1206"/>
      <c r="AA15" s="1209"/>
      <c r="AB15" s="1209"/>
      <c r="AC15" s="1209"/>
      <c r="AD15" s="1209"/>
      <c r="AE15" s="1209"/>
      <c r="AF15" s="1209"/>
      <c r="AG15" s="1209"/>
      <c r="AH15" s="1209"/>
      <c r="AI15" s="1209"/>
      <c r="AJ15" s="1209"/>
      <c r="AK15" s="1209"/>
      <c r="AL15" s="1209"/>
      <c r="AM15" s="1209"/>
      <c r="AN15" s="1209"/>
      <c r="AO15" s="1209"/>
      <c r="AP15" s="1209"/>
      <c r="AQ15" s="1209"/>
      <c r="AR15" s="1209"/>
      <c r="AS15" s="1209"/>
      <c r="AT15" s="1209"/>
      <c r="AU15" s="1209"/>
      <c r="AV15" s="1209"/>
      <c r="AW15" s="1209"/>
      <c r="AX15" s="1209"/>
      <c r="AY15" s="1209"/>
      <c r="AZ15" s="1209"/>
      <c r="BA15" s="1209"/>
      <c r="BB15" s="1209"/>
      <c r="BC15" s="1209"/>
      <c r="BD15" s="1209"/>
      <c r="BE15" s="1212"/>
    </row>
    <row r="16" spans="1:65" thickBot="1">
      <c r="A16" s="1205"/>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12"/>
    </row>
    <row r="17" spans="1:58" ht="15">
      <c r="A17" s="1206"/>
      <c r="B17" s="2370" t="s">
        <v>1861</v>
      </c>
      <c r="C17" s="2371"/>
      <c r="D17" s="2371"/>
      <c r="E17" s="2371"/>
      <c r="F17" s="2371"/>
      <c r="G17" s="2371"/>
      <c r="H17" s="2371"/>
      <c r="I17" s="2371"/>
      <c r="J17" s="2371"/>
      <c r="K17" s="2371"/>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c r="AH17" s="2371"/>
      <c r="AI17" s="2371"/>
      <c r="AJ17" s="2371"/>
      <c r="AK17" s="2371"/>
      <c r="AL17" s="2371"/>
      <c r="AM17" s="2371"/>
      <c r="AN17" s="2371"/>
      <c r="AO17" s="2371"/>
      <c r="AP17" s="2371"/>
      <c r="AQ17" s="2371"/>
      <c r="AR17" s="2371"/>
      <c r="AS17" s="2371"/>
      <c r="AT17" s="2371"/>
      <c r="AU17" s="2371"/>
      <c r="AV17" s="2371"/>
      <c r="AW17" s="2371"/>
      <c r="AX17" s="2371"/>
      <c r="AY17" s="2372"/>
      <c r="AZ17" s="1206"/>
      <c r="BA17" s="1206"/>
      <c r="BB17" s="1206"/>
      <c r="BC17" s="1206"/>
      <c r="BD17" s="1206"/>
      <c r="BE17" s="1212"/>
      <c r="BF17" s="1204"/>
    </row>
    <row r="18" spans="1:58" ht="15.75" customHeight="1">
      <c r="A18" s="1206"/>
      <c r="B18" s="2499" t="s">
        <v>1862</v>
      </c>
      <c r="C18" s="2500"/>
      <c r="D18" s="2500"/>
      <c r="E18" s="2500"/>
      <c r="F18" s="2500"/>
      <c r="G18" s="2500"/>
      <c r="H18" s="2500"/>
      <c r="I18" s="2501"/>
      <c r="J18" s="2502" t="s">
        <v>1761</v>
      </c>
      <c r="K18" s="2503"/>
      <c r="L18" s="2503"/>
      <c r="M18" s="2503"/>
      <c r="N18" s="2503"/>
      <c r="O18" s="2504"/>
      <c r="P18" s="2502" t="s">
        <v>326</v>
      </c>
      <c r="Q18" s="2503"/>
      <c r="R18" s="2503"/>
      <c r="S18" s="2503"/>
      <c r="T18" s="2503"/>
      <c r="U18" s="2504"/>
      <c r="V18" s="2502" t="s">
        <v>327</v>
      </c>
      <c r="W18" s="2503"/>
      <c r="X18" s="2503"/>
      <c r="Y18" s="2503"/>
      <c r="Z18" s="2503"/>
      <c r="AA18" s="2504"/>
      <c r="AB18" s="2502" t="s">
        <v>164</v>
      </c>
      <c r="AC18" s="2503"/>
      <c r="AD18" s="2503"/>
      <c r="AE18" s="2503"/>
      <c r="AF18" s="2503"/>
      <c r="AG18" s="2504"/>
      <c r="AH18" s="2502" t="s">
        <v>165</v>
      </c>
      <c r="AI18" s="2503"/>
      <c r="AJ18" s="2503"/>
      <c r="AK18" s="2503"/>
      <c r="AL18" s="2503"/>
      <c r="AM18" s="2504"/>
      <c r="AN18" s="2502" t="s">
        <v>166</v>
      </c>
      <c r="AO18" s="2503"/>
      <c r="AP18" s="2503"/>
      <c r="AQ18" s="2503"/>
      <c r="AR18" s="2503"/>
      <c r="AS18" s="2504"/>
      <c r="AT18" s="2502" t="s">
        <v>1863</v>
      </c>
      <c r="AU18" s="2503"/>
      <c r="AV18" s="2503"/>
      <c r="AW18" s="2503"/>
      <c r="AX18" s="2503"/>
      <c r="AY18" s="2505"/>
      <c r="AZ18" s="1206"/>
      <c r="BA18" s="1206"/>
      <c r="BB18" s="1206"/>
      <c r="BC18" s="1206"/>
      <c r="BD18" s="1206"/>
      <c r="BE18" s="1212"/>
    </row>
    <row r="19" spans="1:58" ht="15">
      <c r="A19" s="1206"/>
      <c r="B19" s="2496">
        <v>0.3</v>
      </c>
      <c r="C19" s="2497"/>
      <c r="D19" s="2497"/>
      <c r="E19" s="2497"/>
      <c r="F19" s="2497"/>
      <c r="G19" s="2497"/>
      <c r="H19" s="2497"/>
      <c r="I19" s="2498"/>
      <c r="J19" s="2481">
        <f>SUM(P19:AS19)</f>
        <v>37</v>
      </c>
      <c r="K19" s="2482"/>
      <c r="L19" s="2482"/>
      <c r="M19" s="2482"/>
      <c r="N19" s="2482"/>
      <c r="O19" s="2483"/>
      <c r="P19" s="2481" cm="1">
        <f t="array" ref="P19">SUMPRODUCT((Application!$B$714:$B$738 = 'CalHFA Addendum'!P$18)*(Application!$AC$714:$AC$738 = 'CalHFA Addendum'!$B19),Application!$G$714:$G$738)</f>
        <v>14</v>
      </c>
      <c r="Q19" s="2482"/>
      <c r="R19" s="2482"/>
      <c r="S19" s="2482"/>
      <c r="T19" s="2482"/>
      <c r="U19" s="2483"/>
      <c r="V19" s="2481" cm="1">
        <f t="array" ref="V19">SUMPRODUCT((Application!$B$714:$B$738 = 'CalHFA Addendum'!V$18)*(Application!$AC$714:$AC$738 = 'CalHFA Addendum'!$B19),Application!$G$714:$G$738)</f>
        <v>13</v>
      </c>
      <c r="W19" s="2482"/>
      <c r="X19" s="2482"/>
      <c r="Y19" s="2482"/>
      <c r="Z19" s="2482"/>
      <c r="AA19" s="2483"/>
      <c r="AB19" s="2481" cm="1">
        <f t="array" ref="AB19">SUMPRODUCT((Application!$B$714:$B$738 = 'CalHFA Addendum'!AB$18)*(Application!$AC$714:$AC$738 = 'CalHFA Addendum'!$B19),Application!$G$714:$G$738)</f>
        <v>5</v>
      </c>
      <c r="AC19" s="2482"/>
      <c r="AD19" s="2482"/>
      <c r="AE19" s="2482"/>
      <c r="AF19" s="2482"/>
      <c r="AG19" s="2483"/>
      <c r="AH19" s="2481" cm="1">
        <f t="array" ref="AH19">SUMPRODUCT((Application!$B$714:$B$738 = 'CalHFA Addendum'!AH$18)*(Application!$AC$714:$AC$738 = 'CalHFA Addendum'!$B19),Application!$G$714:$G$738)</f>
        <v>5</v>
      </c>
      <c r="AI19" s="2482"/>
      <c r="AJ19" s="2482"/>
      <c r="AK19" s="2482"/>
      <c r="AL19" s="2482"/>
      <c r="AM19" s="2483"/>
      <c r="AN19" s="2481" cm="1">
        <f t="array" ref="AN19">SUMPRODUCT((Application!$B$714:$B$738 = 'CalHFA Addendum'!AN$18)*(Application!$AC$714:$AC$738 = 'CalHFA Addendum'!$B19),Application!$G$714:$G$738)</f>
        <v>0</v>
      </c>
      <c r="AO19" s="2482"/>
      <c r="AP19" s="2482"/>
      <c r="AQ19" s="2482"/>
      <c r="AR19" s="2482"/>
      <c r="AS19" s="2483"/>
      <c r="AT19" s="2484">
        <f t="shared" ref="AT19:AT28" si="0">J19/$J$29</f>
        <v>0.2138728323699422</v>
      </c>
      <c r="AU19" s="2485"/>
      <c r="AV19" s="2485"/>
      <c r="AW19" s="2485"/>
      <c r="AX19" s="2485"/>
      <c r="AY19" s="2486"/>
      <c r="AZ19" s="1213"/>
      <c r="BA19" s="1206"/>
      <c r="BB19" s="1206"/>
      <c r="BC19" s="1206"/>
      <c r="BD19" s="1206"/>
      <c r="BE19" s="1212"/>
    </row>
    <row r="20" spans="1:58" ht="15" customHeight="1">
      <c r="A20" s="1206"/>
      <c r="B20" s="2496">
        <v>0.4</v>
      </c>
      <c r="C20" s="2497"/>
      <c r="D20" s="2497"/>
      <c r="E20" s="2497"/>
      <c r="F20" s="2497"/>
      <c r="G20" s="2497"/>
      <c r="H20" s="2497"/>
      <c r="I20" s="2498"/>
      <c r="J20" s="2481">
        <f t="shared" ref="J20:J28" si="1">SUM(P20:AS20)</f>
        <v>0</v>
      </c>
      <c r="K20" s="2482"/>
      <c r="L20" s="2482"/>
      <c r="M20" s="2482"/>
      <c r="N20" s="2482"/>
      <c r="O20" s="2483"/>
      <c r="P20" s="2481" cm="1">
        <f t="array" ref="P20">SUMPRODUCT((Application!$B$714:$B$738 = 'CalHFA Addendum'!P$18)*(Application!$AC$714:$AC$738 = 'CalHFA Addendum'!$B20),Application!$G$714:$G$738)</f>
        <v>0</v>
      </c>
      <c r="Q20" s="2482"/>
      <c r="R20" s="2482"/>
      <c r="S20" s="2482"/>
      <c r="T20" s="2482"/>
      <c r="U20" s="2483"/>
      <c r="V20" s="2481" cm="1">
        <f t="array" ref="V20">SUMPRODUCT((Application!$B$714:$B$738 = 'CalHFA Addendum'!V$18)*(Application!$AC$714:$AC$738 = 'CalHFA Addendum'!$B20),Application!$G$714:$G$738)</f>
        <v>0</v>
      </c>
      <c r="W20" s="2482"/>
      <c r="X20" s="2482"/>
      <c r="Y20" s="2482"/>
      <c r="Z20" s="2482"/>
      <c r="AA20" s="2483"/>
      <c r="AB20" s="2481" cm="1">
        <f t="array" ref="AB20">SUMPRODUCT((Application!$B$714:$B$738 = 'CalHFA Addendum'!AB$18)*(Application!$AC$714:$AC$738 = 'CalHFA Addendum'!$B20),Application!$G$714:$G$738)</f>
        <v>0</v>
      </c>
      <c r="AC20" s="2482"/>
      <c r="AD20" s="2482"/>
      <c r="AE20" s="2482"/>
      <c r="AF20" s="2482"/>
      <c r="AG20" s="2483"/>
      <c r="AH20" s="2481" cm="1">
        <f t="array" ref="AH20">SUMPRODUCT((Application!$B$714:$B$738 = 'CalHFA Addendum'!AH$18)*(Application!$AC$714:$AC$738 = 'CalHFA Addendum'!$B20),Application!$G$714:$G$738)</f>
        <v>0</v>
      </c>
      <c r="AI20" s="2482"/>
      <c r="AJ20" s="2482"/>
      <c r="AK20" s="2482"/>
      <c r="AL20" s="2482"/>
      <c r="AM20" s="2483"/>
      <c r="AN20" s="2481" cm="1">
        <f t="array" ref="AN20">SUMPRODUCT((Application!$B$714:$B$738 = 'CalHFA Addendum'!AN$18)*(Application!$AC$714:$AC$738 = 'CalHFA Addendum'!$B20),Application!$G$714:$G$738)</f>
        <v>0</v>
      </c>
      <c r="AO20" s="2482"/>
      <c r="AP20" s="2482"/>
      <c r="AQ20" s="2482"/>
      <c r="AR20" s="2482"/>
      <c r="AS20" s="2483"/>
      <c r="AT20" s="2484">
        <f t="shared" si="0"/>
        <v>0</v>
      </c>
      <c r="AU20" s="2485"/>
      <c r="AV20" s="2485"/>
      <c r="AW20" s="2485"/>
      <c r="AX20" s="2485"/>
      <c r="AY20" s="2486"/>
      <c r="AZ20" s="1206"/>
      <c r="BA20" s="1206"/>
      <c r="BB20" s="1206"/>
      <c r="BC20" s="1206"/>
      <c r="BD20" s="1206"/>
      <c r="BE20" s="1212"/>
    </row>
    <row r="21" spans="1:58" ht="15">
      <c r="A21" s="1206"/>
      <c r="B21" s="2496">
        <v>0.5</v>
      </c>
      <c r="C21" s="2497"/>
      <c r="D21" s="2497"/>
      <c r="E21" s="2497"/>
      <c r="F21" s="2497"/>
      <c r="G21" s="2497"/>
      <c r="H21" s="2497"/>
      <c r="I21" s="2498"/>
      <c r="J21" s="2481">
        <f t="shared" si="1"/>
        <v>0</v>
      </c>
      <c r="K21" s="2482"/>
      <c r="L21" s="2482"/>
      <c r="M21" s="2482"/>
      <c r="N21" s="2482"/>
      <c r="O21" s="2483"/>
      <c r="P21" s="2481" cm="1">
        <f t="array" ref="P21">SUMPRODUCT((Application!$B$714:$B$738 = 'CalHFA Addendum'!P$18)*(Application!$AC$714:$AC$738 = 'CalHFA Addendum'!$B21),Application!$G$714:$G$738)</f>
        <v>0</v>
      </c>
      <c r="Q21" s="2482"/>
      <c r="R21" s="2482"/>
      <c r="S21" s="2482"/>
      <c r="T21" s="2482"/>
      <c r="U21" s="2483"/>
      <c r="V21" s="2481" cm="1">
        <f t="array" ref="V21">SUMPRODUCT((Application!$B$714:$B$738 = 'CalHFA Addendum'!V$18)*(Application!$AC$714:$AC$738 = 'CalHFA Addendum'!$B21),Application!$G$714:$G$738)</f>
        <v>0</v>
      </c>
      <c r="W21" s="2482"/>
      <c r="X21" s="2482"/>
      <c r="Y21" s="2482"/>
      <c r="Z21" s="2482"/>
      <c r="AA21" s="2483"/>
      <c r="AB21" s="2481" cm="1">
        <f t="array" ref="AB21">SUMPRODUCT((Application!$B$714:$B$738 = 'CalHFA Addendum'!AB$18)*(Application!$AC$714:$AC$738 = 'CalHFA Addendum'!$B21),Application!$G$714:$G$738)</f>
        <v>0</v>
      </c>
      <c r="AC21" s="2482"/>
      <c r="AD21" s="2482"/>
      <c r="AE21" s="2482"/>
      <c r="AF21" s="2482"/>
      <c r="AG21" s="2483"/>
      <c r="AH21" s="2481" cm="1">
        <f t="array" ref="AH21">SUMPRODUCT((Application!$B$714:$B$738 = 'CalHFA Addendum'!AH$18)*(Application!$AC$714:$AC$738 = 'CalHFA Addendum'!$B21),Application!$G$714:$G$738)</f>
        <v>0</v>
      </c>
      <c r="AI21" s="2482"/>
      <c r="AJ21" s="2482"/>
      <c r="AK21" s="2482"/>
      <c r="AL21" s="2482"/>
      <c r="AM21" s="2483"/>
      <c r="AN21" s="2481" cm="1">
        <f t="array" ref="AN21">SUMPRODUCT((Application!$B$714:$B$738 = 'CalHFA Addendum'!AN$18)*(Application!$AC$714:$AC$738 = 'CalHFA Addendum'!$B21),Application!$G$714:$G$738)</f>
        <v>0</v>
      </c>
      <c r="AO21" s="2482"/>
      <c r="AP21" s="2482"/>
      <c r="AQ21" s="2482"/>
      <c r="AR21" s="2482"/>
      <c r="AS21" s="2483"/>
      <c r="AT21" s="2484">
        <f t="shared" si="0"/>
        <v>0</v>
      </c>
      <c r="AU21" s="2485"/>
      <c r="AV21" s="2485"/>
      <c r="AW21" s="2485"/>
      <c r="AX21" s="2485"/>
      <c r="AY21" s="2486"/>
      <c r="AZ21" s="1206"/>
      <c r="BA21" s="1206"/>
      <c r="BB21" s="1206"/>
      <c r="BC21" s="1206"/>
      <c r="BD21" s="1206"/>
      <c r="BE21" s="1212"/>
    </row>
    <row r="22" spans="1:58" ht="15">
      <c r="A22" s="1206"/>
      <c r="B22" s="2496">
        <v>0.6</v>
      </c>
      <c r="C22" s="2497"/>
      <c r="D22" s="2497"/>
      <c r="E22" s="2497"/>
      <c r="F22" s="2497"/>
      <c r="G22" s="2497"/>
      <c r="H22" s="2497"/>
      <c r="I22" s="2498"/>
      <c r="J22" s="2481">
        <f t="shared" si="1"/>
        <v>34</v>
      </c>
      <c r="K22" s="2482"/>
      <c r="L22" s="2482"/>
      <c r="M22" s="2482"/>
      <c r="N22" s="2482"/>
      <c r="O22" s="2483"/>
      <c r="P22" s="2481" cm="1">
        <f t="array" ref="P22">SUMPRODUCT((Application!$B$714:$B$738 = 'CalHFA Addendum'!P$18)*(Application!$AC$714:$AC$738 = 'CalHFA Addendum'!$B22),Application!$G$714:$G$738)</f>
        <v>0</v>
      </c>
      <c r="Q22" s="2482"/>
      <c r="R22" s="2482"/>
      <c r="S22" s="2482"/>
      <c r="T22" s="2482"/>
      <c r="U22" s="2483"/>
      <c r="V22" s="2481" cm="1">
        <f t="array" ref="V22">SUMPRODUCT((Application!$B$714:$B$738 = 'CalHFA Addendum'!V$18)*(Application!$AC$714:$AC$738 = 'CalHFA Addendum'!$B22),Application!$G$714:$G$738)</f>
        <v>0</v>
      </c>
      <c r="W22" s="2482"/>
      <c r="X22" s="2482"/>
      <c r="Y22" s="2482"/>
      <c r="Z22" s="2482"/>
      <c r="AA22" s="2483"/>
      <c r="AB22" s="2481" cm="1">
        <f t="array" ref="AB22">SUMPRODUCT((Application!$B$714:$B$738 = 'CalHFA Addendum'!AB$18)*(Application!$AC$714:$AC$738 = 'CalHFA Addendum'!$B22),Application!$G$714:$G$738)</f>
        <v>9</v>
      </c>
      <c r="AC22" s="2482"/>
      <c r="AD22" s="2482"/>
      <c r="AE22" s="2482"/>
      <c r="AF22" s="2482"/>
      <c r="AG22" s="2483"/>
      <c r="AH22" s="2481" cm="1">
        <f t="array" ref="AH22">SUMPRODUCT((Application!$B$714:$B$738 = 'CalHFA Addendum'!AH$18)*(Application!$AC$714:$AC$738 = 'CalHFA Addendum'!$B22),Application!$G$714:$G$738)</f>
        <v>25</v>
      </c>
      <c r="AI22" s="2482"/>
      <c r="AJ22" s="2482"/>
      <c r="AK22" s="2482"/>
      <c r="AL22" s="2482"/>
      <c r="AM22" s="2483"/>
      <c r="AN22" s="2481" cm="1">
        <f t="array" ref="AN22">SUMPRODUCT((Application!$B$714:$B$738 = 'CalHFA Addendum'!AN$18)*(Application!$AC$714:$AC$738 = 'CalHFA Addendum'!$B22),Application!$G$714:$G$738)</f>
        <v>0</v>
      </c>
      <c r="AO22" s="2482"/>
      <c r="AP22" s="2482"/>
      <c r="AQ22" s="2482"/>
      <c r="AR22" s="2482"/>
      <c r="AS22" s="2483"/>
      <c r="AT22" s="2484">
        <f t="shared" si="0"/>
        <v>0.19653179190751446</v>
      </c>
      <c r="AU22" s="2485"/>
      <c r="AV22" s="2485"/>
      <c r="AW22" s="2485"/>
      <c r="AX22" s="2485"/>
      <c r="AY22" s="2486"/>
      <c r="AZ22" s="1206"/>
      <c r="BA22" s="1206"/>
      <c r="BB22" s="1206"/>
      <c r="BC22" s="1206"/>
      <c r="BD22" s="1206"/>
      <c r="BE22" s="1212"/>
    </row>
    <row r="23" spans="1:58" ht="15">
      <c r="A23" s="1206"/>
      <c r="B23" s="2496">
        <v>0.7</v>
      </c>
      <c r="C23" s="2497"/>
      <c r="D23" s="2497"/>
      <c r="E23" s="2497"/>
      <c r="F23" s="2497"/>
      <c r="G23" s="2497"/>
      <c r="H23" s="2497"/>
      <c r="I23" s="2498"/>
      <c r="J23" s="2481">
        <f t="shared" si="1"/>
        <v>89</v>
      </c>
      <c r="K23" s="2482"/>
      <c r="L23" s="2482"/>
      <c r="M23" s="2482"/>
      <c r="N23" s="2482"/>
      <c r="O23" s="2483"/>
      <c r="P23" s="2481" cm="1">
        <f t="array" ref="P23">SUMPRODUCT((Application!$B$714:$B$738 = 'CalHFA Addendum'!P$18)*(Application!$AC$714:$AC$738 = 'CalHFA Addendum'!$B23),Application!$G$714:$G$738)</f>
        <v>26</v>
      </c>
      <c r="Q23" s="2482"/>
      <c r="R23" s="2482"/>
      <c r="S23" s="2482"/>
      <c r="T23" s="2482"/>
      <c r="U23" s="2483"/>
      <c r="V23" s="2481" cm="1">
        <f t="array" ref="V23">SUMPRODUCT((Application!$B$714:$B$738 = 'CalHFA Addendum'!V$18)*(Application!$AC$714:$AC$738 = 'CalHFA Addendum'!$B23),Application!$G$714:$G$738)</f>
        <v>28</v>
      </c>
      <c r="W23" s="2482"/>
      <c r="X23" s="2482"/>
      <c r="Y23" s="2482"/>
      <c r="Z23" s="2482"/>
      <c r="AA23" s="2483"/>
      <c r="AB23" s="2481" cm="1">
        <f t="array" ref="AB23">SUMPRODUCT((Application!$B$714:$B$738 = 'CalHFA Addendum'!AB$18)*(Application!$AC$714:$AC$738 = 'CalHFA Addendum'!$B23),Application!$G$714:$G$738)</f>
        <v>19</v>
      </c>
      <c r="AC23" s="2482"/>
      <c r="AD23" s="2482"/>
      <c r="AE23" s="2482"/>
      <c r="AF23" s="2482"/>
      <c r="AG23" s="2483"/>
      <c r="AH23" s="2481" cm="1">
        <f t="array" ref="AH23">SUMPRODUCT((Application!$B$714:$B$738 = 'CalHFA Addendum'!AH$18)*(Application!$AC$714:$AC$738 = 'CalHFA Addendum'!$B23),Application!$G$714:$G$738)</f>
        <v>16</v>
      </c>
      <c r="AI23" s="2482"/>
      <c r="AJ23" s="2482"/>
      <c r="AK23" s="2482"/>
      <c r="AL23" s="2482"/>
      <c r="AM23" s="2483"/>
      <c r="AN23" s="2481" cm="1">
        <f t="array" ref="AN23">SUMPRODUCT((Application!$B$714:$B$738 = 'CalHFA Addendum'!AN$18)*(Application!$AC$714:$AC$738 = 'CalHFA Addendum'!$B23),Application!$G$714:$G$738)</f>
        <v>0</v>
      </c>
      <c r="AO23" s="2482"/>
      <c r="AP23" s="2482"/>
      <c r="AQ23" s="2482"/>
      <c r="AR23" s="2482"/>
      <c r="AS23" s="2483"/>
      <c r="AT23" s="2484">
        <f t="shared" si="0"/>
        <v>0.51445086705202314</v>
      </c>
      <c r="AU23" s="2485"/>
      <c r="AV23" s="2485"/>
      <c r="AW23" s="2485"/>
      <c r="AX23" s="2485"/>
      <c r="AY23" s="2486"/>
      <c r="AZ23" s="1206"/>
      <c r="BA23" s="1206"/>
      <c r="BB23" s="1206"/>
      <c r="BC23" s="1206"/>
      <c r="BD23" s="1206"/>
      <c r="BE23" s="1212"/>
    </row>
    <row r="24" spans="1:58" ht="15">
      <c r="A24" s="1206"/>
      <c r="B24" s="2496">
        <v>0.8</v>
      </c>
      <c r="C24" s="2497"/>
      <c r="D24" s="2497"/>
      <c r="E24" s="2497"/>
      <c r="F24" s="2497"/>
      <c r="G24" s="2497"/>
      <c r="H24" s="2497"/>
      <c r="I24" s="2498"/>
      <c r="J24" s="2481">
        <f t="shared" si="1"/>
        <v>11</v>
      </c>
      <c r="K24" s="2482"/>
      <c r="L24" s="2482"/>
      <c r="M24" s="2482"/>
      <c r="N24" s="2482"/>
      <c r="O24" s="2483"/>
      <c r="P24" s="2481" cm="1">
        <f t="array" ref="P24">SUMPRODUCT((Application!$B$714:$B$738 = 'CalHFA Addendum'!P$18)*(Application!$AC$714:$AC$738 = 'CalHFA Addendum'!$B24),Application!$G$714:$G$738)</f>
        <v>0</v>
      </c>
      <c r="Q24" s="2482"/>
      <c r="R24" s="2482"/>
      <c r="S24" s="2482"/>
      <c r="T24" s="2482"/>
      <c r="U24" s="2483"/>
      <c r="V24" s="2481" cm="1">
        <f t="array" ref="V24">SUMPRODUCT((Application!$B$714:$B$738 = 'CalHFA Addendum'!V$18)*(Application!$AC$714:$AC$738 = 'CalHFA Addendum'!$B24),Application!$G$714:$G$738)</f>
        <v>0</v>
      </c>
      <c r="W24" s="2482"/>
      <c r="X24" s="2482"/>
      <c r="Y24" s="2482"/>
      <c r="Z24" s="2482"/>
      <c r="AA24" s="2483"/>
      <c r="AB24" s="2481" cm="1">
        <f t="array" ref="AB24">SUMPRODUCT((Application!$B$714:$B$738 = 'CalHFA Addendum'!AB$18)*(Application!$AC$714:$AC$738 = 'CalHFA Addendum'!$B24),Application!$G$714:$G$738)</f>
        <v>11</v>
      </c>
      <c r="AC24" s="2482"/>
      <c r="AD24" s="2482"/>
      <c r="AE24" s="2482"/>
      <c r="AF24" s="2482"/>
      <c r="AG24" s="2483"/>
      <c r="AH24" s="2481" cm="1">
        <f t="array" ref="AH24">SUMPRODUCT((Application!$B$714:$B$738 = 'CalHFA Addendum'!AH$18)*(Application!$AC$714:$AC$738 = 'CalHFA Addendum'!$B24),Application!$G$714:$G$738)</f>
        <v>0</v>
      </c>
      <c r="AI24" s="2482"/>
      <c r="AJ24" s="2482"/>
      <c r="AK24" s="2482"/>
      <c r="AL24" s="2482"/>
      <c r="AM24" s="2483"/>
      <c r="AN24" s="2481" cm="1">
        <f t="array" ref="AN24">SUMPRODUCT((Application!$B$714:$B$738 = 'CalHFA Addendum'!AN$18)*(Application!$AC$714:$AC$738 = 'CalHFA Addendum'!$B24),Application!$G$714:$G$738)</f>
        <v>0</v>
      </c>
      <c r="AO24" s="2482"/>
      <c r="AP24" s="2482"/>
      <c r="AQ24" s="2482"/>
      <c r="AR24" s="2482"/>
      <c r="AS24" s="2483"/>
      <c r="AT24" s="2484">
        <f t="shared" si="0"/>
        <v>6.358381502890173E-2</v>
      </c>
      <c r="AU24" s="2485"/>
      <c r="AV24" s="2485"/>
      <c r="AW24" s="2485"/>
      <c r="AX24" s="2485"/>
      <c r="AY24" s="2486"/>
      <c r="AZ24" s="1206"/>
      <c r="BA24" s="1206"/>
      <c r="BB24" s="1206"/>
      <c r="BC24" s="1206"/>
      <c r="BD24" s="1206"/>
      <c r="BE24" s="1212"/>
    </row>
    <row r="25" spans="1:58" ht="15">
      <c r="A25" s="1206"/>
      <c r="B25" s="2496">
        <v>0.9</v>
      </c>
      <c r="C25" s="2497"/>
      <c r="D25" s="2497"/>
      <c r="E25" s="2497"/>
      <c r="F25" s="2497"/>
      <c r="G25" s="2497"/>
      <c r="H25" s="2497"/>
      <c r="I25" s="2498"/>
      <c r="J25" s="2481">
        <f t="shared" si="1"/>
        <v>0</v>
      </c>
      <c r="K25" s="2482"/>
      <c r="L25" s="2482"/>
      <c r="M25" s="2482"/>
      <c r="N25" s="2482"/>
      <c r="O25" s="2483"/>
      <c r="P25" s="2481" cm="1">
        <f t="array" ref="P25">SUMPRODUCT((Application!$B$714:$B$738 = 'CalHFA Addendum'!P$18)*(Application!$AC$714:$AC$738 = 'CalHFA Addendum'!$B25),Application!$G$714:$G$738)</f>
        <v>0</v>
      </c>
      <c r="Q25" s="2482"/>
      <c r="R25" s="2482"/>
      <c r="S25" s="2482"/>
      <c r="T25" s="2482"/>
      <c r="U25" s="2483"/>
      <c r="V25" s="2481" cm="1">
        <f t="array" ref="V25">SUMPRODUCT((Application!$B$714:$B$738 = 'CalHFA Addendum'!V$18)*(Application!$AC$714:$AC$738 = 'CalHFA Addendum'!$B25),Application!$G$714:$G$738)</f>
        <v>0</v>
      </c>
      <c r="W25" s="2482"/>
      <c r="X25" s="2482"/>
      <c r="Y25" s="2482"/>
      <c r="Z25" s="2482"/>
      <c r="AA25" s="2483"/>
      <c r="AB25" s="2481" cm="1">
        <f t="array" ref="AB25">SUMPRODUCT((Application!$B$714:$B$738 = 'CalHFA Addendum'!AB$18)*(Application!$AC$714:$AC$738 = 'CalHFA Addendum'!$B25),Application!$G$714:$G$738)</f>
        <v>0</v>
      </c>
      <c r="AC25" s="2482"/>
      <c r="AD25" s="2482"/>
      <c r="AE25" s="2482"/>
      <c r="AF25" s="2482"/>
      <c r="AG25" s="2483"/>
      <c r="AH25" s="2481" cm="1">
        <f t="array" ref="AH25">SUMPRODUCT((Application!$B$714:$B$738 = 'CalHFA Addendum'!AH$18)*(Application!$AC$714:$AC$738 = 'CalHFA Addendum'!$B25),Application!$G$714:$G$738)</f>
        <v>0</v>
      </c>
      <c r="AI25" s="2482"/>
      <c r="AJ25" s="2482"/>
      <c r="AK25" s="2482"/>
      <c r="AL25" s="2482"/>
      <c r="AM25" s="2483"/>
      <c r="AN25" s="2481" cm="1">
        <f t="array" ref="AN25">SUMPRODUCT((Application!$B$714:$B$738 = 'CalHFA Addendum'!AN$18)*(Application!$AC$714:$AC$738 = 'CalHFA Addendum'!$B25),Application!$G$714:$G$738)</f>
        <v>0</v>
      </c>
      <c r="AO25" s="2482"/>
      <c r="AP25" s="2482"/>
      <c r="AQ25" s="2482"/>
      <c r="AR25" s="2482"/>
      <c r="AS25" s="2483"/>
      <c r="AT25" s="2484">
        <f t="shared" si="0"/>
        <v>0</v>
      </c>
      <c r="AU25" s="2485"/>
      <c r="AV25" s="2485"/>
      <c r="AW25" s="2485"/>
      <c r="AX25" s="2485"/>
      <c r="AY25" s="2486"/>
      <c r="AZ25" s="1206"/>
      <c r="BA25" s="1206"/>
      <c r="BB25" s="1206"/>
      <c r="BC25" s="1206"/>
      <c r="BD25" s="1206"/>
      <c r="BE25" s="1212"/>
    </row>
    <row r="26" spans="1:58" ht="15">
      <c r="A26" s="1206"/>
      <c r="B26" s="2496">
        <v>1</v>
      </c>
      <c r="C26" s="2497"/>
      <c r="D26" s="2497"/>
      <c r="E26" s="2497"/>
      <c r="F26" s="2497"/>
      <c r="G26" s="2497"/>
      <c r="H26" s="2497"/>
      <c r="I26" s="2498"/>
      <c r="J26" s="2481">
        <f t="shared" si="1"/>
        <v>0</v>
      </c>
      <c r="K26" s="2482"/>
      <c r="L26" s="2482"/>
      <c r="M26" s="2482"/>
      <c r="N26" s="2482"/>
      <c r="O26" s="2483"/>
      <c r="P26" s="2481" cm="1">
        <f t="array" ref="P26">SUMPRODUCT((Application!$B$714:$B$738 = 'CalHFA Addendum'!P$18)*(Application!$AC$714:$AC$738 = 'CalHFA Addendum'!$B26),Application!$G$714:$G$738)</f>
        <v>0</v>
      </c>
      <c r="Q26" s="2482"/>
      <c r="R26" s="2482"/>
      <c r="S26" s="2482"/>
      <c r="T26" s="2482"/>
      <c r="U26" s="2483"/>
      <c r="V26" s="2481" cm="1">
        <f t="array" ref="V26">SUMPRODUCT((Application!$B$714:$B$738 = 'CalHFA Addendum'!V$18)*(Application!$AC$714:$AC$738 = 'CalHFA Addendum'!$B26),Application!$G$714:$G$738)</f>
        <v>0</v>
      </c>
      <c r="W26" s="2482"/>
      <c r="X26" s="2482"/>
      <c r="Y26" s="2482"/>
      <c r="Z26" s="2482"/>
      <c r="AA26" s="2483"/>
      <c r="AB26" s="2481" cm="1">
        <f t="array" ref="AB26">SUMPRODUCT((Application!$B$714:$B$738 = 'CalHFA Addendum'!AB$18)*(Application!$AC$714:$AC$738 = 'CalHFA Addendum'!$B26),Application!$G$714:$G$738)</f>
        <v>0</v>
      </c>
      <c r="AC26" s="2482"/>
      <c r="AD26" s="2482"/>
      <c r="AE26" s="2482"/>
      <c r="AF26" s="2482"/>
      <c r="AG26" s="2483"/>
      <c r="AH26" s="2481" cm="1">
        <f t="array" ref="AH26">SUMPRODUCT((Application!$B$714:$B$738 = 'CalHFA Addendum'!AH$18)*(Application!$AC$714:$AC$738 = 'CalHFA Addendum'!$B26),Application!$G$714:$G$738)</f>
        <v>0</v>
      </c>
      <c r="AI26" s="2482"/>
      <c r="AJ26" s="2482"/>
      <c r="AK26" s="2482"/>
      <c r="AL26" s="2482"/>
      <c r="AM26" s="2483"/>
      <c r="AN26" s="2481" cm="1">
        <f t="array" ref="AN26">SUMPRODUCT((Application!$B$714:$B$738 = 'CalHFA Addendum'!AN$18)*(Application!$AC$714:$AC$738 = 'CalHFA Addendum'!$B26),Application!$G$714:$G$738)</f>
        <v>0</v>
      </c>
      <c r="AO26" s="2482"/>
      <c r="AP26" s="2482"/>
      <c r="AQ26" s="2482"/>
      <c r="AR26" s="2482"/>
      <c r="AS26" s="2483"/>
      <c r="AT26" s="2484">
        <f t="shared" si="0"/>
        <v>0</v>
      </c>
      <c r="AU26" s="2485"/>
      <c r="AV26" s="2485"/>
      <c r="AW26" s="2485"/>
      <c r="AX26" s="2485"/>
      <c r="AY26" s="2486"/>
      <c r="AZ26" s="1206"/>
      <c r="BA26" s="1206"/>
      <c r="BB26" s="1206"/>
      <c r="BC26" s="1206"/>
      <c r="BD26" s="1206"/>
      <c r="BE26" s="1212"/>
    </row>
    <row r="27" spans="1:58" ht="15">
      <c r="A27" s="1206"/>
      <c r="B27" s="2496">
        <v>1.1000000000000001</v>
      </c>
      <c r="C27" s="2497"/>
      <c r="D27" s="2497"/>
      <c r="E27" s="2497"/>
      <c r="F27" s="2497"/>
      <c r="G27" s="2497"/>
      <c r="H27" s="2497"/>
      <c r="I27" s="2498"/>
      <c r="J27" s="2481">
        <f t="shared" si="1"/>
        <v>0</v>
      </c>
      <c r="K27" s="2482"/>
      <c r="L27" s="2482"/>
      <c r="M27" s="2482"/>
      <c r="N27" s="2482"/>
      <c r="O27" s="2483"/>
      <c r="P27" s="2481" cm="1">
        <f t="array" ref="P27">SUMPRODUCT((Application!$B$714:$B$738 = 'CalHFA Addendum'!P$18)*(Application!$AC$714:$AC$738 = 'CalHFA Addendum'!$B27),Application!$G$714:$G$738)</f>
        <v>0</v>
      </c>
      <c r="Q27" s="2482"/>
      <c r="R27" s="2482"/>
      <c r="S27" s="2482"/>
      <c r="T27" s="2482"/>
      <c r="U27" s="2483"/>
      <c r="V27" s="2481" cm="1">
        <f t="array" ref="V27">SUMPRODUCT((Application!$B$714:$B$738 = 'CalHFA Addendum'!V$18)*(Application!$AC$714:$AC$738 = 'CalHFA Addendum'!$B27),Application!$G$714:$G$738)</f>
        <v>0</v>
      </c>
      <c r="W27" s="2482"/>
      <c r="X27" s="2482"/>
      <c r="Y27" s="2482"/>
      <c r="Z27" s="2482"/>
      <c r="AA27" s="2483"/>
      <c r="AB27" s="2481" cm="1">
        <f t="array" ref="AB27">SUMPRODUCT((Application!$B$714:$B$738 = 'CalHFA Addendum'!AB$18)*(Application!$AC$714:$AC$738 = 'CalHFA Addendum'!$B27),Application!$G$714:$G$738)</f>
        <v>0</v>
      </c>
      <c r="AC27" s="2482"/>
      <c r="AD27" s="2482"/>
      <c r="AE27" s="2482"/>
      <c r="AF27" s="2482"/>
      <c r="AG27" s="2483"/>
      <c r="AH27" s="2481" cm="1">
        <f t="array" ref="AH27">SUMPRODUCT((Application!$B$714:$B$738 = 'CalHFA Addendum'!AH$18)*(Application!$AC$714:$AC$738 = 'CalHFA Addendum'!$B27),Application!$G$714:$G$738)</f>
        <v>0</v>
      </c>
      <c r="AI27" s="2482"/>
      <c r="AJ27" s="2482"/>
      <c r="AK27" s="2482"/>
      <c r="AL27" s="2482"/>
      <c r="AM27" s="2483"/>
      <c r="AN27" s="2481" cm="1">
        <f t="array" ref="AN27">SUMPRODUCT((Application!$B$714:$B$738 = 'CalHFA Addendum'!AN$18)*(Application!$AC$714:$AC$738 = 'CalHFA Addendum'!$B27),Application!$G$714:$G$738)</f>
        <v>0</v>
      </c>
      <c r="AO27" s="2482"/>
      <c r="AP27" s="2482"/>
      <c r="AQ27" s="2482"/>
      <c r="AR27" s="2482"/>
      <c r="AS27" s="2483"/>
      <c r="AT27" s="2484">
        <f t="shared" si="0"/>
        <v>0</v>
      </c>
      <c r="AU27" s="2485"/>
      <c r="AV27" s="2485"/>
      <c r="AW27" s="2485"/>
      <c r="AX27" s="2485"/>
      <c r="AY27" s="2486"/>
      <c r="AZ27" s="1206"/>
      <c r="BA27" s="1206"/>
      <c r="BB27" s="1206"/>
      <c r="BC27" s="1206"/>
      <c r="BD27" s="1206"/>
      <c r="BE27" s="1212"/>
    </row>
    <row r="28" spans="1:58" thickBot="1">
      <c r="A28" s="1206"/>
      <c r="B28" s="2487" t="s">
        <v>1864</v>
      </c>
      <c r="C28" s="2488"/>
      <c r="D28" s="2488"/>
      <c r="E28" s="2488"/>
      <c r="F28" s="2488"/>
      <c r="G28" s="2488"/>
      <c r="H28" s="2488"/>
      <c r="I28" s="2489"/>
      <c r="J28" s="2490">
        <f t="shared" si="1"/>
        <v>2</v>
      </c>
      <c r="K28" s="2491"/>
      <c r="L28" s="2491"/>
      <c r="M28" s="2491"/>
      <c r="N28" s="2491"/>
      <c r="O28" s="2492"/>
      <c r="P28" s="2490">
        <f>_xlfn.IFNA(VLOOKUP(P$18,Application!$J$758:$S$761,6,FALSE), 0)</f>
        <v>0</v>
      </c>
      <c r="Q28" s="2491"/>
      <c r="R28" s="2491"/>
      <c r="S28" s="2491"/>
      <c r="T28" s="2491"/>
      <c r="U28" s="2492"/>
      <c r="V28" s="2490">
        <f>_xlfn.IFNA(VLOOKUP(V$18,Application!$J$758:$S$761,6,FALSE), 0)</f>
        <v>0</v>
      </c>
      <c r="W28" s="2491"/>
      <c r="X28" s="2491"/>
      <c r="Y28" s="2491"/>
      <c r="Z28" s="2491"/>
      <c r="AA28" s="2492"/>
      <c r="AB28" s="2490">
        <f>_xlfn.IFNA(VLOOKUP(AB$18,Application!$J$758:$S$761,6,FALSE), 0)</f>
        <v>2</v>
      </c>
      <c r="AC28" s="2491"/>
      <c r="AD28" s="2491"/>
      <c r="AE28" s="2491"/>
      <c r="AF28" s="2491"/>
      <c r="AG28" s="2492"/>
      <c r="AH28" s="2490">
        <f>_xlfn.IFNA(VLOOKUP(AH$18,Application!$J$758:$S$761,6,FALSE), 0)</f>
        <v>0</v>
      </c>
      <c r="AI28" s="2491"/>
      <c r="AJ28" s="2491"/>
      <c r="AK28" s="2491"/>
      <c r="AL28" s="2491"/>
      <c r="AM28" s="2492"/>
      <c r="AN28" s="2490">
        <f>_xlfn.IFNA(VLOOKUP(AN$18,Application!$J$758:$S$761,6,FALSE), 0)</f>
        <v>0</v>
      </c>
      <c r="AO28" s="2491"/>
      <c r="AP28" s="2491"/>
      <c r="AQ28" s="2491"/>
      <c r="AR28" s="2491"/>
      <c r="AS28" s="2492"/>
      <c r="AT28" s="2493">
        <f t="shared" si="0"/>
        <v>1.1560693641618497E-2</v>
      </c>
      <c r="AU28" s="2494"/>
      <c r="AV28" s="2494"/>
      <c r="AW28" s="2494"/>
      <c r="AX28" s="2494"/>
      <c r="AY28" s="2495"/>
      <c r="AZ28" s="1206"/>
      <c r="BA28" s="1206"/>
      <c r="BB28" s="1206"/>
      <c r="BC28" s="1206"/>
      <c r="BD28" s="1206"/>
      <c r="BE28" s="1212"/>
    </row>
    <row r="29" spans="1:58" thickBot="1">
      <c r="A29" s="1206"/>
      <c r="B29" s="2480" t="s">
        <v>1761</v>
      </c>
      <c r="C29" s="2469"/>
      <c r="D29" s="2469"/>
      <c r="E29" s="2469"/>
      <c r="F29" s="2469"/>
      <c r="G29" s="2469"/>
      <c r="H29" s="2469"/>
      <c r="I29" s="2470"/>
      <c r="J29" s="2468">
        <f>SUM(J19:O28)</f>
        <v>173</v>
      </c>
      <c r="K29" s="2469"/>
      <c r="L29" s="2469"/>
      <c r="M29" s="2469"/>
      <c r="N29" s="2469"/>
      <c r="O29" s="2470"/>
      <c r="P29" s="2468">
        <f>SUM(P19:U28)</f>
        <v>40</v>
      </c>
      <c r="Q29" s="2469"/>
      <c r="R29" s="2469"/>
      <c r="S29" s="2469"/>
      <c r="T29" s="2469"/>
      <c r="U29" s="2470"/>
      <c r="V29" s="2468">
        <f>SUM(V19:AA28)</f>
        <v>41</v>
      </c>
      <c r="W29" s="2469"/>
      <c r="X29" s="2469"/>
      <c r="Y29" s="2469"/>
      <c r="Z29" s="2469"/>
      <c r="AA29" s="2470"/>
      <c r="AB29" s="2468">
        <f>SUM(AB19:AG28)</f>
        <v>46</v>
      </c>
      <c r="AC29" s="2469"/>
      <c r="AD29" s="2469"/>
      <c r="AE29" s="2469"/>
      <c r="AF29" s="2469"/>
      <c r="AG29" s="2470"/>
      <c r="AH29" s="2468">
        <f>SUM(AH19:AM28)</f>
        <v>46</v>
      </c>
      <c r="AI29" s="2469"/>
      <c r="AJ29" s="2469"/>
      <c r="AK29" s="2469"/>
      <c r="AL29" s="2469"/>
      <c r="AM29" s="2470"/>
      <c r="AN29" s="2468">
        <f>SUM(AN19:AS28)</f>
        <v>0</v>
      </c>
      <c r="AO29" s="2469"/>
      <c r="AP29" s="2469"/>
      <c r="AQ29" s="2469"/>
      <c r="AR29" s="2469"/>
      <c r="AS29" s="2470"/>
      <c r="AT29" s="2471">
        <f>J29/$J$29</f>
        <v>1</v>
      </c>
      <c r="AU29" s="2472"/>
      <c r="AV29" s="2472"/>
      <c r="AW29" s="2472"/>
      <c r="AX29" s="2472"/>
      <c r="AY29" s="2473"/>
      <c r="AZ29" s="1206"/>
      <c r="BA29" s="1206"/>
      <c r="BB29" s="1206"/>
      <c r="BC29" s="1206"/>
      <c r="BD29" s="1206"/>
      <c r="BE29" s="1212"/>
    </row>
    <row r="30" spans="1:58" thickBot="1">
      <c r="A30" s="1205"/>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12"/>
    </row>
    <row r="31" spans="1:58" ht="15">
      <c r="A31" s="1206"/>
      <c r="B31" s="2348" t="s">
        <v>1865</v>
      </c>
      <c r="C31" s="2314"/>
      <c r="D31" s="2314"/>
      <c r="E31" s="2314"/>
      <c r="F31" s="2314"/>
      <c r="G31" s="2314"/>
      <c r="H31" s="2314"/>
      <c r="I31" s="2314"/>
      <c r="J31" s="2314"/>
      <c r="K31" s="2314"/>
      <c r="L31" s="2314"/>
      <c r="M31" s="2314"/>
      <c r="N31" s="2314"/>
      <c r="O31" s="2314"/>
      <c r="P31" s="2314"/>
      <c r="Q31" s="2314"/>
      <c r="R31" s="2314"/>
      <c r="S31" s="2314"/>
      <c r="T31" s="2314"/>
      <c r="U31" s="2314"/>
      <c r="V31" s="2314"/>
      <c r="W31" s="2314"/>
      <c r="X31" s="2314"/>
      <c r="Y31" s="2314"/>
      <c r="Z31" s="2314"/>
      <c r="AA31" s="2314"/>
      <c r="AB31" s="2314"/>
      <c r="AC31" s="2314"/>
      <c r="AD31" s="2314"/>
      <c r="AE31" s="2314"/>
      <c r="AF31" s="2314"/>
      <c r="AG31" s="2314"/>
      <c r="AH31" s="2314"/>
      <c r="AI31" s="2314"/>
      <c r="AJ31" s="2314"/>
      <c r="AK31" s="2314"/>
      <c r="AL31" s="2314"/>
      <c r="AM31" s="2314"/>
      <c r="AN31" s="2314"/>
      <c r="AO31" s="2314"/>
      <c r="AP31" s="2314"/>
      <c r="AQ31" s="2314"/>
      <c r="AR31" s="2314"/>
      <c r="AS31" s="2314"/>
      <c r="AT31" s="2314"/>
      <c r="AU31" s="2314"/>
      <c r="AV31" s="2314"/>
      <c r="AW31" s="2314"/>
      <c r="AX31" s="2314"/>
      <c r="AY31" s="2314"/>
      <c r="AZ31" s="2315"/>
      <c r="BA31" s="1206"/>
      <c r="BB31" s="1206"/>
      <c r="BC31" s="1206"/>
      <c r="BD31" s="1206"/>
      <c r="BE31" s="1212"/>
    </row>
    <row r="32" spans="1:58" ht="15">
      <c r="A32" s="1206"/>
      <c r="B32" s="2474" t="s">
        <v>2579</v>
      </c>
      <c r="C32" s="2475"/>
      <c r="D32" s="2475"/>
      <c r="E32" s="2475"/>
      <c r="F32" s="2475"/>
      <c r="G32" s="2475"/>
      <c r="H32" s="2475"/>
      <c r="I32" s="2475"/>
      <c r="J32" s="2477" t="s">
        <v>2580</v>
      </c>
      <c r="K32" s="2478"/>
      <c r="L32" s="2478"/>
      <c r="M32" s="2478"/>
      <c r="N32" s="2477" t="s">
        <v>1866</v>
      </c>
      <c r="O32" s="2478"/>
      <c r="P32" s="2478"/>
      <c r="Q32" s="2478"/>
      <c r="R32" s="2349" t="s">
        <v>1867</v>
      </c>
      <c r="S32" s="2349"/>
      <c r="T32" s="2349"/>
      <c r="U32" s="2349"/>
      <c r="V32" s="2349"/>
      <c r="W32" s="2349"/>
      <c r="X32" s="2349"/>
      <c r="Y32" s="2349"/>
      <c r="Z32" s="2349"/>
      <c r="AA32" s="2349"/>
      <c r="AB32" s="2349"/>
      <c r="AC32" s="2349"/>
      <c r="AD32" s="2349"/>
      <c r="AE32" s="2349"/>
      <c r="AF32" s="2349"/>
      <c r="AG32" s="2349"/>
      <c r="AH32" s="2349"/>
      <c r="AI32" s="2349"/>
      <c r="AJ32" s="2349"/>
      <c r="AK32" s="2349"/>
      <c r="AL32" s="2349"/>
      <c r="AM32" s="2349"/>
      <c r="AN32" s="2349"/>
      <c r="AO32" s="2349"/>
      <c r="AP32" s="2349"/>
      <c r="AQ32" s="2349"/>
      <c r="AR32" s="2349"/>
      <c r="AS32" s="2349"/>
      <c r="AT32" s="2349"/>
      <c r="AU32" s="2349"/>
      <c r="AV32" s="2349"/>
      <c r="AW32" s="2349"/>
      <c r="AX32" s="2349"/>
      <c r="AY32" s="2349"/>
      <c r="AZ32" s="2399"/>
      <c r="BA32" s="1206"/>
      <c r="BB32" s="1206"/>
      <c r="BC32" s="1206"/>
      <c r="BD32" s="1206"/>
      <c r="BE32" s="1212"/>
    </row>
    <row r="33" spans="1:58" ht="15" customHeight="1">
      <c r="A33" s="1206"/>
      <c r="B33" s="2476"/>
      <c r="C33" s="2475"/>
      <c r="D33" s="2475"/>
      <c r="E33" s="2475"/>
      <c r="F33" s="2475"/>
      <c r="G33" s="2475"/>
      <c r="H33" s="2475"/>
      <c r="I33" s="2475"/>
      <c r="J33" s="2478"/>
      <c r="K33" s="2478"/>
      <c r="L33" s="2478"/>
      <c r="M33" s="2478"/>
      <c r="N33" s="2478"/>
      <c r="O33" s="2478"/>
      <c r="P33" s="2478"/>
      <c r="Q33" s="2478"/>
      <c r="R33" s="2450" t="s">
        <v>1868</v>
      </c>
      <c r="S33" s="2477"/>
      <c r="T33" s="2477"/>
      <c r="U33" s="2477"/>
      <c r="V33" s="2477"/>
      <c r="W33" s="2477"/>
      <c r="X33" s="2477"/>
      <c r="Y33" s="2477"/>
      <c r="Z33" s="2477"/>
      <c r="AA33" s="2477"/>
      <c r="AB33" s="2477"/>
      <c r="AC33" s="2477"/>
      <c r="AD33" s="2477"/>
      <c r="AE33" s="2477"/>
      <c r="AF33" s="2477"/>
      <c r="AG33" s="2477"/>
      <c r="AH33" s="2477"/>
      <c r="AI33" s="2477"/>
      <c r="AJ33" s="2477"/>
      <c r="AK33" s="2477"/>
      <c r="AL33" s="2477"/>
      <c r="AM33" s="2477"/>
      <c r="AN33" s="2477"/>
      <c r="AO33" s="2477"/>
      <c r="AP33" s="2477"/>
      <c r="AQ33" s="2477"/>
      <c r="AR33" s="2477"/>
      <c r="AS33" s="2477"/>
      <c r="AT33" s="2477"/>
      <c r="AU33" s="2477"/>
      <c r="AV33" s="2477"/>
      <c r="AW33" s="2477"/>
      <c r="AX33" s="2477"/>
      <c r="AY33" s="2477"/>
      <c r="AZ33" s="2479"/>
      <c r="BA33" s="1213"/>
      <c r="BB33" s="1206"/>
      <c r="BC33" s="1206"/>
      <c r="BD33" s="1206"/>
      <c r="BE33" s="1212"/>
    </row>
    <row r="34" spans="1:58" ht="15.75" customHeight="1">
      <c r="A34" s="1206"/>
      <c r="B34" s="2476"/>
      <c r="C34" s="2475"/>
      <c r="D34" s="2475"/>
      <c r="E34" s="2475"/>
      <c r="F34" s="2475"/>
      <c r="G34" s="2475"/>
      <c r="H34" s="2475"/>
      <c r="I34" s="2475"/>
      <c r="J34" s="2478"/>
      <c r="K34" s="2478"/>
      <c r="L34" s="2478"/>
      <c r="M34" s="2478"/>
      <c r="N34" s="2478"/>
      <c r="O34" s="2478"/>
      <c r="P34" s="2478"/>
      <c r="Q34" s="2478"/>
      <c r="R34" s="2477"/>
      <c r="S34" s="2477"/>
      <c r="T34" s="2477"/>
      <c r="U34" s="2477"/>
      <c r="V34" s="2477"/>
      <c r="W34" s="2477"/>
      <c r="X34" s="2477"/>
      <c r="Y34" s="2477"/>
      <c r="Z34" s="2477"/>
      <c r="AA34" s="2477"/>
      <c r="AB34" s="2477"/>
      <c r="AC34" s="2477"/>
      <c r="AD34" s="2477"/>
      <c r="AE34" s="2477"/>
      <c r="AF34" s="2477"/>
      <c r="AG34" s="2477"/>
      <c r="AH34" s="2477"/>
      <c r="AI34" s="2477"/>
      <c r="AJ34" s="2477"/>
      <c r="AK34" s="2477"/>
      <c r="AL34" s="2477"/>
      <c r="AM34" s="2477"/>
      <c r="AN34" s="2477"/>
      <c r="AO34" s="2477"/>
      <c r="AP34" s="2477"/>
      <c r="AQ34" s="2477"/>
      <c r="AR34" s="2477"/>
      <c r="AS34" s="2477"/>
      <c r="AT34" s="2477"/>
      <c r="AU34" s="2477"/>
      <c r="AV34" s="2477"/>
      <c r="AW34" s="2477"/>
      <c r="AX34" s="2477"/>
      <c r="AY34" s="2477"/>
      <c r="AZ34" s="2479"/>
      <c r="BA34" s="1213"/>
      <c r="BB34" s="1206"/>
      <c r="BC34" s="1206"/>
      <c r="BD34" s="1206"/>
      <c r="BE34" s="1212"/>
    </row>
    <row r="35" spans="1:58" ht="15.75" customHeight="1">
      <c r="A35" s="1206"/>
      <c r="B35" s="2476"/>
      <c r="C35" s="2475"/>
      <c r="D35" s="2475"/>
      <c r="E35" s="2475"/>
      <c r="F35" s="2475"/>
      <c r="G35" s="2475"/>
      <c r="H35" s="2475"/>
      <c r="I35" s="2475"/>
      <c r="J35" s="2478"/>
      <c r="K35" s="2478"/>
      <c r="L35" s="2478"/>
      <c r="M35" s="2478"/>
      <c r="N35" s="2478"/>
      <c r="O35" s="2478"/>
      <c r="P35" s="2478"/>
      <c r="Q35" s="2478"/>
      <c r="R35" s="2464">
        <v>0.3</v>
      </c>
      <c r="S35" s="2464"/>
      <c r="T35" s="2464"/>
      <c r="U35" s="2464"/>
      <c r="V35" s="2464">
        <v>0.4</v>
      </c>
      <c r="W35" s="2464"/>
      <c r="X35" s="2464"/>
      <c r="Y35" s="2464"/>
      <c r="Z35" s="2464">
        <v>0.5</v>
      </c>
      <c r="AA35" s="2464"/>
      <c r="AB35" s="2464"/>
      <c r="AC35" s="2464"/>
      <c r="AD35" s="2464">
        <v>0.6</v>
      </c>
      <c r="AE35" s="2464"/>
      <c r="AF35" s="2464"/>
      <c r="AG35" s="2464"/>
      <c r="AH35" s="2464">
        <v>0.8</v>
      </c>
      <c r="AI35" s="2464"/>
      <c r="AJ35" s="2464"/>
      <c r="AK35" s="2464"/>
      <c r="AL35" s="2465">
        <v>1</v>
      </c>
      <c r="AM35" s="2465"/>
      <c r="AN35" s="2465"/>
      <c r="AO35" s="2466" t="s">
        <v>1869</v>
      </c>
      <c r="AP35" s="2466"/>
      <c r="AQ35" s="2466"/>
      <c r="AR35" s="2466"/>
      <c r="AS35" s="2466"/>
      <c r="AT35" s="2466"/>
      <c r="AU35" s="2466" t="s">
        <v>1870</v>
      </c>
      <c r="AV35" s="2466"/>
      <c r="AW35" s="2466"/>
      <c r="AX35" s="2466"/>
      <c r="AY35" s="2466"/>
      <c r="AZ35" s="2467"/>
      <c r="BA35" s="1213"/>
      <c r="BB35" s="1206"/>
      <c r="BC35" s="1206"/>
      <c r="BD35" s="1206"/>
      <c r="BE35" s="1212"/>
      <c r="BF35" s="1204"/>
    </row>
    <row r="36" spans="1:58" ht="15.75" customHeight="1">
      <c r="A36" s="1206"/>
      <c r="B36" s="2403" t="s">
        <v>1871</v>
      </c>
      <c r="C36" s="2404"/>
      <c r="D36" s="2404"/>
      <c r="E36" s="2404"/>
      <c r="F36" s="2404"/>
      <c r="G36" s="2404"/>
      <c r="H36" s="2404"/>
      <c r="I36" s="2404"/>
      <c r="J36" s="2463" t="s">
        <v>1872</v>
      </c>
      <c r="K36" s="2463"/>
      <c r="L36" s="2463"/>
      <c r="M36" s="2463"/>
      <c r="N36" s="2463">
        <v>55</v>
      </c>
      <c r="O36" s="2463"/>
      <c r="P36" s="2463"/>
      <c r="Q36" s="2463"/>
      <c r="R36" s="2456">
        <v>0</v>
      </c>
      <c r="S36" s="2456"/>
      <c r="T36" s="2456"/>
      <c r="U36" s="2456"/>
      <c r="V36" s="2456">
        <v>0</v>
      </c>
      <c r="W36" s="2456"/>
      <c r="X36" s="2456"/>
      <c r="Y36" s="2456"/>
      <c r="Z36" s="2456">
        <v>10</v>
      </c>
      <c r="AA36" s="2456"/>
      <c r="AB36" s="2456"/>
      <c r="AC36" s="2456"/>
      <c r="AD36" s="2456">
        <v>30</v>
      </c>
      <c r="AE36" s="2456"/>
      <c r="AF36" s="2456"/>
      <c r="AG36" s="2456"/>
      <c r="AH36" s="2456">
        <v>0</v>
      </c>
      <c r="AI36" s="2456"/>
      <c r="AJ36" s="2456"/>
      <c r="AK36" s="2456"/>
      <c r="AL36" s="2456">
        <v>0</v>
      </c>
      <c r="AM36" s="2456"/>
      <c r="AN36" s="2456"/>
      <c r="AO36" s="2457">
        <f>SUM(R36:AN36)</f>
        <v>40</v>
      </c>
      <c r="AP36" s="2457"/>
      <c r="AQ36" s="2457"/>
      <c r="AR36" s="2457"/>
      <c r="AS36" s="2457"/>
      <c r="AT36" s="2457"/>
      <c r="AU36" s="2458">
        <f>AO36/$J$29</f>
        <v>0.23121387283236994</v>
      </c>
      <c r="AV36" s="2458"/>
      <c r="AW36" s="2458"/>
      <c r="AX36" s="2458"/>
      <c r="AY36" s="2458"/>
      <c r="AZ36" s="2459"/>
      <c r="BA36" s="1206"/>
      <c r="BB36" s="1206"/>
      <c r="BC36" s="1206"/>
      <c r="BD36" s="1206"/>
      <c r="BE36" s="1212"/>
      <c r="BF36" s="1204"/>
    </row>
    <row r="37" spans="1:58" ht="15.75" customHeight="1">
      <c r="A37" s="1206"/>
      <c r="B37" s="2403" t="s">
        <v>2581</v>
      </c>
      <c r="C37" s="2404"/>
      <c r="D37" s="2404"/>
      <c r="E37" s="2404"/>
      <c r="F37" s="2404"/>
      <c r="G37" s="2404"/>
      <c r="H37" s="2404"/>
      <c r="I37" s="2404"/>
      <c r="J37" s="2463" t="s">
        <v>1873</v>
      </c>
      <c r="K37" s="2463"/>
      <c r="L37" s="2463"/>
      <c r="M37" s="2463"/>
      <c r="N37" s="2463">
        <v>55</v>
      </c>
      <c r="O37" s="2463"/>
      <c r="P37" s="2463"/>
      <c r="Q37" s="2463"/>
      <c r="R37" s="2456">
        <v>10</v>
      </c>
      <c r="S37" s="2456"/>
      <c r="T37" s="2456"/>
      <c r="U37" s="2456"/>
      <c r="V37" s="2456"/>
      <c r="W37" s="2456"/>
      <c r="X37" s="2456"/>
      <c r="Y37" s="2456"/>
      <c r="Z37" s="2456"/>
      <c r="AA37" s="2456"/>
      <c r="AB37" s="2456"/>
      <c r="AC37" s="2456"/>
      <c r="AD37" s="2456"/>
      <c r="AE37" s="2456"/>
      <c r="AF37" s="2456"/>
      <c r="AG37" s="2456"/>
      <c r="AH37" s="2456"/>
      <c r="AI37" s="2456"/>
      <c r="AJ37" s="2456"/>
      <c r="AK37" s="2456"/>
      <c r="AL37" s="2456"/>
      <c r="AM37" s="2456"/>
      <c r="AN37" s="2456"/>
      <c r="AO37" s="2457">
        <f t="shared" ref="AO37:AO47" si="2">SUM(R37:AN37)</f>
        <v>10</v>
      </c>
      <c r="AP37" s="2457"/>
      <c r="AQ37" s="2457"/>
      <c r="AR37" s="2457"/>
      <c r="AS37" s="2457"/>
      <c r="AT37" s="2457"/>
      <c r="AU37" s="2458">
        <f t="shared" ref="AU37:AU47" si="3">AO37/$J$29</f>
        <v>5.7803468208092484E-2</v>
      </c>
      <c r="AV37" s="2458"/>
      <c r="AW37" s="2458"/>
      <c r="AX37" s="2458"/>
      <c r="AY37" s="2458"/>
      <c r="AZ37" s="2459"/>
      <c r="BA37" s="1206"/>
      <c r="BB37" s="1206"/>
      <c r="BC37" s="1206"/>
      <c r="BD37" s="1206"/>
      <c r="BE37" s="1212"/>
      <c r="BF37" s="1204"/>
    </row>
    <row r="38" spans="1:58" ht="15.75" customHeight="1">
      <c r="A38" s="1206"/>
      <c r="B38" s="2403" t="s">
        <v>2519</v>
      </c>
      <c r="C38" s="2404"/>
      <c r="D38" s="2404"/>
      <c r="E38" s="2404"/>
      <c r="F38" s="2404"/>
      <c r="G38" s="2404"/>
      <c r="H38" s="2404"/>
      <c r="I38" s="2404"/>
      <c r="J38" s="2463" t="s">
        <v>1874</v>
      </c>
      <c r="K38" s="2463"/>
      <c r="L38" s="2463"/>
      <c r="M38" s="2463"/>
      <c r="N38" s="2463">
        <v>55</v>
      </c>
      <c r="O38" s="2463"/>
      <c r="P38" s="2463"/>
      <c r="Q38" s="2463"/>
      <c r="R38" s="2456"/>
      <c r="S38" s="2456"/>
      <c r="T38" s="2456"/>
      <c r="U38" s="2456"/>
      <c r="V38" s="2456"/>
      <c r="W38" s="2456"/>
      <c r="X38" s="2456"/>
      <c r="Y38" s="2456"/>
      <c r="Z38" s="2456"/>
      <c r="AA38" s="2456"/>
      <c r="AB38" s="2456"/>
      <c r="AC38" s="2456"/>
      <c r="AD38" s="2456"/>
      <c r="AE38" s="2456"/>
      <c r="AF38" s="2456"/>
      <c r="AG38" s="2456"/>
      <c r="AH38" s="2456"/>
      <c r="AI38" s="2456"/>
      <c r="AJ38" s="2456"/>
      <c r="AK38" s="2456"/>
      <c r="AL38" s="2456"/>
      <c r="AM38" s="2456"/>
      <c r="AN38" s="2456"/>
      <c r="AO38" s="2457">
        <f t="shared" si="2"/>
        <v>0</v>
      </c>
      <c r="AP38" s="2457"/>
      <c r="AQ38" s="2457"/>
      <c r="AR38" s="2457"/>
      <c r="AS38" s="2457"/>
      <c r="AT38" s="2457"/>
      <c r="AU38" s="2458">
        <f t="shared" si="3"/>
        <v>0</v>
      </c>
      <c r="AV38" s="2458"/>
      <c r="AW38" s="2458"/>
      <c r="AX38" s="2458"/>
      <c r="AY38" s="2458"/>
      <c r="AZ38" s="2459"/>
      <c r="BA38" s="1206"/>
      <c r="BB38" s="1206"/>
      <c r="BC38" s="1206"/>
      <c r="BD38" s="1206"/>
      <c r="BE38" s="1212"/>
      <c r="BF38" s="1204"/>
    </row>
    <row r="39" spans="1:58" ht="15.75" customHeight="1">
      <c r="A39" s="1206"/>
      <c r="B39" s="2403" t="s">
        <v>1875</v>
      </c>
      <c r="C39" s="2404"/>
      <c r="D39" s="2404"/>
      <c r="E39" s="2404"/>
      <c r="F39" s="2404"/>
      <c r="G39" s="2404"/>
      <c r="H39" s="2404"/>
      <c r="I39" s="2404"/>
      <c r="J39" s="2463"/>
      <c r="K39" s="2463"/>
      <c r="L39" s="2463"/>
      <c r="M39" s="2463"/>
      <c r="N39" s="2463"/>
      <c r="O39" s="2463"/>
      <c r="P39" s="2463"/>
      <c r="Q39" s="2463"/>
      <c r="R39" s="2456"/>
      <c r="S39" s="2456"/>
      <c r="T39" s="2456"/>
      <c r="U39" s="2456"/>
      <c r="V39" s="2456"/>
      <c r="W39" s="2456"/>
      <c r="X39" s="2456"/>
      <c r="Y39" s="2456"/>
      <c r="Z39" s="2456"/>
      <c r="AA39" s="2456"/>
      <c r="AB39" s="2456"/>
      <c r="AC39" s="2456"/>
      <c r="AD39" s="2456"/>
      <c r="AE39" s="2456"/>
      <c r="AF39" s="2456"/>
      <c r="AG39" s="2456"/>
      <c r="AH39" s="2456"/>
      <c r="AI39" s="2456"/>
      <c r="AJ39" s="2456"/>
      <c r="AK39" s="2456"/>
      <c r="AL39" s="2456"/>
      <c r="AM39" s="2456"/>
      <c r="AN39" s="2456"/>
      <c r="AO39" s="2457">
        <f t="shared" si="2"/>
        <v>0</v>
      </c>
      <c r="AP39" s="2457"/>
      <c r="AQ39" s="2457"/>
      <c r="AR39" s="2457"/>
      <c r="AS39" s="2457"/>
      <c r="AT39" s="2457"/>
      <c r="AU39" s="2458">
        <f t="shared" si="3"/>
        <v>0</v>
      </c>
      <c r="AV39" s="2458"/>
      <c r="AW39" s="2458"/>
      <c r="AX39" s="2458"/>
      <c r="AY39" s="2458"/>
      <c r="AZ39" s="2459"/>
      <c r="BA39" s="1206"/>
      <c r="BB39" s="1206"/>
      <c r="BC39" s="1206"/>
      <c r="BD39" s="1206"/>
      <c r="BE39" s="1212"/>
    </row>
    <row r="40" spans="1:58" ht="15.75" customHeight="1">
      <c r="A40" s="1206"/>
      <c r="B40" s="2403" t="s">
        <v>1875</v>
      </c>
      <c r="C40" s="2404"/>
      <c r="D40" s="2404"/>
      <c r="E40" s="2404"/>
      <c r="F40" s="2404"/>
      <c r="G40" s="2404"/>
      <c r="H40" s="2404"/>
      <c r="I40" s="2404"/>
      <c r="J40" s="2463"/>
      <c r="K40" s="2463"/>
      <c r="L40" s="2463"/>
      <c r="M40" s="2463"/>
      <c r="N40" s="2463"/>
      <c r="O40" s="2463"/>
      <c r="P40" s="2463"/>
      <c r="Q40" s="2463"/>
      <c r="R40" s="2456"/>
      <c r="S40" s="2456"/>
      <c r="T40" s="2456"/>
      <c r="U40" s="2456"/>
      <c r="V40" s="2456"/>
      <c r="W40" s="2456"/>
      <c r="X40" s="2456"/>
      <c r="Y40" s="2456"/>
      <c r="Z40" s="2456"/>
      <c r="AA40" s="2456"/>
      <c r="AB40" s="2456"/>
      <c r="AC40" s="2456"/>
      <c r="AD40" s="2456"/>
      <c r="AE40" s="2456"/>
      <c r="AF40" s="2456"/>
      <c r="AG40" s="2456"/>
      <c r="AH40" s="2456"/>
      <c r="AI40" s="2456"/>
      <c r="AJ40" s="2456"/>
      <c r="AK40" s="2456"/>
      <c r="AL40" s="2456"/>
      <c r="AM40" s="2456"/>
      <c r="AN40" s="2456"/>
      <c r="AO40" s="2457">
        <f t="shared" si="2"/>
        <v>0</v>
      </c>
      <c r="AP40" s="2457"/>
      <c r="AQ40" s="2457"/>
      <c r="AR40" s="2457"/>
      <c r="AS40" s="2457"/>
      <c r="AT40" s="2457"/>
      <c r="AU40" s="2458">
        <f t="shared" si="3"/>
        <v>0</v>
      </c>
      <c r="AV40" s="2458"/>
      <c r="AW40" s="2458"/>
      <c r="AX40" s="2458"/>
      <c r="AY40" s="2458"/>
      <c r="AZ40" s="2459"/>
      <c r="BA40" s="1206"/>
      <c r="BB40" s="1206"/>
      <c r="BC40" s="1206"/>
      <c r="BD40" s="1206"/>
      <c r="BE40" s="1212"/>
    </row>
    <row r="41" spans="1:58" ht="15.75" customHeight="1">
      <c r="A41" s="1206"/>
      <c r="B41" s="2403" t="s">
        <v>1876</v>
      </c>
      <c r="C41" s="2404"/>
      <c r="D41" s="2404"/>
      <c r="E41" s="2404"/>
      <c r="F41" s="2404"/>
      <c r="G41" s="2404"/>
      <c r="H41" s="2404"/>
      <c r="I41" s="2404"/>
      <c r="J41" s="2463"/>
      <c r="K41" s="2463"/>
      <c r="L41" s="2463"/>
      <c r="M41" s="2463"/>
      <c r="N41" s="2463"/>
      <c r="O41" s="2463"/>
      <c r="P41" s="2463"/>
      <c r="Q41" s="2463"/>
      <c r="R41" s="2456"/>
      <c r="S41" s="2456"/>
      <c r="T41" s="2456"/>
      <c r="U41" s="2456"/>
      <c r="V41" s="2456"/>
      <c r="W41" s="2456"/>
      <c r="X41" s="2456"/>
      <c r="Y41" s="2456"/>
      <c r="Z41" s="2456"/>
      <c r="AA41" s="2456"/>
      <c r="AB41" s="2456"/>
      <c r="AC41" s="2456"/>
      <c r="AD41" s="2456"/>
      <c r="AE41" s="2456"/>
      <c r="AF41" s="2456"/>
      <c r="AG41" s="2456"/>
      <c r="AH41" s="2456"/>
      <c r="AI41" s="2456"/>
      <c r="AJ41" s="2456"/>
      <c r="AK41" s="2456"/>
      <c r="AL41" s="2456"/>
      <c r="AM41" s="2456"/>
      <c r="AN41" s="2456"/>
      <c r="AO41" s="2457">
        <f t="shared" si="2"/>
        <v>0</v>
      </c>
      <c r="AP41" s="2457"/>
      <c r="AQ41" s="2457"/>
      <c r="AR41" s="2457"/>
      <c r="AS41" s="2457"/>
      <c r="AT41" s="2457"/>
      <c r="AU41" s="2458">
        <f t="shared" si="3"/>
        <v>0</v>
      </c>
      <c r="AV41" s="2458"/>
      <c r="AW41" s="2458"/>
      <c r="AX41" s="2458"/>
      <c r="AY41" s="2458"/>
      <c r="AZ41" s="2459"/>
      <c r="BA41" s="1206"/>
      <c r="BB41" s="1206"/>
      <c r="BC41" s="1206"/>
      <c r="BD41" s="1206"/>
      <c r="BE41" s="1212"/>
    </row>
    <row r="42" spans="1:58" ht="15.75" customHeight="1">
      <c r="A42" s="1206"/>
      <c r="B42" s="2403" t="s">
        <v>1876</v>
      </c>
      <c r="C42" s="2404"/>
      <c r="D42" s="2404"/>
      <c r="E42" s="2404"/>
      <c r="F42" s="2404"/>
      <c r="G42" s="2404"/>
      <c r="H42" s="2404"/>
      <c r="I42" s="2404"/>
      <c r="J42" s="2463"/>
      <c r="K42" s="2463"/>
      <c r="L42" s="2463"/>
      <c r="M42" s="2463"/>
      <c r="N42" s="2463"/>
      <c r="O42" s="2463"/>
      <c r="P42" s="2463"/>
      <c r="Q42" s="2463"/>
      <c r="R42" s="2456"/>
      <c r="S42" s="2456"/>
      <c r="T42" s="2456"/>
      <c r="U42" s="2456"/>
      <c r="V42" s="2456"/>
      <c r="W42" s="2456"/>
      <c r="X42" s="2456"/>
      <c r="Y42" s="2456"/>
      <c r="Z42" s="2456"/>
      <c r="AA42" s="2456"/>
      <c r="AB42" s="2456"/>
      <c r="AC42" s="2456"/>
      <c r="AD42" s="2456"/>
      <c r="AE42" s="2456"/>
      <c r="AF42" s="2456"/>
      <c r="AG42" s="2456"/>
      <c r="AH42" s="2456"/>
      <c r="AI42" s="2456"/>
      <c r="AJ42" s="2456"/>
      <c r="AK42" s="2456"/>
      <c r="AL42" s="2456"/>
      <c r="AM42" s="2456"/>
      <c r="AN42" s="2456"/>
      <c r="AO42" s="2457">
        <f t="shared" si="2"/>
        <v>0</v>
      </c>
      <c r="AP42" s="2457"/>
      <c r="AQ42" s="2457"/>
      <c r="AR42" s="2457"/>
      <c r="AS42" s="2457"/>
      <c r="AT42" s="2457"/>
      <c r="AU42" s="2458">
        <f t="shared" si="3"/>
        <v>0</v>
      </c>
      <c r="AV42" s="2458"/>
      <c r="AW42" s="2458"/>
      <c r="AX42" s="2458"/>
      <c r="AY42" s="2458"/>
      <c r="AZ42" s="2459"/>
      <c r="BA42" s="1206"/>
      <c r="BB42" s="1206"/>
      <c r="BC42" s="1206"/>
      <c r="BD42" s="1206"/>
      <c r="BE42" s="1212"/>
    </row>
    <row r="43" spans="1:58" ht="15.75" customHeight="1">
      <c r="A43" s="1206"/>
      <c r="B43" s="2408" t="s">
        <v>1877</v>
      </c>
      <c r="C43" s="2409"/>
      <c r="D43" s="2409"/>
      <c r="E43" s="2409"/>
      <c r="F43" s="2409"/>
      <c r="G43" s="2409"/>
      <c r="H43" s="2409"/>
      <c r="I43" s="2409"/>
      <c r="J43" s="2463"/>
      <c r="K43" s="2463"/>
      <c r="L43" s="2463"/>
      <c r="M43" s="2463"/>
      <c r="N43" s="2463"/>
      <c r="O43" s="2463"/>
      <c r="P43" s="2463"/>
      <c r="Q43" s="2463"/>
      <c r="R43" s="2456"/>
      <c r="S43" s="2456"/>
      <c r="T43" s="2456"/>
      <c r="U43" s="2456"/>
      <c r="V43" s="2456"/>
      <c r="W43" s="2456"/>
      <c r="X43" s="2456"/>
      <c r="Y43" s="2456"/>
      <c r="Z43" s="2456"/>
      <c r="AA43" s="2456"/>
      <c r="AB43" s="2456"/>
      <c r="AC43" s="2456"/>
      <c r="AD43" s="2456"/>
      <c r="AE43" s="2456"/>
      <c r="AF43" s="2456"/>
      <c r="AG43" s="2456"/>
      <c r="AH43" s="2456"/>
      <c r="AI43" s="2456"/>
      <c r="AJ43" s="2456"/>
      <c r="AK43" s="2456"/>
      <c r="AL43" s="2456"/>
      <c r="AM43" s="2456"/>
      <c r="AN43" s="2456"/>
      <c r="AO43" s="2457">
        <f t="shared" si="2"/>
        <v>0</v>
      </c>
      <c r="AP43" s="2457"/>
      <c r="AQ43" s="2457"/>
      <c r="AR43" s="2457"/>
      <c r="AS43" s="2457"/>
      <c r="AT43" s="2457"/>
      <c r="AU43" s="2458">
        <f t="shared" si="3"/>
        <v>0</v>
      </c>
      <c r="AV43" s="2458"/>
      <c r="AW43" s="2458"/>
      <c r="AX43" s="2458"/>
      <c r="AY43" s="2458"/>
      <c r="AZ43" s="2459"/>
      <c r="BA43" s="1206"/>
      <c r="BB43" s="1206"/>
      <c r="BC43" s="1206"/>
      <c r="BD43" s="1206"/>
      <c r="BE43" s="1212"/>
    </row>
    <row r="44" spans="1:58" ht="15.75" customHeight="1">
      <c r="A44" s="1206"/>
      <c r="B44" s="2408" t="s">
        <v>1878</v>
      </c>
      <c r="C44" s="2409"/>
      <c r="D44" s="2409"/>
      <c r="E44" s="2409"/>
      <c r="F44" s="2409"/>
      <c r="G44" s="2409"/>
      <c r="H44" s="2409"/>
      <c r="I44" s="2409"/>
      <c r="J44" s="2463"/>
      <c r="K44" s="2463"/>
      <c r="L44" s="2463"/>
      <c r="M44" s="2463"/>
      <c r="N44" s="2463"/>
      <c r="O44" s="2463"/>
      <c r="P44" s="2463"/>
      <c r="Q44" s="2463"/>
      <c r="R44" s="2456"/>
      <c r="S44" s="2456"/>
      <c r="T44" s="2456"/>
      <c r="U44" s="2456"/>
      <c r="V44" s="2456"/>
      <c r="W44" s="2456"/>
      <c r="X44" s="2456"/>
      <c r="Y44" s="2456"/>
      <c r="Z44" s="2456"/>
      <c r="AA44" s="2456"/>
      <c r="AB44" s="2456"/>
      <c r="AC44" s="2456"/>
      <c r="AD44" s="2456"/>
      <c r="AE44" s="2456"/>
      <c r="AF44" s="2456"/>
      <c r="AG44" s="2456"/>
      <c r="AH44" s="2456"/>
      <c r="AI44" s="2456"/>
      <c r="AJ44" s="2456"/>
      <c r="AK44" s="2456"/>
      <c r="AL44" s="2456"/>
      <c r="AM44" s="2456"/>
      <c r="AN44" s="2456"/>
      <c r="AO44" s="2457">
        <f t="shared" si="2"/>
        <v>0</v>
      </c>
      <c r="AP44" s="2457"/>
      <c r="AQ44" s="2457"/>
      <c r="AR44" s="2457"/>
      <c r="AS44" s="2457"/>
      <c r="AT44" s="2457"/>
      <c r="AU44" s="2458">
        <f t="shared" si="3"/>
        <v>0</v>
      </c>
      <c r="AV44" s="2458"/>
      <c r="AW44" s="2458"/>
      <c r="AX44" s="2458"/>
      <c r="AY44" s="2458"/>
      <c r="AZ44" s="2459"/>
      <c r="BA44" s="1206"/>
      <c r="BB44" s="1206"/>
      <c r="BC44" s="1206"/>
      <c r="BD44" s="1206"/>
      <c r="BE44" s="1212"/>
    </row>
    <row r="45" spans="1:58" ht="15.75" customHeight="1">
      <c r="A45" s="1206"/>
      <c r="B45" s="2408" t="s">
        <v>1879</v>
      </c>
      <c r="C45" s="2409"/>
      <c r="D45" s="2409"/>
      <c r="E45" s="2409"/>
      <c r="F45" s="2409"/>
      <c r="G45" s="2409"/>
      <c r="H45" s="2409"/>
      <c r="I45" s="2409"/>
      <c r="J45" s="2463"/>
      <c r="K45" s="2463"/>
      <c r="L45" s="2463"/>
      <c r="M45" s="2463"/>
      <c r="N45" s="2463"/>
      <c r="O45" s="2463"/>
      <c r="P45" s="2463"/>
      <c r="Q45" s="2463"/>
      <c r="R45" s="2456"/>
      <c r="S45" s="2456"/>
      <c r="T45" s="2456"/>
      <c r="U45" s="2456"/>
      <c r="V45" s="2456"/>
      <c r="W45" s="2456"/>
      <c r="X45" s="2456"/>
      <c r="Y45" s="2456"/>
      <c r="Z45" s="2456"/>
      <c r="AA45" s="2456"/>
      <c r="AB45" s="2456"/>
      <c r="AC45" s="2456"/>
      <c r="AD45" s="2456"/>
      <c r="AE45" s="2456"/>
      <c r="AF45" s="2456"/>
      <c r="AG45" s="2456"/>
      <c r="AH45" s="2456"/>
      <c r="AI45" s="2456"/>
      <c r="AJ45" s="2456"/>
      <c r="AK45" s="2456"/>
      <c r="AL45" s="2456"/>
      <c r="AM45" s="2456"/>
      <c r="AN45" s="2456"/>
      <c r="AO45" s="2457">
        <f t="shared" si="2"/>
        <v>0</v>
      </c>
      <c r="AP45" s="2457"/>
      <c r="AQ45" s="2457"/>
      <c r="AR45" s="2457"/>
      <c r="AS45" s="2457"/>
      <c r="AT45" s="2457"/>
      <c r="AU45" s="2458">
        <f t="shared" si="3"/>
        <v>0</v>
      </c>
      <c r="AV45" s="2458"/>
      <c r="AW45" s="2458"/>
      <c r="AX45" s="2458"/>
      <c r="AY45" s="2458"/>
      <c r="AZ45" s="2459"/>
      <c r="BA45" s="1206"/>
      <c r="BB45" s="1206"/>
      <c r="BC45" s="1206"/>
      <c r="BD45" s="1206"/>
      <c r="BE45" s="1212"/>
    </row>
    <row r="46" spans="1:58" ht="15.75" customHeight="1">
      <c r="A46" s="1206"/>
      <c r="B46" s="2408" t="s">
        <v>1880</v>
      </c>
      <c r="C46" s="2409"/>
      <c r="D46" s="2409"/>
      <c r="E46" s="2409"/>
      <c r="F46" s="2409"/>
      <c r="G46" s="2409"/>
      <c r="H46" s="2409"/>
      <c r="I46" s="2409"/>
      <c r="J46" s="2463"/>
      <c r="K46" s="2463"/>
      <c r="L46" s="2463"/>
      <c r="M46" s="2463"/>
      <c r="N46" s="2463">
        <v>99</v>
      </c>
      <c r="O46" s="2463"/>
      <c r="P46" s="2463"/>
      <c r="Q46" s="2463"/>
      <c r="R46" s="2456"/>
      <c r="S46" s="2456"/>
      <c r="T46" s="2456"/>
      <c r="U46" s="2456"/>
      <c r="V46" s="2456"/>
      <c r="W46" s="2456"/>
      <c r="X46" s="2456"/>
      <c r="Y46" s="2456"/>
      <c r="Z46" s="2456"/>
      <c r="AA46" s="2456"/>
      <c r="AB46" s="2456"/>
      <c r="AC46" s="2456"/>
      <c r="AD46" s="2456"/>
      <c r="AE46" s="2456"/>
      <c r="AF46" s="2456"/>
      <c r="AG46" s="2456"/>
      <c r="AH46" s="2456"/>
      <c r="AI46" s="2456"/>
      <c r="AJ46" s="2456"/>
      <c r="AK46" s="2456"/>
      <c r="AL46" s="2456"/>
      <c r="AM46" s="2456"/>
      <c r="AN46" s="2456"/>
      <c r="AO46" s="2457">
        <f t="shared" si="2"/>
        <v>0</v>
      </c>
      <c r="AP46" s="2457"/>
      <c r="AQ46" s="2457"/>
      <c r="AR46" s="2457"/>
      <c r="AS46" s="2457"/>
      <c r="AT46" s="2457"/>
      <c r="AU46" s="2458">
        <f t="shared" si="3"/>
        <v>0</v>
      </c>
      <c r="AV46" s="2458"/>
      <c r="AW46" s="2458"/>
      <c r="AX46" s="2458"/>
      <c r="AY46" s="2458"/>
      <c r="AZ46" s="2459"/>
      <c r="BA46" s="1206"/>
      <c r="BB46" s="1206"/>
      <c r="BC46" s="1206"/>
      <c r="BD46" s="1206"/>
      <c r="BE46" s="1212"/>
    </row>
    <row r="47" spans="1:58" ht="15.75" customHeight="1" thickBot="1">
      <c r="A47" s="1206"/>
      <c r="B47" s="2460" t="s">
        <v>302</v>
      </c>
      <c r="C47" s="2461"/>
      <c r="D47" s="2461"/>
      <c r="E47" s="2461"/>
      <c r="F47" s="2461"/>
      <c r="G47" s="2461"/>
      <c r="H47" s="2461"/>
      <c r="I47" s="2461"/>
      <c r="J47" s="2462"/>
      <c r="K47" s="2462"/>
      <c r="L47" s="2462"/>
      <c r="M47" s="2462"/>
      <c r="N47" s="2462"/>
      <c r="O47" s="2462"/>
      <c r="P47" s="2462"/>
      <c r="Q47" s="2462"/>
      <c r="R47" s="2452"/>
      <c r="S47" s="2452"/>
      <c r="T47" s="2452"/>
      <c r="U47" s="2452"/>
      <c r="V47" s="2452"/>
      <c r="W47" s="2452"/>
      <c r="X47" s="2452"/>
      <c r="Y47" s="2452"/>
      <c r="Z47" s="2452"/>
      <c r="AA47" s="2452"/>
      <c r="AB47" s="2452"/>
      <c r="AC47" s="2452"/>
      <c r="AD47" s="2452"/>
      <c r="AE47" s="2452"/>
      <c r="AF47" s="2452"/>
      <c r="AG47" s="2452"/>
      <c r="AH47" s="2452"/>
      <c r="AI47" s="2452"/>
      <c r="AJ47" s="2452"/>
      <c r="AK47" s="2452"/>
      <c r="AL47" s="2452"/>
      <c r="AM47" s="2452"/>
      <c r="AN47" s="2452"/>
      <c r="AO47" s="2453">
        <f t="shared" si="2"/>
        <v>0</v>
      </c>
      <c r="AP47" s="2453"/>
      <c r="AQ47" s="2453"/>
      <c r="AR47" s="2453"/>
      <c r="AS47" s="2453"/>
      <c r="AT47" s="2453"/>
      <c r="AU47" s="2454">
        <f t="shared" si="3"/>
        <v>0</v>
      </c>
      <c r="AV47" s="2454"/>
      <c r="AW47" s="2454"/>
      <c r="AX47" s="2454"/>
      <c r="AY47" s="2454"/>
      <c r="AZ47" s="2455"/>
      <c r="BA47" s="1206"/>
      <c r="BB47" s="1206"/>
      <c r="BC47" s="1206"/>
      <c r="BD47" s="1206"/>
      <c r="BE47" s="1212"/>
    </row>
    <row r="48" spans="1:58" ht="15.75" customHeight="1">
      <c r="A48" s="1206"/>
      <c r="B48" s="1214" t="s">
        <v>2582</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12"/>
      <c r="BF48" s="1204"/>
    </row>
    <row r="49" spans="1:58" ht="15.75" customHeight="1" thickBot="1">
      <c r="A49" s="1206"/>
      <c r="B49" s="1214" t="s">
        <v>2256</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08"/>
      <c r="AQ49" s="1208"/>
      <c r="AR49" s="1208"/>
      <c r="AS49" s="1208"/>
      <c r="AT49" s="1208"/>
      <c r="AU49" s="1208"/>
      <c r="AV49" s="1208"/>
      <c r="AW49" s="1208"/>
      <c r="AX49" s="1206"/>
      <c r="AY49" s="1206"/>
      <c r="AZ49" s="1206"/>
      <c r="BA49" s="1206"/>
      <c r="BB49" s="1206"/>
      <c r="BC49" s="1206"/>
      <c r="BD49" s="1206"/>
      <c r="BE49" s="1212"/>
      <c r="BF49" s="1204"/>
    </row>
    <row r="50" spans="1:58" ht="15.75" customHeight="1">
      <c r="A50" s="1206"/>
      <c r="B50" s="2348" t="s">
        <v>1881</v>
      </c>
      <c r="C50" s="2314"/>
      <c r="D50" s="2314"/>
      <c r="E50" s="2314"/>
      <c r="F50" s="2314"/>
      <c r="G50" s="2314"/>
      <c r="H50" s="2314"/>
      <c r="I50" s="2314"/>
      <c r="J50" s="2314"/>
      <c r="K50" s="2314"/>
      <c r="L50" s="2314"/>
      <c r="M50" s="2314"/>
      <c r="N50" s="2314"/>
      <c r="O50" s="2314"/>
      <c r="P50" s="2314"/>
      <c r="Q50" s="2314"/>
      <c r="R50" s="2314"/>
      <c r="S50" s="2314"/>
      <c r="T50" s="2314"/>
      <c r="U50" s="2314"/>
      <c r="V50" s="2314"/>
      <c r="W50" s="2314"/>
      <c r="X50" s="2314"/>
      <c r="Y50" s="2314"/>
      <c r="Z50" s="2314"/>
      <c r="AA50" s="2314"/>
      <c r="AB50" s="2314"/>
      <c r="AC50" s="2314"/>
      <c r="AD50" s="2314"/>
      <c r="AE50" s="2314"/>
      <c r="AF50" s="2314"/>
      <c r="AG50" s="2314"/>
      <c r="AH50" s="2314"/>
      <c r="AI50" s="2314"/>
      <c r="AJ50" s="2314"/>
      <c r="AK50" s="2314"/>
      <c r="AL50" s="2314"/>
      <c r="AM50" s="2314"/>
      <c r="AN50" s="2314"/>
      <c r="AO50" s="2315"/>
      <c r="AP50" s="1208"/>
      <c r="AQ50" s="1208"/>
      <c r="AR50" s="1208"/>
      <c r="AS50" s="1208"/>
      <c r="AT50" s="1208"/>
      <c r="AU50" s="1208"/>
      <c r="AV50" s="1208"/>
      <c r="AW50" s="1208"/>
      <c r="AX50" s="1206"/>
      <c r="AY50" s="1206"/>
      <c r="AZ50" s="1206"/>
      <c r="BA50" s="1206"/>
      <c r="BB50" s="1206"/>
      <c r="BC50" s="1206"/>
      <c r="BD50" s="1206"/>
      <c r="BE50" s="1212"/>
    </row>
    <row r="51" spans="1:58" ht="33.75" customHeight="1">
      <c r="A51" s="1206"/>
      <c r="B51" s="2393" t="s">
        <v>1882</v>
      </c>
      <c r="C51" s="2382"/>
      <c r="D51" s="2382"/>
      <c r="E51" s="2382"/>
      <c r="F51" s="2382"/>
      <c r="G51" s="2382"/>
      <c r="H51" s="2382"/>
      <c r="I51" s="2382"/>
      <c r="J51" s="2382" t="s">
        <v>2583</v>
      </c>
      <c r="K51" s="2382"/>
      <c r="L51" s="2382"/>
      <c r="M51" s="2382"/>
      <c r="N51" s="2382"/>
      <c r="O51" s="2382"/>
      <c r="P51" s="2382"/>
      <c r="Q51" s="2382"/>
      <c r="R51" s="2450" t="s">
        <v>2584</v>
      </c>
      <c r="S51" s="2450"/>
      <c r="T51" s="2450"/>
      <c r="U51" s="2450"/>
      <c r="V51" s="2450"/>
      <c r="W51" s="2450"/>
      <c r="X51" s="2450"/>
      <c r="Y51" s="2450"/>
      <c r="Z51" s="2450" t="s">
        <v>1883</v>
      </c>
      <c r="AA51" s="2450"/>
      <c r="AB51" s="2450"/>
      <c r="AC51" s="2450"/>
      <c r="AD51" s="2450"/>
      <c r="AE51" s="2450"/>
      <c r="AF51" s="2450"/>
      <c r="AG51" s="2450"/>
      <c r="AH51" s="2450" t="s">
        <v>1884</v>
      </c>
      <c r="AI51" s="2450"/>
      <c r="AJ51" s="2450"/>
      <c r="AK51" s="2450"/>
      <c r="AL51" s="2450"/>
      <c r="AM51" s="2450"/>
      <c r="AN51" s="2450"/>
      <c r="AO51" s="2451"/>
      <c r="AP51" s="1208"/>
      <c r="AQ51" s="1208"/>
      <c r="AR51" s="1208"/>
      <c r="AS51" s="1208"/>
      <c r="AT51" s="1208"/>
      <c r="AU51" s="1208"/>
      <c r="AV51" s="1208"/>
      <c r="AW51" s="1208"/>
      <c r="AX51" s="1213"/>
      <c r="AY51" s="1206"/>
      <c r="AZ51" s="1206"/>
      <c r="BA51" s="1206"/>
      <c r="BB51" s="1206"/>
      <c r="BC51" s="1206"/>
      <c r="BD51" s="1206"/>
      <c r="BE51" s="1212"/>
    </row>
    <row r="52" spans="1:58" ht="15.75" customHeight="1">
      <c r="A52" s="1206"/>
      <c r="B52" s="2408" t="s">
        <v>2257</v>
      </c>
      <c r="C52" s="2409"/>
      <c r="D52" s="2409"/>
      <c r="E52" s="2409"/>
      <c r="F52" s="2409"/>
      <c r="G52" s="2409"/>
      <c r="H52" s="2409"/>
      <c r="I52" s="2409"/>
      <c r="J52" s="2273">
        <v>0</v>
      </c>
      <c r="K52" s="2273"/>
      <c r="L52" s="2273"/>
      <c r="M52" s="2273"/>
      <c r="N52" s="2273"/>
      <c r="O52" s="2273"/>
      <c r="P52" s="2273"/>
      <c r="Q52" s="2273"/>
      <c r="R52" s="2442">
        <v>0</v>
      </c>
      <c r="S52" s="2442"/>
      <c r="T52" s="2442"/>
      <c r="U52" s="2442"/>
      <c r="V52" s="2442"/>
      <c r="W52" s="2442"/>
      <c r="X52" s="2442"/>
      <c r="Y52" s="2442"/>
      <c r="Z52" s="2443">
        <v>0</v>
      </c>
      <c r="AA52" s="2443"/>
      <c r="AB52" s="2443"/>
      <c r="AC52" s="2443"/>
      <c r="AD52" s="2443"/>
      <c r="AE52" s="2443"/>
      <c r="AF52" s="2443"/>
      <c r="AG52" s="2443"/>
      <c r="AH52" s="2444"/>
      <c r="AI52" s="2444"/>
      <c r="AJ52" s="2444"/>
      <c r="AK52" s="2444"/>
      <c r="AL52" s="2444"/>
      <c r="AM52" s="2444"/>
      <c r="AN52" s="2444"/>
      <c r="AO52" s="2445"/>
      <c r="AP52" s="1208"/>
      <c r="AQ52" s="1208"/>
      <c r="AR52" s="1208"/>
      <c r="AS52" s="1208"/>
      <c r="AT52" s="1208"/>
      <c r="AU52" s="1208"/>
      <c r="AV52" s="1208"/>
      <c r="AW52" s="1208"/>
      <c r="AX52" s="1213"/>
      <c r="AY52" s="1206"/>
      <c r="AZ52" s="1206"/>
      <c r="BA52" s="1206"/>
      <c r="BB52" s="1206"/>
      <c r="BC52" s="1206"/>
      <c r="BD52" s="1206"/>
      <c r="BE52" s="1212"/>
    </row>
    <row r="53" spans="1:58" ht="15.75" customHeight="1">
      <c r="A53" s="1206"/>
      <c r="B53" s="2408" t="s">
        <v>2258</v>
      </c>
      <c r="C53" s="2409"/>
      <c r="D53" s="2409"/>
      <c r="E53" s="2409"/>
      <c r="F53" s="2409"/>
      <c r="G53" s="2409"/>
      <c r="H53" s="2409"/>
      <c r="I53" s="2409"/>
      <c r="J53" s="2273">
        <v>0</v>
      </c>
      <c r="K53" s="2273"/>
      <c r="L53" s="2273"/>
      <c r="M53" s="2273"/>
      <c r="N53" s="2273"/>
      <c r="O53" s="2273"/>
      <c r="P53" s="2273"/>
      <c r="Q53" s="2273"/>
      <c r="R53" s="2442">
        <v>0</v>
      </c>
      <c r="S53" s="2442"/>
      <c r="T53" s="2442"/>
      <c r="U53" s="2442"/>
      <c r="V53" s="2442"/>
      <c r="W53" s="2442"/>
      <c r="X53" s="2442"/>
      <c r="Y53" s="2442"/>
      <c r="Z53" s="2443">
        <v>0</v>
      </c>
      <c r="AA53" s="2443"/>
      <c r="AB53" s="2443"/>
      <c r="AC53" s="2443"/>
      <c r="AD53" s="2443"/>
      <c r="AE53" s="2443"/>
      <c r="AF53" s="2443"/>
      <c r="AG53" s="2443"/>
      <c r="AH53" s="2444"/>
      <c r="AI53" s="2444"/>
      <c r="AJ53" s="2444"/>
      <c r="AK53" s="2444"/>
      <c r="AL53" s="2444"/>
      <c r="AM53" s="2444"/>
      <c r="AN53" s="2444"/>
      <c r="AO53" s="2445"/>
      <c r="AP53" s="1208"/>
      <c r="AQ53" s="1208"/>
      <c r="AR53" s="1208"/>
      <c r="AS53" s="1208"/>
      <c r="AT53" s="1208"/>
      <c r="AU53" s="1208"/>
      <c r="AV53" s="1208"/>
      <c r="AW53" s="1208"/>
      <c r="AX53" s="1206"/>
      <c r="AY53" s="1206"/>
      <c r="AZ53" s="1206"/>
      <c r="BA53" s="1206"/>
      <c r="BB53" s="1206"/>
      <c r="BC53" s="1206"/>
      <c r="BD53" s="1206"/>
      <c r="BE53" s="1212"/>
    </row>
    <row r="54" spans="1:58" ht="15.75" customHeight="1">
      <c r="A54" s="1206"/>
      <c r="B54" s="2408"/>
      <c r="C54" s="2409"/>
      <c r="D54" s="2409"/>
      <c r="E54" s="2409"/>
      <c r="F54" s="2409"/>
      <c r="G54" s="2409"/>
      <c r="H54" s="2409"/>
      <c r="I54" s="2409"/>
      <c r="J54" s="2273"/>
      <c r="K54" s="2273"/>
      <c r="L54" s="2273"/>
      <c r="M54" s="2273"/>
      <c r="N54" s="2273"/>
      <c r="O54" s="2273"/>
      <c r="P54" s="2273"/>
      <c r="Q54" s="2273"/>
      <c r="R54" s="2442"/>
      <c r="S54" s="2442"/>
      <c r="T54" s="2442"/>
      <c r="U54" s="2442"/>
      <c r="V54" s="2442"/>
      <c r="W54" s="2442"/>
      <c r="X54" s="2442"/>
      <c r="Y54" s="2442"/>
      <c r="Z54" s="2443"/>
      <c r="AA54" s="2443"/>
      <c r="AB54" s="2443"/>
      <c r="AC54" s="2443"/>
      <c r="AD54" s="2443"/>
      <c r="AE54" s="2443"/>
      <c r="AF54" s="2443"/>
      <c r="AG54" s="2443"/>
      <c r="AH54" s="2444"/>
      <c r="AI54" s="2444"/>
      <c r="AJ54" s="2444"/>
      <c r="AK54" s="2444"/>
      <c r="AL54" s="2444"/>
      <c r="AM54" s="2444"/>
      <c r="AN54" s="2444"/>
      <c r="AO54" s="2445"/>
      <c r="AP54" s="1208"/>
      <c r="AQ54" s="1208"/>
      <c r="AR54" s="1208"/>
      <c r="AS54" s="1208"/>
      <c r="AT54" s="1208"/>
      <c r="AU54" s="1208"/>
      <c r="AV54" s="1208"/>
      <c r="AW54" s="1208"/>
      <c r="AX54" s="1206"/>
      <c r="AY54" s="1206"/>
      <c r="AZ54" s="1206"/>
      <c r="BA54" s="1206"/>
      <c r="BB54" s="1206"/>
      <c r="BC54" s="1206"/>
      <c r="BD54" s="1206"/>
      <c r="BE54" s="1212"/>
    </row>
    <row r="55" spans="1:58" ht="15.75" customHeight="1">
      <c r="A55" s="1206"/>
      <c r="B55" s="2408"/>
      <c r="C55" s="2409"/>
      <c r="D55" s="2409"/>
      <c r="E55" s="2409"/>
      <c r="F55" s="2409"/>
      <c r="G55" s="2409"/>
      <c r="H55" s="2409"/>
      <c r="I55" s="2409"/>
      <c r="J55" s="2273"/>
      <c r="K55" s="2273"/>
      <c r="L55" s="2273"/>
      <c r="M55" s="2273"/>
      <c r="N55" s="2273"/>
      <c r="O55" s="2273"/>
      <c r="P55" s="2273"/>
      <c r="Q55" s="2273"/>
      <c r="R55" s="2442"/>
      <c r="S55" s="2442"/>
      <c r="T55" s="2442"/>
      <c r="U55" s="2442"/>
      <c r="V55" s="2442"/>
      <c r="W55" s="2442"/>
      <c r="X55" s="2442"/>
      <c r="Y55" s="2442"/>
      <c r="Z55" s="2443"/>
      <c r="AA55" s="2443"/>
      <c r="AB55" s="2443"/>
      <c r="AC55" s="2443"/>
      <c r="AD55" s="2443"/>
      <c r="AE55" s="2443"/>
      <c r="AF55" s="2443"/>
      <c r="AG55" s="2443"/>
      <c r="AH55" s="2444"/>
      <c r="AI55" s="2444"/>
      <c r="AJ55" s="2444"/>
      <c r="AK55" s="2444"/>
      <c r="AL55" s="2444"/>
      <c r="AM55" s="2444"/>
      <c r="AN55" s="2444"/>
      <c r="AO55" s="2445"/>
      <c r="AP55" s="1208"/>
      <c r="AQ55" s="1208"/>
      <c r="AR55" s="1208"/>
      <c r="AS55" s="1208"/>
      <c r="AT55" s="1208" t="s">
        <v>252</v>
      </c>
      <c r="AU55" s="1208"/>
      <c r="AV55" s="1208"/>
      <c r="AW55" s="1208"/>
      <c r="AX55" s="1206"/>
      <c r="AY55" s="1206"/>
      <c r="AZ55" s="1206"/>
      <c r="BA55" s="1206"/>
      <c r="BB55" s="1206"/>
      <c r="BC55" s="1206"/>
      <c r="BD55" s="1206"/>
      <c r="BE55" s="1212"/>
    </row>
    <row r="56" spans="1:58" ht="15.75" customHeight="1">
      <c r="A56" s="1206"/>
      <c r="B56" s="2408"/>
      <c r="C56" s="2409"/>
      <c r="D56" s="2409"/>
      <c r="E56" s="2409"/>
      <c r="F56" s="2409"/>
      <c r="G56" s="2409"/>
      <c r="H56" s="2409"/>
      <c r="I56" s="2409"/>
      <c r="J56" s="2273"/>
      <c r="K56" s="2273"/>
      <c r="L56" s="2273"/>
      <c r="M56" s="2273"/>
      <c r="N56" s="2273"/>
      <c r="O56" s="2273"/>
      <c r="P56" s="2273"/>
      <c r="Q56" s="2273"/>
      <c r="R56" s="2442"/>
      <c r="S56" s="2442"/>
      <c r="T56" s="2442"/>
      <c r="U56" s="2442"/>
      <c r="V56" s="2442"/>
      <c r="W56" s="2442"/>
      <c r="X56" s="2442"/>
      <c r="Y56" s="2442"/>
      <c r="Z56" s="2443"/>
      <c r="AA56" s="2443"/>
      <c r="AB56" s="2443"/>
      <c r="AC56" s="2443"/>
      <c r="AD56" s="2443"/>
      <c r="AE56" s="2443"/>
      <c r="AF56" s="2443"/>
      <c r="AG56" s="2443"/>
      <c r="AH56" s="2444"/>
      <c r="AI56" s="2444"/>
      <c r="AJ56" s="2444"/>
      <c r="AK56" s="2444"/>
      <c r="AL56" s="2444"/>
      <c r="AM56" s="2444"/>
      <c r="AN56" s="2444"/>
      <c r="AO56" s="2445"/>
      <c r="AP56" s="1208"/>
      <c r="AQ56" s="1208"/>
      <c r="AR56" s="1208"/>
      <c r="AS56" s="1208"/>
      <c r="AT56" s="1208"/>
      <c r="AU56" s="1208"/>
      <c r="AV56" s="1208"/>
      <c r="AW56" s="1208"/>
      <c r="AX56" s="1206"/>
      <c r="AY56" s="1206"/>
      <c r="AZ56" s="1206"/>
      <c r="BA56" s="1206"/>
      <c r="BB56" s="1206"/>
      <c r="BC56" s="1206"/>
      <c r="BD56" s="1206"/>
      <c r="BE56" s="1212"/>
    </row>
    <row r="57" spans="1:58" s="1216" customFormat="1" ht="15.75" customHeight="1" thickBot="1">
      <c r="A57" s="1208"/>
      <c r="B57" s="2391" t="s">
        <v>1761</v>
      </c>
      <c r="C57" s="2392"/>
      <c r="D57" s="2392"/>
      <c r="E57" s="2392"/>
      <c r="F57" s="2392"/>
      <c r="G57" s="2392"/>
      <c r="H57" s="2392"/>
      <c r="I57" s="2392"/>
      <c r="J57" s="2392"/>
      <c r="K57" s="2392"/>
      <c r="L57" s="2392"/>
      <c r="M57" s="2392"/>
      <c r="N57" s="2392"/>
      <c r="O57" s="2392"/>
      <c r="P57" s="2392"/>
      <c r="Q57" s="2392"/>
      <c r="R57" s="2446">
        <f>SUM(R52:Y56)</f>
        <v>0</v>
      </c>
      <c r="S57" s="2446"/>
      <c r="T57" s="2446"/>
      <c r="U57" s="2446"/>
      <c r="V57" s="2446"/>
      <c r="W57" s="2446"/>
      <c r="X57" s="2446"/>
      <c r="Y57" s="2446"/>
      <c r="Z57" s="2447">
        <f>SUM(Z52:AG56)</f>
        <v>0</v>
      </c>
      <c r="AA57" s="2447"/>
      <c r="AB57" s="2447"/>
      <c r="AC57" s="2447"/>
      <c r="AD57" s="2447"/>
      <c r="AE57" s="2447"/>
      <c r="AF57" s="2447"/>
      <c r="AG57" s="2447"/>
      <c r="AH57" s="2448"/>
      <c r="AI57" s="2448"/>
      <c r="AJ57" s="2448"/>
      <c r="AK57" s="2448"/>
      <c r="AL57" s="2448"/>
      <c r="AM57" s="2448"/>
      <c r="AN57" s="2448"/>
      <c r="AO57" s="2449"/>
      <c r="AP57" s="1208"/>
      <c r="AQ57" s="1208"/>
      <c r="AR57" s="1208"/>
      <c r="AS57" s="1208"/>
      <c r="AT57" s="1208"/>
      <c r="AU57" s="1208"/>
      <c r="AV57" s="1208"/>
      <c r="AW57" s="1208"/>
      <c r="AX57" s="1208"/>
      <c r="AY57" s="1208"/>
      <c r="AZ57" s="1208"/>
      <c r="BA57" s="1208"/>
      <c r="BB57" s="1208"/>
      <c r="BC57" s="1208"/>
      <c r="BD57" s="1208"/>
      <c r="BE57" s="1215"/>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12"/>
    </row>
    <row r="59" spans="1:58" ht="15.75" customHeight="1">
      <c r="A59" s="1206"/>
      <c r="B59" s="2439" t="s">
        <v>1882</v>
      </c>
      <c r="C59" s="2440"/>
      <c r="D59" s="2440"/>
      <c r="E59" s="2440"/>
      <c r="F59" s="2440"/>
      <c r="G59" s="2440"/>
      <c r="H59" s="2440"/>
      <c r="I59" s="2441"/>
      <c r="J59" s="2371" t="s">
        <v>2585</v>
      </c>
      <c r="K59" s="2371"/>
      <c r="L59" s="2371"/>
      <c r="M59" s="2371"/>
      <c r="N59" s="2371"/>
      <c r="O59" s="2371"/>
      <c r="P59" s="2371"/>
      <c r="Q59" s="2371"/>
      <c r="R59" s="2371"/>
      <c r="S59" s="2371"/>
      <c r="T59" s="2371"/>
      <c r="U59" s="2371"/>
      <c r="V59" s="2371"/>
      <c r="W59" s="2371"/>
      <c r="X59" s="2371"/>
      <c r="Y59" s="2371"/>
      <c r="Z59" s="2371"/>
      <c r="AA59" s="2371"/>
      <c r="AB59" s="2371"/>
      <c r="AC59" s="2371"/>
      <c r="AD59" s="2371"/>
      <c r="AE59" s="2371"/>
      <c r="AF59" s="2371"/>
      <c r="AG59" s="2371"/>
      <c r="AH59" s="2371"/>
      <c r="AI59" s="2371"/>
      <c r="AJ59" s="2371"/>
      <c r="AK59" s="2371"/>
      <c r="AL59" s="2371"/>
      <c r="AM59" s="2371"/>
      <c r="AN59" s="2371"/>
      <c r="AO59" s="2371"/>
      <c r="AP59" s="2371"/>
      <c r="AQ59" s="2371"/>
      <c r="AR59" s="2371"/>
      <c r="AS59" s="2371"/>
      <c r="AT59" s="2371"/>
      <c r="AU59" s="2371"/>
      <c r="AV59" s="2371"/>
      <c r="AW59" s="2372"/>
      <c r="AX59" s="1206"/>
      <c r="AY59" s="1206"/>
      <c r="AZ59" s="1206"/>
      <c r="BA59" s="1206"/>
      <c r="BB59" s="1206"/>
      <c r="BC59" s="1206"/>
      <c r="BD59" s="1206"/>
      <c r="BE59" s="1212"/>
    </row>
    <row r="60" spans="1:58" ht="15.75" customHeight="1">
      <c r="A60" s="1206"/>
      <c r="B60" s="2431" t="str">
        <f>IF(B52="", "", B52)</f>
        <v>Services Company 1</v>
      </c>
      <c r="C60" s="2432"/>
      <c r="D60" s="2432"/>
      <c r="E60" s="2432"/>
      <c r="F60" s="2432"/>
      <c r="G60" s="2432"/>
      <c r="H60" s="2432"/>
      <c r="I60" s="2433"/>
      <c r="J60" s="2434"/>
      <c r="K60" s="2276"/>
      <c r="L60" s="2276"/>
      <c r="M60" s="2276"/>
      <c r="N60" s="2276"/>
      <c r="O60" s="2276"/>
      <c r="P60" s="2276"/>
      <c r="Q60" s="2276"/>
      <c r="R60" s="2276"/>
      <c r="S60" s="2276"/>
      <c r="T60" s="2276"/>
      <c r="U60" s="2276"/>
      <c r="V60" s="2276"/>
      <c r="W60" s="2276"/>
      <c r="X60" s="2276"/>
      <c r="Y60" s="2276"/>
      <c r="Z60" s="2276"/>
      <c r="AA60" s="2276"/>
      <c r="AB60" s="2276"/>
      <c r="AC60" s="2276"/>
      <c r="AD60" s="2276"/>
      <c r="AE60" s="2276"/>
      <c r="AF60" s="2276"/>
      <c r="AG60" s="2276"/>
      <c r="AH60" s="2276"/>
      <c r="AI60" s="2276"/>
      <c r="AJ60" s="2276"/>
      <c r="AK60" s="2276"/>
      <c r="AL60" s="2276"/>
      <c r="AM60" s="2276"/>
      <c r="AN60" s="2276"/>
      <c r="AO60" s="2276"/>
      <c r="AP60" s="2276"/>
      <c r="AQ60" s="2276"/>
      <c r="AR60" s="2276"/>
      <c r="AS60" s="2276"/>
      <c r="AT60" s="2276"/>
      <c r="AU60" s="2276"/>
      <c r="AV60" s="2276"/>
      <c r="AW60" s="2277"/>
      <c r="AX60" s="1206"/>
      <c r="AY60" s="1206"/>
      <c r="AZ60" s="1206"/>
      <c r="BA60" s="1206"/>
      <c r="BB60" s="1206"/>
      <c r="BC60" s="1206"/>
      <c r="BD60" s="1206"/>
      <c r="BE60" s="1212"/>
    </row>
    <row r="61" spans="1:58" ht="15.75" customHeight="1">
      <c r="A61" s="1206"/>
      <c r="B61" s="2431" t="str">
        <f>IF(B53="", "", B53)</f>
        <v>Services Company 2</v>
      </c>
      <c r="C61" s="2432"/>
      <c r="D61" s="2432"/>
      <c r="E61" s="2432"/>
      <c r="F61" s="2432"/>
      <c r="G61" s="2432"/>
      <c r="H61" s="2432"/>
      <c r="I61" s="2433"/>
      <c r="J61" s="2434"/>
      <c r="K61" s="2276"/>
      <c r="L61" s="2276"/>
      <c r="M61" s="2276"/>
      <c r="N61" s="2276"/>
      <c r="O61" s="2276"/>
      <c r="P61" s="2276"/>
      <c r="Q61" s="2276"/>
      <c r="R61" s="2276"/>
      <c r="S61" s="2276"/>
      <c r="T61" s="2276"/>
      <c r="U61" s="2276"/>
      <c r="V61" s="2276"/>
      <c r="W61" s="2276"/>
      <c r="X61" s="2276"/>
      <c r="Y61" s="2276"/>
      <c r="Z61" s="2276"/>
      <c r="AA61" s="2276"/>
      <c r="AB61" s="2276"/>
      <c r="AC61" s="2276"/>
      <c r="AD61" s="2276"/>
      <c r="AE61" s="2276"/>
      <c r="AF61" s="2276"/>
      <c r="AG61" s="2276"/>
      <c r="AH61" s="2276"/>
      <c r="AI61" s="2276"/>
      <c r="AJ61" s="2276"/>
      <c r="AK61" s="2276"/>
      <c r="AL61" s="2276"/>
      <c r="AM61" s="2276"/>
      <c r="AN61" s="2276"/>
      <c r="AO61" s="2276"/>
      <c r="AP61" s="2276"/>
      <c r="AQ61" s="2276"/>
      <c r="AR61" s="2276"/>
      <c r="AS61" s="2276"/>
      <c r="AT61" s="2276"/>
      <c r="AU61" s="2276"/>
      <c r="AV61" s="2276"/>
      <c r="AW61" s="2277"/>
      <c r="AX61" s="1206"/>
      <c r="AY61" s="1206"/>
      <c r="AZ61" s="1206"/>
      <c r="BA61" s="1206"/>
      <c r="BB61" s="1206"/>
      <c r="BC61" s="1206"/>
      <c r="BD61" s="1206"/>
      <c r="BE61" s="1212"/>
    </row>
    <row r="62" spans="1:58" ht="15.75" customHeight="1">
      <c r="A62" s="1206"/>
      <c r="B62" s="2431" t="str">
        <f>IF(B54="", "", B54)</f>
        <v/>
      </c>
      <c r="C62" s="2432"/>
      <c r="D62" s="2432"/>
      <c r="E62" s="2432"/>
      <c r="F62" s="2432"/>
      <c r="G62" s="2432"/>
      <c r="H62" s="2432"/>
      <c r="I62" s="2433"/>
      <c r="J62" s="2434"/>
      <c r="K62" s="2276"/>
      <c r="L62" s="2276"/>
      <c r="M62" s="2276"/>
      <c r="N62" s="2276"/>
      <c r="O62" s="2276"/>
      <c r="P62" s="2276"/>
      <c r="Q62" s="2276"/>
      <c r="R62" s="2276"/>
      <c r="S62" s="2276"/>
      <c r="T62" s="2276"/>
      <c r="U62" s="2276"/>
      <c r="V62" s="2276"/>
      <c r="W62" s="2276"/>
      <c r="X62" s="2276"/>
      <c r="Y62" s="2276"/>
      <c r="Z62" s="2276"/>
      <c r="AA62" s="2276"/>
      <c r="AB62" s="2276"/>
      <c r="AC62" s="2276"/>
      <c r="AD62" s="2276"/>
      <c r="AE62" s="2276"/>
      <c r="AF62" s="2276"/>
      <c r="AG62" s="2276"/>
      <c r="AH62" s="2276"/>
      <c r="AI62" s="2276"/>
      <c r="AJ62" s="2276"/>
      <c r="AK62" s="2276"/>
      <c r="AL62" s="2276"/>
      <c r="AM62" s="2276"/>
      <c r="AN62" s="2276"/>
      <c r="AO62" s="2276"/>
      <c r="AP62" s="2276"/>
      <c r="AQ62" s="2276"/>
      <c r="AR62" s="2276"/>
      <c r="AS62" s="2276"/>
      <c r="AT62" s="2276"/>
      <c r="AU62" s="2276"/>
      <c r="AV62" s="2276"/>
      <c r="AW62" s="2277"/>
      <c r="AX62" s="1206"/>
      <c r="AY62" s="1206"/>
      <c r="AZ62" s="1206"/>
      <c r="BA62" s="1206"/>
      <c r="BB62" s="1206"/>
      <c r="BC62" s="1206"/>
      <c r="BD62" s="1206"/>
      <c r="BE62" s="1212"/>
    </row>
    <row r="63" spans="1:58" ht="15.75" customHeight="1">
      <c r="A63" s="1206"/>
      <c r="B63" s="2431" t="str">
        <f>IF(B55="", "", B55)</f>
        <v/>
      </c>
      <c r="C63" s="2432"/>
      <c r="D63" s="2432"/>
      <c r="E63" s="2432"/>
      <c r="F63" s="2432"/>
      <c r="G63" s="2432"/>
      <c r="H63" s="2432"/>
      <c r="I63" s="2433"/>
      <c r="J63" s="2434"/>
      <c r="K63" s="2276"/>
      <c r="L63" s="2276"/>
      <c r="M63" s="2276"/>
      <c r="N63" s="2276"/>
      <c r="O63" s="2276"/>
      <c r="P63" s="2276"/>
      <c r="Q63" s="2276"/>
      <c r="R63" s="2276"/>
      <c r="S63" s="2276"/>
      <c r="T63" s="2276"/>
      <c r="U63" s="2276"/>
      <c r="V63" s="2276"/>
      <c r="W63" s="2276"/>
      <c r="X63" s="2276"/>
      <c r="Y63" s="2276"/>
      <c r="Z63" s="2276"/>
      <c r="AA63" s="2276"/>
      <c r="AB63" s="2276"/>
      <c r="AC63" s="2276"/>
      <c r="AD63" s="2276"/>
      <c r="AE63" s="2276"/>
      <c r="AF63" s="2276"/>
      <c r="AG63" s="2276"/>
      <c r="AH63" s="2276"/>
      <c r="AI63" s="2276"/>
      <c r="AJ63" s="2276"/>
      <c r="AK63" s="2276"/>
      <c r="AL63" s="2276"/>
      <c r="AM63" s="2276"/>
      <c r="AN63" s="2276"/>
      <c r="AO63" s="2276"/>
      <c r="AP63" s="2276"/>
      <c r="AQ63" s="2276"/>
      <c r="AR63" s="2276"/>
      <c r="AS63" s="2276"/>
      <c r="AT63" s="2276"/>
      <c r="AU63" s="2276"/>
      <c r="AV63" s="2276"/>
      <c r="AW63" s="2277"/>
      <c r="AX63" s="1206"/>
      <c r="AY63" s="1206"/>
      <c r="AZ63" s="1206"/>
      <c r="BA63" s="1206"/>
      <c r="BB63" s="1206"/>
      <c r="BC63" s="1206"/>
      <c r="BD63" s="1206"/>
      <c r="BE63" s="1212"/>
    </row>
    <row r="64" spans="1:58" ht="15.75" customHeight="1" thickBot="1">
      <c r="A64" s="1206"/>
      <c r="B64" s="2435" t="str">
        <f>IF(B56="", "", B56)</f>
        <v/>
      </c>
      <c r="C64" s="2436"/>
      <c r="D64" s="2436"/>
      <c r="E64" s="2436"/>
      <c r="F64" s="2436"/>
      <c r="G64" s="2436"/>
      <c r="H64" s="2436"/>
      <c r="I64" s="2437"/>
      <c r="J64" s="2438"/>
      <c r="K64" s="2418"/>
      <c r="L64" s="2418"/>
      <c r="M64" s="2418"/>
      <c r="N64" s="2418"/>
      <c r="O64" s="2418"/>
      <c r="P64" s="2418"/>
      <c r="Q64" s="2418"/>
      <c r="R64" s="2418"/>
      <c r="S64" s="2418"/>
      <c r="T64" s="2418"/>
      <c r="U64" s="2418"/>
      <c r="V64" s="2418"/>
      <c r="W64" s="2418"/>
      <c r="X64" s="2418"/>
      <c r="Y64" s="2418"/>
      <c r="Z64" s="2418"/>
      <c r="AA64" s="2418"/>
      <c r="AB64" s="2418"/>
      <c r="AC64" s="2418"/>
      <c r="AD64" s="2418"/>
      <c r="AE64" s="2418"/>
      <c r="AF64" s="2418"/>
      <c r="AG64" s="2418"/>
      <c r="AH64" s="2418"/>
      <c r="AI64" s="2418"/>
      <c r="AJ64" s="2418"/>
      <c r="AK64" s="2418"/>
      <c r="AL64" s="2418"/>
      <c r="AM64" s="2418"/>
      <c r="AN64" s="2418"/>
      <c r="AO64" s="2418"/>
      <c r="AP64" s="2418"/>
      <c r="AQ64" s="2418"/>
      <c r="AR64" s="2418"/>
      <c r="AS64" s="2418"/>
      <c r="AT64" s="2418"/>
      <c r="AU64" s="2418"/>
      <c r="AV64" s="2418"/>
      <c r="AW64" s="2419"/>
      <c r="AX64" s="1206"/>
      <c r="AY64" s="1206"/>
      <c r="AZ64" s="1206"/>
      <c r="BA64" s="1206"/>
      <c r="BB64" s="1206"/>
      <c r="BC64" s="1206"/>
      <c r="BD64" s="1206"/>
      <c r="BE64" s="121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12"/>
    </row>
    <row r="66" spans="1:65" ht="15.75" customHeight="1">
      <c r="A66" s="1206"/>
      <c r="B66" s="1216" t="s">
        <v>1885</v>
      </c>
      <c r="C66" s="1216"/>
      <c r="D66" s="1216"/>
      <c r="E66" s="1216"/>
      <c r="F66" s="1216"/>
      <c r="G66" s="1216"/>
      <c r="H66" s="1216"/>
      <c r="I66" s="1216"/>
      <c r="J66" s="1216"/>
      <c r="K66" s="1216"/>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1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12"/>
    </row>
    <row r="68" spans="1:65" ht="15.75" customHeight="1" thickBot="1">
      <c r="A68" s="1206"/>
      <c r="B68" s="2370" t="s">
        <v>1886</v>
      </c>
      <c r="C68" s="2371"/>
      <c r="D68" s="2371"/>
      <c r="E68" s="2371"/>
      <c r="F68" s="2371"/>
      <c r="G68" s="2371"/>
      <c r="H68" s="2371"/>
      <c r="I68" s="2371"/>
      <c r="J68" s="2371"/>
      <c r="K68" s="2371"/>
      <c r="L68" s="2371"/>
      <c r="M68" s="2371"/>
      <c r="N68" s="2371"/>
      <c r="O68" s="2371"/>
      <c r="P68" s="2371"/>
      <c r="Q68" s="2371"/>
      <c r="R68" s="2371"/>
      <c r="S68" s="2371"/>
      <c r="T68" s="2371"/>
      <c r="U68" s="2371"/>
      <c r="V68" s="2371"/>
      <c r="W68" s="2371"/>
      <c r="X68" s="2371"/>
      <c r="Y68" s="2371"/>
      <c r="Z68" s="2371"/>
      <c r="AA68" s="2372"/>
      <c r="AB68" s="1206"/>
      <c r="AC68" s="2312" t="s">
        <v>1887</v>
      </c>
      <c r="AD68" s="2313"/>
      <c r="AE68" s="2313"/>
      <c r="AF68" s="2313"/>
      <c r="AG68" s="2313"/>
      <c r="AH68" s="2313"/>
      <c r="AI68" s="2313"/>
      <c r="AJ68" s="2313"/>
      <c r="AK68" s="2313"/>
      <c r="AL68" s="2313"/>
      <c r="AM68" s="2313"/>
      <c r="AN68" s="2313"/>
      <c r="AO68" s="2313"/>
      <c r="AP68" s="2313"/>
      <c r="AQ68" s="2313"/>
      <c r="AR68" s="2313"/>
      <c r="AS68" s="2313"/>
      <c r="AT68" s="2313"/>
      <c r="AU68" s="2313"/>
      <c r="AV68" s="2420" t="s">
        <v>678</v>
      </c>
      <c r="AW68" s="2356"/>
      <c r="AX68" s="2356"/>
      <c r="AY68" s="2356"/>
      <c r="AZ68" s="2356"/>
      <c r="BA68" s="2356"/>
      <c r="BB68" s="2356"/>
      <c r="BC68" s="2357"/>
      <c r="BD68" s="1206"/>
      <c r="BE68" s="1212"/>
      <c r="BM68" s="1217" t="s">
        <v>2586</v>
      </c>
    </row>
    <row r="69" spans="1:65" ht="15.75" customHeight="1" thickTop="1" thickBot="1">
      <c r="A69" s="1206"/>
      <c r="B69" s="2421" t="s">
        <v>1888</v>
      </c>
      <c r="C69" s="2422"/>
      <c r="D69" s="2422"/>
      <c r="E69" s="2422"/>
      <c r="F69" s="2422"/>
      <c r="G69" s="2422"/>
      <c r="H69" s="2422"/>
      <c r="I69" s="2422"/>
      <c r="J69" s="2422"/>
      <c r="K69" s="2422"/>
      <c r="L69" s="2422"/>
      <c r="M69" s="2422"/>
      <c r="N69" s="2422"/>
      <c r="O69" s="2423" t="s">
        <v>1889</v>
      </c>
      <c r="P69" s="2424"/>
      <c r="Q69" s="2424"/>
      <c r="R69" s="2424"/>
      <c r="S69" s="2424"/>
      <c r="T69" s="2424"/>
      <c r="U69" s="2424"/>
      <c r="V69" s="2424"/>
      <c r="W69" s="2424"/>
      <c r="X69" s="2424"/>
      <c r="Y69" s="2424"/>
      <c r="Z69" s="2424"/>
      <c r="AA69" s="2425"/>
      <c r="AB69" s="1206"/>
      <c r="AC69" s="2426" t="s">
        <v>1890</v>
      </c>
      <c r="AD69" s="2427"/>
      <c r="AE69" s="2427"/>
      <c r="AF69" s="2427"/>
      <c r="AG69" s="2427"/>
      <c r="AH69" s="2427"/>
      <c r="AI69" s="2427"/>
      <c r="AJ69" s="2427"/>
      <c r="AK69" s="2427"/>
      <c r="AL69" s="2427"/>
      <c r="AM69" s="2427"/>
      <c r="AN69" s="2427"/>
      <c r="AO69" s="2427"/>
      <c r="AP69" s="2427"/>
      <c r="AQ69" s="2427"/>
      <c r="AR69" s="2427"/>
      <c r="AS69" s="2427"/>
      <c r="AT69" s="2427"/>
      <c r="AU69" s="2427"/>
      <c r="AV69" s="2428"/>
      <c r="AW69" s="2429"/>
      <c r="AX69" s="2429"/>
      <c r="AY69" s="2429"/>
      <c r="AZ69" s="2429"/>
      <c r="BA69" s="2429"/>
      <c r="BB69" s="2429"/>
      <c r="BC69" s="2430"/>
      <c r="BD69" s="1206"/>
      <c r="BE69" s="1212"/>
      <c r="BM69" s="1218" t="s">
        <v>554</v>
      </c>
    </row>
    <row r="70" spans="1:65" ht="15.75" customHeight="1">
      <c r="A70" s="1206"/>
      <c r="B70" s="2403" t="s">
        <v>2587</v>
      </c>
      <c r="C70" s="2404"/>
      <c r="D70" s="2404"/>
      <c r="E70" s="2404"/>
      <c r="F70" s="2404"/>
      <c r="G70" s="2404"/>
      <c r="H70" s="2404"/>
      <c r="I70" s="2404"/>
      <c r="J70" s="2404"/>
      <c r="K70" s="2404"/>
      <c r="L70" s="2404"/>
      <c r="M70" s="2404"/>
      <c r="N70" s="2404"/>
      <c r="O70" s="2306">
        <v>0</v>
      </c>
      <c r="P70" s="2306"/>
      <c r="Q70" s="2306"/>
      <c r="R70" s="2306"/>
      <c r="S70" s="2306"/>
      <c r="T70" s="2306"/>
      <c r="U70" s="2306"/>
      <c r="V70" s="2306"/>
      <c r="W70" s="2306"/>
      <c r="X70" s="2306"/>
      <c r="Y70" s="2306"/>
      <c r="Z70" s="2306"/>
      <c r="AA70" s="2405"/>
      <c r="AB70" s="1206"/>
      <c r="AC70" s="2348" t="s">
        <v>1891</v>
      </c>
      <c r="AD70" s="2314"/>
      <c r="AE70" s="2314"/>
      <c r="AF70" s="2414"/>
      <c r="AG70" s="2414"/>
      <c r="AH70" s="2414"/>
      <c r="AI70" s="2414"/>
      <c r="AJ70" s="2414"/>
      <c r="AK70" s="2414"/>
      <c r="AL70" s="2414"/>
      <c r="AM70" s="2414"/>
      <c r="AN70" s="2414"/>
      <c r="AO70" s="2414"/>
      <c r="AP70" s="2414"/>
      <c r="AQ70" s="2414"/>
      <c r="AR70" s="2414"/>
      <c r="AS70" s="2414"/>
      <c r="AT70" s="2414"/>
      <c r="AU70" s="2415"/>
      <c r="AV70" s="1206"/>
      <c r="AW70" s="1206"/>
      <c r="AX70" s="1206"/>
      <c r="AY70" s="1206"/>
      <c r="AZ70" s="1206"/>
      <c r="BA70" s="1206"/>
      <c r="BB70" s="1206"/>
      <c r="BC70" s="1206"/>
      <c r="BD70" s="1206"/>
      <c r="BE70" s="1212"/>
      <c r="BM70" s="1219" t="s">
        <v>678</v>
      </c>
    </row>
    <row r="71" spans="1:65" ht="15.75" customHeight="1" thickBot="1">
      <c r="A71" s="1206"/>
      <c r="B71" s="2403" t="s">
        <v>2588</v>
      </c>
      <c r="C71" s="2404"/>
      <c r="D71" s="2404"/>
      <c r="E71" s="2404"/>
      <c r="F71" s="2404"/>
      <c r="G71" s="2404"/>
      <c r="H71" s="2404"/>
      <c r="I71" s="2404"/>
      <c r="J71" s="2404"/>
      <c r="K71" s="2404"/>
      <c r="L71" s="2404"/>
      <c r="M71" s="2404"/>
      <c r="N71" s="2404"/>
      <c r="O71" s="2306">
        <v>0</v>
      </c>
      <c r="P71" s="2306"/>
      <c r="Q71" s="2306"/>
      <c r="R71" s="2306"/>
      <c r="S71" s="2306"/>
      <c r="T71" s="2306"/>
      <c r="U71" s="2306"/>
      <c r="V71" s="2306"/>
      <c r="W71" s="2306"/>
      <c r="X71" s="2306"/>
      <c r="Y71" s="2306"/>
      <c r="Z71" s="2306"/>
      <c r="AA71" s="2405"/>
      <c r="AB71" s="1206"/>
      <c r="AC71" s="2416" t="s">
        <v>1892</v>
      </c>
      <c r="AD71" s="2417"/>
      <c r="AE71" s="2417"/>
      <c r="AF71" s="2418"/>
      <c r="AG71" s="2418"/>
      <c r="AH71" s="2418"/>
      <c r="AI71" s="2418"/>
      <c r="AJ71" s="2418"/>
      <c r="AK71" s="2418"/>
      <c r="AL71" s="2418"/>
      <c r="AM71" s="2418"/>
      <c r="AN71" s="2418"/>
      <c r="AO71" s="2418"/>
      <c r="AP71" s="2418"/>
      <c r="AQ71" s="2418"/>
      <c r="AR71" s="2418"/>
      <c r="AS71" s="2418"/>
      <c r="AT71" s="2418"/>
      <c r="AU71" s="2419"/>
      <c r="AV71" s="1206"/>
      <c r="AW71" s="1206"/>
      <c r="AX71" s="1206"/>
      <c r="AY71" s="1206"/>
      <c r="AZ71" s="1206"/>
      <c r="BA71" s="1206"/>
      <c r="BB71" s="1206"/>
      <c r="BC71" s="1206"/>
      <c r="BD71" s="1206"/>
      <c r="BE71" s="1212"/>
      <c r="BM71" s="1203" t="s">
        <v>2589</v>
      </c>
    </row>
    <row r="72" spans="1:65" ht="15.75" customHeight="1">
      <c r="A72" s="1206"/>
      <c r="B72" s="2403" t="s">
        <v>2590</v>
      </c>
      <c r="C72" s="2404"/>
      <c r="D72" s="2404"/>
      <c r="E72" s="2404"/>
      <c r="F72" s="2404"/>
      <c r="G72" s="2404"/>
      <c r="H72" s="2404"/>
      <c r="I72" s="2404"/>
      <c r="J72" s="2404"/>
      <c r="K72" s="2404"/>
      <c r="L72" s="2404"/>
      <c r="M72" s="2404"/>
      <c r="N72" s="2404"/>
      <c r="O72" s="2306">
        <v>0</v>
      </c>
      <c r="P72" s="2306"/>
      <c r="Q72" s="2306"/>
      <c r="R72" s="2306"/>
      <c r="S72" s="2306"/>
      <c r="T72" s="2306"/>
      <c r="U72" s="2306"/>
      <c r="V72" s="2306"/>
      <c r="W72" s="2306"/>
      <c r="X72" s="2306"/>
      <c r="Y72" s="2306"/>
      <c r="Z72" s="2306"/>
      <c r="AA72" s="2405"/>
      <c r="AB72" s="1206"/>
      <c r="AC72" s="2406" t="s">
        <v>2591</v>
      </c>
      <c r="AD72" s="2407"/>
      <c r="AE72" s="2407"/>
      <c r="AF72" s="2407"/>
      <c r="AG72" s="2407"/>
      <c r="AH72" s="2407"/>
      <c r="AI72" s="2407"/>
      <c r="AJ72" s="2407"/>
      <c r="AK72" s="2407"/>
      <c r="AL72" s="2407"/>
      <c r="AM72" s="2407"/>
      <c r="AN72" s="2407"/>
      <c r="AO72" s="2407"/>
      <c r="AP72" s="2407"/>
      <c r="AQ72" s="2407"/>
      <c r="AR72" s="2407"/>
      <c r="AS72" s="2407"/>
      <c r="AT72" s="2407"/>
      <c r="AU72" s="2407"/>
      <c r="AV72" s="2314"/>
      <c r="AW72" s="2314"/>
      <c r="AX72" s="2314"/>
      <c r="AY72" s="2314"/>
      <c r="AZ72" s="2314"/>
      <c r="BA72" s="2314"/>
      <c r="BB72" s="2314"/>
      <c r="BC72" s="2315"/>
      <c r="BD72" s="1206"/>
      <c r="BE72" s="1212"/>
    </row>
    <row r="73" spans="1:65" ht="15.75" customHeight="1">
      <c r="A73" s="1206"/>
      <c r="B73" s="2408" t="s">
        <v>2592</v>
      </c>
      <c r="C73" s="2409"/>
      <c r="D73" s="2409"/>
      <c r="E73" s="2409"/>
      <c r="F73" s="2409"/>
      <c r="G73" s="2409"/>
      <c r="H73" s="2409"/>
      <c r="I73" s="2409"/>
      <c r="J73" s="2409"/>
      <c r="K73" s="2409"/>
      <c r="L73" s="2409"/>
      <c r="M73" s="2409"/>
      <c r="N73" s="2409"/>
      <c r="O73" s="2306">
        <v>0</v>
      </c>
      <c r="P73" s="2306"/>
      <c r="Q73" s="2306"/>
      <c r="R73" s="2306"/>
      <c r="S73" s="2306"/>
      <c r="T73" s="2306"/>
      <c r="U73" s="2306"/>
      <c r="V73" s="2306"/>
      <c r="W73" s="2306"/>
      <c r="X73" s="2306"/>
      <c r="Y73" s="2306"/>
      <c r="Z73" s="2306"/>
      <c r="AA73" s="2405"/>
      <c r="AB73" s="1206"/>
      <c r="AC73" s="2325" t="s">
        <v>2259</v>
      </c>
      <c r="AD73" s="2326"/>
      <c r="AE73" s="2326"/>
      <c r="AF73" s="2326"/>
      <c r="AG73" s="2326"/>
      <c r="AH73" s="2326"/>
      <c r="AI73" s="2326"/>
      <c r="AJ73" s="2326"/>
      <c r="AK73" s="2326"/>
      <c r="AL73" s="2326"/>
      <c r="AM73" s="2326"/>
      <c r="AN73" s="2326"/>
      <c r="AO73" s="2326"/>
      <c r="AP73" s="2326"/>
      <c r="AQ73" s="2326"/>
      <c r="AR73" s="2326"/>
      <c r="AS73" s="2326"/>
      <c r="AT73" s="2326"/>
      <c r="AU73" s="2326"/>
      <c r="AV73" s="2326"/>
      <c r="AW73" s="2326"/>
      <c r="AX73" s="2326"/>
      <c r="AY73" s="2326"/>
      <c r="AZ73" s="2326"/>
      <c r="BA73" s="2326"/>
      <c r="BB73" s="2326"/>
      <c r="BC73" s="2327"/>
      <c r="BD73" s="1206"/>
      <c r="BE73" s="1212"/>
    </row>
    <row r="74" spans="1:65" ht="15.75" customHeight="1">
      <c r="A74" s="1206"/>
      <c r="B74" s="2272"/>
      <c r="C74" s="2273"/>
      <c r="D74" s="2273"/>
      <c r="E74" s="2273"/>
      <c r="F74" s="2273"/>
      <c r="G74" s="2273"/>
      <c r="H74" s="2273"/>
      <c r="I74" s="2273"/>
      <c r="J74" s="2273"/>
      <c r="K74" s="2273"/>
      <c r="L74" s="2273"/>
      <c r="M74" s="2273"/>
      <c r="N74" s="2273"/>
      <c r="O74" s="2306"/>
      <c r="P74" s="2306"/>
      <c r="Q74" s="2306"/>
      <c r="R74" s="2306"/>
      <c r="S74" s="2306"/>
      <c r="T74" s="2306"/>
      <c r="U74" s="2306"/>
      <c r="V74" s="2306"/>
      <c r="W74" s="2306"/>
      <c r="X74" s="2306"/>
      <c r="Y74" s="2306"/>
      <c r="Z74" s="2306"/>
      <c r="AA74" s="2405"/>
      <c r="AB74" s="1206"/>
      <c r="AC74" s="2325"/>
      <c r="AD74" s="2326"/>
      <c r="AE74" s="2326"/>
      <c r="AF74" s="2326"/>
      <c r="AG74" s="2326"/>
      <c r="AH74" s="2326"/>
      <c r="AI74" s="2326"/>
      <c r="AJ74" s="2326"/>
      <c r="AK74" s="2326"/>
      <c r="AL74" s="2326"/>
      <c r="AM74" s="2326"/>
      <c r="AN74" s="2326"/>
      <c r="AO74" s="2326"/>
      <c r="AP74" s="2326"/>
      <c r="AQ74" s="2326"/>
      <c r="AR74" s="2326"/>
      <c r="AS74" s="2326"/>
      <c r="AT74" s="2326"/>
      <c r="AU74" s="2326"/>
      <c r="AV74" s="2326"/>
      <c r="AW74" s="2326"/>
      <c r="AX74" s="2326"/>
      <c r="AY74" s="2326"/>
      <c r="AZ74" s="2326"/>
      <c r="BA74" s="2326"/>
      <c r="BB74" s="2326"/>
      <c r="BC74" s="2327"/>
      <c r="BD74" s="1206"/>
      <c r="BE74" s="1212"/>
    </row>
    <row r="75" spans="1:65" ht="15.75" customHeight="1" thickBot="1">
      <c r="A75" s="1206"/>
      <c r="B75" s="2410" t="s">
        <v>125</v>
      </c>
      <c r="C75" s="2411"/>
      <c r="D75" s="2411"/>
      <c r="E75" s="2411"/>
      <c r="F75" s="2411"/>
      <c r="G75" s="2411"/>
      <c r="H75" s="2411"/>
      <c r="I75" s="2411"/>
      <c r="J75" s="2411"/>
      <c r="K75" s="2411"/>
      <c r="L75" s="2411"/>
      <c r="M75" s="2411"/>
      <c r="N75" s="2411"/>
      <c r="O75" s="2412">
        <f>SUM(O70:AA74)</f>
        <v>0</v>
      </c>
      <c r="P75" s="2412"/>
      <c r="Q75" s="2412"/>
      <c r="R75" s="2412"/>
      <c r="S75" s="2412"/>
      <c r="T75" s="2412"/>
      <c r="U75" s="2412"/>
      <c r="V75" s="2412"/>
      <c r="W75" s="2412"/>
      <c r="X75" s="2412"/>
      <c r="Y75" s="2412"/>
      <c r="Z75" s="2412"/>
      <c r="AA75" s="2413"/>
      <c r="AB75" s="1206"/>
      <c r="AC75" s="2325"/>
      <c r="AD75" s="2326"/>
      <c r="AE75" s="2326"/>
      <c r="AF75" s="2326"/>
      <c r="AG75" s="2326"/>
      <c r="AH75" s="2326"/>
      <c r="AI75" s="2326"/>
      <c r="AJ75" s="2326"/>
      <c r="AK75" s="2326"/>
      <c r="AL75" s="2326"/>
      <c r="AM75" s="2326"/>
      <c r="AN75" s="2326"/>
      <c r="AO75" s="2326"/>
      <c r="AP75" s="2326"/>
      <c r="AQ75" s="2326"/>
      <c r="AR75" s="2326"/>
      <c r="AS75" s="2326"/>
      <c r="AT75" s="2326"/>
      <c r="AU75" s="2326"/>
      <c r="AV75" s="2326"/>
      <c r="AW75" s="2326"/>
      <c r="AX75" s="2326"/>
      <c r="AY75" s="2326"/>
      <c r="AZ75" s="2326"/>
      <c r="BA75" s="2326"/>
      <c r="BB75" s="2326"/>
      <c r="BC75" s="2327"/>
      <c r="BD75" s="1206"/>
      <c r="BE75" s="121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25"/>
      <c r="AD76" s="2326"/>
      <c r="AE76" s="2326"/>
      <c r="AF76" s="2326"/>
      <c r="AG76" s="2326"/>
      <c r="AH76" s="2326"/>
      <c r="AI76" s="2326"/>
      <c r="AJ76" s="2326"/>
      <c r="AK76" s="2326"/>
      <c r="AL76" s="2326"/>
      <c r="AM76" s="2326"/>
      <c r="AN76" s="2326"/>
      <c r="AO76" s="2326"/>
      <c r="AP76" s="2326"/>
      <c r="AQ76" s="2326"/>
      <c r="AR76" s="2326"/>
      <c r="AS76" s="2326"/>
      <c r="AT76" s="2326"/>
      <c r="AU76" s="2326"/>
      <c r="AV76" s="2326"/>
      <c r="AW76" s="2326"/>
      <c r="AX76" s="2326"/>
      <c r="AY76" s="2326"/>
      <c r="AZ76" s="2326"/>
      <c r="BA76" s="2326"/>
      <c r="BB76" s="2326"/>
      <c r="BC76" s="2327"/>
      <c r="BD76" s="1206"/>
      <c r="BE76" s="1212"/>
    </row>
    <row r="77" spans="1:65" ht="15.75" customHeight="1" thickBot="1">
      <c r="A77" s="1206"/>
      <c r="B77" s="1220" t="s">
        <v>1893</v>
      </c>
      <c r="C77" s="1221"/>
      <c r="D77" s="1221"/>
      <c r="E77" s="1221"/>
      <c r="F77" s="1221"/>
      <c r="G77" s="1221"/>
      <c r="H77" s="1221"/>
      <c r="I77" s="1221"/>
      <c r="J77" s="1221"/>
      <c r="K77" s="1221"/>
      <c r="L77" s="1221"/>
      <c r="M77" s="1221"/>
      <c r="N77" s="1221"/>
      <c r="O77" s="1221"/>
      <c r="P77" s="1221"/>
      <c r="Q77" s="1206"/>
      <c r="R77" s="1206"/>
      <c r="S77" s="1206"/>
      <c r="T77" s="1206"/>
      <c r="U77" s="1206"/>
      <c r="V77" s="1206"/>
      <c r="W77" s="1206"/>
      <c r="X77" s="1206"/>
      <c r="Y77" s="1206"/>
      <c r="Z77" s="1206"/>
      <c r="AA77" s="1206"/>
      <c r="AB77" s="1206"/>
      <c r="AC77" s="2328"/>
      <c r="AD77" s="2329"/>
      <c r="AE77" s="2329"/>
      <c r="AF77" s="2329"/>
      <c r="AG77" s="2329"/>
      <c r="AH77" s="2329"/>
      <c r="AI77" s="2329"/>
      <c r="AJ77" s="2329"/>
      <c r="AK77" s="2329"/>
      <c r="AL77" s="2329"/>
      <c r="AM77" s="2329"/>
      <c r="AN77" s="2329"/>
      <c r="AO77" s="2329"/>
      <c r="AP77" s="2329"/>
      <c r="AQ77" s="2329"/>
      <c r="AR77" s="2329"/>
      <c r="AS77" s="2329"/>
      <c r="AT77" s="2329"/>
      <c r="AU77" s="2329"/>
      <c r="AV77" s="2329"/>
      <c r="AW77" s="2329"/>
      <c r="AX77" s="2329"/>
      <c r="AY77" s="2329"/>
      <c r="AZ77" s="2329"/>
      <c r="BA77" s="2329"/>
      <c r="BB77" s="2329"/>
      <c r="BC77" s="2330"/>
      <c r="BD77" s="1206"/>
      <c r="BE77" s="1212"/>
    </row>
    <row r="78" spans="1:65" ht="15.75" customHeight="1" thickBot="1">
      <c r="A78" s="1206"/>
      <c r="B78" s="1206"/>
      <c r="C78" s="1206"/>
      <c r="D78" s="1206"/>
      <c r="E78" s="1206"/>
      <c r="F78" s="1206"/>
      <c r="G78" s="1206"/>
      <c r="H78" s="1206"/>
      <c r="I78" s="1206"/>
      <c r="J78" s="1206"/>
      <c r="K78" s="1206"/>
      <c r="L78" s="1206"/>
      <c r="M78" s="1206"/>
      <c r="N78" s="1206"/>
      <c r="O78" s="1206"/>
      <c r="P78" s="1206"/>
      <c r="Q78" s="1206"/>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12"/>
    </row>
    <row r="79" spans="1:65" ht="15.75" customHeight="1">
      <c r="A79" s="1206"/>
      <c r="B79" s="2400" t="s">
        <v>2242</v>
      </c>
      <c r="C79" s="2401"/>
      <c r="D79" s="2401"/>
      <c r="E79" s="2401"/>
      <c r="F79" s="2401"/>
      <c r="G79" s="2401"/>
      <c r="H79" s="2401"/>
      <c r="I79" s="2401"/>
      <c r="J79" s="2401"/>
      <c r="K79" s="2401"/>
      <c r="L79" s="2401"/>
      <c r="M79" s="2401"/>
      <c r="N79" s="2401"/>
      <c r="O79" s="2401"/>
      <c r="P79" s="2401"/>
      <c r="Q79" s="2401"/>
      <c r="R79" s="2401"/>
      <c r="S79" s="2401"/>
      <c r="T79" s="2401"/>
      <c r="U79" s="2401"/>
      <c r="V79" s="2401"/>
      <c r="W79" s="2401"/>
      <c r="X79" s="2401"/>
      <c r="Y79" s="2401"/>
      <c r="Z79" s="2401"/>
      <c r="AA79" s="2401"/>
      <c r="AB79" s="2401"/>
      <c r="AC79" s="2401"/>
      <c r="AD79" s="2401"/>
      <c r="AE79" s="2401"/>
      <c r="AF79" s="2401"/>
      <c r="AG79" s="2401"/>
      <c r="AH79" s="2402"/>
      <c r="AI79" s="1206"/>
      <c r="AJ79" s="2373" t="s">
        <v>2593</v>
      </c>
      <c r="AK79" s="2374"/>
      <c r="AL79" s="2374"/>
      <c r="AM79" s="2374"/>
      <c r="AN79" s="2374"/>
      <c r="AO79" s="2374"/>
      <c r="AP79" s="2374"/>
      <c r="AQ79" s="2374"/>
      <c r="AR79" s="2374"/>
      <c r="AS79" s="2374"/>
      <c r="AT79" s="2374"/>
      <c r="AU79" s="2374"/>
      <c r="AV79" s="2374"/>
      <c r="AW79" s="2374"/>
      <c r="AX79" s="2374"/>
      <c r="AY79" s="2394" t="s">
        <v>554</v>
      </c>
      <c r="AZ79" s="2394"/>
      <c r="BA79" s="2394"/>
      <c r="BB79" s="2395"/>
      <c r="BC79" s="1206"/>
      <c r="BD79" s="1206"/>
      <c r="BE79" s="1212"/>
    </row>
    <row r="80" spans="1:65" ht="15.75" customHeight="1">
      <c r="A80" s="1206"/>
      <c r="B80" s="2393"/>
      <c r="C80" s="2382"/>
      <c r="D80" s="2382"/>
      <c r="E80" s="2382"/>
      <c r="F80" s="2382"/>
      <c r="G80" s="2382"/>
      <c r="H80" s="2382"/>
      <c r="I80" s="2382" t="s">
        <v>1894</v>
      </c>
      <c r="J80" s="2382"/>
      <c r="K80" s="2382"/>
      <c r="L80" s="2382"/>
      <c r="M80" s="2382"/>
      <c r="N80" s="2382"/>
      <c r="O80" s="2382" t="s">
        <v>1895</v>
      </c>
      <c r="P80" s="2382"/>
      <c r="Q80" s="2382"/>
      <c r="R80" s="2382"/>
      <c r="S80" s="2382"/>
      <c r="T80" s="2382"/>
      <c r="U80" s="2382"/>
      <c r="V80" s="2398" t="s">
        <v>2260</v>
      </c>
      <c r="W80" s="2398"/>
      <c r="X80" s="2398"/>
      <c r="Y80" s="2398"/>
      <c r="Z80" s="2398"/>
      <c r="AA80" s="2398"/>
      <c r="AB80" s="2349" t="s">
        <v>1896</v>
      </c>
      <c r="AC80" s="2349"/>
      <c r="AD80" s="2349"/>
      <c r="AE80" s="2349"/>
      <c r="AF80" s="2349"/>
      <c r="AG80" s="2349"/>
      <c r="AH80" s="2399"/>
      <c r="AI80" s="1206"/>
      <c r="AJ80" s="2376"/>
      <c r="AK80" s="2377"/>
      <c r="AL80" s="2377"/>
      <c r="AM80" s="2377"/>
      <c r="AN80" s="2377"/>
      <c r="AO80" s="2377"/>
      <c r="AP80" s="2377"/>
      <c r="AQ80" s="2377"/>
      <c r="AR80" s="2377"/>
      <c r="AS80" s="2377"/>
      <c r="AT80" s="2377"/>
      <c r="AU80" s="2377"/>
      <c r="AV80" s="2377"/>
      <c r="AW80" s="2377"/>
      <c r="AX80" s="2377"/>
      <c r="AY80" s="2396"/>
      <c r="AZ80" s="2396"/>
      <c r="BA80" s="2396"/>
      <c r="BB80" s="2397"/>
      <c r="BC80" s="1206"/>
      <c r="BD80" s="1206"/>
      <c r="BE80" s="1212"/>
    </row>
    <row r="81" spans="1:57" ht="15.75" customHeight="1">
      <c r="A81" s="1206"/>
      <c r="B81" s="2393"/>
      <c r="C81" s="2382"/>
      <c r="D81" s="2382"/>
      <c r="E81" s="2382"/>
      <c r="F81" s="2382"/>
      <c r="G81" s="2382"/>
      <c r="H81" s="2382"/>
      <c r="I81" s="2382"/>
      <c r="J81" s="2382"/>
      <c r="K81" s="2382"/>
      <c r="L81" s="2382"/>
      <c r="M81" s="2382"/>
      <c r="N81" s="2382"/>
      <c r="O81" s="2382"/>
      <c r="P81" s="2382"/>
      <c r="Q81" s="2382"/>
      <c r="R81" s="2382"/>
      <c r="S81" s="2382"/>
      <c r="T81" s="2382"/>
      <c r="U81" s="2382"/>
      <c r="V81" s="2398"/>
      <c r="W81" s="2398"/>
      <c r="X81" s="2398"/>
      <c r="Y81" s="2398"/>
      <c r="Z81" s="2398"/>
      <c r="AA81" s="2398"/>
      <c r="AB81" s="2349"/>
      <c r="AC81" s="2349"/>
      <c r="AD81" s="2349"/>
      <c r="AE81" s="2349"/>
      <c r="AF81" s="2349"/>
      <c r="AG81" s="2349"/>
      <c r="AH81" s="2399"/>
      <c r="AI81" s="1206"/>
      <c r="AJ81" s="2376"/>
      <c r="AK81" s="2377"/>
      <c r="AL81" s="2377"/>
      <c r="AM81" s="2377"/>
      <c r="AN81" s="2377"/>
      <c r="AO81" s="2377"/>
      <c r="AP81" s="2377"/>
      <c r="AQ81" s="2377"/>
      <c r="AR81" s="2377"/>
      <c r="AS81" s="2377"/>
      <c r="AT81" s="2377"/>
      <c r="AU81" s="2377"/>
      <c r="AV81" s="2377"/>
      <c r="AW81" s="2377"/>
      <c r="AX81" s="2377"/>
      <c r="AY81" s="2396"/>
      <c r="AZ81" s="2396"/>
      <c r="BA81" s="2396"/>
      <c r="BB81" s="2397"/>
      <c r="BC81" s="1206"/>
      <c r="BD81" s="1206"/>
      <c r="BE81" s="1212"/>
    </row>
    <row r="82" spans="1:57" ht="15.75" customHeight="1">
      <c r="A82" s="1206"/>
      <c r="B82" s="2393" t="s">
        <v>2243</v>
      </c>
      <c r="C82" s="2382"/>
      <c r="D82" s="2382"/>
      <c r="E82" s="2382"/>
      <c r="F82" s="2382"/>
      <c r="G82" s="2382"/>
      <c r="H82" s="2382"/>
      <c r="I82" s="2352">
        <v>0</v>
      </c>
      <c r="J82" s="2352"/>
      <c r="K82" s="2352"/>
      <c r="L82" s="2352"/>
      <c r="M82" s="2352"/>
      <c r="N82" s="2352"/>
      <c r="O82" s="2352">
        <v>0</v>
      </c>
      <c r="P82" s="2352"/>
      <c r="Q82" s="2352"/>
      <c r="R82" s="2352"/>
      <c r="S82" s="2352"/>
      <c r="T82" s="2352"/>
      <c r="U82" s="2352"/>
      <c r="V82" s="2352">
        <v>0</v>
      </c>
      <c r="W82" s="2352"/>
      <c r="X82" s="2352"/>
      <c r="Y82" s="2352"/>
      <c r="Z82" s="2352"/>
      <c r="AA82" s="2352"/>
      <c r="AB82" s="2352">
        <v>0</v>
      </c>
      <c r="AC82" s="2352"/>
      <c r="AD82" s="2352"/>
      <c r="AE82" s="2352"/>
      <c r="AF82" s="2352"/>
      <c r="AG82" s="2352"/>
      <c r="AH82" s="2353"/>
      <c r="AI82" s="1206"/>
      <c r="AJ82" s="2376"/>
      <c r="AK82" s="2377"/>
      <c r="AL82" s="2377"/>
      <c r="AM82" s="2377"/>
      <c r="AN82" s="2377"/>
      <c r="AO82" s="2377"/>
      <c r="AP82" s="2377"/>
      <c r="AQ82" s="2377"/>
      <c r="AR82" s="2377"/>
      <c r="AS82" s="2377"/>
      <c r="AT82" s="2377"/>
      <c r="AU82" s="2377"/>
      <c r="AV82" s="2377"/>
      <c r="AW82" s="2377"/>
      <c r="AX82" s="2377"/>
      <c r="AY82" s="2396"/>
      <c r="AZ82" s="2396"/>
      <c r="BA82" s="2396"/>
      <c r="BB82" s="2397"/>
      <c r="BC82" s="1206"/>
      <c r="BD82" s="1206"/>
      <c r="BE82" s="1212"/>
    </row>
    <row r="83" spans="1:57" ht="15.75" customHeight="1">
      <c r="A83" s="1206"/>
      <c r="B83" s="2393" t="s">
        <v>2244</v>
      </c>
      <c r="C83" s="2382"/>
      <c r="D83" s="2382"/>
      <c r="E83" s="2382"/>
      <c r="F83" s="2382"/>
      <c r="G83" s="2382"/>
      <c r="H83" s="2382"/>
      <c r="I83" s="2352">
        <v>0</v>
      </c>
      <c r="J83" s="2352"/>
      <c r="K83" s="2352"/>
      <c r="L83" s="2352"/>
      <c r="M83" s="2352"/>
      <c r="N83" s="2352"/>
      <c r="O83" s="2352">
        <v>0</v>
      </c>
      <c r="P83" s="2352"/>
      <c r="Q83" s="2352"/>
      <c r="R83" s="2352"/>
      <c r="S83" s="2352"/>
      <c r="T83" s="2352"/>
      <c r="U83" s="2352"/>
      <c r="V83" s="2352">
        <v>0</v>
      </c>
      <c r="W83" s="2352"/>
      <c r="X83" s="2352"/>
      <c r="Y83" s="2352"/>
      <c r="Z83" s="2352"/>
      <c r="AA83" s="2352"/>
      <c r="AB83" s="2352">
        <v>0</v>
      </c>
      <c r="AC83" s="2352"/>
      <c r="AD83" s="2352"/>
      <c r="AE83" s="2352"/>
      <c r="AF83" s="2352"/>
      <c r="AG83" s="2352"/>
      <c r="AH83" s="2353"/>
      <c r="AI83" s="1206"/>
      <c r="AJ83" s="2385" t="s">
        <v>2594</v>
      </c>
      <c r="AK83" s="2386"/>
      <c r="AL83" s="2386"/>
      <c r="AM83" s="2386"/>
      <c r="AN83" s="2386"/>
      <c r="AO83" s="2386"/>
      <c r="AP83" s="2386"/>
      <c r="AQ83" s="2386"/>
      <c r="AR83" s="2386"/>
      <c r="AS83" s="2386"/>
      <c r="AT83" s="2386"/>
      <c r="AU83" s="2386"/>
      <c r="AV83" s="2386"/>
      <c r="AW83" s="2386"/>
      <c r="AX83" s="2386"/>
      <c r="AY83" s="2386"/>
      <c r="AZ83" s="2386"/>
      <c r="BA83" s="2386"/>
      <c r="BB83" s="2387"/>
      <c r="BC83" s="1206"/>
      <c r="BD83" s="1206"/>
      <c r="BE83" s="1212"/>
    </row>
    <row r="84" spans="1:57" ht="15.75" customHeight="1" thickBot="1">
      <c r="A84" s="1206"/>
      <c r="B84" s="2391" t="s">
        <v>1897</v>
      </c>
      <c r="C84" s="2392"/>
      <c r="D84" s="2392"/>
      <c r="E84" s="2392"/>
      <c r="F84" s="2392"/>
      <c r="G84" s="2392"/>
      <c r="H84" s="2392"/>
      <c r="I84" s="2346">
        <v>0</v>
      </c>
      <c r="J84" s="2346"/>
      <c r="K84" s="2346"/>
      <c r="L84" s="2346"/>
      <c r="M84" s="2346"/>
      <c r="N84" s="2346"/>
      <c r="O84" s="2346">
        <v>0</v>
      </c>
      <c r="P84" s="2346"/>
      <c r="Q84" s="2346"/>
      <c r="R84" s="2346"/>
      <c r="S84" s="2346"/>
      <c r="T84" s="2346"/>
      <c r="U84" s="2346"/>
      <c r="V84" s="2346">
        <v>0</v>
      </c>
      <c r="W84" s="2346"/>
      <c r="X84" s="2346"/>
      <c r="Y84" s="2346"/>
      <c r="Z84" s="2346"/>
      <c r="AA84" s="2346"/>
      <c r="AB84" s="2346">
        <v>0</v>
      </c>
      <c r="AC84" s="2346"/>
      <c r="AD84" s="2346"/>
      <c r="AE84" s="2346"/>
      <c r="AF84" s="2346"/>
      <c r="AG84" s="2346"/>
      <c r="AH84" s="2347"/>
      <c r="AI84" s="1206"/>
      <c r="AJ84" s="2388"/>
      <c r="AK84" s="2389"/>
      <c r="AL84" s="2389"/>
      <c r="AM84" s="2389"/>
      <c r="AN84" s="2389"/>
      <c r="AO84" s="2389"/>
      <c r="AP84" s="2389"/>
      <c r="AQ84" s="2389"/>
      <c r="AR84" s="2389"/>
      <c r="AS84" s="2389"/>
      <c r="AT84" s="2389"/>
      <c r="AU84" s="2389"/>
      <c r="AV84" s="2389"/>
      <c r="AW84" s="2389"/>
      <c r="AX84" s="2389"/>
      <c r="AY84" s="2389"/>
      <c r="AZ84" s="2389"/>
      <c r="BA84" s="2389"/>
      <c r="BB84" s="2390"/>
      <c r="BC84" s="1206"/>
      <c r="BD84" s="1206"/>
      <c r="BE84" s="1212"/>
    </row>
    <row r="85" spans="1:57" ht="15.75" customHeight="1">
      <c r="A85" s="1206"/>
      <c r="B85" s="1206"/>
      <c r="C85" s="1206"/>
      <c r="D85" s="1206"/>
      <c r="E85" s="1206"/>
      <c r="F85" s="1206"/>
      <c r="G85" s="1206"/>
      <c r="H85" s="1206"/>
      <c r="I85" s="1206"/>
      <c r="J85" s="1206"/>
      <c r="K85" s="1206"/>
      <c r="L85" s="1206"/>
      <c r="M85" s="1206"/>
      <c r="N85" s="1206"/>
      <c r="O85" s="1206"/>
      <c r="P85" s="1206"/>
      <c r="Q85" s="1206"/>
      <c r="R85" s="1206"/>
      <c r="S85" s="1206"/>
      <c r="T85" s="1206"/>
      <c r="U85" s="1206"/>
      <c r="V85" s="1206"/>
      <c r="W85" s="1206"/>
      <c r="X85" s="1206"/>
      <c r="Y85" s="1206"/>
      <c r="Z85" s="1206"/>
      <c r="AA85" s="1206"/>
      <c r="AB85" s="1206"/>
      <c r="AC85" s="1206"/>
      <c r="AD85" s="1206"/>
      <c r="AE85" s="1206"/>
      <c r="AF85" s="1206"/>
      <c r="AG85" s="1206"/>
      <c r="AH85" s="1206"/>
      <c r="AI85" s="1206"/>
      <c r="AJ85" s="1206"/>
      <c r="AK85" s="1206"/>
      <c r="AL85" s="1206"/>
      <c r="AM85" s="1206"/>
      <c r="AN85" s="1206"/>
      <c r="AO85" s="1206"/>
      <c r="AP85" s="1206"/>
      <c r="AQ85" s="1206"/>
      <c r="AR85" s="1206"/>
      <c r="AS85" s="1206"/>
      <c r="AT85" s="1206"/>
      <c r="AU85" s="1206"/>
      <c r="AV85" s="1206"/>
      <c r="AW85" s="1206"/>
      <c r="AX85" s="1206"/>
      <c r="AY85" s="1206"/>
      <c r="AZ85" s="1206"/>
      <c r="BA85" s="1206"/>
      <c r="BB85" s="1206"/>
      <c r="BC85" s="1206"/>
      <c r="BD85" s="1206"/>
      <c r="BE85" s="1212"/>
    </row>
    <row r="86" spans="1:57" ht="15.75" customHeight="1">
      <c r="A86" s="1206"/>
      <c r="B86" s="1216" t="s">
        <v>1898</v>
      </c>
      <c r="P86" s="1206"/>
      <c r="Q86" s="1206"/>
      <c r="R86" s="1206"/>
      <c r="S86" s="1206" t="s">
        <v>252</v>
      </c>
      <c r="T86" s="1206"/>
      <c r="U86" s="1206"/>
      <c r="V86" s="1206"/>
      <c r="W86" s="1206"/>
      <c r="X86" s="1206"/>
      <c r="Y86" s="1206"/>
      <c r="Z86" s="1206"/>
      <c r="AA86" s="1206"/>
      <c r="AB86" s="1206"/>
      <c r="AC86" s="1206"/>
      <c r="AD86" s="1206"/>
      <c r="AE86" s="1206"/>
      <c r="AF86" s="1206"/>
      <c r="AG86" s="1206"/>
      <c r="AH86" s="1206"/>
      <c r="AI86" s="1206"/>
      <c r="AJ86" s="1206"/>
      <c r="AK86" s="1206"/>
      <c r="AL86" s="1206"/>
      <c r="AM86" s="1206"/>
      <c r="AN86" s="1206"/>
      <c r="AO86" s="1206"/>
      <c r="AP86" s="1206"/>
      <c r="AQ86" s="1206"/>
      <c r="AR86" s="1206"/>
      <c r="AS86" s="1206"/>
      <c r="AT86" s="1206"/>
      <c r="AU86" s="1206"/>
      <c r="AV86" s="1206"/>
      <c r="AW86" s="1206"/>
      <c r="AX86" s="1206"/>
      <c r="AY86" s="1206"/>
      <c r="AZ86" s="1206"/>
      <c r="BA86" s="1206"/>
      <c r="BB86" s="1206"/>
      <c r="BC86" s="1206"/>
      <c r="BD86" s="1206"/>
      <c r="BE86" s="1212"/>
    </row>
    <row r="87" spans="1:57" ht="15.75" customHeight="1" thickBot="1">
      <c r="A87" s="1206"/>
      <c r="B87" s="1206"/>
      <c r="C87" s="1206"/>
      <c r="D87" s="1206"/>
      <c r="E87" s="1206"/>
      <c r="F87" s="1206"/>
      <c r="G87" s="1206"/>
      <c r="H87" s="1206"/>
      <c r="I87" s="1206"/>
      <c r="J87" s="1206"/>
      <c r="K87" s="1206"/>
      <c r="L87" s="1206"/>
      <c r="M87" s="1206"/>
      <c r="N87" s="1206"/>
      <c r="O87" s="1206"/>
      <c r="P87" s="1222"/>
      <c r="Q87" s="1206"/>
      <c r="R87" s="1206"/>
      <c r="S87" s="1206"/>
      <c r="T87" s="1206"/>
      <c r="U87" s="1206"/>
      <c r="V87" s="1206"/>
      <c r="W87" s="1206"/>
      <c r="X87" s="1206"/>
      <c r="Y87" s="1206"/>
      <c r="Z87" s="1206"/>
      <c r="AA87" s="1206"/>
      <c r="AB87" s="1206"/>
      <c r="AC87" s="1206"/>
      <c r="AD87" s="1206"/>
      <c r="AE87" s="1206"/>
      <c r="AF87" s="1206"/>
      <c r="AG87" s="1206"/>
      <c r="AH87" s="1206"/>
      <c r="AI87" s="1206"/>
      <c r="AJ87" s="1206"/>
      <c r="AK87" s="1206"/>
      <c r="AL87" s="1206"/>
      <c r="AM87" s="1206"/>
      <c r="AN87" s="1206"/>
      <c r="AO87" s="1206"/>
      <c r="AP87" s="1206"/>
      <c r="AQ87" s="1206"/>
      <c r="AR87" s="1206"/>
      <c r="AS87" s="1206"/>
      <c r="AT87" s="1206"/>
      <c r="AU87" s="1206"/>
      <c r="AV87" s="1206"/>
      <c r="AW87" s="1206"/>
      <c r="AX87" s="1206"/>
      <c r="AY87" s="1206"/>
      <c r="AZ87" s="1206"/>
      <c r="BA87" s="1206"/>
      <c r="BB87" s="1206"/>
      <c r="BC87" s="1206"/>
      <c r="BD87" s="1206"/>
      <c r="BE87" s="1212"/>
    </row>
    <row r="88" spans="1:57" ht="15.75" customHeight="1">
      <c r="A88" s="1206"/>
      <c r="B88" s="2312" t="s">
        <v>1899</v>
      </c>
      <c r="C88" s="2313"/>
      <c r="D88" s="2313"/>
      <c r="E88" s="2313"/>
      <c r="F88" s="2313"/>
      <c r="G88" s="2313"/>
      <c r="H88" s="2313"/>
      <c r="I88" s="2313"/>
      <c r="J88" s="2313"/>
      <c r="K88" s="2313"/>
      <c r="L88" s="2313"/>
      <c r="M88" s="2313"/>
      <c r="N88" s="2313"/>
      <c r="O88" s="2313"/>
      <c r="P88" s="2313"/>
      <c r="Q88" s="2313"/>
      <c r="R88" s="2313"/>
      <c r="S88" s="2313"/>
      <c r="T88" s="2313"/>
      <c r="U88" s="2313"/>
      <c r="V88" s="2313"/>
      <c r="W88" s="2313"/>
      <c r="X88" s="2313"/>
      <c r="Y88" s="2313"/>
      <c r="Z88" s="2313"/>
      <c r="AA88" s="2313"/>
      <c r="AB88" s="2313"/>
      <c r="AC88" s="2313"/>
      <c r="AD88" s="2313"/>
      <c r="AE88" s="2313"/>
      <c r="AF88" s="2313"/>
      <c r="AG88" s="2313"/>
      <c r="AH88" s="2318"/>
      <c r="AI88" s="1206"/>
      <c r="AJ88" s="2373" t="s">
        <v>2595</v>
      </c>
      <c r="AK88" s="2374"/>
      <c r="AL88" s="2374"/>
      <c r="AM88" s="2374"/>
      <c r="AN88" s="2374"/>
      <c r="AO88" s="2374"/>
      <c r="AP88" s="2374"/>
      <c r="AQ88" s="2374"/>
      <c r="AR88" s="2374"/>
      <c r="AS88" s="2374"/>
      <c r="AT88" s="2374"/>
      <c r="AU88" s="2374"/>
      <c r="AV88" s="2374"/>
      <c r="AW88" s="2374"/>
      <c r="AX88" s="2374"/>
      <c r="AY88" s="2394" t="s">
        <v>554</v>
      </c>
      <c r="AZ88" s="2394"/>
      <c r="BA88" s="2394"/>
      <c r="BB88" s="2395"/>
      <c r="BC88" s="1206"/>
      <c r="BD88" s="1206"/>
      <c r="BE88" s="1212"/>
    </row>
    <row r="89" spans="1:57" ht="16.5" customHeight="1">
      <c r="A89" s="1206"/>
      <c r="B89" s="2393"/>
      <c r="C89" s="2382"/>
      <c r="D89" s="2382"/>
      <c r="E89" s="2382"/>
      <c r="F89" s="2382"/>
      <c r="G89" s="2382"/>
      <c r="H89" s="2382"/>
      <c r="I89" s="2382" t="s">
        <v>1894</v>
      </c>
      <c r="J89" s="2382"/>
      <c r="K89" s="2382"/>
      <c r="L89" s="2382"/>
      <c r="M89" s="2382"/>
      <c r="N89" s="2382"/>
      <c r="O89" s="2382" t="s">
        <v>1895</v>
      </c>
      <c r="P89" s="2382"/>
      <c r="Q89" s="2382"/>
      <c r="R89" s="2382"/>
      <c r="S89" s="2382"/>
      <c r="T89" s="2382"/>
      <c r="U89" s="2382"/>
      <c r="V89" s="2398" t="s">
        <v>2260</v>
      </c>
      <c r="W89" s="2398"/>
      <c r="X89" s="2398"/>
      <c r="Y89" s="2398"/>
      <c r="Z89" s="2398"/>
      <c r="AA89" s="2398"/>
      <c r="AB89" s="2349" t="s">
        <v>1896</v>
      </c>
      <c r="AC89" s="2349"/>
      <c r="AD89" s="2349"/>
      <c r="AE89" s="2349"/>
      <c r="AF89" s="2349"/>
      <c r="AG89" s="2349"/>
      <c r="AH89" s="2399"/>
      <c r="AI89" s="1206"/>
      <c r="AJ89" s="2376"/>
      <c r="AK89" s="2377"/>
      <c r="AL89" s="2377"/>
      <c r="AM89" s="2377"/>
      <c r="AN89" s="2377"/>
      <c r="AO89" s="2377"/>
      <c r="AP89" s="2377"/>
      <c r="AQ89" s="2377"/>
      <c r="AR89" s="2377"/>
      <c r="AS89" s="2377"/>
      <c r="AT89" s="2377"/>
      <c r="AU89" s="2377"/>
      <c r="AV89" s="2377"/>
      <c r="AW89" s="2377"/>
      <c r="AX89" s="2377"/>
      <c r="AY89" s="2396"/>
      <c r="AZ89" s="2396"/>
      <c r="BA89" s="2396"/>
      <c r="BB89" s="2397"/>
      <c r="BC89" s="1206"/>
      <c r="BD89" s="1206"/>
      <c r="BE89" s="1212"/>
    </row>
    <row r="90" spans="1:57" ht="16.5" customHeight="1">
      <c r="A90" s="1206"/>
      <c r="B90" s="2393"/>
      <c r="C90" s="2382"/>
      <c r="D90" s="2382"/>
      <c r="E90" s="2382"/>
      <c r="F90" s="2382"/>
      <c r="G90" s="2382"/>
      <c r="H90" s="2382"/>
      <c r="I90" s="2382"/>
      <c r="J90" s="2382"/>
      <c r="K90" s="2382"/>
      <c r="L90" s="2382"/>
      <c r="M90" s="2382"/>
      <c r="N90" s="2382"/>
      <c r="O90" s="2382"/>
      <c r="P90" s="2382"/>
      <c r="Q90" s="2382"/>
      <c r="R90" s="2382"/>
      <c r="S90" s="2382"/>
      <c r="T90" s="2382"/>
      <c r="U90" s="2382"/>
      <c r="V90" s="2398"/>
      <c r="W90" s="2398"/>
      <c r="X90" s="2398"/>
      <c r="Y90" s="2398"/>
      <c r="Z90" s="2398"/>
      <c r="AA90" s="2398"/>
      <c r="AB90" s="2349"/>
      <c r="AC90" s="2349"/>
      <c r="AD90" s="2349"/>
      <c r="AE90" s="2349"/>
      <c r="AF90" s="2349"/>
      <c r="AG90" s="2349"/>
      <c r="AH90" s="2399"/>
      <c r="AI90" s="1206"/>
      <c r="AJ90" s="2376"/>
      <c r="AK90" s="2377"/>
      <c r="AL90" s="2377"/>
      <c r="AM90" s="2377"/>
      <c r="AN90" s="2377"/>
      <c r="AO90" s="2377"/>
      <c r="AP90" s="2377"/>
      <c r="AQ90" s="2377"/>
      <c r="AR90" s="2377"/>
      <c r="AS90" s="2377"/>
      <c r="AT90" s="2377"/>
      <c r="AU90" s="2377"/>
      <c r="AV90" s="2377"/>
      <c r="AW90" s="2377"/>
      <c r="AX90" s="2377"/>
      <c r="AY90" s="2396"/>
      <c r="AZ90" s="2396"/>
      <c r="BA90" s="2396"/>
      <c r="BB90" s="2397"/>
      <c r="BC90" s="1206"/>
      <c r="BD90" s="1206"/>
      <c r="BE90" s="1212"/>
    </row>
    <row r="91" spans="1:57" ht="15.75" customHeight="1">
      <c r="A91" s="1206"/>
      <c r="B91" s="2393" t="s">
        <v>2243</v>
      </c>
      <c r="C91" s="2382"/>
      <c r="D91" s="2382"/>
      <c r="E91" s="2382"/>
      <c r="F91" s="2382"/>
      <c r="G91" s="2382"/>
      <c r="H91" s="2382"/>
      <c r="I91" s="2352">
        <v>0</v>
      </c>
      <c r="J91" s="2352"/>
      <c r="K91" s="2352"/>
      <c r="L91" s="2352"/>
      <c r="M91" s="2352"/>
      <c r="N91" s="2352"/>
      <c r="O91" s="2352">
        <v>0</v>
      </c>
      <c r="P91" s="2352"/>
      <c r="Q91" s="2352"/>
      <c r="R91" s="2352"/>
      <c r="S91" s="2352"/>
      <c r="T91" s="2352"/>
      <c r="U91" s="2352"/>
      <c r="V91" s="2352">
        <v>0</v>
      </c>
      <c r="W91" s="2352"/>
      <c r="X91" s="2352"/>
      <c r="Y91" s="2352"/>
      <c r="Z91" s="2352"/>
      <c r="AA91" s="2352"/>
      <c r="AB91" s="2352">
        <v>0</v>
      </c>
      <c r="AC91" s="2352"/>
      <c r="AD91" s="2352"/>
      <c r="AE91" s="2352"/>
      <c r="AF91" s="2352"/>
      <c r="AG91" s="2352"/>
      <c r="AH91" s="2353"/>
      <c r="AI91" s="1206"/>
      <c r="AJ91" s="2376"/>
      <c r="AK91" s="2377"/>
      <c r="AL91" s="2377"/>
      <c r="AM91" s="2377"/>
      <c r="AN91" s="2377"/>
      <c r="AO91" s="2377"/>
      <c r="AP91" s="2377"/>
      <c r="AQ91" s="2377"/>
      <c r="AR91" s="2377"/>
      <c r="AS91" s="2377"/>
      <c r="AT91" s="2377"/>
      <c r="AU91" s="2377"/>
      <c r="AV91" s="2377"/>
      <c r="AW91" s="2377"/>
      <c r="AX91" s="2377"/>
      <c r="AY91" s="2396"/>
      <c r="AZ91" s="2396"/>
      <c r="BA91" s="2396"/>
      <c r="BB91" s="2397"/>
      <c r="BC91" s="1206"/>
      <c r="BD91" s="1206"/>
      <c r="BE91" s="1212"/>
    </row>
    <row r="92" spans="1:57" ht="15.75" customHeight="1">
      <c r="A92" s="1206"/>
      <c r="B92" s="2393" t="s">
        <v>2244</v>
      </c>
      <c r="C92" s="2382"/>
      <c r="D92" s="2382"/>
      <c r="E92" s="2382"/>
      <c r="F92" s="2382"/>
      <c r="G92" s="2382"/>
      <c r="H92" s="2382"/>
      <c r="I92" s="2352">
        <v>0</v>
      </c>
      <c r="J92" s="2352"/>
      <c r="K92" s="2352"/>
      <c r="L92" s="2352"/>
      <c r="M92" s="2352"/>
      <c r="N92" s="2352"/>
      <c r="O92" s="2352">
        <v>0</v>
      </c>
      <c r="P92" s="2352"/>
      <c r="Q92" s="2352"/>
      <c r="R92" s="2352"/>
      <c r="S92" s="2352"/>
      <c r="T92" s="2352"/>
      <c r="U92" s="2352"/>
      <c r="V92" s="2352">
        <v>0</v>
      </c>
      <c r="W92" s="2352"/>
      <c r="X92" s="2352"/>
      <c r="Y92" s="2352"/>
      <c r="Z92" s="2352"/>
      <c r="AA92" s="2352"/>
      <c r="AB92" s="2352">
        <v>0</v>
      </c>
      <c r="AC92" s="2352"/>
      <c r="AD92" s="2352"/>
      <c r="AE92" s="2352"/>
      <c r="AF92" s="2352"/>
      <c r="AG92" s="2352"/>
      <c r="AH92" s="2353"/>
      <c r="AI92" s="1206"/>
      <c r="AJ92" s="2385" t="s">
        <v>2261</v>
      </c>
      <c r="AK92" s="2386"/>
      <c r="AL92" s="2386"/>
      <c r="AM92" s="2386"/>
      <c r="AN92" s="2386"/>
      <c r="AO92" s="2386"/>
      <c r="AP92" s="2386"/>
      <c r="AQ92" s="2386"/>
      <c r="AR92" s="2386"/>
      <c r="AS92" s="2386"/>
      <c r="AT92" s="2386"/>
      <c r="AU92" s="2386"/>
      <c r="AV92" s="2386"/>
      <c r="AW92" s="2386"/>
      <c r="AX92" s="2386"/>
      <c r="AY92" s="2386"/>
      <c r="AZ92" s="2386"/>
      <c r="BA92" s="2386"/>
      <c r="BB92" s="2387"/>
      <c r="BC92" s="1206"/>
      <c r="BD92" s="1206"/>
      <c r="BE92" s="1212"/>
    </row>
    <row r="93" spans="1:57" ht="15.75" customHeight="1" thickBot="1">
      <c r="A93" s="1206"/>
      <c r="B93" s="2391" t="s">
        <v>1897</v>
      </c>
      <c r="C93" s="2392"/>
      <c r="D93" s="2392"/>
      <c r="E93" s="2392"/>
      <c r="F93" s="2392"/>
      <c r="G93" s="2392"/>
      <c r="H93" s="2392"/>
      <c r="I93" s="2346">
        <v>0</v>
      </c>
      <c r="J93" s="2346"/>
      <c r="K93" s="2346"/>
      <c r="L93" s="2346"/>
      <c r="M93" s="2346"/>
      <c r="N93" s="2346"/>
      <c r="O93" s="2346">
        <v>0</v>
      </c>
      <c r="P93" s="2346"/>
      <c r="Q93" s="2346"/>
      <c r="R93" s="2346"/>
      <c r="S93" s="2346"/>
      <c r="T93" s="2346"/>
      <c r="U93" s="2346"/>
      <c r="V93" s="2346">
        <v>0</v>
      </c>
      <c r="W93" s="2346"/>
      <c r="X93" s="2346"/>
      <c r="Y93" s="2346"/>
      <c r="Z93" s="2346"/>
      <c r="AA93" s="2346"/>
      <c r="AB93" s="2346">
        <v>0</v>
      </c>
      <c r="AC93" s="2346"/>
      <c r="AD93" s="2346"/>
      <c r="AE93" s="2346"/>
      <c r="AF93" s="2346"/>
      <c r="AG93" s="2346"/>
      <c r="AH93" s="2347"/>
      <c r="AI93" s="1206"/>
      <c r="AJ93" s="2388"/>
      <c r="AK93" s="2389"/>
      <c r="AL93" s="2389"/>
      <c r="AM93" s="2389"/>
      <c r="AN93" s="2389"/>
      <c r="AO93" s="2389"/>
      <c r="AP93" s="2389"/>
      <c r="AQ93" s="2389"/>
      <c r="AR93" s="2389"/>
      <c r="AS93" s="2389"/>
      <c r="AT93" s="2389"/>
      <c r="AU93" s="2389"/>
      <c r="AV93" s="2389"/>
      <c r="AW93" s="2389"/>
      <c r="AX93" s="2389"/>
      <c r="AY93" s="2389"/>
      <c r="AZ93" s="2389"/>
      <c r="BA93" s="2389"/>
      <c r="BB93" s="2390"/>
      <c r="BC93" s="1206"/>
      <c r="BD93" s="1206"/>
      <c r="BE93" s="1212"/>
    </row>
    <row r="94" spans="1:57" ht="15.75" customHeight="1">
      <c r="A94" s="1206"/>
      <c r="B94" s="1206"/>
      <c r="C94" s="1206"/>
      <c r="D94" s="1206"/>
      <c r="E94" s="1206"/>
      <c r="F94" s="1206"/>
      <c r="G94" s="1206"/>
      <c r="H94" s="1206"/>
      <c r="I94" s="1206"/>
      <c r="J94" s="1206"/>
      <c r="K94" s="1206"/>
      <c r="L94" s="1206"/>
      <c r="M94" s="1206"/>
      <c r="N94" s="1206"/>
      <c r="O94" s="1206"/>
      <c r="P94" s="1206"/>
      <c r="Q94" s="1206"/>
      <c r="R94" s="1206"/>
      <c r="S94" s="1206"/>
      <c r="T94" s="1206"/>
      <c r="U94" s="1206" t="s">
        <v>252</v>
      </c>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12"/>
    </row>
    <row r="95" spans="1:57" ht="15.75" customHeight="1" thickBot="1">
      <c r="A95" s="1206"/>
      <c r="B95" s="1216" t="s">
        <v>1900</v>
      </c>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12"/>
    </row>
    <row r="96" spans="1:57" ht="15.75" customHeight="1" thickBot="1">
      <c r="A96" s="1206"/>
      <c r="B96" s="1206"/>
      <c r="C96" s="1206"/>
      <c r="D96" s="1206"/>
      <c r="E96" s="1206"/>
      <c r="F96" s="1206"/>
      <c r="G96" s="1206"/>
      <c r="H96" s="1206"/>
      <c r="I96" s="1206"/>
      <c r="J96" s="1206"/>
      <c r="K96" s="1206"/>
      <c r="L96" s="1206"/>
      <c r="M96" s="1206"/>
      <c r="N96" s="1206"/>
      <c r="O96" s="1206"/>
      <c r="P96" s="1222"/>
      <c r="Q96" s="1206"/>
      <c r="R96" s="1206"/>
      <c r="S96" s="1206"/>
      <c r="T96" s="1206"/>
      <c r="U96" s="1206"/>
      <c r="V96" s="1206"/>
      <c r="W96" s="1206"/>
      <c r="X96" s="2373" t="s">
        <v>2245</v>
      </c>
      <c r="Y96" s="2374"/>
      <c r="Z96" s="2374"/>
      <c r="AA96" s="2374"/>
      <c r="AB96" s="2374"/>
      <c r="AC96" s="2374"/>
      <c r="AD96" s="2374"/>
      <c r="AE96" s="2374"/>
      <c r="AF96" s="2374"/>
      <c r="AG96" s="2374"/>
      <c r="AH96" s="2374"/>
      <c r="AI96" s="2374"/>
      <c r="AJ96" s="2374"/>
      <c r="AK96" s="2374"/>
      <c r="AL96" s="2374"/>
      <c r="AM96" s="2374"/>
      <c r="AN96" s="2374"/>
      <c r="AO96" s="2374"/>
      <c r="AP96" s="2374"/>
      <c r="AQ96" s="2374"/>
      <c r="AR96" s="2374"/>
      <c r="AS96" s="2374"/>
      <c r="AT96" s="2374"/>
      <c r="AU96" s="2374"/>
      <c r="AV96" s="2374"/>
      <c r="AW96" s="2374"/>
      <c r="AX96" s="2374"/>
      <c r="AY96" s="2374"/>
      <c r="AZ96" s="2374"/>
      <c r="BA96" s="2374"/>
      <c r="BB96" s="2374"/>
      <c r="BC96" s="2374"/>
      <c r="BD96" s="2375"/>
      <c r="BE96" s="1212"/>
    </row>
    <row r="97" spans="1:57" ht="15.75" customHeight="1">
      <c r="A97" s="1206"/>
      <c r="B97" s="2379" t="s">
        <v>1751</v>
      </c>
      <c r="C97" s="2380"/>
      <c r="D97" s="2380"/>
      <c r="E97" s="2380"/>
      <c r="F97" s="2380"/>
      <c r="G97" s="2380"/>
      <c r="H97" s="2380"/>
      <c r="I97" s="2380"/>
      <c r="J97" s="2380"/>
      <c r="K97" s="2380"/>
      <c r="L97" s="2380"/>
      <c r="M97" s="2380"/>
      <c r="N97" s="2380"/>
      <c r="O97" s="2380"/>
      <c r="P97" s="2380"/>
      <c r="Q97" s="2380"/>
      <c r="R97" s="2380"/>
      <c r="S97" s="2380"/>
      <c r="T97" s="2380"/>
      <c r="U97" s="2381"/>
      <c r="V97" s="1206"/>
      <c r="W97" s="1206"/>
      <c r="X97" s="2376"/>
      <c r="Y97" s="2377"/>
      <c r="Z97" s="2377"/>
      <c r="AA97" s="2377"/>
      <c r="AB97" s="2377"/>
      <c r="AC97" s="2377"/>
      <c r="AD97" s="2377"/>
      <c r="AE97" s="2377"/>
      <c r="AF97" s="2377"/>
      <c r="AG97" s="2377"/>
      <c r="AH97" s="2377"/>
      <c r="AI97" s="2377"/>
      <c r="AJ97" s="2377"/>
      <c r="AK97" s="2377"/>
      <c r="AL97" s="2377"/>
      <c r="AM97" s="2377"/>
      <c r="AN97" s="2377"/>
      <c r="AO97" s="2377"/>
      <c r="AP97" s="2377"/>
      <c r="AQ97" s="2377"/>
      <c r="AR97" s="2377"/>
      <c r="AS97" s="2377"/>
      <c r="AT97" s="2377"/>
      <c r="AU97" s="2377"/>
      <c r="AV97" s="2377"/>
      <c r="AW97" s="2377"/>
      <c r="AX97" s="2377"/>
      <c r="AY97" s="2377"/>
      <c r="AZ97" s="2377"/>
      <c r="BA97" s="2377"/>
      <c r="BB97" s="2377"/>
      <c r="BC97" s="2377"/>
      <c r="BD97" s="2378"/>
      <c r="BE97" s="1212"/>
    </row>
    <row r="98" spans="1:57" ht="15.75" customHeight="1">
      <c r="A98" s="1206"/>
      <c r="B98" s="2322"/>
      <c r="C98" s="2323"/>
      <c r="D98" s="2323"/>
      <c r="E98" s="2323"/>
      <c r="F98" s="2323"/>
      <c r="G98" s="2323"/>
      <c r="H98" s="2323"/>
      <c r="I98" s="2382" t="s">
        <v>2246</v>
      </c>
      <c r="J98" s="2382"/>
      <c r="K98" s="2382"/>
      <c r="L98" s="2382"/>
      <c r="M98" s="2382"/>
      <c r="N98" s="2382"/>
      <c r="O98" s="2383" t="s">
        <v>2247</v>
      </c>
      <c r="P98" s="2383"/>
      <c r="Q98" s="2383"/>
      <c r="R98" s="2383"/>
      <c r="S98" s="2383"/>
      <c r="T98" s="2383"/>
      <c r="U98" s="2384"/>
      <c r="V98" s="1206"/>
      <c r="W98" s="1206"/>
      <c r="X98" s="2325" t="s">
        <v>2259</v>
      </c>
      <c r="Y98" s="2326"/>
      <c r="Z98" s="2326"/>
      <c r="AA98" s="2326"/>
      <c r="AB98" s="2326"/>
      <c r="AC98" s="2326"/>
      <c r="AD98" s="2326"/>
      <c r="AE98" s="2326"/>
      <c r="AF98" s="2326"/>
      <c r="AG98" s="2326"/>
      <c r="AH98" s="2326"/>
      <c r="AI98" s="2326"/>
      <c r="AJ98" s="2326"/>
      <c r="AK98" s="2326"/>
      <c r="AL98" s="2326"/>
      <c r="AM98" s="2326"/>
      <c r="AN98" s="2326"/>
      <c r="AO98" s="2326"/>
      <c r="AP98" s="2326"/>
      <c r="AQ98" s="2326"/>
      <c r="AR98" s="2326"/>
      <c r="AS98" s="2326"/>
      <c r="AT98" s="2326"/>
      <c r="AU98" s="2326"/>
      <c r="AV98" s="2326"/>
      <c r="AW98" s="2326"/>
      <c r="AX98" s="2326"/>
      <c r="AY98" s="2326"/>
      <c r="AZ98" s="2326"/>
      <c r="BA98" s="2326"/>
      <c r="BB98" s="2326"/>
      <c r="BC98" s="2326"/>
      <c r="BD98" s="2327"/>
      <c r="BE98" s="1212"/>
    </row>
    <row r="99" spans="1:57" ht="15.75" customHeight="1">
      <c r="A99" s="1206"/>
      <c r="B99" s="2350" t="s">
        <v>2248</v>
      </c>
      <c r="C99" s="2351"/>
      <c r="D99" s="2351"/>
      <c r="E99" s="2351"/>
      <c r="F99" s="2351"/>
      <c r="G99" s="2351"/>
      <c r="H99" s="2351"/>
      <c r="I99" s="2352">
        <v>0</v>
      </c>
      <c r="J99" s="2352"/>
      <c r="K99" s="2352"/>
      <c r="L99" s="2352"/>
      <c r="M99" s="2352"/>
      <c r="N99" s="2352"/>
      <c r="O99" s="2352">
        <v>0</v>
      </c>
      <c r="P99" s="2352"/>
      <c r="Q99" s="2352"/>
      <c r="R99" s="2352"/>
      <c r="S99" s="2352"/>
      <c r="T99" s="2352"/>
      <c r="U99" s="2353"/>
      <c r="V99" s="1206"/>
      <c r="W99" s="1206"/>
      <c r="X99" s="2325"/>
      <c r="Y99" s="2326"/>
      <c r="Z99" s="2326"/>
      <c r="AA99" s="2326"/>
      <c r="AB99" s="2326"/>
      <c r="AC99" s="2326"/>
      <c r="AD99" s="2326"/>
      <c r="AE99" s="2326"/>
      <c r="AF99" s="2326"/>
      <c r="AG99" s="2326"/>
      <c r="AH99" s="2326"/>
      <c r="AI99" s="2326"/>
      <c r="AJ99" s="2326"/>
      <c r="AK99" s="2326"/>
      <c r="AL99" s="2326"/>
      <c r="AM99" s="2326"/>
      <c r="AN99" s="2326"/>
      <c r="AO99" s="2326"/>
      <c r="AP99" s="2326"/>
      <c r="AQ99" s="2326"/>
      <c r="AR99" s="2326"/>
      <c r="AS99" s="2326"/>
      <c r="AT99" s="2326"/>
      <c r="AU99" s="2326"/>
      <c r="AV99" s="2326"/>
      <c r="AW99" s="2326"/>
      <c r="AX99" s="2326"/>
      <c r="AY99" s="2326"/>
      <c r="AZ99" s="2326"/>
      <c r="BA99" s="2326"/>
      <c r="BB99" s="2326"/>
      <c r="BC99" s="2326"/>
      <c r="BD99" s="2327"/>
      <c r="BE99" s="1212"/>
    </row>
    <row r="100" spans="1:57" ht="15.75" customHeight="1" thickBot="1">
      <c r="A100" s="1206"/>
      <c r="B100" s="2344" t="s">
        <v>2249</v>
      </c>
      <c r="C100" s="2345"/>
      <c r="D100" s="2345"/>
      <c r="E100" s="2345"/>
      <c r="F100" s="2345"/>
      <c r="G100" s="2345"/>
      <c r="H100" s="2345"/>
      <c r="I100" s="2346">
        <v>0</v>
      </c>
      <c r="J100" s="2346"/>
      <c r="K100" s="2346"/>
      <c r="L100" s="2346"/>
      <c r="M100" s="2346"/>
      <c r="N100" s="2346"/>
      <c r="O100" s="2368"/>
      <c r="P100" s="2368"/>
      <c r="Q100" s="2368"/>
      <c r="R100" s="2368"/>
      <c r="S100" s="2368"/>
      <c r="T100" s="2368"/>
      <c r="U100" s="2369"/>
      <c r="V100" s="1206"/>
      <c r="W100" s="1206"/>
      <c r="X100" s="2325"/>
      <c r="Y100" s="2326"/>
      <c r="Z100" s="2326"/>
      <c r="AA100" s="2326"/>
      <c r="AB100" s="2326"/>
      <c r="AC100" s="2326"/>
      <c r="AD100" s="2326"/>
      <c r="AE100" s="2326"/>
      <c r="AF100" s="2326"/>
      <c r="AG100" s="2326"/>
      <c r="AH100" s="2326"/>
      <c r="AI100" s="2326"/>
      <c r="AJ100" s="2326"/>
      <c r="AK100" s="2326"/>
      <c r="AL100" s="2326"/>
      <c r="AM100" s="2326"/>
      <c r="AN100" s="2326"/>
      <c r="AO100" s="2326"/>
      <c r="AP100" s="2326"/>
      <c r="AQ100" s="2326"/>
      <c r="AR100" s="2326"/>
      <c r="AS100" s="2326"/>
      <c r="AT100" s="2326"/>
      <c r="AU100" s="2326"/>
      <c r="AV100" s="2326"/>
      <c r="AW100" s="2326"/>
      <c r="AX100" s="2326"/>
      <c r="AY100" s="2326"/>
      <c r="AZ100" s="2326"/>
      <c r="BA100" s="2326"/>
      <c r="BB100" s="2326"/>
      <c r="BC100" s="2326"/>
      <c r="BD100" s="2327"/>
      <c r="BE100" s="1212"/>
    </row>
    <row r="101" spans="1:57" ht="15.75" customHeight="1">
      <c r="A101" s="1206"/>
      <c r="B101" s="1206"/>
      <c r="C101" s="1206"/>
      <c r="D101" s="1206"/>
      <c r="E101" s="1206"/>
      <c r="F101" s="1206"/>
      <c r="G101" s="1206"/>
      <c r="H101" s="1206"/>
      <c r="I101" s="1206"/>
      <c r="J101" s="1206"/>
      <c r="K101" s="1206"/>
      <c r="L101" s="1206"/>
      <c r="M101" s="1206"/>
      <c r="N101" s="1206"/>
      <c r="O101" s="1206"/>
      <c r="P101" s="1206"/>
      <c r="Q101" s="1206"/>
      <c r="R101" s="1206"/>
      <c r="S101" s="1206"/>
      <c r="T101" s="1206"/>
      <c r="U101" s="1206"/>
      <c r="V101" s="1206"/>
      <c r="W101" s="1206"/>
      <c r="X101" s="2325"/>
      <c r="Y101" s="2326"/>
      <c r="Z101" s="2326"/>
      <c r="AA101" s="2326"/>
      <c r="AB101" s="2326"/>
      <c r="AC101" s="2326"/>
      <c r="AD101" s="2326"/>
      <c r="AE101" s="2326"/>
      <c r="AF101" s="2326"/>
      <c r="AG101" s="2326"/>
      <c r="AH101" s="2326"/>
      <c r="AI101" s="2326"/>
      <c r="AJ101" s="2326"/>
      <c r="AK101" s="2326"/>
      <c r="AL101" s="2326"/>
      <c r="AM101" s="2326"/>
      <c r="AN101" s="2326"/>
      <c r="AO101" s="2326"/>
      <c r="AP101" s="2326"/>
      <c r="AQ101" s="2326"/>
      <c r="AR101" s="2326"/>
      <c r="AS101" s="2326"/>
      <c r="AT101" s="2326"/>
      <c r="AU101" s="2326"/>
      <c r="AV101" s="2326"/>
      <c r="AW101" s="2326"/>
      <c r="AX101" s="2326"/>
      <c r="AY101" s="2326"/>
      <c r="AZ101" s="2326"/>
      <c r="BA101" s="2326"/>
      <c r="BB101" s="2326"/>
      <c r="BC101" s="2326"/>
      <c r="BD101" s="2327"/>
      <c r="BE101" s="1212"/>
    </row>
    <row r="102" spans="1:57" ht="15.75" customHeight="1">
      <c r="A102" s="1206"/>
      <c r="B102" s="1220" t="s">
        <v>1901</v>
      </c>
      <c r="C102" s="1220"/>
      <c r="D102" s="1220"/>
      <c r="E102" s="1220"/>
      <c r="F102" s="1220"/>
      <c r="G102" s="1220"/>
      <c r="H102" s="1220"/>
      <c r="I102" s="1220"/>
      <c r="J102" s="1220"/>
      <c r="K102" s="1220"/>
      <c r="L102" s="1220"/>
      <c r="M102" s="1220"/>
      <c r="N102" s="1220"/>
      <c r="O102" s="1220"/>
      <c r="P102" s="1220"/>
      <c r="Q102" s="1213" t="s">
        <v>252</v>
      </c>
      <c r="R102" s="1213" t="s">
        <v>252</v>
      </c>
      <c r="S102" s="1206"/>
      <c r="T102" s="1206"/>
      <c r="U102" s="1206"/>
      <c r="V102" s="1206" t="s">
        <v>252</v>
      </c>
      <c r="W102" s="1206"/>
      <c r="X102" s="2325"/>
      <c r="Y102" s="2326"/>
      <c r="Z102" s="2326"/>
      <c r="AA102" s="2326"/>
      <c r="AB102" s="2326"/>
      <c r="AC102" s="2326"/>
      <c r="AD102" s="2326"/>
      <c r="AE102" s="2326"/>
      <c r="AF102" s="2326"/>
      <c r="AG102" s="2326"/>
      <c r="AH102" s="2326"/>
      <c r="AI102" s="2326"/>
      <c r="AJ102" s="2326"/>
      <c r="AK102" s="2326"/>
      <c r="AL102" s="2326"/>
      <c r="AM102" s="2326"/>
      <c r="AN102" s="2326"/>
      <c r="AO102" s="2326"/>
      <c r="AP102" s="2326"/>
      <c r="AQ102" s="2326"/>
      <c r="AR102" s="2326"/>
      <c r="AS102" s="2326"/>
      <c r="AT102" s="2326"/>
      <c r="AU102" s="2326"/>
      <c r="AV102" s="2326"/>
      <c r="AW102" s="2326"/>
      <c r="AX102" s="2326"/>
      <c r="AY102" s="2326"/>
      <c r="AZ102" s="2326"/>
      <c r="BA102" s="2326"/>
      <c r="BB102" s="2326"/>
      <c r="BC102" s="2326"/>
      <c r="BD102" s="2327"/>
      <c r="BE102" s="1212"/>
    </row>
    <row r="103" spans="1:57" ht="15.75" customHeight="1" thickBot="1">
      <c r="A103" s="1206"/>
      <c r="B103" s="1206"/>
      <c r="C103" s="1206"/>
      <c r="D103" s="1206"/>
      <c r="E103" s="1206"/>
      <c r="F103" s="1206"/>
      <c r="G103" s="1206"/>
      <c r="H103" s="1206"/>
      <c r="I103" s="1206"/>
      <c r="J103" s="1206"/>
      <c r="K103" s="1206"/>
      <c r="L103" s="1206"/>
      <c r="M103" s="1206"/>
      <c r="N103" s="1206"/>
      <c r="O103" s="1206"/>
      <c r="P103" s="1206"/>
      <c r="Q103" s="1206"/>
      <c r="R103" s="1206"/>
      <c r="S103" s="1206"/>
      <c r="T103" s="1206"/>
      <c r="U103" s="1206"/>
      <c r="V103" s="1206"/>
      <c r="W103" s="1206"/>
      <c r="X103" s="2325"/>
      <c r="Y103" s="2326"/>
      <c r="Z103" s="2326"/>
      <c r="AA103" s="2326"/>
      <c r="AB103" s="2326"/>
      <c r="AC103" s="2326"/>
      <c r="AD103" s="2326"/>
      <c r="AE103" s="2326"/>
      <c r="AF103" s="2326"/>
      <c r="AG103" s="2326"/>
      <c r="AH103" s="2326"/>
      <c r="AI103" s="2326"/>
      <c r="AJ103" s="2326"/>
      <c r="AK103" s="2326"/>
      <c r="AL103" s="2326"/>
      <c r="AM103" s="2326"/>
      <c r="AN103" s="2326"/>
      <c r="AO103" s="2326"/>
      <c r="AP103" s="2326"/>
      <c r="AQ103" s="2326"/>
      <c r="AR103" s="2326"/>
      <c r="AS103" s="2326"/>
      <c r="AT103" s="2326"/>
      <c r="AU103" s="2326"/>
      <c r="AV103" s="2326"/>
      <c r="AW103" s="2326"/>
      <c r="AX103" s="2326"/>
      <c r="AY103" s="2326"/>
      <c r="AZ103" s="2326"/>
      <c r="BA103" s="2326"/>
      <c r="BB103" s="2326"/>
      <c r="BC103" s="2326"/>
      <c r="BD103" s="2327"/>
      <c r="BE103" s="1212"/>
    </row>
    <row r="104" spans="1:57" ht="15.75" customHeight="1">
      <c r="A104" s="1206"/>
      <c r="B104" s="2370" t="s">
        <v>1902</v>
      </c>
      <c r="C104" s="2371"/>
      <c r="D104" s="2371"/>
      <c r="E104" s="2371"/>
      <c r="F104" s="2371"/>
      <c r="G104" s="2371"/>
      <c r="H104" s="2371"/>
      <c r="I104" s="2371"/>
      <c r="J104" s="2371"/>
      <c r="K104" s="2371"/>
      <c r="L104" s="2371"/>
      <c r="M104" s="2371"/>
      <c r="N104" s="2371"/>
      <c r="O104" s="2371"/>
      <c r="P104" s="2371"/>
      <c r="Q104" s="2371"/>
      <c r="R104" s="2371"/>
      <c r="S104" s="2371"/>
      <c r="T104" s="2371"/>
      <c r="U104" s="2372"/>
      <c r="V104" s="1206"/>
      <c r="W104" s="1206"/>
      <c r="X104" s="2325"/>
      <c r="Y104" s="2326"/>
      <c r="Z104" s="2326"/>
      <c r="AA104" s="2326"/>
      <c r="AB104" s="2326"/>
      <c r="AC104" s="2326"/>
      <c r="AD104" s="2326"/>
      <c r="AE104" s="2326"/>
      <c r="AF104" s="2326"/>
      <c r="AG104" s="2326"/>
      <c r="AH104" s="2326"/>
      <c r="AI104" s="2326"/>
      <c r="AJ104" s="2326"/>
      <c r="AK104" s="2326"/>
      <c r="AL104" s="2326"/>
      <c r="AM104" s="2326"/>
      <c r="AN104" s="2326"/>
      <c r="AO104" s="2326"/>
      <c r="AP104" s="2326"/>
      <c r="AQ104" s="2326"/>
      <c r="AR104" s="2326"/>
      <c r="AS104" s="2326"/>
      <c r="AT104" s="2326"/>
      <c r="AU104" s="2326"/>
      <c r="AV104" s="2326"/>
      <c r="AW104" s="2326"/>
      <c r="AX104" s="2326"/>
      <c r="AY104" s="2326"/>
      <c r="AZ104" s="2326"/>
      <c r="BA104" s="2326"/>
      <c r="BB104" s="2326"/>
      <c r="BC104" s="2326"/>
      <c r="BD104" s="2327"/>
      <c r="BE104" s="1212"/>
    </row>
    <row r="105" spans="1:57" ht="15.75" customHeight="1">
      <c r="A105" s="1206"/>
      <c r="B105" s="2322"/>
      <c r="C105" s="2323"/>
      <c r="D105" s="2323"/>
      <c r="E105" s="2323"/>
      <c r="F105" s="2323"/>
      <c r="G105" s="2323"/>
      <c r="H105" s="2323"/>
      <c r="I105" s="2354" t="s">
        <v>1895</v>
      </c>
      <c r="J105" s="2354"/>
      <c r="K105" s="2354"/>
      <c r="L105" s="2354"/>
      <c r="M105" s="2354"/>
      <c r="N105" s="2354"/>
      <c r="O105" s="2354"/>
      <c r="P105" s="2354" t="s">
        <v>2260</v>
      </c>
      <c r="Q105" s="2354"/>
      <c r="R105" s="2354"/>
      <c r="S105" s="2354"/>
      <c r="T105" s="2354"/>
      <c r="U105" s="2355"/>
      <c r="V105" s="1206"/>
      <c r="W105" s="1206"/>
      <c r="X105" s="2325"/>
      <c r="Y105" s="2326"/>
      <c r="Z105" s="2326"/>
      <c r="AA105" s="2326"/>
      <c r="AB105" s="2326"/>
      <c r="AC105" s="2326"/>
      <c r="AD105" s="2326"/>
      <c r="AE105" s="2326"/>
      <c r="AF105" s="2326"/>
      <c r="AG105" s="2326"/>
      <c r="AH105" s="2326"/>
      <c r="AI105" s="2326"/>
      <c r="AJ105" s="2326"/>
      <c r="AK105" s="2326"/>
      <c r="AL105" s="2326"/>
      <c r="AM105" s="2326"/>
      <c r="AN105" s="2326"/>
      <c r="AO105" s="2326"/>
      <c r="AP105" s="2326"/>
      <c r="AQ105" s="2326"/>
      <c r="AR105" s="2326"/>
      <c r="AS105" s="2326"/>
      <c r="AT105" s="2326"/>
      <c r="AU105" s="2326"/>
      <c r="AV105" s="2326"/>
      <c r="AW105" s="2326"/>
      <c r="AX105" s="2326"/>
      <c r="AY105" s="2326"/>
      <c r="AZ105" s="2326"/>
      <c r="BA105" s="2326"/>
      <c r="BB105" s="2326"/>
      <c r="BC105" s="2326"/>
      <c r="BD105" s="2327"/>
      <c r="BE105" s="1212"/>
    </row>
    <row r="106" spans="1:57" ht="15.75" customHeight="1">
      <c r="A106" s="1206"/>
      <c r="B106" s="2322"/>
      <c r="C106" s="2323"/>
      <c r="D106" s="2323"/>
      <c r="E106" s="2323"/>
      <c r="F106" s="2323"/>
      <c r="G106" s="2323"/>
      <c r="H106" s="2323"/>
      <c r="I106" s="2354"/>
      <c r="J106" s="2354"/>
      <c r="K106" s="2354"/>
      <c r="L106" s="2354"/>
      <c r="M106" s="2354"/>
      <c r="N106" s="2354"/>
      <c r="O106" s="2354"/>
      <c r="P106" s="2354"/>
      <c r="Q106" s="2354"/>
      <c r="R106" s="2354"/>
      <c r="S106" s="2354"/>
      <c r="T106" s="2354"/>
      <c r="U106" s="2355"/>
      <c r="V106" s="1206"/>
      <c r="W106" s="1206"/>
      <c r="X106" s="2325"/>
      <c r="Y106" s="2326"/>
      <c r="Z106" s="2326"/>
      <c r="AA106" s="2326"/>
      <c r="AB106" s="2326"/>
      <c r="AC106" s="2326"/>
      <c r="AD106" s="2326"/>
      <c r="AE106" s="2326"/>
      <c r="AF106" s="2326"/>
      <c r="AG106" s="2326"/>
      <c r="AH106" s="2326"/>
      <c r="AI106" s="2326"/>
      <c r="AJ106" s="2326"/>
      <c r="AK106" s="2326"/>
      <c r="AL106" s="2326"/>
      <c r="AM106" s="2326"/>
      <c r="AN106" s="2326"/>
      <c r="AO106" s="2326"/>
      <c r="AP106" s="2326"/>
      <c r="AQ106" s="2326"/>
      <c r="AR106" s="2326"/>
      <c r="AS106" s="2326"/>
      <c r="AT106" s="2326"/>
      <c r="AU106" s="2326"/>
      <c r="AV106" s="2326"/>
      <c r="AW106" s="2326"/>
      <c r="AX106" s="2326"/>
      <c r="AY106" s="2326"/>
      <c r="AZ106" s="2326"/>
      <c r="BA106" s="2326"/>
      <c r="BB106" s="2326"/>
      <c r="BC106" s="2326"/>
      <c r="BD106" s="2327"/>
      <c r="BE106" s="1212"/>
    </row>
    <row r="107" spans="1:57" ht="15.75" customHeight="1">
      <c r="A107" s="1206"/>
      <c r="B107" s="2350" t="s">
        <v>2248</v>
      </c>
      <c r="C107" s="2351"/>
      <c r="D107" s="2351"/>
      <c r="E107" s="2351"/>
      <c r="F107" s="2351"/>
      <c r="G107" s="2351"/>
      <c r="H107" s="2351"/>
      <c r="I107" s="2352">
        <v>0</v>
      </c>
      <c r="J107" s="2352"/>
      <c r="K107" s="2352"/>
      <c r="L107" s="2352"/>
      <c r="M107" s="2352"/>
      <c r="N107" s="2352"/>
      <c r="O107" s="2352"/>
      <c r="P107" s="2352">
        <v>0</v>
      </c>
      <c r="Q107" s="2352"/>
      <c r="R107" s="2352"/>
      <c r="S107" s="2352"/>
      <c r="T107" s="2352"/>
      <c r="U107" s="2353"/>
      <c r="V107" s="1206"/>
      <c r="W107" s="1206"/>
      <c r="X107" s="2325"/>
      <c r="Y107" s="2326"/>
      <c r="Z107" s="2326"/>
      <c r="AA107" s="2326"/>
      <c r="AB107" s="2326"/>
      <c r="AC107" s="2326"/>
      <c r="AD107" s="2326"/>
      <c r="AE107" s="2326"/>
      <c r="AF107" s="2326"/>
      <c r="AG107" s="2326"/>
      <c r="AH107" s="2326"/>
      <c r="AI107" s="2326"/>
      <c r="AJ107" s="2326"/>
      <c r="AK107" s="2326"/>
      <c r="AL107" s="2326"/>
      <c r="AM107" s="2326"/>
      <c r="AN107" s="2326"/>
      <c r="AO107" s="2326"/>
      <c r="AP107" s="2326"/>
      <c r="AQ107" s="2326"/>
      <c r="AR107" s="2326"/>
      <c r="AS107" s="2326"/>
      <c r="AT107" s="2326"/>
      <c r="AU107" s="2326"/>
      <c r="AV107" s="2326"/>
      <c r="AW107" s="2326"/>
      <c r="AX107" s="2326"/>
      <c r="AY107" s="2326"/>
      <c r="AZ107" s="2326"/>
      <c r="BA107" s="2326"/>
      <c r="BB107" s="2326"/>
      <c r="BC107" s="2326"/>
      <c r="BD107" s="2327"/>
      <c r="BE107" s="1212"/>
    </row>
    <row r="108" spans="1:57" ht="15.75" customHeight="1" thickBot="1">
      <c r="A108" s="1206"/>
      <c r="B108" s="2344" t="s">
        <v>2249</v>
      </c>
      <c r="C108" s="2345"/>
      <c r="D108" s="2345"/>
      <c r="E108" s="2345"/>
      <c r="F108" s="2345"/>
      <c r="G108" s="2345"/>
      <c r="H108" s="2345"/>
      <c r="I108" s="2346">
        <v>0</v>
      </c>
      <c r="J108" s="2346"/>
      <c r="K108" s="2346"/>
      <c r="L108" s="2346"/>
      <c r="M108" s="2346"/>
      <c r="N108" s="2346"/>
      <c r="O108" s="2346"/>
      <c r="P108" s="2346">
        <v>0</v>
      </c>
      <c r="Q108" s="2346"/>
      <c r="R108" s="2346"/>
      <c r="S108" s="2346"/>
      <c r="T108" s="2346"/>
      <c r="U108" s="2347"/>
      <c r="V108" s="1206"/>
      <c r="W108" s="1206"/>
      <c r="X108" s="2328"/>
      <c r="Y108" s="2329"/>
      <c r="Z108" s="2329"/>
      <c r="AA108" s="2329"/>
      <c r="AB108" s="2329"/>
      <c r="AC108" s="2329"/>
      <c r="AD108" s="2329"/>
      <c r="AE108" s="2329"/>
      <c r="AF108" s="2329"/>
      <c r="AG108" s="2329"/>
      <c r="AH108" s="2329"/>
      <c r="AI108" s="2329"/>
      <c r="AJ108" s="2329"/>
      <c r="AK108" s="2329"/>
      <c r="AL108" s="2329"/>
      <c r="AM108" s="2329"/>
      <c r="AN108" s="2329"/>
      <c r="AO108" s="2329"/>
      <c r="AP108" s="2329"/>
      <c r="AQ108" s="2329"/>
      <c r="AR108" s="2329"/>
      <c r="AS108" s="2329"/>
      <c r="AT108" s="2329"/>
      <c r="AU108" s="2329"/>
      <c r="AV108" s="2329"/>
      <c r="AW108" s="2329"/>
      <c r="AX108" s="2329"/>
      <c r="AY108" s="2329"/>
      <c r="AZ108" s="2329"/>
      <c r="BA108" s="2329"/>
      <c r="BB108" s="2329"/>
      <c r="BC108" s="2329"/>
      <c r="BD108" s="2330"/>
      <c r="BE108" s="1212"/>
    </row>
    <row r="109" spans="1:57" ht="15.75" customHeight="1" thickBot="1">
      <c r="A109" s="1206"/>
      <c r="B109" s="1206"/>
      <c r="C109" s="1206"/>
      <c r="D109" s="1206"/>
      <c r="E109" s="1206"/>
      <c r="F109" s="1206"/>
      <c r="G109" s="1206"/>
      <c r="H109" s="1206"/>
      <c r="I109" s="1206"/>
      <c r="J109" s="1206"/>
      <c r="K109" s="1206"/>
      <c r="L109" s="1206"/>
      <c r="M109" s="1206"/>
      <c r="N109" s="1206"/>
      <c r="O109" s="1206"/>
      <c r="P109" s="1206"/>
      <c r="Q109" s="1223"/>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12"/>
    </row>
    <row r="110" spans="1:57" ht="15.75" customHeight="1">
      <c r="A110" s="1206"/>
      <c r="B110" s="2319" t="s">
        <v>1903</v>
      </c>
      <c r="C110" s="2320"/>
      <c r="D110" s="2320"/>
      <c r="E110" s="2320"/>
      <c r="F110" s="2320"/>
      <c r="G110" s="2320"/>
      <c r="H110" s="2320"/>
      <c r="I110" s="2320"/>
      <c r="J110" s="2320"/>
      <c r="K110" s="2320"/>
      <c r="L110" s="2320"/>
      <c r="M110" s="2320"/>
      <c r="N110" s="2320"/>
      <c r="O110" s="2320"/>
      <c r="P110" s="2320"/>
      <c r="Q110" s="2320"/>
      <c r="R110" s="2320"/>
      <c r="S110" s="2320"/>
      <c r="T110" s="2320"/>
      <c r="U110" s="2320"/>
      <c r="V110" s="2320"/>
      <c r="W110" s="2320"/>
      <c r="X110" s="2320"/>
      <c r="Y110" s="2320"/>
      <c r="Z110" s="2320"/>
      <c r="AA110" s="2320"/>
      <c r="AB110" s="2320"/>
      <c r="AC110" s="2320"/>
      <c r="AD110" s="2320"/>
      <c r="AE110" s="2320"/>
      <c r="AF110" s="2320"/>
      <c r="AG110" s="2320"/>
      <c r="AH110" s="2356" t="s">
        <v>554</v>
      </c>
      <c r="AI110" s="2356"/>
      <c r="AJ110" s="2356"/>
      <c r="AK110" s="2356"/>
      <c r="AL110" s="2356"/>
      <c r="AM110" s="2356"/>
      <c r="AN110" s="2356"/>
      <c r="AO110" s="2356"/>
      <c r="AP110" s="2356"/>
      <c r="AQ110" s="2356"/>
      <c r="AR110" s="2356"/>
      <c r="AS110" s="2356"/>
      <c r="AT110" s="2356"/>
      <c r="AU110" s="2356"/>
      <c r="AV110" s="2356"/>
      <c r="AW110" s="2356"/>
      <c r="AX110" s="2357"/>
      <c r="AY110" s="1206"/>
      <c r="AZ110" s="1206"/>
      <c r="BA110" s="1206"/>
      <c r="BB110" s="1206"/>
      <c r="BC110" s="1206"/>
      <c r="BD110" s="1206"/>
      <c r="BE110" s="1212"/>
    </row>
    <row r="111" spans="1:57" ht="15.75" customHeight="1">
      <c r="A111" s="1206"/>
      <c r="B111" s="2358" t="s">
        <v>1904</v>
      </c>
      <c r="C111" s="2359"/>
      <c r="D111" s="2359"/>
      <c r="E111" s="2359"/>
      <c r="F111" s="2359"/>
      <c r="G111" s="2359"/>
      <c r="H111" s="2359"/>
      <c r="I111" s="2359"/>
      <c r="J111" s="2359"/>
      <c r="K111" s="2359"/>
      <c r="L111" s="2359"/>
      <c r="M111" s="2359"/>
      <c r="N111" s="2359"/>
      <c r="O111" s="2359"/>
      <c r="P111" s="2359"/>
      <c r="Q111" s="2359"/>
      <c r="R111" s="2360" t="s">
        <v>2262</v>
      </c>
      <c r="S111" s="2360"/>
      <c r="T111" s="2360"/>
      <c r="U111" s="2360"/>
      <c r="V111" s="2360"/>
      <c r="W111" s="2360"/>
      <c r="X111" s="2360"/>
      <c r="Y111" s="2360"/>
      <c r="Z111" s="2360"/>
      <c r="AA111" s="2360"/>
      <c r="AB111" s="2360"/>
      <c r="AC111" s="2360"/>
      <c r="AD111" s="2360"/>
      <c r="AE111" s="2360"/>
      <c r="AF111" s="2360"/>
      <c r="AG111" s="2360"/>
      <c r="AH111" s="2360"/>
      <c r="AI111" s="2360"/>
      <c r="AJ111" s="2360"/>
      <c r="AK111" s="2360"/>
      <c r="AL111" s="2360"/>
      <c r="AM111" s="2360"/>
      <c r="AN111" s="2360"/>
      <c r="AO111" s="2360"/>
      <c r="AP111" s="2360"/>
      <c r="AQ111" s="2360"/>
      <c r="AR111" s="2360"/>
      <c r="AS111" s="2360"/>
      <c r="AT111" s="2360"/>
      <c r="AU111" s="2360"/>
      <c r="AV111" s="2360"/>
      <c r="AW111" s="2360"/>
      <c r="AX111" s="2361"/>
      <c r="AY111" s="1206"/>
      <c r="AZ111" s="1206"/>
      <c r="BA111" s="1206"/>
      <c r="BB111" s="1206"/>
      <c r="BC111" s="1206" t="s">
        <v>252</v>
      </c>
      <c r="BD111" s="1206"/>
      <c r="BE111" s="1212"/>
    </row>
    <row r="112" spans="1:57" ht="15.75" customHeight="1">
      <c r="A112" s="1206"/>
      <c r="B112" s="2362" t="s">
        <v>2263</v>
      </c>
      <c r="C112" s="2363"/>
      <c r="D112" s="2363"/>
      <c r="E112" s="2363"/>
      <c r="F112" s="2363"/>
      <c r="G112" s="2363"/>
      <c r="H112" s="2363"/>
      <c r="I112" s="2363"/>
      <c r="J112" s="2363"/>
      <c r="K112" s="2363"/>
      <c r="L112" s="2363"/>
      <c r="M112" s="2363"/>
      <c r="N112" s="2363"/>
      <c r="O112" s="2363"/>
      <c r="P112" s="2363"/>
      <c r="Q112" s="2363"/>
      <c r="R112" s="2363"/>
      <c r="S112" s="2363"/>
      <c r="T112" s="2363"/>
      <c r="U112" s="2363"/>
      <c r="V112" s="2363"/>
      <c r="W112" s="2363"/>
      <c r="X112" s="2363"/>
      <c r="Y112" s="2363"/>
      <c r="Z112" s="2363"/>
      <c r="AA112" s="2363"/>
      <c r="AB112" s="2363"/>
      <c r="AC112" s="2363"/>
      <c r="AD112" s="2363"/>
      <c r="AE112" s="2363"/>
      <c r="AF112" s="2363"/>
      <c r="AG112" s="2363"/>
      <c r="AH112" s="2363"/>
      <c r="AI112" s="2363"/>
      <c r="AJ112" s="2363"/>
      <c r="AK112" s="2363"/>
      <c r="AL112" s="2363"/>
      <c r="AM112" s="2363"/>
      <c r="AN112" s="2363"/>
      <c r="AO112" s="2363"/>
      <c r="AP112" s="2363"/>
      <c r="AQ112" s="2363"/>
      <c r="AR112" s="2363"/>
      <c r="AS112" s="2363"/>
      <c r="AT112" s="2363"/>
      <c r="AU112" s="2363"/>
      <c r="AV112" s="2363"/>
      <c r="AW112" s="2363"/>
      <c r="AX112" s="2364"/>
      <c r="AY112" s="1206"/>
      <c r="AZ112" s="1206"/>
      <c r="BA112" s="1206"/>
      <c r="BB112" s="1206"/>
      <c r="BC112" s="1206"/>
      <c r="BD112" s="1206"/>
      <c r="BE112" s="1212"/>
    </row>
    <row r="113" spans="1:57" ht="15.75" customHeight="1">
      <c r="A113" s="1206"/>
      <c r="B113" s="2362"/>
      <c r="C113" s="2363"/>
      <c r="D113" s="2363"/>
      <c r="E113" s="2363"/>
      <c r="F113" s="2363"/>
      <c r="G113" s="2363"/>
      <c r="H113" s="2363"/>
      <c r="I113" s="2363"/>
      <c r="J113" s="2363"/>
      <c r="K113" s="2363"/>
      <c r="L113" s="2363"/>
      <c r="M113" s="2363"/>
      <c r="N113" s="2363"/>
      <c r="O113" s="2363"/>
      <c r="P113" s="2363"/>
      <c r="Q113" s="2363"/>
      <c r="R113" s="2363"/>
      <c r="S113" s="2363"/>
      <c r="T113" s="2363"/>
      <c r="U113" s="2363"/>
      <c r="V113" s="2363"/>
      <c r="W113" s="2363"/>
      <c r="X113" s="2363"/>
      <c r="Y113" s="2363"/>
      <c r="Z113" s="2363"/>
      <c r="AA113" s="2363"/>
      <c r="AB113" s="2363"/>
      <c r="AC113" s="2363"/>
      <c r="AD113" s="2363"/>
      <c r="AE113" s="2363"/>
      <c r="AF113" s="2363"/>
      <c r="AG113" s="2363"/>
      <c r="AH113" s="2363"/>
      <c r="AI113" s="2363"/>
      <c r="AJ113" s="2363"/>
      <c r="AK113" s="2363"/>
      <c r="AL113" s="2363"/>
      <c r="AM113" s="2363"/>
      <c r="AN113" s="2363"/>
      <c r="AO113" s="2363"/>
      <c r="AP113" s="2363"/>
      <c r="AQ113" s="2363"/>
      <c r="AR113" s="2363"/>
      <c r="AS113" s="2363"/>
      <c r="AT113" s="2363"/>
      <c r="AU113" s="2363"/>
      <c r="AV113" s="2363"/>
      <c r="AW113" s="2363"/>
      <c r="AX113" s="2364"/>
      <c r="AY113" s="1206"/>
      <c r="AZ113" s="1206"/>
      <c r="BA113" s="1206"/>
      <c r="BB113" s="1206"/>
      <c r="BC113" s="1206"/>
      <c r="BD113" s="1206"/>
      <c r="BE113" s="1212"/>
    </row>
    <row r="114" spans="1:57" ht="15.75" customHeight="1">
      <c r="A114" s="1206"/>
      <c r="B114" s="2362"/>
      <c r="C114" s="2363"/>
      <c r="D114" s="2363"/>
      <c r="E114" s="2363"/>
      <c r="F114" s="2363"/>
      <c r="G114" s="2363"/>
      <c r="H114" s="2363"/>
      <c r="I114" s="2363"/>
      <c r="J114" s="2363"/>
      <c r="K114" s="2363"/>
      <c r="L114" s="2363"/>
      <c r="M114" s="2363"/>
      <c r="N114" s="2363"/>
      <c r="O114" s="2363"/>
      <c r="P114" s="2363"/>
      <c r="Q114" s="2363"/>
      <c r="R114" s="2363"/>
      <c r="S114" s="2363"/>
      <c r="T114" s="2363"/>
      <c r="U114" s="2363"/>
      <c r="V114" s="2363"/>
      <c r="W114" s="2363"/>
      <c r="X114" s="2363"/>
      <c r="Y114" s="2363"/>
      <c r="Z114" s="2363"/>
      <c r="AA114" s="2363"/>
      <c r="AB114" s="2363"/>
      <c r="AC114" s="2363"/>
      <c r="AD114" s="2363"/>
      <c r="AE114" s="2363"/>
      <c r="AF114" s="2363"/>
      <c r="AG114" s="2363"/>
      <c r="AH114" s="2363"/>
      <c r="AI114" s="2363"/>
      <c r="AJ114" s="2363"/>
      <c r="AK114" s="2363"/>
      <c r="AL114" s="2363"/>
      <c r="AM114" s="2363"/>
      <c r="AN114" s="2363"/>
      <c r="AO114" s="2363"/>
      <c r="AP114" s="2363"/>
      <c r="AQ114" s="2363"/>
      <c r="AR114" s="2363"/>
      <c r="AS114" s="2363"/>
      <c r="AT114" s="2363"/>
      <c r="AU114" s="2363"/>
      <c r="AV114" s="2363"/>
      <c r="AW114" s="2363"/>
      <c r="AX114" s="2364"/>
      <c r="AY114" s="1206"/>
      <c r="AZ114" s="1206"/>
      <c r="BA114" s="1206"/>
      <c r="BB114" s="1206"/>
      <c r="BC114" s="1206"/>
      <c r="BD114" s="1206"/>
      <c r="BE114" s="1212"/>
    </row>
    <row r="115" spans="1:57" ht="15.75" customHeight="1">
      <c r="A115" s="1206"/>
      <c r="B115" s="2362"/>
      <c r="C115" s="2363"/>
      <c r="D115" s="2363"/>
      <c r="E115" s="2363"/>
      <c r="F115" s="2363"/>
      <c r="G115" s="2363"/>
      <c r="H115" s="2363"/>
      <c r="I115" s="2363"/>
      <c r="J115" s="2363"/>
      <c r="K115" s="2363"/>
      <c r="L115" s="2363"/>
      <c r="M115" s="2363"/>
      <c r="N115" s="2363"/>
      <c r="O115" s="2363"/>
      <c r="P115" s="2363"/>
      <c r="Q115" s="2363"/>
      <c r="R115" s="2363"/>
      <c r="S115" s="2363"/>
      <c r="T115" s="2363"/>
      <c r="U115" s="2363"/>
      <c r="V115" s="2363"/>
      <c r="W115" s="2363"/>
      <c r="X115" s="2363"/>
      <c r="Y115" s="2363"/>
      <c r="Z115" s="2363"/>
      <c r="AA115" s="2363"/>
      <c r="AB115" s="2363"/>
      <c r="AC115" s="2363"/>
      <c r="AD115" s="2363"/>
      <c r="AE115" s="2363"/>
      <c r="AF115" s="2363"/>
      <c r="AG115" s="2363"/>
      <c r="AH115" s="2363"/>
      <c r="AI115" s="2363"/>
      <c r="AJ115" s="2363"/>
      <c r="AK115" s="2363"/>
      <c r="AL115" s="2363"/>
      <c r="AM115" s="2363"/>
      <c r="AN115" s="2363"/>
      <c r="AO115" s="2363"/>
      <c r="AP115" s="2363"/>
      <c r="AQ115" s="2363"/>
      <c r="AR115" s="2363"/>
      <c r="AS115" s="2363"/>
      <c r="AT115" s="2363"/>
      <c r="AU115" s="2363"/>
      <c r="AV115" s="2363"/>
      <c r="AW115" s="2363"/>
      <c r="AX115" s="2364"/>
      <c r="AY115" s="1206"/>
      <c r="AZ115" s="1206"/>
      <c r="BA115" s="1206"/>
      <c r="BB115" s="1206"/>
      <c r="BC115" s="1206"/>
      <c r="BD115" s="1206"/>
      <c r="BE115" s="1212"/>
    </row>
    <row r="116" spans="1:57" ht="15.75" customHeight="1">
      <c r="A116" s="1206"/>
      <c r="B116" s="2362"/>
      <c r="C116" s="2363"/>
      <c r="D116" s="2363"/>
      <c r="E116" s="2363"/>
      <c r="F116" s="2363"/>
      <c r="G116" s="2363"/>
      <c r="H116" s="2363"/>
      <c r="I116" s="2363"/>
      <c r="J116" s="2363"/>
      <c r="K116" s="2363"/>
      <c r="L116" s="2363"/>
      <c r="M116" s="2363"/>
      <c r="N116" s="2363"/>
      <c r="O116" s="2363"/>
      <c r="P116" s="2363"/>
      <c r="Q116" s="2363"/>
      <c r="R116" s="2363"/>
      <c r="S116" s="2363"/>
      <c r="T116" s="2363"/>
      <c r="U116" s="2363"/>
      <c r="V116" s="2363"/>
      <c r="W116" s="2363"/>
      <c r="X116" s="2363"/>
      <c r="Y116" s="2363"/>
      <c r="Z116" s="2363"/>
      <c r="AA116" s="2363"/>
      <c r="AB116" s="2363"/>
      <c r="AC116" s="2363"/>
      <c r="AD116" s="2363"/>
      <c r="AE116" s="2363"/>
      <c r="AF116" s="2363"/>
      <c r="AG116" s="2363"/>
      <c r="AH116" s="2363"/>
      <c r="AI116" s="2363"/>
      <c r="AJ116" s="2363"/>
      <c r="AK116" s="2363"/>
      <c r="AL116" s="2363"/>
      <c r="AM116" s="2363"/>
      <c r="AN116" s="2363"/>
      <c r="AO116" s="2363"/>
      <c r="AP116" s="2363"/>
      <c r="AQ116" s="2363"/>
      <c r="AR116" s="2363"/>
      <c r="AS116" s="2363"/>
      <c r="AT116" s="2363"/>
      <c r="AU116" s="2363"/>
      <c r="AV116" s="2363"/>
      <c r="AW116" s="2363"/>
      <c r="AX116" s="2364"/>
      <c r="AY116" s="1206"/>
      <c r="AZ116" s="1206"/>
      <c r="BA116" s="1206"/>
      <c r="BB116" s="1206"/>
      <c r="BC116" s="1206"/>
      <c r="BD116" s="1206"/>
      <c r="BE116" s="1212"/>
    </row>
    <row r="117" spans="1:57" ht="15.75" customHeight="1">
      <c r="A117" s="1206"/>
      <c r="B117" s="2362"/>
      <c r="C117" s="2363"/>
      <c r="D117" s="2363"/>
      <c r="E117" s="2363"/>
      <c r="F117" s="2363"/>
      <c r="G117" s="2363"/>
      <c r="H117" s="2363"/>
      <c r="I117" s="2363"/>
      <c r="J117" s="2363"/>
      <c r="K117" s="2363"/>
      <c r="L117" s="2363"/>
      <c r="M117" s="2363"/>
      <c r="N117" s="2363"/>
      <c r="O117" s="2363"/>
      <c r="P117" s="2363"/>
      <c r="Q117" s="2363"/>
      <c r="R117" s="2363"/>
      <c r="S117" s="2363"/>
      <c r="T117" s="2363"/>
      <c r="U117" s="2363"/>
      <c r="V117" s="2363"/>
      <c r="W117" s="2363"/>
      <c r="X117" s="2363"/>
      <c r="Y117" s="2363"/>
      <c r="Z117" s="2363"/>
      <c r="AA117" s="2363"/>
      <c r="AB117" s="2363"/>
      <c r="AC117" s="2363"/>
      <c r="AD117" s="2363"/>
      <c r="AE117" s="2363"/>
      <c r="AF117" s="2363"/>
      <c r="AG117" s="2363"/>
      <c r="AH117" s="2363"/>
      <c r="AI117" s="2363"/>
      <c r="AJ117" s="2363"/>
      <c r="AK117" s="2363"/>
      <c r="AL117" s="2363"/>
      <c r="AM117" s="2363"/>
      <c r="AN117" s="2363"/>
      <c r="AO117" s="2363"/>
      <c r="AP117" s="2363"/>
      <c r="AQ117" s="2363"/>
      <c r="AR117" s="2363"/>
      <c r="AS117" s="2363"/>
      <c r="AT117" s="2363"/>
      <c r="AU117" s="2363"/>
      <c r="AV117" s="2363"/>
      <c r="AW117" s="2363"/>
      <c r="AX117" s="2364"/>
      <c r="AY117" s="1206"/>
      <c r="AZ117" s="1206"/>
      <c r="BA117" s="1206"/>
      <c r="BB117" s="1206"/>
      <c r="BC117" s="1206"/>
      <c r="BD117" s="1206"/>
      <c r="BE117" s="1212"/>
    </row>
    <row r="118" spans="1:57" ht="15.75" customHeight="1">
      <c r="A118" s="1206"/>
      <c r="B118" s="2362"/>
      <c r="C118" s="2363"/>
      <c r="D118" s="2363"/>
      <c r="E118" s="2363"/>
      <c r="F118" s="2363"/>
      <c r="G118" s="2363"/>
      <c r="H118" s="2363"/>
      <c r="I118" s="2363"/>
      <c r="J118" s="2363"/>
      <c r="K118" s="2363"/>
      <c r="L118" s="2363"/>
      <c r="M118" s="2363"/>
      <c r="N118" s="2363"/>
      <c r="O118" s="2363"/>
      <c r="P118" s="2363"/>
      <c r="Q118" s="2363"/>
      <c r="R118" s="2363"/>
      <c r="S118" s="2363"/>
      <c r="T118" s="2363"/>
      <c r="U118" s="2363"/>
      <c r="V118" s="2363"/>
      <c r="W118" s="2363"/>
      <c r="X118" s="2363"/>
      <c r="Y118" s="2363"/>
      <c r="Z118" s="2363"/>
      <c r="AA118" s="2363"/>
      <c r="AB118" s="2363"/>
      <c r="AC118" s="2363"/>
      <c r="AD118" s="2363"/>
      <c r="AE118" s="2363"/>
      <c r="AF118" s="2363"/>
      <c r="AG118" s="2363"/>
      <c r="AH118" s="2363"/>
      <c r="AI118" s="2363"/>
      <c r="AJ118" s="2363"/>
      <c r="AK118" s="2363"/>
      <c r="AL118" s="2363"/>
      <c r="AM118" s="2363"/>
      <c r="AN118" s="2363"/>
      <c r="AO118" s="2363"/>
      <c r="AP118" s="2363"/>
      <c r="AQ118" s="2363"/>
      <c r="AR118" s="2363"/>
      <c r="AS118" s="2363"/>
      <c r="AT118" s="2363"/>
      <c r="AU118" s="2363"/>
      <c r="AV118" s="2363"/>
      <c r="AW118" s="2363"/>
      <c r="AX118" s="2364"/>
      <c r="AY118" s="1206"/>
      <c r="AZ118" s="1206"/>
      <c r="BA118" s="1206"/>
      <c r="BB118" s="1206"/>
      <c r="BC118" s="1206"/>
      <c r="BD118" s="1206"/>
      <c r="BE118" s="1212"/>
    </row>
    <row r="119" spans="1:57" ht="15.75" customHeight="1">
      <c r="A119" s="1206"/>
      <c r="B119" s="2362"/>
      <c r="C119" s="2363"/>
      <c r="D119" s="2363"/>
      <c r="E119" s="2363"/>
      <c r="F119" s="2363"/>
      <c r="G119" s="2363"/>
      <c r="H119" s="2363"/>
      <c r="I119" s="2363"/>
      <c r="J119" s="2363"/>
      <c r="K119" s="2363"/>
      <c r="L119" s="2363"/>
      <c r="M119" s="2363"/>
      <c r="N119" s="2363"/>
      <c r="O119" s="2363"/>
      <c r="P119" s="2363"/>
      <c r="Q119" s="2363"/>
      <c r="R119" s="2363"/>
      <c r="S119" s="2363"/>
      <c r="T119" s="2363"/>
      <c r="U119" s="2363"/>
      <c r="V119" s="2363"/>
      <c r="W119" s="2363"/>
      <c r="X119" s="2363"/>
      <c r="Y119" s="2363"/>
      <c r="Z119" s="2363"/>
      <c r="AA119" s="2363"/>
      <c r="AB119" s="2363"/>
      <c r="AC119" s="2363"/>
      <c r="AD119" s="2363"/>
      <c r="AE119" s="2363"/>
      <c r="AF119" s="2363"/>
      <c r="AG119" s="2363"/>
      <c r="AH119" s="2363"/>
      <c r="AI119" s="2363"/>
      <c r="AJ119" s="2363"/>
      <c r="AK119" s="2363"/>
      <c r="AL119" s="2363"/>
      <c r="AM119" s="2363"/>
      <c r="AN119" s="2363"/>
      <c r="AO119" s="2363"/>
      <c r="AP119" s="2363"/>
      <c r="AQ119" s="2363"/>
      <c r="AR119" s="2363"/>
      <c r="AS119" s="2363"/>
      <c r="AT119" s="2363"/>
      <c r="AU119" s="2363"/>
      <c r="AV119" s="2363"/>
      <c r="AW119" s="2363"/>
      <c r="AX119" s="2364"/>
      <c r="AY119" s="1206"/>
      <c r="AZ119" s="1206"/>
      <c r="BA119" s="1206"/>
      <c r="BB119" s="1206"/>
      <c r="BC119" s="1206"/>
      <c r="BD119" s="1206"/>
      <c r="BE119" s="1212"/>
    </row>
    <row r="120" spans="1:57" ht="15.75" customHeight="1">
      <c r="A120" s="1206"/>
      <c r="B120" s="2362"/>
      <c r="C120" s="2363"/>
      <c r="D120" s="2363"/>
      <c r="E120" s="2363"/>
      <c r="F120" s="2363"/>
      <c r="G120" s="2363"/>
      <c r="H120" s="2363"/>
      <c r="I120" s="2363"/>
      <c r="J120" s="2363"/>
      <c r="K120" s="2363"/>
      <c r="L120" s="2363"/>
      <c r="M120" s="2363"/>
      <c r="N120" s="2363"/>
      <c r="O120" s="2363"/>
      <c r="P120" s="2363"/>
      <c r="Q120" s="2363"/>
      <c r="R120" s="2363"/>
      <c r="S120" s="2363"/>
      <c r="T120" s="2363"/>
      <c r="U120" s="2363"/>
      <c r="V120" s="2363"/>
      <c r="W120" s="2363"/>
      <c r="X120" s="2363"/>
      <c r="Y120" s="2363"/>
      <c r="Z120" s="2363"/>
      <c r="AA120" s="2363"/>
      <c r="AB120" s="2363"/>
      <c r="AC120" s="2363"/>
      <c r="AD120" s="2363"/>
      <c r="AE120" s="2363"/>
      <c r="AF120" s="2363"/>
      <c r="AG120" s="2363"/>
      <c r="AH120" s="2363"/>
      <c r="AI120" s="2363"/>
      <c r="AJ120" s="2363"/>
      <c r="AK120" s="2363"/>
      <c r="AL120" s="2363"/>
      <c r="AM120" s="2363"/>
      <c r="AN120" s="2363"/>
      <c r="AO120" s="2363"/>
      <c r="AP120" s="2363"/>
      <c r="AQ120" s="2363"/>
      <c r="AR120" s="2363"/>
      <c r="AS120" s="2363"/>
      <c r="AT120" s="2363"/>
      <c r="AU120" s="2363"/>
      <c r="AV120" s="2363"/>
      <c r="AW120" s="2363"/>
      <c r="AX120" s="2364"/>
      <c r="AY120" s="1206"/>
      <c r="AZ120" s="1206"/>
      <c r="BA120" s="1206"/>
      <c r="BB120" s="1206"/>
      <c r="BC120" s="1206"/>
      <c r="BD120" s="1206"/>
      <c r="BE120" s="1212"/>
    </row>
    <row r="121" spans="1:57" ht="15.75" customHeight="1" thickBot="1">
      <c r="A121" s="1206"/>
      <c r="B121" s="2365"/>
      <c r="C121" s="2366"/>
      <c r="D121" s="2366"/>
      <c r="E121" s="2366"/>
      <c r="F121" s="2366"/>
      <c r="G121" s="2366"/>
      <c r="H121" s="2366"/>
      <c r="I121" s="2366"/>
      <c r="J121" s="2366"/>
      <c r="K121" s="2366"/>
      <c r="L121" s="2366"/>
      <c r="M121" s="2366"/>
      <c r="N121" s="2366"/>
      <c r="O121" s="2366"/>
      <c r="P121" s="2366"/>
      <c r="Q121" s="2366"/>
      <c r="R121" s="2366"/>
      <c r="S121" s="2366"/>
      <c r="T121" s="2366"/>
      <c r="U121" s="2366"/>
      <c r="V121" s="2366"/>
      <c r="W121" s="2366"/>
      <c r="X121" s="2366"/>
      <c r="Y121" s="2366"/>
      <c r="Z121" s="2366"/>
      <c r="AA121" s="2366"/>
      <c r="AB121" s="2366"/>
      <c r="AC121" s="2366"/>
      <c r="AD121" s="2366"/>
      <c r="AE121" s="2366"/>
      <c r="AF121" s="2366"/>
      <c r="AG121" s="2366"/>
      <c r="AH121" s="2366"/>
      <c r="AI121" s="2366"/>
      <c r="AJ121" s="2366"/>
      <c r="AK121" s="2366"/>
      <c r="AL121" s="2366"/>
      <c r="AM121" s="2366"/>
      <c r="AN121" s="2366"/>
      <c r="AO121" s="2366"/>
      <c r="AP121" s="2366"/>
      <c r="AQ121" s="2366"/>
      <c r="AR121" s="2366"/>
      <c r="AS121" s="2366"/>
      <c r="AT121" s="2366"/>
      <c r="AU121" s="2366"/>
      <c r="AV121" s="2366"/>
      <c r="AW121" s="2366"/>
      <c r="AX121" s="2367"/>
      <c r="AY121" s="1206"/>
      <c r="AZ121" s="1206"/>
      <c r="BA121" s="1206"/>
      <c r="BB121" s="1206"/>
      <c r="BC121" s="1206"/>
      <c r="BD121" s="1206"/>
      <c r="BE121" s="1212"/>
    </row>
    <row r="122" spans="1:57" ht="15.75" customHeight="1">
      <c r="A122" s="1206"/>
      <c r="B122" s="1206"/>
      <c r="C122" s="1206"/>
      <c r="D122" s="1206"/>
      <c r="E122" s="1206"/>
      <c r="F122" s="1206"/>
      <c r="G122" s="1206"/>
      <c r="H122" s="1206"/>
      <c r="I122" s="1206"/>
      <c r="J122" s="1206"/>
      <c r="K122" s="1206"/>
      <c r="L122" s="1206"/>
      <c r="M122" s="1206"/>
      <c r="N122" s="1206"/>
      <c r="O122" s="1206"/>
      <c r="P122" s="1206"/>
      <c r="Q122" s="1206"/>
      <c r="R122" s="1206"/>
      <c r="S122" s="1206"/>
      <c r="T122" s="1206"/>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12"/>
    </row>
    <row r="123" spans="1:57" ht="15.75" customHeight="1">
      <c r="A123" s="1206"/>
      <c r="B123" s="1216" t="s">
        <v>1905</v>
      </c>
      <c r="C123" s="1216"/>
      <c r="D123" s="1216"/>
      <c r="E123" s="1216"/>
      <c r="F123" s="1216"/>
      <c r="G123" s="1216"/>
      <c r="H123" s="1216"/>
      <c r="I123" s="1216"/>
      <c r="J123" s="1216"/>
      <c r="K123" s="1216"/>
      <c r="L123" s="1216"/>
      <c r="M123" s="1216"/>
      <c r="N123" s="1213"/>
      <c r="O123" s="1213"/>
      <c r="P123" s="1206"/>
      <c r="Q123" s="1206"/>
      <c r="R123" s="1206"/>
      <c r="S123" s="1206"/>
      <c r="T123" s="1206"/>
      <c r="U123" s="1206" t="s">
        <v>252</v>
      </c>
      <c r="V123" s="1206"/>
      <c r="W123" s="1206"/>
      <c r="X123" s="1220" t="s">
        <v>2264</v>
      </c>
      <c r="Y123" s="1220"/>
      <c r="Z123" s="1220"/>
      <c r="AA123" s="1220"/>
      <c r="AB123" s="1220"/>
      <c r="AC123" s="1220"/>
      <c r="AD123" s="1220"/>
      <c r="AE123" s="1220"/>
      <c r="AF123" s="1220"/>
      <c r="AG123" s="1220"/>
      <c r="AH123" s="1220"/>
      <c r="AI123" s="1220"/>
      <c r="AJ123" s="1220"/>
      <c r="AK123" s="1221"/>
      <c r="AL123" s="1221"/>
      <c r="AM123" s="1221"/>
      <c r="AN123" s="1206"/>
      <c r="AO123" s="1206"/>
      <c r="AP123" s="1206"/>
      <c r="AQ123" s="1206"/>
      <c r="AR123" s="1206"/>
      <c r="AS123" s="1206"/>
      <c r="AT123" s="1206"/>
      <c r="AU123" s="1206"/>
      <c r="AV123" s="1206"/>
      <c r="AW123" s="1206"/>
      <c r="AX123" s="1206"/>
      <c r="AY123" s="1206"/>
      <c r="AZ123" s="1206"/>
      <c r="BA123" s="1206"/>
      <c r="BB123" s="1206"/>
      <c r="BC123" s="1206"/>
      <c r="BD123" s="1206"/>
      <c r="BE123" s="1212"/>
    </row>
    <row r="124" spans="1:57" ht="15.75" customHeight="1" thickBot="1">
      <c r="A124" s="1206"/>
      <c r="B124" s="1206"/>
      <c r="C124" s="1206"/>
      <c r="D124" s="1206"/>
      <c r="E124" s="1206"/>
      <c r="F124" s="1206"/>
      <c r="G124" s="1206"/>
      <c r="H124" s="1206"/>
      <c r="I124" s="1206"/>
      <c r="J124" s="1206"/>
      <c r="K124" s="1206"/>
      <c r="L124" s="1206"/>
      <c r="M124" s="1206"/>
      <c r="N124" s="1206"/>
      <c r="O124" s="1206"/>
      <c r="P124" s="1213"/>
      <c r="Q124" s="1206"/>
      <c r="R124" s="1206"/>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12"/>
    </row>
    <row r="125" spans="1:57" ht="15.75" customHeight="1">
      <c r="A125" s="1206"/>
      <c r="B125" s="2348" t="s">
        <v>1906</v>
      </c>
      <c r="C125" s="2314"/>
      <c r="D125" s="2314"/>
      <c r="E125" s="2314"/>
      <c r="F125" s="2314"/>
      <c r="G125" s="2314"/>
      <c r="H125" s="2314"/>
      <c r="I125" s="2314"/>
      <c r="J125" s="2314"/>
      <c r="K125" s="2314"/>
      <c r="L125" s="2314"/>
      <c r="M125" s="2314"/>
      <c r="N125" s="2314"/>
      <c r="O125" s="2314"/>
      <c r="P125" s="2314"/>
      <c r="Q125" s="2314"/>
      <c r="R125" s="2314"/>
      <c r="S125" s="2314"/>
      <c r="T125" s="2314"/>
      <c r="U125" s="2315"/>
      <c r="V125" s="1206"/>
      <c r="W125" s="1208"/>
      <c r="X125" s="2348" t="s">
        <v>2265</v>
      </c>
      <c r="Y125" s="2314"/>
      <c r="Z125" s="2314"/>
      <c r="AA125" s="2314"/>
      <c r="AB125" s="2314"/>
      <c r="AC125" s="2314"/>
      <c r="AD125" s="2314"/>
      <c r="AE125" s="2314"/>
      <c r="AF125" s="2314"/>
      <c r="AG125" s="2314"/>
      <c r="AH125" s="2314"/>
      <c r="AI125" s="2314"/>
      <c r="AJ125" s="2314"/>
      <c r="AK125" s="2314"/>
      <c r="AL125" s="2314"/>
      <c r="AM125" s="2314"/>
      <c r="AN125" s="2314"/>
      <c r="AO125" s="2314"/>
      <c r="AP125" s="2314"/>
      <c r="AQ125" s="2315"/>
      <c r="AR125" s="1206"/>
      <c r="AS125" s="1206"/>
      <c r="AT125" s="1206"/>
      <c r="AU125" s="1206"/>
      <c r="AV125" s="1206"/>
      <c r="AW125" s="1206"/>
      <c r="AX125" s="1206"/>
      <c r="AY125" s="1206"/>
      <c r="AZ125" s="1206"/>
      <c r="BA125" s="1206"/>
      <c r="BB125" s="1206"/>
      <c r="BC125" s="1206"/>
      <c r="BD125" s="1206"/>
      <c r="BE125" s="1212"/>
    </row>
    <row r="126" spans="1:57" ht="15.75" customHeight="1">
      <c r="A126" s="1206"/>
      <c r="B126" s="2322"/>
      <c r="C126" s="2323"/>
      <c r="D126" s="2323"/>
      <c r="E126" s="2323"/>
      <c r="F126" s="2323"/>
      <c r="G126" s="2323"/>
      <c r="H126" s="2323"/>
      <c r="I126" s="2354" t="s">
        <v>1895</v>
      </c>
      <c r="J126" s="2354"/>
      <c r="K126" s="2354"/>
      <c r="L126" s="2354"/>
      <c r="M126" s="2354"/>
      <c r="N126" s="2354"/>
      <c r="O126" s="2354"/>
      <c r="P126" s="2354" t="s">
        <v>2266</v>
      </c>
      <c r="Q126" s="2354"/>
      <c r="R126" s="2354"/>
      <c r="S126" s="2354"/>
      <c r="T126" s="2354"/>
      <c r="U126" s="2355"/>
      <c r="V126" s="1206"/>
      <c r="W126" s="1206"/>
      <c r="X126" s="2322"/>
      <c r="Y126" s="2323"/>
      <c r="Z126" s="2323"/>
      <c r="AA126" s="2323"/>
      <c r="AB126" s="2323"/>
      <c r="AC126" s="2323"/>
      <c r="AD126" s="2323"/>
      <c r="AE126" s="2354" t="s">
        <v>1895</v>
      </c>
      <c r="AF126" s="2354"/>
      <c r="AG126" s="2354"/>
      <c r="AH126" s="2354"/>
      <c r="AI126" s="2354"/>
      <c r="AJ126" s="2354"/>
      <c r="AK126" s="2354"/>
      <c r="AL126" s="2354" t="s">
        <v>2260</v>
      </c>
      <c r="AM126" s="2354"/>
      <c r="AN126" s="2354"/>
      <c r="AO126" s="2354"/>
      <c r="AP126" s="2354"/>
      <c r="AQ126" s="2355"/>
      <c r="AR126" s="1206"/>
      <c r="AS126" s="1206"/>
      <c r="AT126" s="1206"/>
      <c r="AU126" s="1206"/>
      <c r="AV126" s="1206"/>
      <c r="AW126" s="1206"/>
      <c r="AX126" s="1206"/>
      <c r="AY126" s="1206"/>
      <c r="AZ126" s="1206"/>
      <c r="BA126" s="1206"/>
      <c r="BB126" s="1206"/>
      <c r="BC126" s="1206"/>
      <c r="BD126" s="1206"/>
      <c r="BE126" s="1212"/>
    </row>
    <row r="127" spans="1:57" ht="15.75" customHeight="1">
      <c r="A127" s="1206"/>
      <c r="B127" s="2322"/>
      <c r="C127" s="2323"/>
      <c r="D127" s="2323"/>
      <c r="E127" s="2323"/>
      <c r="F127" s="2323"/>
      <c r="G127" s="2323"/>
      <c r="H127" s="2323"/>
      <c r="I127" s="2354"/>
      <c r="J127" s="2354"/>
      <c r="K127" s="2354"/>
      <c r="L127" s="2354"/>
      <c r="M127" s="2354"/>
      <c r="N127" s="2354"/>
      <c r="O127" s="2354"/>
      <c r="P127" s="2354"/>
      <c r="Q127" s="2354"/>
      <c r="R127" s="2354"/>
      <c r="S127" s="2354"/>
      <c r="T127" s="2354"/>
      <c r="U127" s="2355"/>
      <c r="V127" s="1206"/>
      <c r="W127" s="1206"/>
      <c r="X127" s="2322"/>
      <c r="Y127" s="2323"/>
      <c r="Z127" s="2323"/>
      <c r="AA127" s="2323"/>
      <c r="AB127" s="2323"/>
      <c r="AC127" s="2323"/>
      <c r="AD127" s="2323"/>
      <c r="AE127" s="2354"/>
      <c r="AF127" s="2354"/>
      <c r="AG127" s="2354"/>
      <c r="AH127" s="2354"/>
      <c r="AI127" s="2354"/>
      <c r="AJ127" s="2354"/>
      <c r="AK127" s="2354"/>
      <c r="AL127" s="2354"/>
      <c r="AM127" s="2354"/>
      <c r="AN127" s="2354"/>
      <c r="AO127" s="2354"/>
      <c r="AP127" s="2354"/>
      <c r="AQ127" s="2355"/>
      <c r="AR127" s="1206"/>
      <c r="AS127" s="1206"/>
      <c r="AT127" s="1206"/>
      <c r="AU127" s="1206"/>
      <c r="AV127" s="1206"/>
      <c r="AW127" s="1206"/>
      <c r="AX127" s="1206"/>
      <c r="AY127" s="1206"/>
      <c r="AZ127" s="1206"/>
      <c r="BA127" s="1206"/>
      <c r="BB127" s="1206"/>
      <c r="BC127" s="1206"/>
      <c r="BD127" s="1206"/>
      <c r="BE127" s="1212"/>
    </row>
    <row r="128" spans="1:57" ht="15.75" customHeight="1" thickBot="1">
      <c r="A128" s="1206"/>
      <c r="B128" s="2350" t="s">
        <v>2248</v>
      </c>
      <c r="C128" s="2351"/>
      <c r="D128" s="2351"/>
      <c r="E128" s="2351"/>
      <c r="F128" s="2351"/>
      <c r="G128" s="2351"/>
      <c r="H128" s="2351"/>
      <c r="I128" s="2352">
        <v>0</v>
      </c>
      <c r="J128" s="2352"/>
      <c r="K128" s="2352"/>
      <c r="L128" s="2352"/>
      <c r="M128" s="2352"/>
      <c r="N128" s="2352"/>
      <c r="O128" s="2352"/>
      <c r="P128" s="2352">
        <v>0</v>
      </c>
      <c r="Q128" s="2352"/>
      <c r="R128" s="2352"/>
      <c r="S128" s="2352"/>
      <c r="T128" s="2352"/>
      <c r="U128" s="2353"/>
      <c r="V128" s="1206"/>
      <c r="W128" s="1206"/>
      <c r="X128" s="2344" t="s">
        <v>2248</v>
      </c>
      <c r="Y128" s="2345"/>
      <c r="Z128" s="2345"/>
      <c r="AA128" s="2345"/>
      <c r="AB128" s="2345"/>
      <c r="AC128" s="2345"/>
      <c r="AD128" s="2345"/>
      <c r="AE128" s="2346">
        <v>0</v>
      </c>
      <c r="AF128" s="2346"/>
      <c r="AG128" s="2346"/>
      <c r="AH128" s="2346"/>
      <c r="AI128" s="2346"/>
      <c r="AJ128" s="2346"/>
      <c r="AK128" s="2346"/>
      <c r="AL128" s="2346">
        <v>0</v>
      </c>
      <c r="AM128" s="2346"/>
      <c r="AN128" s="2346"/>
      <c r="AO128" s="2346"/>
      <c r="AP128" s="2346"/>
      <c r="AQ128" s="2347"/>
      <c r="AR128" s="1206"/>
      <c r="AS128" s="1206"/>
      <c r="AT128" s="1206"/>
      <c r="AU128" s="1206"/>
      <c r="AV128" s="1206"/>
      <c r="AW128" s="1206"/>
      <c r="AX128" s="1206"/>
      <c r="AY128" s="1206"/>
      <c r="AZ128" s="1206"/>
      <c r="BA128" s="1206"/>
      <c r="BB128" s="1206"/>
      <c r="BC128" s="1206"/>
      <c r="BD128" s="1206"/>
      <c r="BE128" s="1212"/>
    </row>
    <row r="129" spans="1:57" ht="15.75" customHeight="1" thickBot="1">
      <c r="A129" s="1206"/>
      <c r="B129" s="2344" t="s">
        <v>2249</v>
      </c>
      <c r="C129" s="2345"/>
      <c r="D129" s="2345"/>
      <c r="E129" s="2345"/>
      <c r="F129" s="2345"/>
      <c r="G129" s="2345"/>
      <c r="H129" s="2345"/>
      <c r="I129" s="2346">
        <v>0</v>
      </c>
      <c r="J129" s="2346"/>
      <c r="K129" s="2346"/>
      <c r="L129" s="2346"/>
      <c r="M129" s="2346"/>
      <c r="N129" s="2346"/>
      <c r="O129" s="2346"/>
      <c r="P129" s="2346">
        <v>0</v>
      </c>
      <c r="Q129" s="2346"/>
      <c r="R129" s="2346"/>
      <c r="S129" s="2346"/>
      <c r="T129" s="2346"/>
      <c r="U129" s="2347"/>
      <c r="V129" s="1206"/>
      <c r="W129" s="1206"/>
      <c r="X129" s="1206"/>
      <c r="Y129" s="1206"/>
      <c r="Z129" s="1206"/>
      <c r="AA129" s="1206"/>
      <c r="AB129" s="1206"/>
      <c r="AC129" s="1206"/>
      <c r="AD129" s="1206"/>
      <c r="AE129" s="1206"/>
      <c r="AF129" s="1206"/>
      <c r="AG129" s="1206"/>
      <c r="AH129" s="1206"/>
      <c r="AI129" s="1206"/>
      <c r="AJ129" s="1206"/>
      <c r="AK129" s="1206"/>
      <c r="AL129" s="1206"/>
      <c r="AM129" s="1206"/>
      <c r="AN129" s="1206"/>
      <c r="AO129" s="1206"/>
      <c r="AP129" s="1206"/>
      <c r="AQ129" s="1206"/>
      <c r="AR129" s="1206"/>
      <c r="AS129" s="1206"/>
      <c r="AT129" s="1206"/>
      <c r="AU129" s="1206"/>
      <c r="AV129" s="1206"/>
      <c r="AW129" s="1206"/>
      <c r="AX129" s="1206"/>
      <c r="AY129" s="1206"/>
      <c r="AZ129" s="1206"/>
      <c r="BA129" s="1206"/>
      <c r="BB129" s="1206"/>
      <c r="BC129" s="1206"/>
      <c r="BD129" s="1206"/>
      <c r="BE129" s="121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1206"/>
      <c r="Y130" s="1206"/>
      <c r="Z130" s="1206"/>
      <c r="AA130" s="1206"/>
      <c r="AB130" s="1206"/>
      <c r="AC130" s="1206"/>
      <c r="AD130" s="1206"/>
      <c r="AE130" s="1206"/>
      <c r="AF130" s="1206"/>
      <c r="AG130" s="1206"/>
      <c r="AH130" s="1206"/>
      <c r="AI130" s="1206"/>
      <c r="AJ130" s="1206"/>
      <c r="AK130" s="1206"/>
      <c r="AL130" s="1206"/>
      <c r="AM130" s="1206"/>
      <c r="AN130" s="1206"/>
      <c r="AO130" s="1206"/>
      <c r="AP130" s="1206"/>
      <c r="AQ130" s="1206"/>
      <c r="AR130" s="1206"/>
      <c r="AS130" s="1206"/>
      <c r="AT130" s="1206"/>
      <c r="AU130" s="1206"/>
      <c r="AV130" s="1206"/>
      <c r="AW130" s="1206"/>
      <c r="AX130" s="1206"/>
      <c r="AY130" s="1206"/>
      <c r="AZ130" s="1206"/>
      <c r="BA130" s="1206"/>
      <c r="BB130" s="1206"/>
      <c r="BC130" s="1206"/>
      <c r="BD130" s="1206"/>
      <c r="BE130" s="1212"/>
    </row>
    <row r="131" spans="1:57" ht="15.75" customHeight="1">
      <c r="A131" s="1206"/>
      <c r="B131" s="1206"/>
      <c r="C131" s="2348" t="s">
        <v>2250</v>
      </c>
      <c r="D131" s="2314"/>
      <c r="E131" s="2314"/>
      <c r="F131" s="2314"/>
      <c r="G131" s="2314"/>
      <c r="H131" s="2314"/>
      <c r="I131" s="2314"/>
      <c r="J131" s="2314"/>
      <c r="K131" s="2314"/>
      <c r="L131" s="2314"/>
      <c r="M131" s="2314"/>
      <c r="N131" s="2314"/>
      <c r="O131" s="2314"/>
      <c r="P131" s="2314"/>
      <c r="Q131" s="2314"/>
      <c r="R131" s="2314"/>
      <c r="S131" s="2314"/>
      <c r="T131" s="2314"/>
      <c r="U131" s="2314"/>
      <c r="V131" s="2314"/>
      <c r="W131" s="2314"/>
      <c r="X131" s="2314"/>
      <c r="Y131" s="2314"/>
      <c r="Z131" s="2314"/>
      <c r="AA131" s="2314"/>
      <c r="AB131" s="2314"/>
      <c r="AC131" s="2314"/>
      <c r="AD131" s="2314"/>
      <c r="AE131" s="2314"/>
      <c r="AF131" s="2314"/>
      <c r="AG131" s="2315"/>
      <c r="AH131" s="1206"/>
      <c r="AI131" s="1206"/>
      <c r="AJ131" s="1206"/>
      <c r="AK131" s="1206"/>
      <c r="AL131" s="1206"/>
      <c r="AM131" s="1206"/>
      <c r="AN131" s="1206"/>
      <c r="AO131" s="1206"/>
      <c r="AP131" s="1206"/>
      <c r="AQ131" s="1206"/>
      <c r="AR131" s="1206"/>
      <c r="AS131" s="1206"/>
      <c r="AT131" s="1206"/>
      <c r="AU131" s="1206"/>
      <c r="AV131" s="1206"/>
      <c r="AW131" s="1206"/>
      <c r="AX131" s="1206"/>
      <c r="AY131" s="1206"/>
      <c r="AZ131" s="1206"/>
      <c r="BA131" s="1206"/>
      <c r="BB131" s="1206"/>
      <c r="BC131" s="1206"/>
      <c r="BD131" s="1206"/>
      <c r="BE131" s="1212"/>
    </row>
    <row r="132" spans="1:57" ht="15.75" customHeight="1">
      <c r="A132" s="1206"/>
      <c r="B132" s="1206"/>
      <c r="C132" s="2322" t="s">
        <v>1907</v>
      </c>
      <c r="D132" s="2323"/>
      <c r="E132" s="2323"/>
      <c r="F132" s="2323"/>
      <c r="G132" s="2323"/>
      <c r="H132" s="2323"/>
      <c r="I132" s="2323"/>
      <c r="J132" s="2323"/>
      <c r="K132" s="2323"/>
      <c r="L132" s="2323"/>
      <c r="M132" s="2323"/>
      <c r="N132" s="2323"/>
      <c r="O132" s="2323"/>
      <c r="P132" s="2323"/>
      <c r="Q132" s="2323" t="s">
        <v>1908</v>
      </c>
      <c r="R132" s="2323"/>
      <c r="S132" s="2323"/>
      <c r="T132" s="2349" t="s">
        <v>2251</v>
      </c>
      <c r="U132" s="2349"/>
      <c r="V132" s="2349"/>
      <c r="W132" s="2349"/>
      <c r="X132" s="2349"/>
      <c r="Y132" s="2349"/>
      <c r="Z132" s="2349"/>
      <c r="AA132" s="2349"/>
      <c r="AB132" s="2323" t="s">
        <v>1909</v>
      </c>
      <c r="AC132" s="2323"/>
      <c r="AD132" s="2323"/>
      <c r="AE132" s="2323"/>
      <c r="AF132" s="2323"/>
      <c r="AG132" s="2324"/>
      <c r="AH132" s="1206"/>
      <c r="AI132" s="1206"/>
      <c r="AJ132" s="1206"/>
      <c r="AK132" s="1206"/>
      <c r="AL132" s="1206"/>
      <c r="AM132" s="1206"/>
      <c r="AN132" s="1206"/>
      <c r="AO132" s="1206"/>
      <c r="AP132" s="1206"/>
      <c r="AQ132" s="1206"/>
      <c r="AR132" s="1206"/>
      <c r="AS132" s="1206"/>
      <c r="AT132" s="1206"/>
      <c r="AU132" s="1206"/>
      <c r="AV132" s="1206"/>
      <c r="AW132" s="1206"/>
      <c r="AX132" s="1206"/>
      <c r="AY132" s="1206"/>
      <c r="AZ132" s="1206"/>
      <c r="BA132" s="1206"/>
      <c r="BB132" s="1206"/>
      <c r="BC132" s="1206"/>
      <c r="BD132" s="1206"/>
      <c r="BE132" s="1212"/>
    </row>
    <row r="133" spans="1:57" ht="15.75" customHeight="1">
      <c r="A133" s="1206"/>
      <c r="B133" s="1206"/>
      <c r="C133" s="2331" t="s">
        <v>1910</v>
      </c>
      <c r="D133" s="2332"/>
      <c r="E133" s="2332"/>
      <c r="F133" s="2332"/>
      <c r="G133" s="2332"/>
      <c r="H133" s="2332"/>
      <c r="I133" s="2332"/>
      <c r="J133" s="2332"/>
      <c r="K133" s="2332"/>
      <c r="L133" s="2332"/>
      <c r="M133" s="2332"/>
      <c r="N133" s="2332"/>
      <c r="O133" s="2332"/>
      <c r="P133" s="2332"/>
      <c r="Q133" s="2279">
        <v>55</v>
      </c>
      <c r="R133" s="2279"/>
      <c r="S133" s="2279"/>
      <c r="T133" s="2316"/>
      <c r="U133" s="2316"/>
      <c r="V133" s="2316"/>
      <c r="W133" s="2316"/>
      <c r="X133" s="2316"/>
      <c r="Y133" s="2316"/>
      <c r="Z133" s="2316"/>
      <c r="AA133" s="2316"/>
      <c r="AB133" s="1224"/>
      <c r="AC133" s="1224"/>
      <c r="AD133" s="1224"/>
      <c r="AE133" s="1224"/>
      <c r="AF133" s="1224"/>
      <c r="AG133" s="1225"/>
      <c r="AH133" s="1206"/>
      <c r="AI133" s="1206"/>
      <c r="AJ133" s="1206"/>
      <c r="AK133" s="1206"/>
      <c r="AL133" s="1206"/>
      <c r="AM133" s="1206"/>
      <c r="AN133" s="1206"/>
      <c r="AO133" s="1206"/>
      <c r="AP133" s="1206" t="s">
        <v>252</v>
      </c>
      <c r="AQ133" s="1206"/>
      <c r="AR133" s="1206"/>
      <c r="AS133" s="1206"/>
      <c r="AT133" s="1206"/>
      <c r="AU133" s="1206"/>
      <c r="AV133" s="1206"/>
      <c r="AW133" s="1206"/>
      <c r="AX133" s="1206"/>
      <c r="AY133" s="1206"/>
      <c r="AZ133" s="1206"/>
      <c r="BA133" s="1206"/>
      <c r="BB133" s="1206"/>
      <c r="BC133" s="1206"/>
      <c r="BD133" s="1206"/>
      <c r="BE133" s="1212"/>
    </row>
    <row r="134" spans="1:57" ht="15.75" customHeight="1">
      <c r="A134" s="1206"/>
      <c r="B134" s="1206"/>
      <c r="C134" s="2331" t="s">
        <v>1911</v>
      </c>
      <c r="D134" s="2332"/>
      <c r="E134" s="2332"/>
      <c r="F134" s="2332"/>
      <c r="G134" s="2332"/>
      <c r="H134" s="2332"/>
      <c r="I134" s="2332"/>
      <c r="J134" s="2332"/>
      <c r="K134" s="2332"/>
      <c r="L134" s="2332"/>
      <c r="M134" s="2332"/>
      <c r="N134" s="2332"/>
      <c r="O134" s="2332"/>
      <c r="P134" s="2332"/>
      <c r="Q134" s="2279">
        <v>55</v>
      </c>
      <c r="R134" s="2279"/>
      <c r="S134" s="2279"/>
      <c r="T134" s="2334"/>
      <c r="U134" s="2334"/>
      <c r="V134" s="2334"/>
      <c r="W134" s="2334"/>
      <c r="X134" s="2334"/>
      <c r="Y134" s="2334"/>
      <c r="Z134" s="2334"/>
      <c r="AA134" s="2334"/>
      <c r="AB134" s="1224"/>
      <c r="AC134" s="1224"/>
      <c r="AD134" s="1224"/>
      <c r="AE134" s="1224"/>
      <c r="AF134" s="1224"/>
      <c r="AG134" s="1225"/>
      <c r="AH134" s="1206"/>
      <c r="AI134" s="1206"/>
      <c r="AJ134" s="1206"/>
      <c r="AK134" s="1206"/>
      <c r="AL134" s="1206"/>
      <c r="AM134" s="1206"/>
      <c r="AN134" s="1206"/>
      <c r="AO134" s="1206"/>
      <c r="AP134" s="1206"/>
      <c r="AQ134" s="1206"/>
      <c r="AR134" s="1206"/>
      <c r="AS134" s="1206"/>
      <c r="AT134" s="1206"/>
      <c r="AU134" s="1206"/>
      <c r="AV134" s="1206"/>
      <c r="AW134" s="1206"/>
      <c r="AX134" s="1206"/>
      <c r="AY134" s="1206"/>
      <c r="AZ134" s="1206"/>
      <c r="BA134" s="1206"/>
      <c r="BB134" s="1206"/>
      <c r="BC134" s="1206"/>
      <c r="BD134" s="1206"/>
      <c r="BE134" s="1212"/>
    </row>
    <row r="135" spans="1:57" ht="15.75" customHeight="1">
      <c r="A135" s="1206"/>
      <c r="B135" s="1206"/>
      <c r="C135" s="2331" t="s">
        <v>1912</v>
      </c>
      <c r="D135" s="2332"/>
      <c r="E135" s="2332"/>
      <c r="F135" s="2332"/>
      <c r="G135" s="2332"/>
      <c r="H135" s="2332"/>
      <c r="I135" s="2332"/>
      <c r="J135" s="2332"/>
      <c r="K135" s="2332"/>
      <c r="L135" s="2332"/>
      <c r="M135" s="2332"/>
      <c r="N135" s="2332"/>
      <c r="O135" s="2332"/>
      <c r="P135" s="2332"/>
      <c r="Q135" s="2279">
        <v>55</v>
      </c>
      <c r="R135" s="2279"/>
      <c r="S135" s="2279"/>
      <c r="T135" s="2316"/>
      <c r="U135" s="2316"/>
      <c r="V135" s="2316"/>
      <c r="W135" s="2316"/>
      <c r="X135" s="2316"/>
      <c r="Y135" s="2316"/>
      <c r="Z135" s="2316"/>
      <c r="AA135" s="2316"/>
      <c r="AB135" s="1224"/>
      <c r="AC135" s="1224"/>
      <c r="AD135" s="1224"/>
      <c r="AE135" s="1224"/>
      <c r="AF135" s="1224"/>
      <c r="AG135" s="1225"/>
      <c r="AH135" s="1206"/>
      <c r="AI135" s="1206"/>
      <c r="AJ135" s="1206"/>
      <c r="AK135" s="1206"/>
      <c r="AL135" s="1206"/>
      <c r="AM135" s="1206"/>
      <c r="AN135" s="1206"/>
      <c r="AO135" s="1206"/>
      <c r="AP135" s="1206"/>
      <c r="AQ135" s="1206"/>
      <c r="AR135" s="1206"/>
      <c r="AS135" s="1206"/>
      <c r="AT135" s="1206"/>
      <c r="AU135" s="1206"/>
      <c r="AV135" s="1206"/>
      <c r="AW135" s="1206"/>
      <c r="AX135" s="1206"/>
      <c r="AY135" s="1206"/>
      <c r="AZ135" s="1206"/>
      <c r="BA135" s="1206"/>
      <c r="BB135" s="1206"/>
      <c r="BC135" s="1206"/>
      <c r="BD135" s="1206"/>
      <c r="BE135" s="1212"/>
    </row>
    <row r="136" spans="1:57" ht="15.75" customHeight="1">
      <c r="A136" s="1206"/>
      <c r="B136" s="1206"/>
      <c r="C136" s="2331" t="s">
        <v>1880</v>
      </c>
      <c r="D136" s="2332"/>
      <c r="E136" s="2332"/>
      <c r="F136" s="2332"/>
      <c r="G136" s="2332"/>
      <c r="H136" s="2332"/>
      <c r="I136" s="2332"/>
      <c r="J136" s="2332"/>
      <c r="K136" s="2332"/>
      <c r="L136" s="2332"/>
      <c r="M136" s="2332"/>
      <c r="N136" s="2332"/>
      <c r="O136" s="2332"/>
      <c r="P136" s="2332"/>
      <c r="Q136" s="2279">
        <v>55</v>
      </c>
      <c r="R136" s="2279"/>
      <c r="S136" s="2279"/>
      <c r="T136" s="2316"/>
      <c r="U136" s="2316"/>
      <c r="V136" s="2316"/>
      <c r="W136" s="2316"/>
      <c r="X136" s="2316"/>
      <c r="Y136" s="2316"/>
      <c r="Z136" s="2316"/>
      <c r="AA136" s="2316"/>
      <c r="AB136" s="2335">
        <v>0</v>
      </c>
      <c r="AC136" s="2335"/>
      <c r="AD136" s="2335"/>
      <c r="AE136" s="2335"/>
      <c r="AF136" s="2335"/>
      <c r="AG136" s="2336"/>
      <c r="AH136" s="1206"/>
      <c r="AI136" s="1206"/>
      <c r="AJ136" s="1206"/>
      <c r="AK136" s="1206"/>
      <c r="AL136" s="1206"/>
      <c r="AM136" s="1206"/>
      <c r="AN136" s="1206"/>
      <c r="AO136" s="1206"/>
      <c r="AP136" s="1206"/>
      <c r="AQ136" s="1206"/>
      <c r="AR136" s="1206"/>
      <c r="AS136" s="1206"/>
      <c r="AT136" s="1206"/>
      <c r="AU136" s="1206"/>
      <c r="AV136" s="1206"/>
      <c r="AW136" s="1206"/>
      <c r="AX136" s="1206"/>
      <c r="AY136" s="1206"/>
      <c r="AZ136" s="1206"/>
      <c r="BA136" s="1206"/>
      <c r="BB136" s="1206"/>
      <c r="BC136" s="1206"/>
      <c r="BD136" s="1206"/>
      <c r="BE136" s="1212"/>
    </row>
    <row r="137" spans="1:57" ht="15.75" customHeight="1">
      <c r="A137" s="1206"/>
      <c r="B137" s="1206"/>
      <c r="C137" s="2331" t="s">
        <v>171</v>
      </c>
      <c r="D137" s="2332"/>
      <c r="E137" s="2332"/>
      <c r="F137" s="2333" t="s">
        <v>1913</v>
      </c>
      <c r="G137" s="2333"/>
      <c r="H137" s="2333"/>
      <c r="I137" s="2333"/>
      <c r="J137" s="2333"/>
      <c r="K137" s="2333"/>
      <c r="L137" s="2333"/>
      <c r="M137" s="2333"/>
      <c r="N137" s="2333"/>
      <c r="O137" s="2333"/>
      <c r="P137" s="2333"/>
      <c r="Q137" s="2279">
        <v>55</v>
      </c>
      <c r="R137" s="2279"/>
      <c r="S137" s="2279"/>
      <c r="T137" s="2334"/>
      <c r="U137" s="2334"/>
      <c r="V137" s="2334"/>
      <c r="W137" s="2334"/>
      <c r="X137" s="2334"/>
      <c r="Y137" s="2334"/>
      <c r="Z137" s="2334"/>
      <c r="AA137" s="2334"/>
      <c r="AB137" s="2335">
        <v>0</v>
      </c>
      <c r="AC137" s="2335"/>
      <c r="AD137" s="2335"/>
      <c r="AE137" s="2335"/>
      <c r="AF137" s="2335"/>
      <c r="AG137" s="2336"/>
      <c r="AH137" s="1206"/>
      <c r="AI137" s="1206"/>
      <c r="AJ137" s="1206"/>
      <c r="AK137" s="1206"/>
      <c r="AL137" s="1206"/>
      <c r="AM137" s="1206"/>
      <c r="AN137" s="1206"/>
      <c r="AO137" s="1206"/>
      <c r="AP137" s="1206"/>
      <c r="AQ137" s="1206"/>
      <c r="AR137" s="1206"/>
      <c r="AS137" s="1206"/>
      <c r="AT137" s="1206"/>
      <c r="AU137" s="1206"/>
      <c r="AV137" s="1206"/>
      <c r="AW137" s="1206"/>
      <c r="AX137" s="1206"/>
      <c r="AY137" s="1206"/>
      <c r="AZ137" s="1206"/>
      <c r="BA137" s="1206"/>
      <c r="BB137" s="1206"/>
      <c r="BC137" s="1206"/>
      <c r="BD137" s="1206"/>
      <c r="BE137" s="1212"/>
    </row>
    <row r="138" spans="1:57" ht="15.75" customHeight="1">
      <c r="A138" s="1206"/>
      <c r="B138" s="1206"/>
      <c r="C138" s="2331" t="s">
        <v>171</v>
      </c>
      <c r="D138" s="2332"/>
      <c r="E138" s="2332"/>
      <c r="F138" s="2333" t="s">
        <v>1913</v>
      </c>
      <c r="G138" s="2333"/>
      <c r="H138" s="2333"/>
      <c r="I138" s="2333"/>
      <c r="J138" s="2333"/>
      <c r="K138" s="2333"/>
      <c r="L138" s="2333"/>
      <c r="M138" s="2333"/>
      <c r="N138" s="2333"/>
      <c r="O138" s="2333"/>
      <c r="P138" s="2333"/>
      <c r="Q138" s="2279">
        <v>55</v>
      </c>
      <c r="R138" s="2279"/>
      <c r="S138" s="2279"/>
      <c r="T138" s="2334"/>
      <c r="U138" s="2334"/>
      <c r="V138" s="2334"/>
      <c r="W138" s="2334"/>
      <c r="X138" s="2334"/>
      <c r="Y138" s="2334"/>
      <c r="Z138" s="2334"/>
      <c r="AA138" s="2334"/>
      <c r="AB138" s="2335">
        <v>0</v>
      </c>
      <c r="AC138" s="2335"/>
      <c r="AD138" s="2335"/>
      <c r="AE138" s="2335"/>
      <c r="AF138" s="2335"/>
      <c r="AG138" s="2336"/>
      <c r="AH138" s="1206"/>
      <c r="AI138" s="1206"/>
      <c r="AJ138" s="1206"/>
      <c r="AK138" s="1206" t="s">
        <v>252</v>
      </c>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12"/>
    </row>
    <row r="139" spans="1:57" ht="15.75" customHeight="1" thickBot="1">
      <c r="A139" s="1206"/>
      <c r="B139" s="1206"/>
      <c r="C139" s="2337" t="s">
        <v>171</v>
      </c>
      <c r="D139" s="2338"/>
      <c r="E139" s="2338"/>
      <c r="F139" s="2339" t="s">
        <v>1913</v>
      </c>
      <c r="G139" s="2339"/>
      <c r="H139" s="2339"/>
      <c r="I139" s="2339"/>
      <c r="J139" s="2339"/>
      <c r="K139" s="2339"/>
      <c r="L139" s="2339"/>
      <c r="M139" s="2339"/>
      <c r="N139" s="2339"/>
      <c r="O139" s="2339"/>
      <c r="P139" s="2339"/>
      <c r="Q139" s="2340">
        <v>55</v>
      </c>
      <c r="R139" s="2340"/>
      <c r="S139" s="2340"/>
      <c r="T139" s="2341"/>
      <c r="U139" s="2341"/>
      <c r="V139" s="2341"/>
      <c r="W139" s="2341"/>
      <c r="X139" s="2341"/>
      <c r="Y139" s="2341"/>
      <c r="Z139" s="2341"/>
      <c r="AA139" s="2341"/>
      <c r="AB139" s="2342">
        <v>0</v>
      </c>
      <c r="AC139" s="2342"/>
      <c r="AD139" s="2342"/>
      <c r="AE139" s="2342"/>
      <c r="AF139" s="2342"/>
      <c r="AG139" s="2343"/>
      <c r="AH139" s="1206"/>
      <c r="AI139" s="1206"/>
      <c r="AJ139" s="1206"/>
      <c r="AK139" s="1206"/>
      <c r="AL139" s="1206"/>
      <c r="AM139" s="1206"/>
      <c r="AN139" s="1206"/>
      <c r="AO139" s="1206"/>
      <c r="AP139" s="1206"/>
      <c r="AQ139" s="1206"/>
      <c r="AR139" s="1206"/>
      <c r="AS139" s="1206"/>
      <c r="AT139" s="1206"/>
      <c r="AU139" s="1206"/>
      <c r="AV139" s="1206"/>
      <c r="AW139" s="1206"/>
      <c r="AX139" s="1206"/>
      <c r="AY139" s="1206"/>
      <c r="AZ139" s="1206"/>
      <c r="BA139" s="1206"/>
      <c r="BB139" s="1206"/>
      <c r="BC139" s="1206"/>
      <c r="BD139" s="1206"/>
      <c r="BE139" s="1212"/>
    </row>
    <row r="140" spans="1:57" ht="15.75" customHeight="1" thickBot="1">
      <c r="A140" s="1206"/>
      <c r="B140" s="1206"/>
      <c r="C140" s="1206"/>
      <c r="D140" s="1206"/>
      <c r="E140" s="1206"/>
      <c r="F140" s="1206"/>
      <c r="G140" s="1206"/>
      <c r="H140" s="1206"/>
      <c r="I140" s="1206"/>
      <c r="J140" s="1206"/>
      <c r="K140" s="1206"/>
      <c r="L140" s="1206"/>
      <c r="M140" s="1206"/>
      <c r="N140" s="1206"/>
      <c r="O140" s="1206"/>
      <c r="P140" s="1206"/>
      <c r="Q140" s="1206"/>
      <c r="R140" s="1206"/>
      <c r="S140" s="1206"/>
      <c r="T140" s="1206"/>
      <c r="U140" s="1206"/>
      <c r="V140" s="1206"/>
      <c r="W140" s="1206"/>
      <c r="X140" s="1206"/>
      <c r="Y140" s="1206"/>
      <c r="Z140" s="1206"/>
      <c r="AA140" s="1206"/>
      <c r="AB140" s="1206"/>
      <c r="AC140" s="1206"/>
      <c r="AD140" s="1206"/>
      <c r="AE140" s="1206"/>
      <c r="AF140" s="1206"/>
      <c r="AG140" s="1206"/>
      <c r="AH140" s="1206"/>
      <c r="AI140" s="1206"/>
      <c r="AJ140" s="1206"/>
      <c r="AK140" s="1206"/>
      <c r="AL140" s="1206"/>
      <c r="AM140" s="1206"/>
      <c r="AN140" s="1206"/>
      <c r="AO140" s="1206"/>
      <c r="AP140" s="1206"/>
      <c r="AQ140" s="1206"/>
      <c r="AR140" s="1206"/>
      <c r="AS140" s="1206"/>
      <c r="AT140" s="1206"/>
      <c r="AU140" s="1206"/>
      <c r="AV140" s="1206"/>
      <c r="AW140" s="1206"/>
      <c r="AX140" s="1206"/>
      <c r="AY140" s="1206"/>
      <c r="AZ140" s="1206"/>
      <c r="BA140" s="1206"/>
      <c r="BB140" s="1206"/>
      <c r="BC140" s="1206"/>
      <c r="BD140" s="1206"/>
      <c r="BE140" s="1212"/>
    </row>
    <row r="141" spans="1:57" ht="15.75" customHeight="1">
      <c r="A141" s="1206"/>
      <c r="B141" s="1206"/>
      <c r="C141" s="2312" t="s">
        <v>1914</v>
      </c>
      <c r="D141" s="2313"/>
      <c r="E141" s="2313"/>
      <c r="F141" s="2313"/>
      <c r="G141" s="2313"/>
      <c r="H141" s="2313"/>
      <c r="I141" s="2313"/>
      <c r="J141" s="2313"/>
      <c r="K141" s="2313"/>
      <c r="L141" s="2313"/>
      <c r="M141" s="2313"/>
      <c r="N141" s="2318"/>
      <c r="O141" s="1206"/>
      <c r="P141" s="2319" t="s">
        <v>1915</v>
      </c>
      <c r="Q141" s="2320"/>
      <c r="R141" s="2320"/>
      <c r="S141" s="2320"/>
      <c r="T141" s="2320"/>
      <c r="U141" s="2320"/>
      <c r="V141" s="2320"/>
      <c r="W141" s="2320"/>
      <c r="X141" s="2320"/>
      <c r="Y141" s="2320"/>
      <c r="Z141" s="2320"/>
      <c r="AA141" s="2320"/>
      <c r="AB141" s="2320"/>
      <c r="AC141" s="2320"/>
      <c r="AD141" s="2320"/>
      <c r="AE141" s="2320"/>
      <c r="AF141" s="2320"/>
      <c r="AG141" s="2320"/>
      <c r="AH141" s="2320"/>
      <c r="AI141" s="2320"/>
      <c r="AJ141" s="2320"/>
      <c r="AK141" s="2320"/>
      <c r="AL141" s="2320"/>
      <c r="AM141" s="2320"/>
      <c r="AN141" s="2320"/>
      <c r="AO141" s="2321"/>
      <c r="AP141" s="1206"/>
      <c r="AQ141" s="1206"/>
      <c r="AR141" s="1206"/>
      <c r="AS141" s="1206"/>
      <c r="AT141" s="1206"/>
      <c r="AU141" s="1206"/>
      <c r="AV141" s="1206"/>
      <c r="AW141" s="1206"/>
      <c r="AX141" s="1206"/>
      <c r="AY141" s="1206"/>
      <c r="AZ141" s="1206"/>
      <c r="BA141" s="1206"/>
      <c r="BB141" s="1206"/>
      <c r="BC141" s="1206"/>
      <c r="BD141" s="1206"/>
      <c r="BE141" s="1212"/>
    </row>
    <row r="142" spans="1:57" ht="15.75" customHeight="1">
      <c r="A142" s="1206"/>
      <c r="B142" s="1206"/>
      <c r="C142" s="2322" t="s">
        <v>1916</v>
      </c>
      <c r="D142" s="2323"/>
      <c r="E142" s="2323"/>
      <c r="F142" s="2323"/>
      <c r="G142" s="2323"/>
      <c r="H142" s="2323"/>
      <c r="I142" s="2323" t="s">
        <v>1917</v>
      </c>
      <c r="J142" s="2323"/>
      <c r="K142" s="2323"/>
      <c r="L142" s="2323"/>
      <c r="M142" s="2323"/>
      <c r="N142" s="2324"/>
      <c r="O142" s="1206"/>
      <c r="P142" s="2325" t="s">
        <v>2259</v>
      </c>
      <c r="Q142" s="2326"/>
      <c r="R142" s="2326"/>
      <c r="S142" s="2326"/>
      <c r="T142" s="2326"/>
      <c r="U142" s="2326"/>
      <c r="V142" s="2326"/>
      <c r="W142" s="2326"/>
      <c r="X142" s="2326"/>
      <c r="Y142" s="2326"/>
      <c r="Z142" s="2326"/>
      <c r="AA142" s="2326"/>
      <c r="AB142" s="2326"/>
      <c r="AC142" s="2326"/>
      <c r="AD142" s="2326"/>
      <c r="AE142" s="2326"/>
      <c r="AF142" s="2326"/>
      <c r="AG142" s="2326"/>
      <c r="AH142" s="2326"/>
      <c r="AI142" s="2326"/>
      <c r="AJ142" s="2326"/>
      <c r="AK142" s="2326"/>
      <c r="AL142" s="2326"/>
      <c r="AM142" s="2326"/>
      <c r="AN142" s="2326"/>
      <c r="AO142" s="2327"/>
      <c r="AP142" s="1206"/>
      <c r="AQ142" s="1206"/>
      <c r="AR142" s="1206"/>
      <c r="AS142" s="1206"/>
      <c r="AT142" s="1206"/>
      <c r="AU142" s="1206"/>
      <c r="AV142" s="1206"/>
      <c r="AW142" s="1206"/>
      <c r="AX142" s="1206"/>
      <c r="AY142" s="1206"/>
      <c r="AZ142" s="1206"/>
      <c r="BA142" s="1206"/>
      <c r="BB142" s="1206"/>
      <c r="BC142" s="1206"/>
      <c r="BD142" s="1206"/>
      <c r="BE142" s="1212"/>
    </row>
    <row r="143" spans="1:57" ht="15.75" customHeight="1">
      <c r="A143" s="1206"/>
      <c r="B143" s="1206"/>
      <c r="C143" s="2272"/>
      <c r="D143" s="2273"/>
      <c r="E143" s="2273"/>
      <c r="F143" s="2273"/>
      <c r="G143" s="2273"/>
      <c r="H143" s="2273"/>
      <c r="I143" s="2316"/>
      <c r="J143" s="2316"/>
      <c r="K143" s="2316"/>
      <c r="L143" s="2316"/>
      <c r="M143" s="2316"/>
      <c r="N143" s="2317"/>
      <c r="O143" s="1206"/>
      <c r="P143" s="2325"/>
      <c r="Q143" s="2326"/>
      <c r="R143" s="2326"/>
      <c r="S143" s="2326"/>
      <c r="T143" s="2326"/>
      <c r="U143" s="2326"/>
      <c r="V143" s="2326"/>
      <c r="W143" s="2326"/>
      <c r="X143" s="2326"/>
      <c r="Y143" s="2326"/>
      <c r="Z143" s="2326"/>
      <c r="AA143" s="2326"/>
      <c r="AB143" s="2326"/>
      <c r="AC143" s="2326"/>
      <c r="AD143" s="2326"/>
      <c r="AE143" s="2326"/>
      <c r="AF143" s="2326"/>
      <c r="AG143" s="2326"/>
      <c r="AH143" s="2326"/>
      <c r="AI143" s="2326"/>
      <c r="AJ143" s="2326"/>
      <c r="AK143" s="2326"/>
      <c r="AL143" s="2326"/>
      <c r="AM143" s="2326"/>
      <c r="AN143" s="2326"/>
      <c r="AO143" s="2327"/>
      <c r="AP143" s="1206"/>
      <c r="AQ143" s="1206"/>
      <c r="AR143" s="1206"/>
      <c r="AS143" s="1206"/>
      <c r="AT143" s="1206"/>
      <c r="AU143" s="1206"/>
      <c r="AV143" s="1206"/>
      <c r="AW143" s="1206"/>
      <c r="AX143" s="1206"/>
      <c r="AY143" s="1206"/>
      <c r="AZ143" s="1206"/>
      <c r="BA143" s="1206"/>
      <c r="BB143" s="1206"/>
      <c r="BC143" s="1206"/>
      <c r="BD143" s="1206"/>
      <c r="BE143" s="1212"/>
    </row>
    <row r="144" spans="1:57" ht="15.75" customHeight="1">
      <c r="A144" s="1206"/>
      <c r="B144" s="1206"/>
      <c r="C144" s="2272"/>
      <c r="D144" s="2273"/>
      <c r="E144" s="2273"/>
      <c r="F144" s="2273"/>
      <c r="G144" s="2273"/>
      <c r="H144" s="2273"/>
      <c r="I144" s="2316"/>
      <c r="J144" s="2316"/>
      <c r="K144" s="2316"/>
      <c r="L144" s="2316"/>
      <c r="M144" s="2316"/>
      <c r="N144" s="2317"/>
      <c r="O144" s="1206"/>
      <c r="P144" s="2325"/>
      <c r="Q144" s="2326"/>
      <c r="R144" s="2326"/>
      <c r="S144" s="2326"/>
      <c r="T144" s="2326"/>
      <c r="U144" s="2326"/>
      <c r="V144" s="2326"/>
      <c r="W144" s="2326"/>
      <c r="X144" s="2326"/>
      <c r="Y144" s="2326"/>
      <c r="Z144" s="2326"/>
      <c r="AA144" s="2326"/>
      <c r="AB144" s="2326"/>
      <c r="AC144" s="2326"/>
      <c r="AD144" s="2326"/>
      <c r="AE144" s="2326"/>
      <c r="AF144" s="2326"/>
      <c r="AG144" s="2326"/>
      <c r="AH144" s="2326"/>
      <c r="AI144" s="2326"/>
      <c r="AJ144" s="2326"/>
      <c r="AK144" s="2326"/>
      <c r="AL144" s="2326"/>
      <c r="AM144" s="2326"/>
      <c r="AN144" s="2326"/>
      <c r="AO144" s="2327"/>
      <c r="AP144" s="1206"/>
      <c r="AQ144" s="1206"/>
      <c r="AR144" s="1206"/>
      <c r="AS144" s="1206"/>
      <c r="AT144" s="1206"/>
      <c r="AU144" s="1206"/>
      <c r="AV144" s="1206"/>
      <c r="AW144" s="1206"/>
      <c r="AX144" s="1206"/>
      <c r="AY144" s="1206"/>
      <c r="AZ144" s="1206"/>
      <c r="BA144" s="1206"/>
      <c r="BB144" s="1206"/>
      <c r="BC144" s="1206"/>
      <c r="BD144" s="1206"/>
      <c r="BE144" s="1212"/>
    </row>
    <row r="145" spans="1:57" ht="15.75" customHeight="1">
      <c r="A145" s="1206"/>
      <c r="B145" s="1206"/>
      <c r="C145" s="2272"/>
      <c r="D145" s="2273"/>
      <c r="E145" s="2273"/>
      <c r="F145" s="2273"/>
      <c r="G145" s="2273"/>
      <c r="H145" s="2273"/>
      <c r="I145" s="2316"/>
      <c r="J145" s="2316"/>
      <c r="K145" s="2316"/>
      <c r="L145" s="2316"/>
      <c r="M145" s="2316"/>
      <c r="N145" s="2317"/>
      <c r="O145" s="1206"/>
      <c r="P145" s="2325"/>
      <c r="Q145" s="2326"/>
      <c r="R145" s="2326"/>
      <c r="S145" s="2326"/>
      <c r="T145" s="2326"/>
      <c r="U145" s="2326"/>
      <c r="V145" s="2326"/>
      <c r="W145" s="2326"/>
      <c r="X145" s="2326"/>
      <c r="Y145" s="2326"/>
      <c r="Z145" s="2326"/>
      <c r="AA145" s="2326"/>
      <c r="AB145" s="2326"/>
      <c r="AC145" s="2326"/>
      <c r="AD145" s="2326"/>
      <c r="AE145" s="2326"/>
      <c r="AF145" s="2326"/>
      <c r="AG145" s="2326"/>
      <c r="AH145" s="2326"/>
      <c r="AI145" s="2326"/>
      <c r="AJ145" s="2326"/>
      <c r="AK145" s="2326"/>
      <c r="AL145" s="2326"/>
      <c r="AM145" s="2326"/>
      <c r="AN145" s="2326"/>
      <c r="AO145" s="2327"/>
      <c r="AP145" s="1206"/>
      <c r="AQ145" s="1206"/>
      <c r="AR145" s="1206"/>
      <c r="AS145" s="1206"/>
      <c r="AT145" s="1206"/>
      <c r="AU145" s="1206"/>
      <c r="AV145" s="1206"/>
      <c r="AW145" s="1206"/>
      <c r="AX145" s="1206"/>
      <c r="AY145" s="1206"/>
      <c r="AZ145" s="1206"/>
      <c r="BA145" s="1206"/>
      <c r="BB145" s="1206"/>
      <c r="BC145" s="1206"/>
      <c r="BD145" s="1206"/>
      <c r="BE145" s="1212"/>
    </row>
    <row r="146" spans="1:57" ht="15.75" customHeight="1">
      <c r="A146" s="1206"/>
      <c r="B146" s="1206"/>
      <c r="C146" s="2272"/>
      <c r="D146" s="2273"/>
      <c r="E146" s="2273"/>
      <c r="F146" s="2273"/>
      <c r="G146" s="2273"/>
      <c r="H146" s="2273"/>
      <c r="I146" s="2316"/>
      <c r="J146" s="2316"/>
      <c r="K146" s="2316"/>
      <c r="L146" s="2316"/>
      <c r="M146" s="2316"/>
      <c r="N146" s="2317"/>
      <c r="O146" s="1206"/>
      <c r="P146" s="2325"/>
      <c r="Q146" s="2326"/>
      <c r="R146" s="2326"/>
      <c r="S146" s="2326"/>
      <c r="T146" s="2326"/>
      <c r="U146" s="2326"/>
      <c r="V146" s="2326"/>
      <c r="W146" s="2326"/>
      <c r="X146" s="2326"/>
      <c r="Y146" s="2326"/>
      <c r="Z146" s="2326"/>
      <c r="AA146" s="2326"/>
      <c r="AB146" s="2326"/>
      <c r="AC146" s="2326"/>
      <c r="AD146" s="2326"/>
      <c r="AE146" s="2326"/>
      <c r="AF146" s="2326"/>
      <c r="AG146" s="2326"/>
      <c r="AH146" s="2326"/>
      <c r="AI146" s="2326"/>
      <c r="AJ146" s="2326"/>
      <c r="AK146" s="2326"/>
      <c r="AL146" s="2326"/>
      <c r="AM146" s="2326"/>
      <c r="AN146" s="2326"/>
      <c r="AO146" s="2327"/>
      <c r="AP146" s="1206"/>
      <c r="AQ146" s="1206"/>
      <c r="AR146" s="1206"/>
      <c r="AS146" s="1206"/>
      <c r="AT146" s="1206"/>
      <c r="AU146" s="1206"/>
      <c r="AV146" s="1206"/>
      <c r="AW146" s="1206"/>
      <c r="AX146" s="1206"/>
      <c r="AY146" s="1206"/>
      <c r="AZ146" s="1206"/>
      <c r="BA146" s="1206"/>
      <c r="BB146" s="1206"/>
      <c r="BC146" s="1206"/>
      <c r="BD146" s="1206"/>
      <c r="BE146" s="1212"/>
    </row>
    <row r="147" spans="1:57" ht="15.75" customHeight="1">
      <c r="A147" s="1206"/>
      <c r="B147" s="1206"/>
      <c r="C147" s="2272"/>
      <c r="D147" s="2273"/>
      <c r="E147" s="2273"/>
      <c r="F147" s="2273"/>
      <c r="G147" s="2273"/>
      <c r="H147" s="2273"/>
      <c r="I147" s="2316"/>
      <c r="J147" s="2316"/>
      <c r="K147" s="2316"/>
      <c r="L147" s="2316"/>
      <c r="M147" s="2316"/>
      <c r="N147" s="2317"/>
      <c r="O147" s="1206"/>
      <c r="P147" s="2325"/>
      <c r="Q147" s="2326"/>
      <c r="R147" s="2326"/>
      <c r="S147" s="2326"/>
      <c r="T147" s="2326"/>
      <c r="U147" s="2326"/>
      <c r="V147" s="2326"/>
      <c r="W147" s="2326"/>
      <c r="X147" s="2326"/>
      <c r="Y147" s="2326"/>
      <c r="Z147" s="2326"/>
      <c r="AA147" s="2326"/>
      <c r="AB147" s="2326"/>
      <c r="AC147" s="2326"/>
      <c r="AD147" s="2326"/>
      <c r="AE147" s="2326"/>
      <c r="AF147" s="2326"/>
      <c r="AG147" s="2326"/>
      <c r="AH147" s="2326"/>
      <c r="AI147" s="2326"/>
      <c r="AJ147" s="2326"/>
      <c r="AK147" s="2326"/>
      <c r="AL147" s="2326"/>
      <c r="AM147" s="2326"/>
      <c r="AN147" s="2326"/>
      <c r="AO147" s="2327"/>
      <c r="AP147" s="1206"/>
      <c r="AQ147" s="1206"/>
      <c r="AR147" s="1206"/>
      <c r="AS147" s="1206"/>
      <c r="AT147" s="1206"/>
      <c r="AU147" s="1206"/>
      <c r="AV147" s="1206"/>
      <c r="AW147" s="1206"/>
      <c r="AX147" s="1206"/>
      <c r="AY147" s="1206"/>
      <c r="AZ147" s="1206"/>
      <c r="BA147" s="1206"/>
      <c r="BB147" s="1206"/>
      <c r="BC147" s="1206"/>
      <c r="BD147" s="1206"/>
      <c r="BE147" s="1212"/>
    </row>
    <row r="148" spans="1:57" ht="15.75" customHeight="1">
      <c r="A148" s="1206"/>
      <c r="B148" s="1206"/>
      <c r="C148" s="2272"/>
      <c r="D148" s="2273"/>
      <c r="E148" s="2273"/>
      <c r="F148" s="2273"/>
      <c r="G148" s="2273"/>
      <c r="H148" s="2273"/>
      <c r="I148" s="2316"/>
      <c r="J148" s="2316"/>
      <c r="K148" s="2316"/>
      <c r="L148" s="2316"/>
      <c r="M148" s="2316"/>
      <c r="N148" s="2317"/>
      <c r="O148" s="1206"/>
      <c r="P148" s="2325"/>
      <c r="Q148" s="2326"/>
      <c r="R148" s="2326"/>
      <c r="S148" s="2326"/>
      <c r="T148" s="2326"/>
      <c r="U148" s="2326"/>
      <c r="V148" s="2326"/>
      <c r="W148" s="2326"/>
      <c r="X148" s="2326"/>
      <c r="Y148" s="2326"/>
      <c r="Z148" s="2326"/>
      <c r="AA148" s="2326"/>
      <c r="AB148" s="2326"/>
      <c r="AC148" s="2326"/>
      <c r="AD148" s="2326"/>
      <c r="AE148" s="2326"/>
      <c r="AF148" s="2326"/>
      <c r="AG148" s="2326"/>
      <c r="AH148" s="2326"/>
      <c r="AI148" s="2326"/>
      <c r="AJ148" s="2326"/>
      <c r="AK148" s="2326"/>
      <c r="AL148" s="2326"/>
      <c r="AM148" s="2326"/>
      <c r="AN148" s="2326"/>
      <c r="AO148" s="2327"/>
      <c r="AP148" s="1206"/>
      <c r="AQ148" s="1206"/>
      <c r="AR148" s="1206"/>
      <c r="AS148" s="1206"/>
      <c r="AT148" s="1206"/>
      <c r="AU148" s="1206"/>
      <c r="AV148" s="1206"/>
      <c r="AW148" s="1206"/>
      <c r="AX148" s="1206"/>
      <c r="AY148" s="1206"/>
      <c r="AZ148" s="1206"/>
      <c r="BA148" s="1206"/>
      <c r="BB148" s="1206"/>
      <c r="BC148" s="1206"/>
      <c r="BD148" s="1206"/>
      <c r="BE148" s="1212"/>
    </row>
    <row r="149" spans="1:57" ht="15.75" customHeight="1" thickBot="1">
      <c r="A149" s="1206"/>
      <c r="B149" s="1206"/>
      <c r="C149" s="2307"/>
      <c r="D149" s="2308"/>
      <c r="E149" s="2308"/>
      <c r="F149" s="2308"/>
      <c r="G149" s="2308"/>
      <c r="H149" s="2308"/>
      <c r="I149" s="2309"/>
      <c r="J149" s="2309"/>
      <c r="K149" s="2309"/>
      <c r="L149" s="2309"/>
      <c r="M149" s="2309"/>
      <c r="N149" s="2310"/>
      <c r="O149" s="1206"/>
      <c r="P149" s="2328"/>
      <c r="Q149" s="2329"/>
      <c r="R149" s="2329"/>
      <c r="S149" s="2329"/>
      <c r="T149" s="2329"/>
      <c r="U149" s="2329"/>
      <c r="V149" s="2329"/>
      <c r="W149" s="2329"/>
      <c r="X149" s="2329"/>
      <c r="Y149" s="2329"/>
      <c r="Z149" s="2329"/>
      <c r="AA149" s="2329"/>
      <c r="AB149" s="2329"/>
      <c r="AC149" s="2329"/>
      <c r="AD149" s="2329"/>
      <c r="AE149" s="2329"/>
      <c r="AF149" s="2329"/>
      <c r="AG149" s="2329"/>
      <c r="AH149" s="2329"/>
      <c r="AI149" s="2329"/>
      <c r="AJ149" s="2329"/>
      <c r="AK149" s="2329"/>
      <c r="AL149" s="2329"/>
      <c r="AM149" s="2329"/>
      <c r="AN149" s="2329"/>
      <c r="AO149" s="2330"/>
      <c r="AP149" s="1206"/>
      <c r="AQ149" s="1206"/>
      <c r="AR149" s="1206"/>
      <c r="AS149" s="1206"/>
      <c r="AT149" s="1206"/>
      <c r="AU149" s="1206"/>
      <c r="AV149" s="1206"/>
      <c r="AW149" s="1206"/>
      <c r="AX149" s="1206"/>
      <c r="AY149" s="1206"/>
      <c r="AZ149" s="1206"/>
      <c r="BA149" s="1206"/>
      <c r="BB149" s="1206"/>
      <c r="BC149" s="1206"/>
      <c r="BD149" s="1206"/>
      <c r="BE149" s="1212"/>
    </row>
    <row r="150" spans="1:57" ht="15.75" customHeight="1">
      <c r="A150" s="1206"/>
      <c r="B150" s="1206"/>
      <c r="C150" s="1206"/>
      <c r="D150" s="1206"/>
      <c r="E150" s="1206"/>
      <c r="F150" s="1206"/>
      <c r="G150" s="1206"/>
      <c r="H150" s="1206"/>
      <c r="I150" s="1206"/>
      <c r="J150" s="1206"/>
      <c r="K150" s="1206"/>
      <c r="L150" s="1206"/>
      <c r="M150" s="1206"/>
      <c r="N150" s="1206"/>
      <c r="O150" s="1206"/>
      <c r="P150" s="1206"/>
      <c r="Q150" s="1206"/>
      <c r="R150" s="1206"/>
      <c r="S150" s="1206"/>
      <c r="T150" s="1206"/>
      <c r="U150" s="1206"/>
      <c r="V150" s="1206"/>
      <c r="W150" s="1206"/>
      <c r="X150" s="1206"/>
      <c r="Y150" s="1206"/>
      <c r="Z150" s="1206"/>
      <c r="AA150" s="1206"/>
      <c r="AB150" s="1206"/>
      <c r="AC150" s="1206"/>
      <c r="AD150" s="1206"/>
      <c r="AE150" s="1206"/>
      <c r="AF150" s="1206"/>
      <c r="AG150" s="1206"/>
      <c r="AH150" s="1206"/>
      <c r="AI150" s="1206"/>
      <c r="AJ150" s="1206"/>
      <c r="AK150" s="1206"/>
      <c r="AL150" s="1206"/>
      <c r="AM150" s="1206"/>
      <c r="AN150" s="1206"/>
      <c r="AO150" s="1206"/>
      <c r="AP150" s="1206"/>
      <c r="AQ150" s="1206"/>
      <c r="AR150" s="1206"/>
      <c r="AS150" s="1206"/>
      <c r="AT150" s="1206"/>
      <c r="AU150" s="1206"/>
      <c r="AV150" s="1206"/>
      <c r="AW150" s="1206"/>
      <c r="AX150" s="1206"/>
      <c r="AY150" s="1206"/>
      <c r="AZ150" s="1206"/>
      <c r="BA150" s="1206"/>
      <c r="BB150" s="1206"/>
      <c r="BC150" s="1206"/>
      <c r="BD150" s="1206"/>
      <c r="BE150" s="1212"/>
    </row>
    <row r="151" spans="1:57" ht="15.75" customHeight="1" thickBot="1">
      <c r="A151" s="1206"/>
      <c r="B151" s="1206"/>
      <c r="C151" s="2311" t="s">
        <v>2596</v>
      </c>
      <c r="D151" s="2311"/>
      <c r="E151" s="2311"/>
      <c r="F151" s="2311"/>
      <c r="G151" s="2311"/>
      <c r="H151" s="2311"/>
      <c r="I151" s="2311"/>
      <c r="J151" s="2311"/>
      <c r="K151" s="2311"/>
      <c r="L151" s="2311"/>
      <c r="M151" s="2311"/>
      <c r="N151" s="2311"/>
      <c r="O151" s="2311"/>
      <c r="P151" s="2311"/>
      <c r="Q151" s="2311"/>
      <c r="R151" s="2311"/>
      <c r="S151" s="2311"/>
      <c r="T151" s="2311"/>
      <c r="U151" s="2311"/>
      <c r="V151" s="2311"/>
      <c r="W151" s="2311"/>
      <c r="X151" s="2311"/>
      <c r="Y151" s="2311"/>
      <c r="Z151" s="2311"/>
      <c r="AA151" s="2311"/>
      <c r="AB151" s="2311"/>
      <c r="AC151" s="2311"/>
      <c r="AD151" s="2311"/>
      <c r="AE151" s="2311"/>
      <c r="AF151" s="1206"/>
      <c r="AG151" s="1206"/>
      <c r="AH151" s="1206"/>
      <c r="AI151" s="1206" t="s">
        <v>252</v>
      </c>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12"/>
    </row>
    <row r="152" spans="1:57" ht="15.75" customHeight="1" thickBot="1">
      <c r="A152" s="1206"/>
      <c r="B152" s="1206"/>
      <c r="C152" s="2311"/>
      <c r="D152" s="2311"/>
      <c r="E152" s="2311"/>
      <c r="F152" s="2311"/>
      <c r="G152" s="2311"/>
      <c r="H152" s="2311"/>
      <c r="I152" s="2311"/>
      <c r="J152" s="2311"/>
      <c r="K152" s="2311"/>
      <c r="L152" s="2311"/>
      <c r="M152" s="2311"/>
      <c r="N152" s="2311"/>
      <c r="O152" s="2311"/>
      <c r="P152" s="2311"/>
      <c r="Q152" s="2311"/>
      <c r="R152" s="2311"/>
      <c r="S152" s="2311"/>
      <c r="T152" s="2311"/>
      <c r="U152" s="2311"/>
      <c r="V152" s="2311"/>
      <c r="W152" s="2311"/>
      <c r="X152" s="2311"/>
      <c r="Y152" s="2311"/>
      <c r="Z152" s="2311"/>
      <c r="AA152" s="2311"/>
      <c r="AB152" s="2311"/>
      <c r="AC152" s="2311"/>
      <c r="AD152" s="2311"/>
      <c r="AE152" s="2311"/>
      <c r="AF152" s="1206"/>
      <c r="AG152" s="1206"/>
      <c r="AH152" s="1226" t="s">
        <v>1919</v>
      </c>
      <c r="AI152" s="1227"/>
      <c r="AJ152" s="1227"/>
      <c r="AK152" s="1227"/>
      <c r="AL152" s="1227"/>
      <c r="AM152" s="1227"/>
      <c r="AN152" s="1227"/>
      <c r="AO152" s="1227"/>
      <c r="AP152" s="1227"/>
      <c r="AQ152" s="1227"/>
      <c r="AR152" s="1228"/>
      <c r="AS152" s="1229">
        <v>0</v>
      </c>
      <c r="AT152" s="1230"/>
      <c r="AU152" s="1230"/>
      <c r="AV152" s="1230"/>
      <c r="AW152" s="1231"/>
      <c r="AX152" s="1206"/>
      <c r="AY152" s="1206"/>
      <c r="AZ152" s="1206"/>
      <c r="BA152" s="1206"/>
      <c r="BB152" s="1206"/>
      <c r="BC152" s="1206"/>
      <c r="BD152" s="1206"/>
      <c r="BE152" s="1212"/>
    </row>
    <row r="153" spans="1:57" ht="15.75" customHeight="1">
      <c r="A153" s="1206"/>
      <c r="B153" s="1206"/>
      <c r="C153" s="2312" t="s">
        <v>1907</v>
      </c>
      <c r="D153" s="2313"/>
      <c r="E153" s="2313"/>
      <c r="F153" s="2313"/>
      <c r="G153" s="2313"/>
      <c r="H153" s="2313"/>
      <c r="I153" s="2313"/>
      <c r="J153" s="2313"/>
      <c r="K153" s="2313"/>
      <c r="L153" s="2313"/>
      <c r="M153" s="2313"/>
      <c r="N153" s="2313" t="s">
        <v>1918</v>
      </c>
      <c r="O153" s="2313"/>
      <c r="P153" s="2313"/>
      <c r="Q153" s="2313"/>
      <c r="R153" s="2313"/>
      <c r="S153" s="2313"/>
      <c r="T153" s="2313"/>
      <c r="U153" s="2314" t="s">
        <v>1907</v>
      </c>
      <c r="V153" s="2314"/>
      <c r="W153" s="2314"/>
      <c r="X153" s="2314"/>
      <c r="Y153" s="2314"/>
      <c r="Z153" s="2314"/>
      <c r="AA153" s="2314"/>
      <c r="AB153" s="2314"/>
      <c r="AC153" s="2314"/>
      <c r="AD153" s="2314"/>
      <c r="AE153" s="2315"/>
      <c r="AF153" s="1206"/>
      <c r="AG153" s="1206"/>
      <c r="AH153" s="1232" t="s">
        <v>1920</v>
      </c>
      <c r="AI153" s="1233"/>
      <c r="AJ153" s="1233"/>
      <c r="AK153" s="1233"/>
      <c r="AL153" s="1233"/>
      <c r="AM153" s="1233"/>
      <c r="AN153" s="1233"/>
      <c r="AO153" s="1233"/>
      <c r="AP153" s="1233"/>
      <c r="AQ153" s="1233"/>
      <c r="AR153" s="1234"/>
      <c r="AS153" s="1235">
        <v>0</v>
      </c>
      <c r="AT153" s="1236"/>
      <c r="AU153" s="1236"/>
      <c r="AV153" s="1236"/>
      <c r="AW153" s="1237"/>
      <c r="AX153" s="1206"/>
      <c r="AY153" s="1206"/>
      <c r="AZ153" s="1206"/>
      <c r="BA153" s="1206"/>
      <c r="BB153" s="1206"/>
      <c r="BC153" s="1206"/>
      <c r="BD153" s="1206"/>
      <c r="BE153" s="1212"/>
    </row>
    <row r="154" spans="1:57" ht="15.75" customHeight="1">
      <c r="A154" s="1206"/>
      <c r="B154" s="1206"/>
      <c r="C154" s="2284" t="s">
        <v>2597</v>
      </c>
      <c r="D154" s="2285"/>
      <c r="E154" s="2285"/>
      <c r="F154" s="2285"/>
      <c r="G154" s="2285"/>
      <c r="H154" s="2285"/>
      <c r="I154" s="2285"/>
      <c r="J154" s="2285"/>
      <c r="K154" s="2285"/>
      <c r="L154" s="2285"/>
      <c r="M154" s="2285"/>
      <c r="N154" s="2301">
        <f>'Sources and Uses Budget'!B105</f>
        <v>100535241.86501113</v>
      </c>
      <c r="O154" s="2301"/>
      <c r="P154" s="2301"/>
      <c r="Q154" s="2301"/>
      <c r="R154" s="2301"/>
      <c r="S154" s="2301"/>
      <c r="T154" s="2301"/>
      <c r="U154" s="2302"/>
      <c r="V154" s="2302"/>
      <c r="W154" s="2302"/>
      <c r="X154" s="2302"/>
      <c r="Y154" s="2302"/>
      <c r="Z154" s="2302"/>
      <c r="AA154" s="2302"/>
      <c r="AB154" s="2302"/>
      <c r="AC154" s="2302"/>
      <c r="AD154" s="2302"/>
      <c r="AE154" s="2303"/>
      <c r="AF154" s="1206"/>
      <c r="AG154" s="1206"/>
      <c r="AH154" s="1232" t="s">
        <v>2598</v>
      </c>
      <c r="AI154" s="1233"/>
      <c r="AJ154" s="1233"/>
      <c r="AK154" s="1233"/>
      <c r="AL154" s="1233"/>
      <c r="AM154" s="1233"/>
      <c r="AN154" s="1233"/>
      <c r="AO154" s="1233"/>
      <c r="AP154" s="1233"/>
      <c r="AQ154" s="1233"/>
      <c r="AR154" s="1234"/>
      <c r="AS154" s="1235">
        <v>0</v>
      </c>
      <c r="AT154" s="1236"/>
      <c r="AU154" s="1236"/>
      <c r="AV154" s="1236"/>
      <c r="AW154" s="1237"/>
      <c r="AX154" s="1206"/>
      <c r="AY154" s="1206"/>
      <c r="AZ154" s="1206"/>
      <c r="BA154" s="1206"/>
      <c r="BB154" s="1206"/>
      <c r="BC154" s="1206"/>
      <c r="BD154" s="1206"/>
      <c r="BE154" s="1212"/>
    </row>
    <row r="155" spans="1:57" ht="15.75" customHeight="1">
      <c r="A155" s="1206"/>
      <c r="B155" s="1206"/>
      <c r="C155" s="2284" t="s">
        <v>2599</v>
      </c>
      <c r="D155" s="2285"/>
      <c r="E155" s="2285"/>
      <c r="F155" s="2285"/>
      <c r="G155" s="2285"/>
      <c r="H155" s="2285"/>
      <c r="I155" s="2285"/>
      <c r="J155" s="2285"/>
      <c r="K155" s="2285"/>
      <c r="L155" s="2285"/>
      <c r="M155" s="2285"/>
      <c r="N155" s="2301">
        <f>N154/J29</f>
        <v>581128.56569370592</v>
      </c>
      <c r="O155" s="2301"/>
      <c r="P155" s="2301"/>
      <c r="Q155" s="2301"/>
      <c r="R155" s="2301"/>
      <c r="S155" s="2301"/>
      <c r="T155" s="2301"/>
      <c r="U155" s="1238"/>
      <c r="V155" s="1238"/>
      <c r="W155" s="1238"/>
      <c r="X155" s="1238"/>
      <c r="Y155" s="1238"/>
      <c r="Z155" s="1238"/>
      <c r="AA155" s="1238"/>
      <c r="AB155" s="1238"/>
      <c r="AC155" s="1238"/>
      <c r="AD155" s="1238"/>
      <c r="AE155" s="1239"/>
      <c r="AF155" s="1206"/>
      <c r="AG155" s="1206"/>
      <c r="AH155" s="1240"/>
      <c r="AI155" s="1241"/>
      <c r="AJ155" s="1241"/>
      <c r="AK155" s="1241"/>
      <c r="AL155" s="1241"/>
      <c r="AM155" s="1241"/>
      <c r="AN155" s="1241"/>
      <c r="AO155" s="1241"/>
      <c r="AP155" s="1241"/>
      <c r="AQ155" s="1241"/>
      <c r="AR155" s="1242"/>
      <c r="AS155" s="1243"/>
      <c r="AT155" s="1244"/>
      <c r="AU155" s="1244"/>
      <c r="AV155" s="1244"/>
      <c r="AW155" s="1245"/>
      <c r="AX155" s="1206"/>
      <c r="AY155" s="1206"/>
      <c r="AZ155" s="1206"/>
      <c r="BA155" s="1206"/>
      <c r="BB155" s="1206"/>
      <c r="BC155" s="1206"/>
      <c r="BD155" s="1206"/>
      <c r="BE155" s="1212"/>
    </row>
    <row r="156" spans="1:57" ht="15.75" customHeight="1" thickBot="1">
      <c r="A156" s="1206"/>
      <c r="B156" s="1206"/>
      <c r="C156" s="2304" t="s">
        <v>2600</v>
      </c>
      <c r="D156" s="2305"/>
      <c r="E156" s="2305"/>
      <c r="F156" s="2305"/>
      <c r="G156" s="2305"/>
      <c r="H156" s="2305"/>
      <c r="I156" s="2305"/>
      <c r="J156" s="2305"/>
      <c r="K156" s="2305"/>
      <c r="L156" s="2305"/>
      <c r="M156" s="2305"/>
      <c r="N156" s="2306">
        <v>0</v>
      </c>
      <c r="O156" s="2306"/>
      <c r="P156" s="2306"/>
      <c r="Q156" s="2306"/>
      <c r="R156" s="2306"/>
      <c r="S156" s="2306"/>
      <c r="T156" s="2306"/>
      <c r="U156" s="2276"/>
      <c r="V156" s="2276"/>
      <c r="W156" s="2276"/>
      <c r="X156" s="2276"/>
      <c r="Y156" s="2276"/>
      <c r="Z156" s="2276"/>
      <c r="AA156" s="2276"/>
      <c r="AB156" s="2276"/>
      <c r="AC156" s="2276"/>
      <c r="AD156" s="2276"/>
      <c r="AE156" s="2277"/>
      <c r="AF156" s="1206"/>
      <c r="AG156" s="1206"/>
      <c r="AH156" s="2286" t="s">
        <v>2267</v>
      </c>
      <c r="AI156" s="2287"/>
      <c r="AJ156" s="2287"/>
      <c r="AK156" s="2287"/>
      <c r="AL156" s="2287"/>
      <c r="AM156" s="2287"/>
      <c r="AN156" s="2287"/>
      <c r="AO156" s="2287"/>
      <c r="AP156" s="2287"/>
      <c r="AQ156" s="2287"/>
      <c r="AR156" s="2287"/>
      <c r="AS156" s="2288">
        <f>SUM(AS152:AW154)</f>
        <v>0</v>
      </c>
      <c r="AT156" s="2288"/>
      <c r="AU156" s="2288"/>
      <c r="AV156" s="2288"/>
      <c r="AW156" s="2289"/>
      <c r="AX156" s="1206"/>
      <c r="AY156" s="1206"/>
      <c r="AZ156" s="1206"/>
      <c r="BA156" s="1206"/>
      <c r="BB156" s="1206"/>
      <c r="BC156" s="1206"/>
      <c r="BD156" s="1206"/>
      <c r="BE156" s="1212"/>
    </row>
    <row r="157" spans="1:57" ht="15.75" customHeight="1" thickBot="1">
      <c r="A157" s="1206"/>
      <c r="B157" s="1206"/>
      <c r="C157" s="2284" t="s">
        <v>2601</v>
      </c>
      <c r="D157" s="2285"/>
      <c r="E157" s="2285"/>
      <c r="F157" s="2285"/>
      <c r="G157" s="2285"/>
      <c r="H157" s="2285"/>
      <c r="I157" s="2285"/>
      <c r="J157" s="2285"/>
      <c r="K157" s="2285"/>
      <c r="L157" s="2285"/>
      <c r="M157" s="2285"/>
      <c r="N157" s="2290">
        <f>SUM('Sources and Uses Budget'!B85:B86)</f>
        <v>2083757.2051685394</v>
      </c>
      <c r="O157" s="2290"/>
      <c r="P157" s="2290"/>
      <c r="Q157" s="2290"/>
      <c r="R157" s="2290"/>
      <c r="S157" s="2290"/>
      <c r="T157" s="2290"/>
      <c r="U157" s="2276"/>
      <c r="V157" s="2276"/>
      <c r="W157" s="2276"/>
      <c r="X157" s="2276"/>
      <c r="Y157" s="2276"/>
      <c r="Z157" s="2276"/>
      <c r="AA157" s="2276"/>
      <c r="AB157" s="2276"/>
      <c r="AC157" s="2276"/>
      <c r="AD157" s="2276"/>
      <c r="AE157" s="2277"/>
      <c r="AF157" s="1206"/>
      <c r="AG157" s="1206"/>
      <c r="AH157" s="1246" t="s">
        <v>2602</v>
      </c>
      <c r="AI157" s="1206"/>
      <c r="AJ157" s="1206"/>
      <c r="AK157" s="1206"/>
      <c r="AL157" s="1206"/>
      <c r="AM157" s="1206"/>
      <c r="AN157" s="1206"/>
      <c r="AO157" s="1206"/>
      <c r="AP157" s="1206"/>
      <c r="AQ157" s="1206"/>
      <c r="AR157" s="1206"/>
      <c r="AS157" s="1206"/>
      <c r="AT157" s="1206"/>
      <c r="AU157" s="1206"/>
      <c r="AV157" s="1206"/>
      <c r="AW157" s="1206"/>
      <c r="AX157" s="1206"/>
      <c r="AY157" s="1206"/>
      <c r="AZ157" s="1206"/>
      <c r="BA157" s="1206"/>
      <c r="BB157" s="1206"/>
      <c r="BC157" s="1206"/>
      <c r="BD157" s="1206"/>
      <c r="BE157" s="1212"/>
    </row>
    <row r="158" spans="1:57" ht="15.75" customHeight="1">
      <c r="A158" s="1206"/>
      <c r="B158" s="1206"/>
      <c r="C158" s="2284" t="s">
        <v>2603</v>
      </c>
      <c r="D158" s="2285"/>
      <c r="E158" s="2285"/>
      <c r="F158" s="2285"/>
      <c r="G158" s="2285"/>
      <c r="H158" s="2285"/>
      <c r="I158" s="2285"/>
      <c r="J158" s="2285"/>
      <c r="K158" s="2285"/>
      <c r="L158" s="2285"/>
      <c r="M158" s="2285"/>
      <c r="N158" s="2290">
        <f>'Sources and Uses Budget'!B8</f>
        <v>10875300</v>
      </c>
      <c r="O158" s="2290"/>
      <c r="P158" s="2290"/>
      <c r="Q158" s="2290"/>
      <c r="R158" s="2290"/>
      <c r="S158" s="2290"/>
      <c r="T158" s="2290"/>
      <c r="U158" s="2276"/>
      <c r="V158" s="2276"/>
      <c r="W158" s="2276"/>
      <c r="X158" s="2276"/>
      <c r="Y158" s="2276"/>
      <c r="Z158" s="2276"/>
      <c r="AA158" s="2276"/>
      <c r="AB158" s="2276"/>
      <c r="AC158" s="2276"/>
      <c r="AD158" s="2276"/>
      <c r="AE158" s="2277"/>
      <c r="AF158" s="1206"/>
      <c r="AG158" s="1206"/>
      <c r="AH158" s="2291" t="s">
        <v>2604</v>
      </c>
      <c r="AI158" s="2292"/>
      <c r="AJ158" s="2292"/>
      <c r="AK158" s="2292"/>
      <c r="AL158" s="2292"/>
      <c r="AM158" s="2292"/>
      <c r="AN158" s="2292"/>
      <c r="AO158" s="2292"/>
      <c r="AP158" s="2292"/>
      <c r="AQ158" s="2292"/>
      <c r="AR158" s="2293"/>
      <c r="AS158" s="2297" t="s">
        <v>2605</v>
      </c>
      <c r="AT158" s="2280"/>
      <c r="AU158" s="2280"/>
      <c r="AV158" s="2280"/>
      <c r="AW158" s="2280"/>
      <c r="AX158" s="2298"/>
      <c r="AY158" s="2280" t="s">
        <v>2606</v>
      </c>
      <c r="AZ158" s="2280"/>
      <c r="BA158" s="2280"/>
      <c r="BB158" s="2280"/>
      <c r="BC158" s="2280"/>
      <c r="BD158" s="2281"/>
      <c r="BE158" s="1212"/>
    </row>
    <row r="159" spans="1:57" ht="15.75" customHeight="1">
      <c r="A159" s="1206"/>
      <c r="B159" s="1206"/>
      <c r="C159" s="2284" t="s">
        <v>2607</v>
      </c>
      <c r="D159" s="2285"/>
      <c r="E159" s="2285"/>
      <c r="F159" s="2285"/>
      <c r="G159" s="2285"/>
      <c r="H159" s="2285"/>
      <c r="I159" s="2285"/>
      <c r="J159" s="2285"/>
      <c r="K159" s="2285"/>
      <c r="L159" s="2285"/>
      <c r="M159" s="2285"/>
      <c r="N159" s="2275">
        <v>0</v>
      </c>
      <c r="O159" s="2275"/>
      <c r="P159" s="2275"/>
      <c r="Q159" s="2275"/>
      <c r="R159" s="2275"/>
      <c r="S159" s="2275"/>
      <c r="T159" s="2275"/>
      <c r="U159" s="2276"/>
      <c r="V159" s="2276"/>
      <c r="W159" s="2276"/>
      <c r="X159" s="2276"/>
      <c r="Y159" s="2276"/>
      <c r="Z159" s="2276"/>
      <c r="AA159" s="2276"/>
      <c r="AB159" s="2276"/>
      <c r="AC159" s="2276"/>
      <c r="AD159" s="2276"/>
      <c r="AE159" s="2277"/>
      <c r="AF159" s="1206"/>
      <c r="AG159" s="1206"/>
      <c r="AH159" s="2294"/>
      <c r="AI159" s="2295"/>
      <c r="AJ159" s="2295"/>
      <c r="AK159" s="2295"/>
      <c r="AL159" s="2295"/>
      <c r="AM159" s="2295"/>
      <c r="AN159" s="2295"/>
      <c r="AO159" s="2295"/>
      <c r="AP159" s="2295"/>
      <c r="AQ159" s="2295"/>
      <c r="AR159" s="2296"/>
      <c r="AS159" s="2299"/>
      <c r="AT159" s="2282"/>
      <c r="AU159" s="2282"/>
      <c r="AV159" s="2282"/>
      <c r="AW159" s="2282"/>
      <c r="AX159" s="2300"/>
      <c r="AY159" s="2282"/>
      <c r="AZ159" s="2282"/>
      <c r="BA159" s="2282"/>
      <c r="BB159" s="2282"/>
      <c r="BC159" s="2282"/>
      <c r="BD159" s="2283"/>
      <c r="BE159" s="1212"/>
    </row>
    <row r="160" spans="1:57" ht="15.75" customHeight="1">
      <c r="A160" s="1206"/>
      <c r="B160" s="1206"/>
      <c r="C160" s="2284" t="s">
        <v>2608</v>
      </c>
      <c r="D160" s="2285"/>
      <c r="E160" s="2285"/>
      <c r="F160" s="2285"/>
      <c r="G160" s="2285"/>
      <c r="H160" s="2285"/>
      <c r="I160" s="2285"/>
      <c r="J160" s="2285"/>
      <c r="K160" s="2285"/>
      <c r="L160" s="2285"/>
      <c r="M160" s="2285"/>
      <c r="N160" s="2275">
        <v>0</v>
      </c>
      <c r="O160" s="2275"/>
      <c r="P160" s="2275"/>
      <c r="Q160" s="2275"/>
      <c r="R160" s="2275"/>
      <c r="S160" s="2275"/>
      <c r="T160" s="2275"/>
      <c r="U160" s="2276"/>
      <c r="V160" s="2276"/>
      <c r="W160" s="2276"/>
      <c r="X160" s="2276"/>
      <c r="Y160" s="2276"/>
      <c r="Z160" s="2276"/>
      <c r="AA160" s="2276"/>
      <c r="AB160" s="2276"/>
      <c r="AC160" s="2276"/>
      <c r="AD160" s="2276"/>
      <c r="AE160" s="2277"/>
      <c r="AF160" s="1206"/>
      <c r="AG160" s="1206"/>
      <c r="AH160" s="2251" t="s">
        <v>2268</v>
      </c>
      <c r="AI160" s="2252"/>
      <c r="AJ160" s="2252"/>
      <c r="AK160" s="2252"/>
      <c r="AL160" s="2252"/>
      <c r="AM160" s="2252"/>
      <c r="AN160" s="2252"/>
      <c r="AO160" s="2252"/>
      <c r="AP160" s="2252"/>
      <c r="AQ160" s="2252"/>
      <c r="AR160" s="2252"/>
      <c r="AS160" s="2253">
        <v>0</v>
      </c>
      <c r="AT160" s="2253"/>
      <c r="AU160" s="2253"/>
      <c r="AV160" s="2253"/>
      <c r="AW160" s="2253"/>
      <c r="AX160" s="2253"/>
      <c r="AY160" s="2253">
        <v>0</v>
      </c>
      <c r="AZ160" s="2253"/>
      <c r="BA160" s="2253"/>
      <c r="BB160" s="2253"/>
      <c r="BC160" s="2253"/>
      <c r="BD160" s="2254"/>
      <c r="BE160" s="1212"/>
    </row>
    <row r="161" spans="1:57" ht="15.75" customHeight="1">
      <c r="A161" s="1206"/>
      <c r="B161" s="1206"/>
      <c r="C161" s="2278" t="s">
        <v>302</v>
      </c>
      <c r="D161" s="2279"/>
      <c r="E161" s="2274" t="s">
        <v>1913</v>
      </c>
      <c r="F161" s="2274"/>
      <c r="G161" s="2274"/>
      <c r="H161" s="2274"/>
      <c r="I161" s="2274"/>
      <c r="J161" s="2274"/>
      <c r="K161" s="2274"/>
      <c r="L161" s="2274"/>
      <c r="M161" s="2274"/>
      <c r="N161" s="2275">
        <v>0</v>
      </c>
      <c r="O161" s="2275"/>
      <c r="P161" s="2275"/>
      <c r="Q161" s="2275"/>
      <c r="R161" s="2275"/>
      <c r="S161" s="2275"/>
      <c r="T161" s="2275"/>
      <c r="U161" s="2276"/>
      <c r="V161" s="2276"/>
      <c r="W161" s="2276"/>
      <c r="X161" s="2276"/>
      <c r="Y161" s="2276"/>
      <c r="Z161" s="2276"/>
      <c r="AA161" s="2276"/>
      <c r="AB161" s="2276"/>
      <c r="AC161" s="2276"/>
      <c r="AD161" s="2276"/>
      <c r="AE161" s="2277"/>
      <c r="AF161" s="1206"/>
      <c r="AG161" s="1206"/>
      <c r="AH161" s="2251" t="s">
        <v>2269</v>
      </c>
      <c r="AI161" s="2252"/>
      <c r="AJ161" s="2252"/>
      <c r="AK161" s="2252"/>
      <c r="AL161" s="2252"/>
      <c r="AM161" s="2252"/>
      <c r="AN161" s="2252"/>
      <c r="AO161" s="2252"/>
      <c r="AP161" s="2252"/>
      <c r="AQ161" s="2252"/>
      <c r="AR161" s="2252"/>
      <c r="AS161" s="2253">
        <v>0</v>
      </c>
      <c r="AT161" s="2253"/>
      <c r="AU161" s="2253"/>
      <c r="AV161" s="2253"/>
      <c r="AW161" s="2253"/>
      <c r="AX161" s="2253"/>
      <c r="AY161" s="2253">
        <v>0</v>
      </c>
      <c r="AZ161" s="2253"/>
      <c r="BA161" s="2253"/>
      <c r="BB161" s="2253"/>
      <c r="BC161" s="2253"/>
      <c r="BD161" s="2254"/>
      <c r="BE161" s="1212"/>
    </row>
    <row r="162" spans="1:57" ht="15.75" customHeight="1">
      <c r="A162" s="1206"/>
      <c r="B162" s="1206"/>
      <c r="C162" s="2272" t="s">
        <v>302</v>
      </c>
      <c r="D162" s="2273"/>
      <c r="E162" s="2274" t="s">
        <v>1913</v>
      </c>
      <c r="F162" s="2274"/>
      <c r="G162" s="2274"/>
      <c r="H162" s="2274"/>
      <c r="I162" s="2274"/>
      <c r="J162" s="2274"/>
      <c r="K162" s="2274"/>
      <c r="L162" s="2274"/>
      <c r="M162" s="2274"/>
      <c r="N162" s="2275">
        <v>0</v>
      </c>
      <c r="O162" s="2275"/>
      <c r="P162" s="2275"/>
      <c r="Q162" s="2275"/>
      <c r="R162" s="2275"/>
      <c r="S162" s="2275"/>
      <c r="T162" s="2275"/>
      <c r="U162" s="2276"/>
      <c r="V162" s="2276"/>
      <c r="W162" s="2276"/>
      <c r="X162" s="2276"/>
      <c r="Y162" s="2276"/>
      <c r="Z162" s="2276"/>
      <c r="AA162" s="2276"/>
      <c r="AB162" s="2276"/>
      <c r="AC162" s="2276"/>
      <c r="AD162" s="2276"/>
      <c r="AE162" s="2277"/>
      <c r="AF162" s="1206"/>
      <c r="AG162" s="1206"/>
      <c r="AH162" s="2251" t="s">
        <v>2270</v>
      </c>
      <c r="AI162" s="2252"/>
      <c r="AJ162" s="2252"/>
      <c r="AK162" s="2252"/>
      <c r="AL162" s="2252"/>
      <c r="AM162" s="2252"/>
      <c r="AN162" s="2252"/>
      <c r="AO162" s="2252"/>
      <c r="AP162" s="2252"/>
      <c r="AQ162" s="2252"/>
      <c r="AR162" s="2252"/>
      <c r="AS162" s="2253">
        <v>0</v>
      </c>
      <c r="AT162" s="2253"/>
      <c r="AU162" s="2253"/>
      <c r="AV162" s="2253"/>
      <c r="AW162" s="2253"/>
      <c r="AX162" s="2253"/>
      <c r="AY162" s="2253">
        <v>0</v>
      </c>
      <c r="AZ162" s="2253"/>
      <c r="BA162" s="2253"/>
      <c r="BB162" s="2253"/>
      <c r="BC162" s="2253"/>
      <c r="BD162" s="2254"/>
      <c r="BE162" s="1212"/>
    </row>
    <row r="163" spans="1:57" ht="15.75" customHeight="1" thickBot="1">
      <c r="A163" s="1206"/>
      <c r="B163" s="1206"/>
      <c r="C163" s="2263" t="s">
        <v>302</v>
      </c>
      <c r="D163" s="2264"/>
      <c r="E163" s="2265" t="s">
        <v>1913</v>
      </c>
      <c r="F163" s="2265"/>
      <c r="G163" s="2265"/>
      <c r="H163" s="2265"/>
      <c r="I163" s="2265"/>
      <c r="J163" s="2265"/>
      <c r="K163" s="2265"/>
      <c r="L163" s="2265"/>
      <c r="M163" s="2266"/>
      <c r="N163" s="2267">
        <v>0</v>
      </c>
      <c r="O163" s="2267"/>
      <c r="P163" s="2267"/>
      <c r="Q163" s="2267"/>
      <c r="R163" s="2267"/>
      <c r="S163" s="2267"/>
      <c r="T163" s="2268"/>
      <c r="U163" s="2269"/>
      <c r="V163" s="2270"/>
      <c r="W163" s="2270"/>
      <c r="X163" s="2270"/>
      <c r="Y163" s="2270"/>
      <c r="Z163" s="2270"/>
      <c r="AA163" s="2270"/>
      <c r="AB163" s="2270"/>
      <c r="AC163" s="2270"/>
      <c r="AD163" s="2270"/>
      <c r="AE163" s="2271"/>
      <c r="AF163" s="1206"/>
      <c r="AG163" s="1206"/>
      <c r="AH163" s="2251" t="s">
        <v>2271</v>
      </c>
      <c r="AI163" s="2252"/>
      <c r="AJ163" s="2252"/>
      <c r="AK163" s="2252"/>
      <c r="AL163" s="2252"/>
      <c r="AM163" s="2252"/>
      <c r="AN163" s="2252"/>
      <c r="AO163" s="2252"/>
      <c r="AP163" s="2252"/>
      <c r="AQ163" s="2252"/>
      <c r="AR163" s="2252"/>
      <c r="AS163" s="2253">
        <v>0</v>
      </c>
      <c r="AT163" s="2253"/>
      <c r="AU163" s="2253"/>
      <c r="AV163" s="2253"/>
      <c r="AW163" s="2253"/>
      <c r="AX163" s="2253"/>
      <c r="AY163" s="2253">
        <v>0</v>
      </c>
      <c r="AZ163" s="2253"/>
      <c r="BA163" s="2253"/>
      <c r="BB163" s="2253"/>
      <c r="BC163" s="2253"/>
      <c r="BD163" s="2254"/>
      <c r="BE163" s="1212"/>
    </row>
    <row r="164" spans="1:57" ht="15.75" customHeight="1">
      <c r="A164" s="1206"/>
      <c r="B164" s="1206"/>
      <c r="C164" s="2259" t="s">
        <v>1921</v>
      </c>
      <c r="D164" s="2260"/>
      <c r="E164" s="2260"/>
      <c r="F164" s="2260"/>
      <c r="G164" s="2260"/>
      <c r="H164" s="2260"/>
      <c r="I164" s="2260"/>
      <c r="J164" s="2260"/>
      <c r="K164" s="2260"/>
      <c r="L164" s="2260"/>
      <c r="M164" s="2260"/>
      <c r="N164" s="2261">
        <f>SUM(N156:T163)</f>
        <v>12959057.20516854</v>
      </c>
      <c r="O164" s="2261"/>
      <c r="P164" s="2261"/>
      <c r="Q164" s="2261"/>
      <c r="R164" s="2261"/>
      <c r="S164" s="2261"/>
      <c r="T164" s="2262"/>
      <c r="U164" s="1206"/>
      <c r="V164" s="1206"/>
      <c r="W164" s="1206"/>
      <c r="X164" s="1206"/>
      <c r="Y164" s="1206"/>
      <c r="Z164" s="1206"/>
      <c r="AA164" s="1206"/>
      <c r="AB164" s="1206"/>
      <c r="AC164" s="1206"/>
      <c r="AD164" s="1206"/>
      <c r="AE164" s="1206"/>
      <c r="AF164" s="1206"/>
      <c r="AG164" s="1206"/>
      <c r="AH164" s="2251" t="s">
        <v>2272</v>
      </c>
      <c r="AI164" s="2252"/>
      <c r="AJ164" s="2252"/>
      <c r="AK164" s="2252"/>
      <c r="AL164" s="2252"/>
      <c r="AM164" s="2252"/>
      <c r="AN164" s="2252"/>
      <c r="AO164" s="2252"/>
      <c r="AP164" s="2252"/>
      <c r="AQ164" s="2252"/>
      <c r="AR164" s="2252"/>
      <c r="AS164" s="2253">
        <v>0</v>
      </c>
      <c r="AT164" s="2253"/>
      <c r="AU164" s="2253"/>
      <c r="AV164" s="2253"/>
      <c r="AW164" s="2253"/>
      <c r="AX164" s="2253"/>
      <c r="AY164" s="2253">
        <v>0</v>
      </c>
      <c r="AZ164" s="2253"/>
      <c r="BA164" s="2253"/>
      <c r="BB164" s="2253"/>
      <c r="BC164" s="2253"/>
      <c r="BD164" s="2254"/>
      <c r="BE164" s="1212"/>
    </row>
    <row r="165" spans="1:57" ht="15.75" customHeight="1" thickBot="1">
      <c r="A165" s="1206"/>
      <c r="B165" s="1206"/>
      <c r="C165" s="2246" t="s">
        <v>2609</v>
      </c>
      <c r="D165" s="2247"/>
      <c r="E165" s="2247"/>
      <c r="F165" s="2247"/>
      <c r="G165" s="2247"/>
      <c r="H165" s="2247"/>
      <c r="I165" s="2247"/>
      <c r="J165" s="2247"/>
      <c r="K165" s="2247"/>
      <c r="L165" s="2247"/>
      <c r="M165" s="2247"/>
      <c r="N165" s="2248">
        <f>(N154-N164)/J29</f>
        <v>506220.72057712474</v>
      </c>
      <c r="O165" s="2249"/>
      <c r="P165" s="2249"/>
      <c r="Q165" s="2249"/>
      <c r="R165" s="2249"/>
      <c r="S165" s="2249"/>
      <c r="T165" s="2250"/>
      <c r="U165" s="1213"/>
      <c r="V165" s="1206"/>
      <c r="W165" s="1206"/>
      <c r="X165" s="1206"/>
      <c r="Y165" s="1206"/>
      <c r="Z165" s="1206"/>
      <c r="AA165" s="1206"/>
      <c r="AB165" s="1206"/>
      <c r="AC165" s="1206"/>
      <c r="AD165" s="1206"/>
      <c r="AE165" s="1206"/>
      <c r="AF165" s="1206"/>
      <c r="AG165" s="1206"/>
      <c r="AH165" s="2251" t="s">
        <v>2273</v>
      </c>
      <c r="AI165" s="2252"/>
      <c r="AJ165" s="2252"/>
      <c r="AK165" s="2252"/>
      <c r="AL165" s="2252"/>
      <c r="AM165" s="2252"/>
      <c r="AN165" s="2252"/>
      <c r="AO165" s="2252"/>
      <c r="AP165" s="2252"/>
      <c r="AQ165" s="2252"/>
      <c r="AR165" s="2252"/>
      <c r="AS165" s="2253">
        <v>0</v>
      </c>
      <c r="AT165" s="2253"/>
      <c r="AU165" s="2253"/>
      <c r="AV165" s="2253"/>
      <c r="AW165" s="2253"/>
      <c r="AX165" s="2253"/>
      <c r="AY165" s="2253">
        <v>0</v>
      </c>
      <c r="AZ165" s="2253"/>
      <c r="BA165" s="2253"/>
      <c r="BB165" s="2253"/>
      <c r="BC165" s="2253"/>
      <c r="BD165" s="2254"/>
      <c r="BE165" s="1212"/>
    </row>
    <row r="166" spans="1:57" ht="15.75" customHeight="1" thickBot="1">
      <c r="A166" s="1206"/>
      <c r="B166" s="1206"/>
      <c r="C166" s="1206"/>
      <c r="D166" s="1206"/>
      <c r="E166" s="1206"/>
      <c r="F166" s="1206"/>
      <c r="G166" s="1206"/>
      <c r="H166" s="1206"/>
      <c r="I166" s="1206"/>
      <c r="J166" s="1206"/>
      <c r="K166" s="1206"/>
      <c r="L166" s="1206"/>
      <c r="M166" s="1206"/>
      <c r="N166" s="1206"/>
      <c r="O166" s="1206"/>
      <c r="P166" s="1206"/>
      <c r="Q166" s="1206"/>
      <c r="R166" s="1206"/>
      <c r="S166" s="1206"/>
      <c r="T166" s="1206"/>
      <c r="U166" s="1206"/>
      <c r="V166" s="1206"/>
      <c r="W166" s="1206"/>
      <c r="X166" s="1206"/>
      <c r="Y166" s="1206"/>
      <c r="Z166" s="1206"/>
      <c r="AA166" s="1206"/>
      <c r="AB166" s="1206"/>
      <c r="AC166" s="1206"/>
      <c r="AD166" s="1206"/>
      <c r="AE166" s="1206"/>
      <c r="AF166" s="1206"/>
      <c r="AG166" s="1206"/>
      <c r="AH166" s="2255" t="s">
        <v>125</v>
      </c>
      <c r="AI166" s="2256"/>
      <c r="AJ166" s="2256"/>
      <c r="AK166" s="2256"/>
      <c r="AL166" s="2256"/>
      <c r="AM166" s="2256"/>
      <c r="AN166" s="2256"/>
      <c r="AO166" s="2256"/>
      <c r="AP166" s="2256"/>
      <c r="AQ166" s="2256"/>
      <c r="AR166" s="2256"/>
      <c r="AS166" s="2257">
        <f>SUM(AS160:AX165)</f>
        <v>0</v>
      </c>
      <c r="AT166" s="2257"/>
      <c r="AU166" s="2257"/>
      <c r="AV166" s="2257"/>
      <c r="AW166" s="2257"/>
      <c r="AX166" s="2257"/>
      <c r="AY166" s="2257">
        <f>SUM(AY160:BD165)</f>
        <v>0</v>
      </c>
      <c r="AZ166" s="2257"/>
      <c r="BA166" s="2257"/>
      <c r="BB166" s="2257"/>
      <c r="BC166" s="2257"/>
      <c r="BD166" s="2258"/>
      <c r="BE166" s="1212"/>
    </row>
    <row r="167" spans="1:57" ht="15.75" customHeight="1" thickBot="1">
      <c r="A167" s="1206"/>
      <c r="B167" s="1206"/>
      <c r="C167" s="1206"/>
      <c r="D167" s="1206"/>
      <c r="E167" s="1206"/>
      <c r="F167" s="1206"/>
      <c r="G167" s="1206"/>
      <c r="H167" s="1206"/>
      <c r="I167" s="1206"/>
      <c r="J167" s="1206"/>
      <c r="K167" s="1206"/>
      <c r="L167" s="1206"/>
      <c r="M167" s="1206"/>
      <c r="N167" s="1206"/>
      <c r="O167" s="1206"/>
      <c r="P167" s="1206"/>
      <c r="Q167" s="1206"/>
      <c r="R167" s="1206"/>
      <c r="S167" s="1206"/>
      <c r="T167" s="1206"/>
      <c r="U167" s="1206"/>
      <c r="V167" s="1206"/>
      <c r="W167" s="1206"/>
      <c r="X167" s="1206"/>
      <c r="Y167" s="1206"/>
      <c r="Z167" s="1206"/>
      <c r="AA167" s="1206"/>
      <c r="AB167" s="1206"/>
      <c r="AC167" s="1206"/>
      <c r="AD167" s="1206"/>
      <c r="AE167" s="1206"/>
      <c r="AF167" s="1206"/>
      <c r="AG167" s="1206"/>
      <c r="AH167" s="1206"/>
      <c r="AI167" s="1206"/>
      <c r="AJ167" s="1206"/>
      <c r="AK167" s="1206"/>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12"/>
    </row>
    <row r="168" spans="1:57" ht="15.75" customHeight="1">
      <c r="A168" s="1206"/>
      <c r="B168" s="2233" t="s">
        <v>1922</v>
      </c>
      <c r="C168" s="2234"/>
      <c r="D168" s="2234"/>
      <c r="E168" s="2234"/>
      <c r="F168" s="2234"/>
      <c r="G168" s="2234"/>
      <c r="H168" s="2234"/>
      <c r="I168" s="2234"/>
      <c r="J168" s="2234"/>
      <c r="K168" s="2234"/>
      <c r="L168" s="2234"/>
      <c r="M168" s="2234"/>
      <c r="N168" s="2234"/>
      <c r="O168" s="2234"/>
      <c r="P168" s="2234"/>
      <c r="Q168" s="2234"/>
      <c r="R168" s="2234"/>
      <c r="S168" s="2234"/>
      <c r="T168" s="2234"/>
      <c r="U168" s="2234"/>
      <c r="V168" s="2234"/>
      <c r="W168" s="2234"/>
      <c r="X168" s="2234"/>
      <c r="Y168" s="2234"/>
      <c r="Z168" s="2234"/>
      <c r="AA168" s="2234"/>
      <c r="AB168" s="2234"/>
      <c r="AC168" s="2234"/>
      <c r="AD168" s="2234"/>
      <c r="AE168" s="2234"/>
      <c r="AF168" s="2234"/>
      <c r="AG168" s="2234"/>
      <c r="AH168" s="2234"/>
      <c r="AI168" s="2234"/>
      <c r="AJ168" s="2234"/>
      <c r="AK168" s="2234"/>
      <c r="AL168" s="2234"/>
      <c r="AM168" s="2234"/>
      <c r="AN168" s="2234"/>
      <c r="AO168" s="2234"/>
      <c r="AP168" s="2234"/>
      <c r="AQ168" s="2234"/>
      <c r="AR168" s="2234"/>
      <c r="AS168" s="2234"/>
      <c r="AT168" s="2234"/>
      <c r="AU168" s="2234"/>
      <c r="AV168" s="2234"/>
      <c r="AW168" s="2234"/>
      <c r="AX168" s="2234"/>
      <c r="AY168" s="2234"/>
      <c r="AZ168" s="2234"/>
      <c r="BA168" s="2234"/>
      <c r="BB168" s="2234"/>
      <c r="BC168" s="2234"/>
      <c r="BD168" s="2235"/>
      <c r="BE168" s="1212"/>
    </row>
    <row r="169" spans="1:57" ht="15.75" customHeight="1">
      <c r="A169" s="1206"/>
      <c r="B169" s="2236"/>
      <c r="C169" s="2237"/>
      <c r="D169" s="2237"/>
      <c r="E169" s="2237"/>
      <c r="F169" s="2237"/>
      <c r="G169" s="2237"/>
      <c r="H169" s="2237"/>
      <c r="I169" s="2237"/>
      <c r="J169" s="2237"/>
      <c r="K169" s="2237"/>
      <c r="L169" s="2237"/>
      <c r="M169" s="2237"/>
      <c r="N169" s="2237"/>
      <c r="O169" s="2237"/>
      <c r="P169" s="2237"/>
      <c r="Q169" s="2237"/>
      <c r="R169" s="2237"/>
      <c r="S169" s="2237"/>
      <c r="T169" s="2237"/>
      <c r="U169" s="2237"/>
      <c r="V169" s="2237"/>
      <c r="W169" s="2237"/>
      <c r="X169" s="2237"/>
      <c r="Y169" s="2237"/>
      <c r="Z169" s="2237"/>
      <c r="AA169" s="2237"/>
      <c r="AB169" s="2237"/>
      <c r="AC169" s="2237"/>
      <c r="AD169" s="2237"/>
      <c r="AE169" s="2237"/>
      <c r="AF169" s="2237"/>
      <c r="AG169" s="2237"/>
      <c r="AH169" s="2237"/>
      <c r="AI169" s="2237"/>
      <c r="AJ169" s="2237"/>
      <c r="AK169" s="2237"/>
      <c r="AL169" s="2237"/>
      <c r="AM169" s="2237"/>
      <c r="AN169" s="2237"/>
      <c r="AO169" s="2237"/>
      <c r="AP169" s="2237"/>
      <c r="AQ169" s="2237"/>
      <c r="AR169" s="2237"/>
      <c r="AS169" s="2237"/>
      <c r="AT169" s="2237"/>
      <c r="AU169" s="2237"/>
      <c r="AV169" s="2237"/>
      <c r="AW169" s="2237"/>
      <c r="AX169" s="2237"/>
      <c r="AY169" s="2237"/>
      <c r="AZ169" s="2237"/>
      <c r="BA169" s="2237"/>
      <c r="BB169" s="2237"/>
      <c r="BC169" s="2237"/>
      <c r="BD169" s="2238"/>
      <c r="BE169" s="1212"/>
    </row>
    <row r="170" spans="1:57" ht="15.75" customHeight="1">
      <c r="A170" s="1206"/>
      <c r="B170" s="2239" t="s">
        <v>1923</v>
      </c>
      <c r="C170" s="2240"/>
      <c r="D170" s="2240"/>
      <c r="E170" s="2240"/>
      <c r="F170" s="2240"/>
      <c r="G170" s="2240"/>
      <c r="H170" s="2240"/>
      <c r="I170" s="2240"/>
      <c r="J170" s="2240"/>
      <c r="K170" s="2240"/>
      <c r="L170" s="2240"/>
      <c r="M170" s="2240"/>
      <c r="N170" s="2240"/>
      <c r="O170" s="2240"/>
      <c r="P170" s="2240"/>
      <c r="Q170" s="2240"/>
      <c r="R170" s="2240"/>
      <c r="S170" s="2240"/>
      <c r="T170" s="2240"/>
      <c r="U170" s="2240"/>
      <c r="V170" s="2240"/>
      <c r="W170" s="2240"/>
      <c r="X170" s="2240"/>
      <c r="Y170" s="2240"/>
      <c r="Z170" s="2240"/>
      <c r="AA170" s="2240"/>
      <c r="AB170" s="2240"/>
      <c r="AC170" s="2240"/>
      <c r="AD170" s="2240"/>
      <c r="AE170" s="2240"/>
      <c r="AF170" s="2240"/>
      <c r="AG170" s="2240"/>
      <c r="AH170" s="2240"/>
      <c r="AI170" s="2240"/>
      <c r="AJ170" s="2240"/>
      <c r="AK170" s="2240"/>
      <c r="AL170" s="2240"/>
      <c r="AM170" s="2240"/>
      <c r="AN170" s="2240"/>
      <c r="AO170" s="2240"/>
      <c r="AP170" s="2240"/>
      <c r="AQ170" s="2240"/>
      <c r="AR170" s="2240"/>
      <c r="AS170" s="2240"/>
      <c r="AT170" s="2240"/>
      <c r="AU170" s="2240"/>
      <c r="AV170" s="2240"/>
      <c r="AW170" s="2240"/>
      <c r="AX170" s="2240"/>
      <c r="AY170" s="2240"/>
      <c r="AZ170" s="2240"/>
      <c r="BA170" s="2240"/>
      <c r="BB170" s="2240"/>
      <c r="BC170" s="2240"/>
      <c r="BD170" s="2241"/>
      <c r="BE170" s="1212"/>
    </row>
    <row r="171" spans="1:57" ht="15.75" customHeight="1">
      <c r="A171" s="1206"/>
      <c r="B171" s="2239" t="s">
        <v>1924</v>
      </c>
      <c r="C171" s="2240"/>
      <c r="D171" s="2240"/>
      <c r="E171" s="2240"/>
      <c r="F171" s="2240"/>
      <c r="G171" s="2240"/>
      <c r="H171" s="2240"/>
      <c r="I171" s="2240"/>
      <c r="J171" s="2240"/>
      <c r="K171" s="2240"/>
      <c r="L171" s="2240"/>
      <c r="M171" s="2240"/>
      <c r="N171" s="2240"/>
      <c r="O171" s="2240"/>
      <c r="P171" s="2240"/>
      <c r="Q171" s="2240"/>
      <c r="R171" s="2240"/>
      <c r="S171" s="2240"/>
      <c r="T171" s="2240"/>
      <c r="U171" s="2240"/>
      <c r="V171" s="2240"/>
      <c r="W171" s="2240"/>
      <c r="X171" s="2240"/>
      <c r="Y171" s="2240"/>
      <c r="Z171" s="2240"/>
      <c r="AA171" s="2240"/>
      <c r="AB171" s="2240"/>
      <c r="AC171" s="2240"/>
      <c r="AD171" s="2240"/>
      <c r="AE171" s="2240"/>
      <c r="AF171" s="2240"/>
      <c r="AG171" s="2240"/>
      <c r="AH171" s="2240"/>
      <c r="AI171" s="2240"/>
      <c r="AJ171" s="2240"/>
      <c r="AK171" s="2240"/>
      <c r="AL171" s="2240"/>
      <c r="AM171" s="2240"/>
      <c r="AN171" s="2240"/>
      <c r="AO171" s="2240"/>
      <c r="AP171" s="2240"/>
      <c r="AQ171" s="2240"/>
      <c r="AR171" s="2240"/>
      <c r="AS171" s="2240"/>
      <c r="AT171" s="2240"/>
      <c r="AU171" s="2240"/>
      <c r="AV171" s="2240"/>
      <c r="AW171" s="2240"/>
      <c r="AX171" s="2240"/>
      <c r="AY171" s="2240"/>
      <c r="AZ171" s="2240"/>
      <c r="BA171" s="2240"/>
      <c r="BB171" s="2240"/>
      <c r="BC171" s="2240"/>
      <c r="BD171" s="2241"/>
      <c r="BE171" s="1212"/>
    </row>
    <row r="172" spans="1:57" ht="15.75" customHeight="1">
      <c r="A172" s="1206"/>
      <c r="B172" s="1205"/>
      <c r="C172" s="1206"/>
      <c r="D172" s="1206"/>
      <c r="E172" s="1206"/>
      <c r="F172" s="1206"/>
      <c r="G172" s="1206"/>
      <c r="H172" s="1206"/>
      <c r="I172" s="1206"/>
      <c r="J172" s="1206"/>
      <c r="K172" s="1206"/>
      <c r="L172" s="1206"/>
      <c r="M172" s="1206"/>
      <c r="N172" s="1206"/>
      <c r="O172" s="1206"/>
      <c r="P172" s="1206"/>
      <c r="Q172" s="1206"/>
      <c r="R172" s="1206"/>
      <c r="S172" s="1206"/>
      <c r="T172" s="1206"/>
      <c r="U172" s="1206"/>
      <c r="V172" s="1206"/>
      <c r="W172" s="1206"/>
      <c r="X172" s="1206"/>
      <c r="Y172" s="1206"/>
      <c r="Z172" s="1206"/>
      <c r="AA172" s="1206"/>
      <c r="AB172" s="1206"/>
      <c r="AC172" s="1206"/>
      <c r="AD172" s="1206"/>
      <c r="AE172" s="1206"/>
      <c r="AF172" s="1206"/>
      <c r="AG172" s="1206"/>
      <c r="AH172" s="1206"/>
      <c r="AI172" s="1206"/>
      <c r="AJ172" s="1206"/>
      <c r="AK172" s="1206"/>
      <c r="AL172" s="1206"/>
      <c r="AM172" s="1206"/>
      <c r="AN172" s="1206"/>
      <c r="AO172" s="1206"/>
      <c r="AP172" s="1206"/>
      <c r="AQ172" s="1206"/>
      <c r="AR172" s="1206"/>
      <c r="AS172" s="1206"/>
      <c r="AT172" s="1206"/>
      <c r="AU172" s="1206"/>
      <c r="AV172" s="1206"/>
      <c r="AW172" s="1206"/>
      <c r="AX172" s="1206"/>
      <c r="AY172" s="1206"/>
      <c r="AZ172" s="1206"/>
      <c r="BA172" s="1206"/>
      <c r="BB172" s="1206"/>
      <c r="BC172" s="1206"/>
      <c r="BD172" s="1212"/>
      <c r="BE172" s="1212"/>
    </row>
    <row r="173" spans="1:57" ht="15.75" customHeight="1">
      <c r="A173" s="1206"/>
      <c r="B173" s="2242" t="s">
        <v>1925</v>
      </c>
      <c r="C173" s="2243"/>
      <c r="D173" s="2243"/>
      <c r="E173" s="2243"/>
      <c r="F173" s="2243"/>
      <c r="G173" s="2243"/>
      <c r="H173" s="2243"/>
      <c r="I173" s="2243"/>
      <c r="J173" s="2243"/>
      <c r="K173" s="2243"/>
      <c r="L173" s="2243"/>
      <c r="M173" s="2243"/>
      <c r="N173" s="2243"/>
      <c r="O173" s="2243"/>
      <c r="P173" s="2243"/>
      <c r="Q173" s="2243"/>
      <c r="R173" s="2243"/>
      <c r="S173" s="2243"/>
      <c r="T173" s="2243"/>
      <c r="U173" s="2243"/>
      <c r="V173" s="2243"/>
      <c r="W173" s="2243"/>
      <c r="X173" s="2243"/>
      <c r="Y173" s="2243"/>
      <c r="Z173" s="2243"/>
      <c r="AA173" s="2243"/>
      <c r="AB173" s="2243"/>
      <c r="AC173" s="2243"/>
      <c r="AD173" s="2243"/>
      <c r="AE173" s="2243"/>
      <c r="AF173" s="2243"/>
      <c r="AG173" s="2243"/>
      <c r="AH173" s="2243"/>
      <c r="AI173" s="2243"/>
      <c r="AJ173" s="2243"/>
      <c r="AK173" s="2243"/>
      <c r="AL173" s="2243"/>
      <c r="AM173" s="2243"/>
      <c r="AN173" s="2243"/>
      <c r="AO173" s="2243"/>
      <c r="AP173" s="2243"/>
      <c r="AQ173" s="2243"/>
      <c r="AR173" s="2243"/>
      <c r="AS173" s="2243"/>
      <c r="AT173" s="2243"/>
      <c r="AU173" s="2243"/>
      <c r="AV173" s="2243"/>
      <c r="AW173" s="2243"/>
      <c r="AX173" s="2243"/>
      <c r="AY173" s="2243"/>
      <c r="AZ173" s="2243"/>
      <c r="BA173" s="2243"/>
      <c r="BB173" s="2243"/>
      <c r="BC173" s="2243"/>
      <c r="BD173" s="2244"/>
      <c r="BE173" s="1212"/>
    </row>
    <row r="174" spans="1:57" ht="15.75" customHeight="1">
      <c r="A174" s="1206"/>
      <c r="B174" s="1247"/>
      <c r="C174" s="1206"/>
      <c r="D174" s="1206"/>
      <c r="E174" s="1206"/>
      <c r="F174" s="1206"/>
      <c r="G174" s="1206"/>
      <c r="H174" s="1206"/>
      <c r="I174" s="1206"/>
      <c r="J174" s="1206"/>
      <c r="K174" s="1206"/>
      <c r="L174" s="1206"/>
      <c r="M174" s="1206"/>
      <c r="N174" s="1206"/>
      <c r="O174" s="1206"/>
      <c r="P174" s="1206"/>
      <c r="Q174" s="1206"/>
      <c r="R174" s="1206"/>
      <c r="S174" s="1206"/>
      <c r="T174" s="1206"/>
      <c r="U174" s="1206"/>
      <c r="V174" s="1206"/>
      <c r="W174" s="1206"/>
      <c r="X174" s="1206"/>
      <c r="Y174" s="1206"/>
      <c r="Z174" s="1206"/>
      <c r="AA174" s="1206"/>
      <c r="AB174" s="1206"/>
      <c r="AC174" s="1206"/>
      <c r="AD174" s="1206"/>
      <c r="AE174" s="1206"/>
      <c r="AF174" s="1206"/>
      <c r="AG174" s="1206"/>
      <c r="AH174" s="1206"/>
      <c r="AI174" s="1206"/>
      <c r="AJ174" s="1206"/>
      <c r="AK174" s="1206"/>
      <c r="AL174" s="1206"/>
      <c r="AM174" s="1206"/>
      <c r="AN174" s="1206"/>
      <c r="AO174" s="1206"/>
      <c r="AP174" s="1206"/>
      <c r="AQ174" s="1206"/>
      <c r="AR174" s="1206"/>
      <c r="AS174" s="1206"/>
      <c r="AT174" s="1206"/>
      <c r="AU174" s="1206"/>
      <c r="AV174" s="1206"/>
      <c r="AW174" s="1206"/>
      <c r="AX174" s="1206"/>
      <c r="AY174" s="1206"/>
      <c r="AZ174" s="1206"/>
      <c r="BA174" s="1206"/>
      <c r="BB174" s="1206"/>
      <c r="BC174" s="1206"/>
      <c r="BD174" s="1212"/>
      <c r="BE174" s="1212"/>
    </row>
    <row r="175" spans="1:57" ht="15.75" customHeight="1">
      <c r="A175" s="1206"/>
      <c r="B175" s="1248"/>
      <c r="C175" s="1206"/>
      <c r="D175" s="1206"/>
      <c r="E175" s="1206"/>
      <c r="F175" s="1206"/>
      <c r="G175" s="1206"/>
      <c r="H175" s="1208" t="s">
        <v>1926</v>
      </c>
      <c r="I175" s="1206"/>
      <c r="J175" s="1206"/>
      <c r="K175" s="1206"/>
      <c r="L175" s="1206"/>
      <c r="M175" s="1206"/>
      <c r="N175" s="1206"/>
      <c r="O175" s="1206"/>
      <c r="P175" s="1206"/>
      <c r="Q175" s="1206"/>
      <c r="R175" s="1206"/>
      <c r="S175" s="1206"/>
      <c r="T175" s="1206"/>
      <c r="U175" s="1206"/>
      <c r="V175" s="1206"/>
      <c r="W175" s="1206"/>
      <c r="X175" s="1206"/>
      <c r="Y175" s="1206"/>
      <c r="Z175" s="1206"/>
      <c r="AA175" s="1206"/>
      <c r="AB175" s="1206"/>
      <c r="AC175" s="1206"/>
      <c r="AD175" s="1206"/>
      <c r="AE175" s="1206"/>
      <c r="AF175" s="1206"/>
      <c r="AG175" s="1206"/>
      <c r="AH175" s="1206"/>
      <c r="AI175" s="1206"/>
      <c r="AJ175" s="1206"/>
      <c r="AK175" s="1206"/>
      <c r="AL175" s="1206"/>
      <c r="AM175" s="1206"/>
      <c r="AN175" s="1206"/>
      <c r="AO175" s="1206"/>
      <c r="AP175" s="1206"/>
      <c r="AQ175" s="1206"/>
      <c r="AR175" s="1206"/>
      <c r="AS175" s="1206"/>
      <c r="AT175" s="1206"/>
      <c r="AU175" s="1206"/>
      <c r="AV175" s="1206"/>
      <c r="AW175" s="1206"/>
      <c r="AX175" s="1206"/>
      <c r="AY175" s="1206"/>
      <c r="AZ175" s="1206"/>
      <c r="BA175" s="1206"/>
      <c r="BB175" s="1206"/>
      <c r="BC175" s="1206"/>
      <c r="BD175" s="1212"/>
      <c r="BE175" s="1212"/>
    </row>
    <row r="176" spans="1:57" ht="15.75" customHeight="1">
      <c r="A176" s="1206"/>
      <c r="B176" s="1248"/>
      <c r="C176" s="1206"/>
      <c r="D176" s="1206"/>
      <c r="E176" s="1206"/>
      <c r="F176" s="1206"/>
      <c r="G176" s="1206"/>
      <c r="H176" s="1206"/>
      <c r="I176" s="1206"/>
      <c r="J176" s="1206"/>
      <c r="K176" s="1206"/>
      <c r="L176" s="1206"/>
      <c r="M176" s="1206"/>
      <c r="N176" s="1206"/>
      <c r="O176" s="1206"/>
      <c r="P176" s="1206"/>
      <c r="Q176" s="1206"/>
      <c r="R176" s="1206"/>
      <c r="S176" s="1206"/>
      <c r="T176" s="1206"/>
      <c r="U176" s="1206"/>
      <c r="V176" s="1206"/>
      <c r="W176" s="1206"/>
      <c r="X176" s="1206"/>
      <c r="Y176" s="1206"/>
      <c r="Z176" s="1206"/>
      <c r="AA176" s="1206"/>
      <c r="AB176" s="1206"/>
      <c r="AC176" s="1206"/>
      <c r="AD176" s="1206"/>
      <c r="AE176" s="1206"/>
      <c r="AF176" s="1206"/>
      <c r="AG176" s="1206"/>
      <c r="AH176" s="1206"/>
      <c r="AI176" s="1206"/>
      <c r="AJ176" s="1206"/>
      <c r="AK176" s="1206"/>
      <c r="AL176" s="1206"/>
      <c r="AM176" s="1206"/>
      <c r="AN176" s="1206"/>
      <c r="AO176" s="1206"/>
      <c r="AP176" s="1206"/>
      <c r="AQ176" s="1206"/>
      <c r="AR176" s="1206"/>
      <c r="AS176" s="1206"/>
      <c r="AT176" s="1206"/>
      <c r="AU176" s="1206"/>
      <c r="AV176" s="1206"/>
      <c r="AW176" s="1206"/>
      <c r="AX176" s="1206"/>
      <c r="AY176" s="1206"/>
      <c r="AZ176" s="1206"/>
      <c r="BA176" s="1206"/>
      <c r="BB176" s="1206"/>
      <c r="BC176" s="1206"/>
      <c r="BD176" s="1212"/>
      <c r="BE176" s="1212"/>
    </row>
    <row r="177" spans="1:57" ht="15.75" customHeight="1">
      <c r="A177" s="1206"/>
      <c r="B177" s="1248"/>
      <c r="C177" s="1206"/>
      <c r="D177" s="1206"/>
      <c r="E177" s="1206"/>
      <c r="F177" s="1206"/>
      <c r="G177" s="1206"/>
      <c r="H177" s="2245" t="s">
        <v>1927</v>
      </c>
      <c r="I177" s="2245"/>
      <c r="J177" s="2245"/>
      <c r="K177" s="2245"/>
      <c r="L177" s="2245"/>
      <c r="M177" s="2245"/>
      <c r="N177" s="2245"/>
      <c r="O177" s="2245"/>
      <c r="P177" s="2245"/>
      <c r="Q177" s="2245"/>
      <c r="R177" s="2245"/>
      <c r="S177" s="2245"/>
      <c r="T177" s="2245"/>
      <c r="U177" s="2245"/>
      <c r="V177" s="2245"/>
      <c r="W177" s="2245"/>
      <c r="X177" s="2245"/>
      <c r="Y177" s="2245"/>
      <c r="Z177" s="2245"/>
      <c r="AA177" s="2245"/>
      <c r="AB177" s="2245"/>
      <c r="AC177" s="2245"/>
      <c r="AD177" s="2245"/>
      <c r="AE177" s="2245"/>
      <c r="AF177" s="2245"/>
      <c r="AG177" s="2245"/>
      <c r="AH177" s="2245"/>
      <c r="AI177" s="2245"/>
      <c r="AJ177" s="2245"/>
      <c r="AK177" s="2245"/>
      <c r="AL177" s="2245"/>
      <c r="AM177" s="2245"/>
      <c r="AN177" s="2245"/>
      <c r="AO177" s="2245"/>
      <c r="AP177" s="2245"/>
      <c r="AQ177" s="2245"/>
      <c r="AR177" s="2245"/>
      <c r="AS177" s="2245"/>
      <c r="AT177" s="2245"/>
      <c r="AU177" s="2245"/>
      <c r="AV177" s="2245"/>
      <c r="AW177" s="2245"/>
      <c r="AX177" s="2245"/>
      <c r="AY177" s="2245"/>
      <c r="AZ177" s="1206"/>
      <c r="BA177" s="1206"/>
      <c r="BB177" s="1206"/>
      <c r="BC177" s="1206"/>
      <c r="BD177" s="1212"/>
      <c r="BE177" s="1212"/>
    </row>
    <row r="178" spans="1:57" ht="15.75" customHeight="1">
      <c r="A178" s="1206"/>
      <c r="B178" s="1248"/>
      <c r="C178" s="1206"/>
      <c r="D178" s="1206"/>
      <c r="E178" s="1206"/>
      <c r="F178" s="1206"/>
      <c r="G178" s="1206"/>
      <c r="H178" s="1206"/>
      <c r="I178" s="1206"/>
      <c r="J178" s="1206"/>
      <c r="K178" s="1206"/>
      <c r="L178" s="1206"/>
      <c r="M178" s="1206"/>
      <c r="N178" s="1206"/>
      <c r="O178" s="1206"/>
      <c r="P178" s="1206"/>
      <c r="Q178" s="1206"/>
      <c r="R178" s="1206"/>
      <c r="S178" s="1206"/>
      <c r="T178" s="1206"/>
      <c r="U178" s="1206"/>
      <c r="V178" s="1206"/>
      <c r="W178" s="1206"/>
      <c r="X178" s="1206"/>
      <c r="Y178" s="1206"/>
      <c r="Z178" s="1206"/>
      <c r="AA178" s="1206"/>
      <c r="AB178" s="1206"/>
      <c r="AC178" s="1206"/>
      <c r="AD178" s="1206"/>
      <c r="AE178" s="1206"/>
      <c r="AF178" s="1206"/>
      <c r="AG178" s="1206"/>
      <c r="AH178" s="1206"/>
      <c r="AI178" s="1206"/>
      <c r="AJ178" s="1206"/>
      <c r="AK178" s="1206"/>
      <c r="AL178" s="1206"/>
      <c r="AM178" s="1206"/>
      <c r="AN178" s="1206"/>
      <c r="AO178" s="1206"/>
      <c r="AP178" s="1206"/>
      <c r="AQ178" s="1206"/>
      <c r="AR178" s="1206"/>
      <c r="AS178" s="1206"/>
      <c r="AT178" s="1206"/>
      <c r="AU178" s="1206"/>
      <c r="AV178" s="1206"/>
      <c r="AW178" s="1206"/>
      <c r="AX178" s="1206"/>
      <c r="AY178" s="1206"/>
      <c r="AZ178" s="1206"/>
      <c r="BA178" s="1206"/>
      <c r="BB178" s="1206"/>
      <c r="BC178" s="1206"/>
      <c r="BD178" s="1212"/>
      <c r="BE178" s="1212"/>
    </row>
    <row r="179" spans="1:57" ht="15.75" customHeight="1">
      <c r="A179" s="1206"/>
      <c r="B179" s="1248"/>
      <c r="C179" s="1206"/>
      <c r="D179" s="1206"/>
      <c r="E179" s="1206"/>
      <c r="F179" s="1206"/>
      <c r="G179" s="1206"/>
      <c r="H179" s="2230" t="s">
        <v>2610</v>
      </c>
      <c r="I179" s="2230"/>
      <c r="J179" s="2230"/>
      <c r="K179" s="2230"/>
      <c r="L179" s="2230"/>
      <c r="M179" s="2230"/>
      <c r="N179" s="2230"/>
      <c r="O179" s="2230"/>
      <c r="P179" s="2230"/>
      <c r="Q179" s="2230"/>
      <c r="R179" s="2230"/>
      <c r="S179" s="2230"/>
      <c r="T179" s="2230"/>
      <c r="U179" s="2230"/>
      <c r="V179" s="2230"/>
      <c r="W179" s="2230"/>
      <c r="X179" s="2230"/>
      <c r="Y179" s="2230"/>
      <c r="Z179" s="2230"/>
      <c r="AA179" s="2230"/>
      <c r="AB179" s="2230"/>
      <c r="AC179" s="2230"/>
      <c r="AD179" s="2230"/>
      <c r="AE179" s="2230"/>
      <c r="AF179" s="2230"/>
      <c r="AG179" s="2230"/>
      <c r="AH179" s="2230"/>
      <c r="AI179" s="2230"/>
      <c r="AJ179" s="2230"/>
      <c r="AK179" s="2230"/>
      <c r="AL179" s="2230"/>
      <c r="AM179" s="2230"/>
      <c r="AN179" s="2230"/>
      <c r="AO179" s="2230"/>
      <c r="AP179" s="2230"/>
      <c r="AQ179" s="2230"/>
      <c r="AR179" s="2230"/>
      <c r="AS179" s="2230"/>
      <c r="AT179" s="2230"/>
      <c r="AU179" s="2230"/>
      <c r="AV179" s="2230"/>
      <c r="AW179" s="2230"/>
      <c r="AX179" s="2230"/>
      <c r="AY179" s="2230"/>
      <c r="AZ179" s="2230"/>
      <c r="BA179" s="1206"/>
      <c r="BB179" s="1206"/>
      <c r="BC179" s="1206"/>
      <c r="BD179" s="1212"/>
      <c r="BE179" s="1212"/>
    </row>
    <row r="180" spans="1:57" ht="15.75" customHeight="1">
      <c r="A180" s="1206"/>
      <c r="B180" s="1205"/>
      <c r="C180" s="1206"/>
      <c r="D180" s="1206"/>
      <c r="E180" s="1206"/>
      <c r="F180" s="1206"/>
      <c r="G180" s="1206"/>
      <c r="H180" s="2230"/>
      <c r="I180" s="2230"/>
      <c r="J180" s="2230"/>
      <c r="K180" s="2230"/>
      <c r="L180" s="2230"/>
      <c r="M180" s="2230"/>
      <c r="N180" s="2230"/>
      <c r="O180" s="2230"/>
      <c r="P180" s="2230"/>
      <c r="Q180" s="2230"/>
      <c r="R180" s="2230"/>
      <c r="S180" s="2230"/>
      <c r="T180" s="2230"/>
      <c r="U180" s="2230"/>
      <c r="V180" s="2230"/>
      <c r="W180" s="2230"/>
      <c r="X180" s="2230"/>
      <c r="Y180" s="2230"/>
      <c r="Z180" s="2230"/>
      <c r="AA180" s="2230"/>
      <c r="AB180" s="2230"/>
      <c r="AC180" s="2230"/>
      <c r="AD180" s="2230"/>
      <c r="AE180" s="2230"/>
      <c r="AF180" s="2230"/>
      <c r="AG180" s="2230"/>
      <c r="AH180" s="2230"/>
      <c r="AI180" s="2230"/>
      <c r="AJ180" s="2230"/>
      <c r="AK180" s="2230"/>
      <c r="AL180" s="2230"/>
      <c r="AM180" s="2230"/>
      <c r="AN180" s="2230"/>
      <c r="AO180" s="2230"/>
      <c r="AP180" s="2230"/>
      <c r="AQ180" s="2230"/>
      <c r="AR180" s="2230"/>
      <c r="AS180" s="2230"/>
      <c r="AT180" s="2230"/>
      <c r="AU180" s="2230"/>
      <c r="AV180" s="2230"/>
      <c r="AW180" s="2230"/>
      <c r="AX180" s="2230"/>
      <c r="AY180" s="2230"/>
      <c r="AZ180" s="2230"/>
      <c r="BA180" s="1206"/>
      <c r="BB180" s="1206"/>
      <c r="BC180" s="1206"/>
      <c r="BD180" s="1212"/>
      <c r="BE180" s="1212"/>
    </row>
    <row r="181" spans="1:57" ht="15.75" customHeight="1">
      <c r="A181" s="1206"/>
      <c r="B181" s="1205"/>
      <c r="C181" s="1206"/>
      <c r="D181" s="1206"/>
      <c r="E181" s="1206"/>
      <c r="F181" s="1206"/>
      <c r="G181" s="1206"/>
      <c r="H181" s="2230"/>
      <c r="I181" s="2230"/>
      <c r="J181" s="2230"/>
      <c r="K181" s="2230"/>
      <c r="L181" s="2230"/>
      <c r="M181" s="2230"/>
      <c r="N181" s="2230"/>
      <c r="O181" s="2230"/>
      <c r="P181" s="2230"/>
      <c r="Q181" s="2230"/>
      <c r="R181" s="2230"/>
      <c r="S181" s="2230"/>
      <c r="T181" s="2230"/>
      <c r="U181" s="2230"/>
      <c r="V181" s="2230"/>
      <c r="W181" s="2230"/>
      <c r="X181" s="2230"/>
      <c r="Y181" s="2230"/>
      <c r="Z181" s="2230"/>
      <c r="AA181" s="2230"/>
      <c r="AB181" s="2230"/>
      <c r="AC181" s="2230"/>
      <c r="AD181" s="2230"/>
      <c r="AE181" s="2230"/>
      <c r="AF181" s="2230"/>
      <c r="AG181" s="2230"/>
      <c r="AH181" s="2230"/>
      <c r="AI181" s="2230"/>
      <c r="AJ181" s="2230"/>
      <c r="AK181" s="2230"/>
      <c r="AL181" s="2230"/>
      <c r="AM181" s="2230"/>
      <c r="AN181" s="2230"/>
      <c r="AO181" s="2230"/>
      <c r="AP181" s="2230"/>
      <c r="AQ181" s="2230"/>
      <c r="AR181" s="2230"/>
      <c r="AS181" s="2230"/>
      <c r="AT181" s="2230"/>
      <c r="AU181" s="2230"/>
      <c r="AV181" s="2230"/>
      <c r="AW181" s="2230"/>
      <c r="AX181" s="2230"/>
      <c r="AY181" s="2230"/>
      <c r="AZ181" s="2230"/>
      <c r="BA181" s="1206"/>
      <c r="BB181" s="1206"/>
      <c r="BC181" s="1206"/>
      <c r="BD181" s="1212"/>
      <c r="BE181" s="1212"/>
    </row>
    <row r="182" spans="1:57" ht="15.75" customHeight="1">
      <c r="A182" s="1206"/>
      <c r="B182" s="1205"/>
      <c r="C182" s="1206"/>
      <c r="D182" s="1206"/>
      <c r="E182" s="1206"/>
      <c r="F182" s="1206"/>
      <c r="G182" s="1206"/>
      <c r="H182" s="2230"/>
      <c r="I182" s="2230"/>
      <c r="J182" s="2230"/>
      <c r="K182" s="2230"/>
      <c r="L182" s="2230"/>
      <c r="M182" s="2230"/>
      <c r="N182" s="2230"/>
      <c r="O182" s="2230"/>
      <c r="P182" s="2230"/>
      <c r="Q182" s="2230"/>
      <c r="R182" s="2230"/>
      <c r="S182" s="2230"/>
      <c r="T182" s="2230"/>
      <c r="U182" s="2230"/>
      <c r="V182" s="2230"/>
      <c r="W182" s="2230"/>
      <c r="X182" s="2230"/>
      <c r="Y182" s="2230"/>
      <c r="Z182" s="2230"/>
      <c r="AA182" s="2230"/>
      <c r="AB182" s="2230"/>
      <c r="AC182" s="2230"/>
      <c r="AD182" s="2230"/>
      <c r="AE182" s="2230"/>
      <c r="AF182" s="2230"/>
      <c r="AG182" s="2230"/>
      <c r="AH182" s="2230"/>
      <c r="AI182" s="2230"/>
      <c r="AJ182" s="2230"/>
      <c r="AK182" s="2230"/>
      <c r="AL182" s="2230"/>
      <c r="AM182" s="2230"/>
      <c r="AN182" s="2230"/>
      <c r="AO182" s="2230"/>
      <c r="AP182" s="2230"/>
      <c r="AQ182" s="2230"/>
      <c r="AR182" s="2230"/>
      <c r="AS182" s="2230"/>
      <c r="AT182" s="2230"/>
      <c r="AU182" s="2230"/>
      <c r="AV182" s="2230"/>
      <c r="AW182" s="2230"/>
      <c r="AX182" s="2230"/>
      <c r="AY182" s="2230"/>
      <c r="AZ182" s="2230"/>
      <c r="BA182" s="1206"/>
      <c r="BB182" s="1206"/>
      <c r="BC182" s="1206"/>
      <c r="BD182" s="1212"/>
      <c r="BE182" s="1212"/>
    </row>
    <row r="183" spans="1:57" ht="15.75" customHeight="1">
      <c r="A183" s="1206"/>
      <c r="B183" s="1205"/>
      <c r="C183" s="1206"/>
      <c r="D183" s="1206"/>
      <c r="E183" s="1206"/>
      <c r="F183" s="1206"/>
      <c r="G183" s="1206"/>
      <c r="H183" s="1206"/>
      <c r="I183" s="1206"/>
      <c r="J183" s="1206"/>
      <c r="K183" s="1206"/>
      <c r="L183" s="1206"/>
      <c r="M183" s="1206"/>
      <c r="N183" s="1206"/>
      <c r="O183" s="1206"/>
      <c r="P183" s="1206"/>
      <c r="Q183" s="1206"/>
      <c r="R183" s="1206"/>
      <c r="S183" s="1206"/>
      <c r="T183" s="1206"/>
      <c r="U183" s="1206"/>
      <c r="V183" s="1206"/>
      <c r="W183" s="1206"/>
      <c r="X183" s="1206"/>
      <c r="Y183" s="1206"/>
      <c r="Z183" s="1206"/>
      <c r="AA183" s="1206"/>
      <c r="AB183" s="1206"/>
      <c r="AC183" s="1206"/>
      <c r="AD183" s="1206"/>
      <c r="AE183" s="1206"/>
      <c r="AF183" s="1206"/>
      <c r="AG183" s="1206"/>
      <c r="AH183" s="1206"/>
      <c r="AI183" s="1206"/>
      <c r="AJ183" s="1206"/>
      <c r="AK183" s="1206"/>
      <c r="AL183" s="1206"/>
      <c r="AM183" s="1206"/>
      <c r="AN183" s="1206"/>
      <c r="AO183" s="1206"/>
      <c r="AP183" s="1206"/>
      <c r="AQ183" s="1206"/>
      <c r="AR183" s="1206"/>
      <c r="AS183" s="1206"/>
      <c r="AT183" s="1206"/>
      <c r="AU183" s="1206"/>
      <c r="AV183" s="1206"/>
      <c r="AW183" s="1206"/>
      <c r="AX183" s="1206"/>
      <c r="AY183" s="1206"/>
      <c r="AZ183" s="1206"/>
      <c r="BA183" s="1206"/>
      <c r="BB183" s="1206"/>
      <c r="BC183" s="1206"/>
      <c r="BD183" s="1212"/>
      <c r="BE183" s="1212"/>
    </row>
    <row r="184" spans="1:57" ht="15.75" customHeight="1" thickBot="1">
      <c r="A184" s="1206"/>
      <c r="B184" s="1249"/>
      <c r="C184" s="1250"/>
      <c r="D184" s="1250"/>
      <c r="E184" s="1250"/>
      <c r="F184" s="1250"/>
      <c r="G184" s="1250"/>
      <c r="H184" s="2231" t="s">
        <v>1928</v>
      </c>
      <c r="I184" s="2231"/>
      <c r="J184" s="2231"/>
      <c r="K184" s="2231"/>
      <c r="L184" s="2231"/>
      <c r="M184" s="2231"/>
      <c r="N184" s="2231"/>
      <c r="O184" s="2231"/>
      <c r="P184" s="2231"/>
      <c r="Q184" s="2231"/>
      <c r="R184" s="2231"/>
      <c r="S184" s="2231"/>
      <c r="T184" s="2231"/>
      <c r="U184" s="2231"/>
      <c r="V184" s="2231"/>
      <c r="W184" s="2231"/>
      <c r="X184" s="2231"/>
      <c r="Y184" s="2231"/>
      <c r="Z184" s="2231"/>
      <c r="AA184" s="2231"/>
      <c r="AB184" s="2231"/>
      <c r="AC184" s="2231"/>
      <c r="AD184" s="2231"/>
      <c r="AE184" s="2231"/>
      <c r="AF184" s="2231"/>
      <c r="AG184" s="2231"/>
      <c r="AH184" s="2231"/>
      <c r="AI184" s="2231"/>
      <c r="AJ184" s="2231"/>
      <c r="AK184" s="2231"/>
      <c r="AL184" s="2231"/>
      <c r="AM184" s="2231"/>
      <c r="AN184" s="2231"/>
      <c r="AO184" s="2231"/>
      <c r="AP184" s="2231"/>
      <c r="AQ184" s="2231"/>
      <c r="AR184" s="2231"/>
      <c r="AS184" s="2231"/>
      <c r="AT184" s="2231"/>
      <c r="AU184" s="2231"/>
      <c r="AV184" s="2231"/>
      <c r="AW184" s="1250"/>
      <c r="AX184" s="1250"/>
      <c r="AY184" s="1250"/>
      <c r="AZ184" s="1250"/>
      <c r="BA184" s="1250"/>
      <c r="BB184" s="1250"/>
      <c r="BC184" s="1250"/>
      <c r="BD184" s="1251"/>
      <c r="BE184" s="1212"/>
    </row>
    <row r="185" spans="1:57" ht="15.75" customHeight="1" thickBot="1">
      <c r="A185" s="1206"/>
      <c r="B185" s="1252"/>
      <c r="C185" s="1221"/>
      <c r="D185" s="1221"/>
      <c r="E185" s="1221"/>
      <c r="F185" s="1221"/>
      <c r="G185" s="1221"/>
      <c r="H185" s="1221"/>
      <c r="I185" s="1221"/>
      <c r="J185" s="1221"/>
      <c r="K185" s="1221"/>
      <c r="L185" s="1221"/>
      <c r="M185" s="1221"/>
      <c r="N185" s="1221"/>
      <c r="O185" s="1221"/>
      <c r="P185" s="1221"/>
      <c r="Q185" s="1221"/>
      <c r="R185" s="1221"/>
      <c r="S185" s="1221"/>
      <c r="T185" s="1221"/>
      <c r="U185" s="1221"/>
      <c r="V185" s="1221"/>
      <c r="W185" s="1221"/>
      <c r="X185" s="1221"/>
      <c r="Y185" s="1221"/>
      <c r="Z185" s="1221"/>
      <c r="AA185" s="1221"/>
      <c r="AB185" s="1221"/>
      <c r="AC185" s="1221"/>
      <c r="AD185" s="1221"/>
      <c r="AE185" s="1221"/>
      <c r="AF185" s="1221"/>
      <c r="AG185" s="1221"/>
      <c r="AH185" s="1221"/>
      <c r="AI185" s="1221"/>
      <c r="AJ185" s="1221"/>
      <c r="AK185" s="1221"/>
      <c r="AL185" s="1221"/>
      <c r="AM185" s="1221"/>
      <c r="AN185" s="1221"/>
      <c r="AO185" s="1221"/>
      <c r="AP185" s="1221"/>
      <c r="AQ185" s="1221"/>
      <c r="AR185" s="1221"/>
      <c r="AS185" s="1221"/>
      <c r="AT185" s="1221"/>
      <c r="AU185" s="1221"/>
      <c r="AV185" s="1221"/>
      <c r="AW185" s="1221"/>
      <c r="AX185" s="1221"/>
      <c r="AY185" s="1221"/>
      <c r="AZ185" s="1221"/>
      <c r="BA185" s="1221"/>
      <c r="BB185" s="1221"/>
      <c r="BC185" s="1221"/>
      <c r="BD185" s="1253"/>
      <c r="BE185" s="1212"/>
    </row>
    <row r="186" spans="1:57" ht="30" customHeight="1" thickBot="1">
      <c r="A186" s="1206"/>
      <c r="B186" s="1252"/>
      <c r="C186" s="1221"/>
      <c r="D186" s="1221"/>
      <c r="E186" s="1221"/>
      <c r="F186" s="1221"/>
      <c r="G186" s="1221"/>
      <c r="H186" s="2221" t="s">
        <v>1929</v>
      </c>
      <c r="I186" s="2221"/>
      <c r="J186" s="2221"/>
      <c r="K186" s="2221"/>
      <c r="L186" s="1221"/>
      <c r="M186" s="1221"/>
      <c r="N186" s="1221"/>
      <c r="O186" s="1221"/>
      <c r="P186" s="1221"/>
      <c r="Q186" s="1221"/>
      <c r="R186" s="1221"/>
      <c r="S186" s="2232"/>
      <c r="T186" s="2228"/>
      <c r="U186" s="2228"/>
      <c r="V186" s="2228"/>
      <c r="W186" s="2228"/>
      <c r="X186" s="2228"/>
      <c r="Y186" s="2228"/>
      <c r="Z186" s="2228"/>
      <c r="AA186" s="2228"/>
      <c r="AB186" s="2228"/>
      <c r="AC186" s="2228"/>
      <c r="AD186" s="2228"/>
      <c r="AE186" s="2228"/>
      <c r="AF186" s="2228"/>
      <c r="AG186" s="2228"/>
      <c r="AH186" s="2228"/>
      <c r="AI186" s="2228"/>
      <c r="AJ186" s="2229"/>
      <c r="AK186" s="1221"/>
      <c r="AL186" s="1221"/>
      <c r="AM186" s="1221"/>
      <c r="AN186" s="1221"/>
      <c r="AO186" s="1221"/>
      <c r="AP186" s="1221"/>
      <c r="AQ186" s="1221"/>
      <c r="AR186" s="1221"/>
      <c r="AS186" s="1221"/>
      <c r="AT186" s="1221"/>
      <c r="AU186" s="1221"/>
      <c r="AV186" s="1221"/>
      <c r="AW186" s="1221"/>
      <c r="AX186" s="1221"/>
      <c r="AY186" s="1221"/>
      <c r="AZ186" s="1221"/>
      <c r="BA186" s="1221"/>
      <c r="BB186" s="1221"/>
      <c r="BC186" s="1221"/>
      <c r="BD186" s="1253"/>
      <c r="BE186" s="1212"/>
    </row>
    <row r="187" spans="1:57" ht="15.75" customHeight="1" thickBot="1">
      <c r="A187" s="1206"/>
      <c r="B187" s="1252"/>
      <c r="C187" s="1221"/>
      <c r="D187" s="1221"/>
      <c r="E187" s="1221"/>
      <c r="F187" s="1221"/>
      <c r="G187" s="1221"/>
      <c r="H187" s="1254"/>
      <c r="I187" s="1254"/>
      <c r="J187" s="1254"/>
      <c r="K187" s="1254"/>
      <c r="L187" s="1221"/>
      <c r="M187" s="1221"/>
      <c r="N187" s="1221"/>
      <c r="O187" s="1221"/>
      <c r="P187" s="1221"/>
      <c r="Q187" s="1221"/>
      <c r="R187" s="1221"/>
      <c r="S187" s="1221"/>
      <c r="T187" s="1221"/>
      <c r="U187" s="1221"/>
      <c r="V187" s="1221"/>
      <c r="W187" s="1221"/>
      <c r="X187" s="1221"/>
      <c r="Y187" s="1221"/>
      <c r="Z187" s="1221"/>
      <c r="AA187" s="1221"/>
      <c r="AB187" s="1221"/>
      <c r="AC187" s="1221"/>
      <c r="AD187" s="1221"/>
      <c r="AE187" s="1221"/>
      <c r="AF187" s="1221"/>
      <c r="AG187" s="1221"/>
      <c r="AH187" s="1221"/>
      <c r="AI187" s="1221"/>
      <c r="AJ187" s="1221"/>
      <c r="AK187" s="1221"/>
      <c r="AL187" s="1221"/>
      <c r="AM187" s="1221"/>
      <c r="AN187" s="1221"/>
      <c r="AO187" s="1221"/>
      <c r="AP187" s="1221"/>
      <c r="AQ187" s="1221"/>
      <c r="AR187" s="1221"/>
      <c r="AS187" s="1221"/>
      <c r="AT187" s="1221"/>
      <c r="AU187" s="1221"/>
      <c r="AV187" s="1221"/>
      <c r="AW187" s="1221"/>
      <c r="AX187" s="1221"/>
      <c r="AY187" s="1221"/>
      <c r="AZ187" s="1221"/>
      <c r="BA187" s="1221"/>
      <c r="BB187" s="1221"/>
      <c r="BC187" s="1221"/>
      <c r="BD187" s="1253"/>
      <c r="BE187" s="1212"/>
    </row>
    <row r="188" spans="1:57" ht="15.75" customHeight="1" thickBot="1">
      <c r="A188" s="1206"/>
      <c r="B188" s="1252"/>
      <c r="C188" s="1221"/>
      <c r="D188" s="1221"/>
      <c r="E188" s="1221"/>
      <c r="F188" s="1221"/>
      <c r="G188" s="1221"/>
      <c r="H188" s="2221" t="s">
        <v>1930</v>
      </c>
      <c r="I188" s="2221"/>
      <c r="J188" s="2221"/>
      <c r="K188" s="1254"/>
      <c r="L188" s="1221"/>
      <c r="M188" s="1221"/>
      <c r="N188" s="1221"/>
      <c r="O188" s="1221"/>
      <c r="P188" s="1221"/>
      <c r="Q188" s="1221"/>
      <c r="R188" s="1221"/>
      <c r="S188" s="2222"/>
      <c r="T188" s="2223"/>
      <c r="U188" s="2223"/>
      <c r="V188" s="2223"/>
      <c r="W188" s="2223"/>
      <c r="X188" s="2223"/>
      <c r="Y188" s="2223"/>
      <c r="Z188" s="2223"/>
      <c r="AA188" s="2223"/>
      <c r="AB188" s="2223"/>
      <c r="AC188" s="2223"/>
      <c r="AD188" s="2223"/>
      <c r="AE188" s="2223"/>
      <c r="AF188" s="2223"/>
      <c r="AG188" s="2223"/>
      <c r="AH188" s="2223"/>
      <c r="AI188" s="2223"/>
      <c r="AJ188" s="2224"/>
      <c r="AK188" s="1221"/>
      <c r="AL188" s="1221"/>
      <c r="AM188" s="1221"/>
      <c r="AN188" s="1221"/>
      <c r="AO188" s="1221"/>
      <c r="AP188" s="1221"/>
      <c r="AQ188" s="1221"/>
      <c r="AR188" s="1221"/>
      <c r="AS188" s="1221"/>
      <c r="AT188" s="1221"/>
      <c r="AU188" s="1221"/>
      <c r="AV188" s="1221"/>
      <c r="AW188" s="1221"/>
      <c r="AX188" s="1221"/>
      <c r="AY188" s="1221"/>
      <c r="AZ188" s="1221"/>
      <c r="BA188" s="1221"/>
      <c r="BB188" s="1221"/>
      <c r="BC188" s="1221"/>
      <c r="BD188" s="1253"/>
      <c r="BE188" s="1212"/>
    </row>
    <row r="189" spans="1:57" ht="15.75" customHeight="1" thickBot="1">
      <c r="A189" s="1206"/>
      <c r="B189" s="1252"/>
      <c r="C189" s="1221"/>
      <c r="D189" s="1221"/>
      <c r="E189" s="1221"/>
      <c r="F189" s="1221"/>
      <c r="G189" s="1221"/>
      <c r="H189" s="1254"/>
      <c r="I189" s="1254"/>
      <c r="J189" s="1254"/>
      <c r="K189" s="1254"/>
      <c r="L189" s="1221"/>
      <c r="M189" s="1221"/>
      <c r="N189" s="1221"/>
      <c r="O189" s="1221"/>
      <c r="P189" s="1221"/>
      <c r="Q189" s="1221"/>
      <c r="R189" s="1221"/>
      <c r="S189" s="1221"/>
      <c r="T189" s="1221"/>
      <c r="U189" s="1221"/>
      <c r="V189" s="1221"/>
      <c r="W189" s="1221"/>
      <c r="X189" s="1221"/>
      <c r="Y189" s="1221"/>
      <c r="Z189" s="1221"/>
      <c r="AA189" s="1221"/>
      <c r="AB189" s="1221"/>
      <c r="AC189" s="1221"/>
      <c r="AD189" s="1221"/>
      <c r="AE189" s="1221"/>
      <c r="AF189" s="1221"/>
      <c r="AG189" s="1221"/>
      <c r="AH189" s="1221"/>
      <c r="AI189" s="1221"/>
      <c r="AJ189" s="1221"/>
      <c r="AK189" s="1221"/>
      <c r="AL189" s="1221"/>
      <c r="AM189" s="1221"/>
      <c r="AN189" s="1221"/>
      <c r="AO189" s="1221"/>
      <c r="AP189" s="1221"/>
      <c r="AQ189" s="1221"/>
      <c r="AR189" s="1221"/>
      <c r="AS189" s="1221"/>
      <c r="AT189" s="1221"/>
      <c r="AU189" s="1221"/>
      <c r="AV189" s="1221"/>
      <c r="AW189" s="1221"/>
      <c r="AX189" s="1221"/>
      <c r="AY189" s="1221"/>
      <c r="AZ189" s="1221"/>
      <c r="BA189" s="1221"/>
      <c r="BB189" s="1221"/>
      <c r="BC189" s="1221"/>
      <c r="BD189" s="1253"/>
      <c r="BE189" s="1212"/>
    </row>
    <row r="190" spans="1:57" ht="15.75" customHeight="1" thickBot="1">
      <c r="A190" s="1206"/>
      <c r="B190" s="1252"/>
      <c r="C190" s="1221"/>
      <c r="D190" s="1221"/>
      <c r="E190" s="1221"/>
      <c r="F190" s="1221"/>
      <c r="G190" s="1221"/>
      <c r="H190" s="2221" t="s">
        <v>444</v>
      </c>
      <c r="I190" s="2221"/>
      <c r="J190" s="1254"/>
      <c r="K190" s="1254"/>
      <c r="L190" s="1221"/>
      <c r="M190" s="1221"/>
      <c r="N190" s="1221"/>
      <c r="O190" s="1221"/>
      <c r="P190" s="1221"/>
      <c r="Q190" s="1221"/>
      <c r="R190" s="1221"/>
      <c r="S190" s="2222"/>
      <c r="T190" s="2223"/>
      <c r="U190" s="2223"/>
      <c r="V190" s="2223"/>
      <c r="W190" s="2223"/>
      <c r="X190" s="2223"/>
      <c r="Y190" s="2223"/>
      <c r="Z190" s="2223"/>
      <c r="AA190" s="2223"/>
      <c r="AB190" s="2223"/>
      <c r="AC190" s="2223"/>
      <c r="AD190" s="2223"/>
      <c r="AE190" s="2223"/>
      <c r="AF190" s="2223"/>
      <c r="AG190" s="2223"/>
      <c r="AH190" s="2223"/>
      <c r="AI190" s="2223"/>
      <c r="AJ190" s="2224"/>
      <c r="AK190" s="1221"/>
      <c r="AL190" s="1221"/>
      <c r="AM190" s="1221"/>
      <c r="AN190" s="1221"/>
      <c r="AO190" s="1221"/>
      <c r="AP190" s="1221"/>
      <c r="AQ190" s="1221"/>
      <c r="AR190" s="1221"/>
      <c r="AS190" s="1221"/>
      <c r="AT190" s="1221"/>
      <c r="AU190" s="1221"/>
      <c r="AV190" s="1221"/>
      <c r="AW190" s="1221"/>
      <c r="AX190" s="1221"/>
      <c r="AY190" s="1221"/>
      <c r="AZ190" s="1221"/>
      <c r="BA190" s="1221"/>
      <c r="BB190" s="1221"/>
      <c r="BC190" s="1221"/>
      <c r="BD190" s="1253"/>
      <c r="BE190" s="1212"/>
    </row>
    <row r="191" spans="1:57" ht="15.75" customHeight="1" thickBot="1">
      <c r="A191" s="1206"/>
      <c r="B191" s="1252"/>
      <c r="C191" s="1221"/>
      <c r="D191" s="1221"/>
      <c r="E191" s="1221"/>
      <c r="F191" s="1221"/>
      <c r="G191" s="1221"/>
      <c r="H191" s="1221"/>
      <c r="I191" s="1221"/>
      <c r="J191" s="1221"/>
      <c r="K191" s="1221"/>
      <c r="L191" s="1221"/>
      <c r="M191" s="1221"/>
      <c r="N191" s="1221"/>
      <c r="O191" s="1221"/>
      <c r="P191" s="1221"/>
      <c r="Q191" s="1221"/>
      <c r="R191" s="1221"/>
      <c r="S191" s="1221"/>
      <c r="T191" s="1221"/>
      <c r="U191" s="1221"/>
      <c r="V191" s="1221"/>
      <c r="W191" s="1221"/>
      <c r="X191" s="1221"/>
      <c r="Y191" s="1221"/>
      <c r="Z191" s="1221"/>
      <c r="AA191" s="1221"/>
      <c r="AB191" s="1221"/>
      <c r="AC191" s="1221"/>
      <c r="AD191" s="1221"/>
      <c r="AE191" s="1221"/>
      <c r="AF191" s="1221"/>
      <c r="AG191" s="1221"/>
      <c r="AH191" s="1221"/>
      <c r="AI191" s="1221"/>
      <c r="AJ191" s="1221"/>
      <c r="AK191" s="1221"/>
      <c r="AL191" s="1221"/>
      <c r="AM191" s="1221"/>
      <c r="AN191" s="1221"/>
      <c r="AO191" s="1221"/>
      <c r="AP191" s="1221"/>
      <c r="AQ191" s="1221"/>
      <c r="AR191" s="1221"/>
      <c r="AS191" s="1221"/>
      <c r="AT191" s="1221"/>
      <c r="AU191" s="1221"/>
      <c r="AV191" s="1221"/>
      <c r="AW191" s="1221"/>
      <c r="AX191" s="1221"/>
      <c r="AY191" s="1221"/>
      <c r="AZ191" s="1221"/>
      <c r="BA191" s="1221"/>
      <c r="BB191" s="1221"/>
      <c r="BC191" s="1221"/>
      <c r="BD191" s="1253"/>
      <c r="BE191" s="1212"/>
    </row>
    <row r="192" spans="1:57" ht="15.75" customHeight="1" thickBot="1">
      <c r="A192" s="1206"/>
      <c r="B192" s="1252"/>
      <c r="C192" s="1221"/>
      <c r="D192" s="1221"/>
      <c r="E192" s="1221"/>
      <c r="F192" s="1221"/>
      <c r="G192" s="1221"/>
      <c r="H192" s="2225" t="s">
        <v>1931</v>
      </c>
      <c r="I192" s="2225"/>
      <c r="J192" s="2225"/>
      <c r="K192" s="2225"/>
      <c r="L192" s="2225"/>
      <c r="M192" s="2225"/>
      <c r="N192" s="2225"/>
      <c r="O192" s="2225"/>
      <c r="P192" s="1221"/>
      <c r="Q192" s="1221"/>
      <c r="R192" s="1221"/>
      <c r="S192" s="2222"/>
      <c r="T192" s="2223"/>
      <c r="U192" s="2223"/>
      <c r="V192" s="2223"/>
      <c r="W192" s="2223"/>
      <c r="X192" s="2223"/>
      <c r="Y192" s="2223"/>
      <c r="Z192" s="2223"/>
      <c r="AA192" s="2223"/>
      <c r="AB192" s="2223"/>
      <c r="AC192" s="2223"/>
      <c r="AD192" s="2223"/>
      <c r="AE192" s="2223"/>
      <c r="AF192" s="2223"/>
      <c r="AG192" s="2223"/>
      <c r="AH192" s="2223"/>
      <c r="AI192" s="2223"/>
      <c r="AJ192" s="2224"/>
      <c r="AK192" s="1221"/>
      <c r="AL192" s="1221"/>
      <c r="AM192" s="1221"/>
      <c r="AN192" s="1221"/>
      <c r="AO192" s="1221"/>
      <c r="AP192" s="1221"/>
      <c r="AQ192" s="1221"/>
      <c r="AR192" s="1221"/>
      <c r="AS192" s="1221"/>
      <c r="AT192" s="1221"/>
      <c r="AU192" s="1221"/>
      <c r="AV192" s="1221"/>
      <c r="AW192" s="1221"/>
      <c r="AX192" s="1221"/>
      <c r="AY192" s="1221"/>
      <c r="AZ192" s="1221"/>
      <c r="BA192" s="1221"/>
      <c r="BB192" s="1221"/>
      <c r="BC192" s="1221"/>
      <c r="BD192" s="1253"/>
      <c r="BE192" s="1212"/>
    </row>
    <row r="193" spans="1:57" ht="15.75" customHeight="1" thickBot="1">
      <c r="A193" s="1206"/>
      <c r="B193" s="1252"/>
      <c r="C193" s="1221"/>
      <c r="D193" s="1221"/>
      <c r="E193" s="1221"/>
      <c r="F193" s="1221"/>
      <c r="G193" s="1221"/>
      <c r="H193" s="1221"/>
      <c r="I193" s="1221"/>
      <c r="J193" s="1221"/>
      <c r="K193" s="1221"/>
      <c r="L193" s="1221"/>
      <c r="M193" s="1221"/>
      <c r="N193" s="1221"/>
      <c r="O193" s="1221"/>
      <c r="P193" s="1221"/>
      <c r="Q193" s="1221"/>
      <c r="R193" s="1221"/>
      <c r="S193" s="1221"/>
      <c r="T193" s="1221"/>
      <c r="U193" s="1221"/>
      <c r="V193" s="1221"/>
      <c r="W193" s="1221"/>
      <c r="X193" s="1221"/>
      <c r="Y193" s="1221"/>
      <c r="Z193" s="1221"/>
      <c r="AA193" s="1221"/>
      <c r="AB193" s="1221"/>
      <c r="AC193" s="1221"/>
      <c r="AD193" s="1221"/>
      <c r="AE193" s="1221"/>
      <c r="AF193" s="1221"/>
      <c r="AG193" s="1221"/>
      <c r="AH193" s="1221"/>
      <c r="AI193" s="1221"/>
      <c r="AJ193" s="1221"/>
      <c r="AK193" s="1221"/>
      <c r="AL193" s="1221"/>
      <c r="AM193" s="1221"/>
      <c r="AN193" s="1221"/>
      <c r="AO193" s="1221"/>
      <c r="AP193" s="1221"/>
      <c r="AQ193" s="1221"/>
      <c r="AR193" s="1221"/>
      <c r="AS193" s="1221"/>
      <c r="AT193" s="1221"/>
      <c r="AU193" s="1221"/>
      <c r="AV193" s="1221"/>
      <c r="AW193" s="1221"/>
      <c r="AX193" s="1221"/>
      <c r="AY193" s="1221"/>
      <c r="AZ193" s="1221"/>
      <c r="BA193" s="1221"/>
      <c r="BB193" s="1221"/>
      <c r="BC193" s="1221"/>
      <c r="BD193" s="1253"/>
      <c r="BE193" s="1212"/>
    </row>
    <row r="194" spans="1:57" ht="15.75" customHeight="1" thickBot="1">
      <c r="A194" s="1206"/>
      <c r="B194" s="1252"/>
      <c r="C194" s="1221"/>
      <c r="D194" s="1221"/>
      <c r="E194" s="1221"/>
      <c r="F194" s="1221"/>
      <c r="G194" s="1221"/>
      <c r="H194" s="2226" t="s">
        <v>1932</v>
      </c>
      <c r="I194" s="2226"/>
      <c r="J194" s="1221"/>
      <c r="K194" s="1221"/>
      <c r="L194" s="1221"/>
      <c r="M194" s="1221"/>
      <c r="N194" s="1221"/>
      <c r="O194" s="1221"/>
      <c r="P194" s="1221"/>
      <c r="Q194" s="1221"/>
      <c r="R194" s="1221"/>
      <c r="S194" s="2227"/>
      <c r="T194" s="2228"/>
      <c r="U194" s="2228"/>
      <c r="V194" s="2228"/>
      <c r="W194" s="2228"/>
      <c r="X194" s="2228"/>
      <c r="Y194" s="2228"/>
      <c r="Z194" s="2228"/>
      <c r="AA194" s="2228"/>
      <c r="AB194" s="2228"/>
      <c r="AC194" s="2228"/>
      <c r="AD194" s="2228"/>
      <c r="AE194" s="2228"/>
      <c r="AF194" s="2228"/>
      <c r="AG194" s="2228"/>
      <c r="AH194" s="2228"/>
      <c r="AI194" s="2228"/>
      <c r="AJ194" s="2229"/>
      <c r="AK194" s="1221"/>
      <c r="AL194" s="1221"/>
      <c r="AM194" s="1221"/>
      <c r="AN194" s="1221"/>
      <c r="AO194" s="1221"/>
      <c r="AP194" s="1221"/>
      <c r="AQ194" s="1221"/>
      <c r="AR194" s="1221"/>
      <c r="AS194" s="1221"/>
      <c r="AT194" s="1221"/>
      <c r="AU194" s="1221"/>
      <c r="AV194" s="1221"/>
      <c r="AW194" s="1221"/>
      <c r="AX194" s="1221"/>
      <c r="AY194" s="1221"/>
      <c r="AZ194" s="1221"/>
      <c r="BA194" s="1221"/>
      <c r="BB194" s="1221"/>
      <c r="BC194" s="1221"/>
      <c r="BD194" s="1253"/>
      <c r="BE194" s="1212"/>
    </row>
    <row r="195" spans="1:57" ht="15.75" customHeight="1" thickBot="1">
      <c r="A195" s="1206"/>
      <c r="B195" s="1255"/>
      <c r="C195" s="1256"/>
      <c r="D195" s="1256"/>
      <c r="E195" s="1256"/>
      <c r="F195" s="1256"/>
      <c r="G195" s="1256"/>
      <c r="H195" s="1256"/>
      <c r="I195" s="1256"/>
      <c r="J195" s="1256"/>
      <c r="K195" s="1256"/>
      <c r="L195" s="1256"/>
      <c r="M195" s="1256"/>
      <c r="N195" s="1256"/>
      <c r="O195" s="1256"/>
      <c r="P195" s="1256"/>
      <c r="Q195" s="1256"/>
      <c r="R195" s="1256"/>
      <c r="S195" s="1256"/>
      <c r="T195" s="1256"/>
      <c r="U195" s="1256"/>
      <c r="V195" s="1256"/>
      <c r="W195" s="1256"/>
      <c r="X195" s="1256"/>
      <c r="Y195" s="1256"/>
      <c r="Z195" s="1256"/>
      <c r="AA195" s="1256"/>
      <c r="AB195" s="1256"/>
      <c r="AC195" s="1256"/>
      <c r="AD195" s="1256"/>
      <c r="AE195" s="1256"/>
      <c r="AF195" s="1256"/>
      <c r="AG195" s="1256"/>
      <c r="AH195" s="1256"/>
      <c r="AI195" s="1256"/>
      <c r="AJ195" s="1256"/>
      <c r="AK195" s="1256"/>
      <c r="AL195" s="1256"/>
      <c r="AM195" s="1256"/>
      <c r="AN195" s="1256"/>
      <c r="AO195" s="1256"/>
      <c r="AP195" s="1256"/>
      <c r="AQ195" s="1256"/>
      <c r="AR195" s="1256"/>
      <c r="AS195" s="1256"/>
      <c r="AT195" s="1256"/>
      <c r="AU195" s="1256"/>
      <c r="AV195" s="1256"/>
      <c r="AW195" s="1256"/>
      <c r="AX195" s="1256"/>
      <c r="AY195" s="1256"/>
      <c r="AZ195" s="1256"/>
      <c r="BA195" s="1256"/>
      <c r="BB195" s="1256"/>
      <c r="BC195" s="1256"/>
      <c r="BD195" s="1257"/>
      <c r="BE195" s="1212"/>
    </row>
    <row r="196" spans="1:57" ht="15.75" customHeight="1" thickBot="1">
      <c r="A196" s="1250"/>
      <c r="B196" s="1250"/>
      <c r="C196" s="1250"/>
      <c r="D196" s="1250"/>
      <c r="E196" s="1250"/>
      <c r="F196" s="1250"/>
      <c r="G196" s="1250"/>
      <c r="H196" s="1250"/>
      <c r="I196" s="1250"/>
      <c r="J196" s="1250"/>
      <c r="K196" s="1250"/>
      <c r="L196" s="1250"/>
      <c r="M196" s="1250"/>
      <c r="N196" s="1250"/>
      <c r="O196" s="1250"/>
      <c r="P196" s="1250"/>
      <c r="Q196" s="1250"/>
      <c r="R196" s="1250"/>
      <c r="S196" s="1250"/>
      <c r="T196" s="1250"/>
      <c r="U196" s="1250"/>
      <c r="V196" s="1250"/>
      <c r="W196" s="1250"/>
      <c r="X196" s="1250"/>
      <c r="Y196" s="1250"/>
      <c r="Z196" s="1250"/>
      <c r="AA196" s="1250"/>
      <c r="AB196" s="1250"/>
      <c r="AC196" s="1250"/>
      <c r="AD196" s="1250"/>
      <c r="AE196" s="1250"/>
      <c r="AF196" s="1250"/>
      <c r="AG196" s="1250"/>
      <c r="AH196" s="1250"/>
      <c r="AI196" s="1250"/>
      <c r="AJ196" s="1250"/>
      <c r="AK196" s="1250"/>
      <c r="AL196" s="1250"/>
      <c r="AM196" s="1250"/>
      <c r="AN196" s="1250"/>
      <c r="AO196" s="1250"/>
      <c r="AP196" s="1250"/>
      <c r="AQ196" s="1250"/>
      <c r="AR196" s="1250"/>
      <c r="AS196" s="1250"/>
      <c r="AT196" s="1250"/>
      <c r="AU196" s="1250"/>
      <c r="AV196" s="1250"/>
      <c r="AW196" s="1250"/>
      <c r="AX196" s="1250"/>
      <c r="AY196" s="1250"/>
      <c r="AZ196" s="1250"/>
      <c r="BA196" s="1250"/>
      <c r="BB196" s="1250"/>
      <c r="BC196" s="1250"/>
      <c r="BD196" s="1250"/>
      <c r="BE196" s="1251"/>
    </row>
    <row r="199" spans="1:57" ht="15.75" customHeight="1">
      <c r="D199" s="1204"/>
    </row>
    <row r="200" spans="1:57" ht="15.75" customHeight="1">
      <c r="D200" s="1258"/>
    </row>
    <row r="201" spans="1:57" ht="15.75" customHeight="1">
      <c r="D201" s="1204"/>
    </row>
    <row r="202" spans="1:57" ht="15.75" customHeight="1">
      <c r="D202" s="1204"/>
    </row>
    <row r="203" spans="1:57" ht="15.75" customHeight="1">
      <c r="R203" s="1203"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3" fitToHeight="2"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AB71" sqref="AB71:AU71"/>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41" t="s">
        <v>942</v>
      </c>
      <c r="B1" s="2541"/>
      <c r="C1" s="2541"/>
      <c r="D1" s="2541"/>
      <c r="E1" s="2541"/>
      <c r="F1" s="2541"/>
      <c r="G1" s="2541"/>
      <c r="H1" s="2541"/>
      <c r="I1" s="2541"/>
      <c r="J1" s="2541"/>
      <c r="K1" s="218"/>
      <c r="L1" s="218"/>
    </row>
    <row r="2" spans="1:12">
      <c r="A2" s="225"/>
      <c r="B2" s="225"/>
      <c r="C2" s="225"/>
      <c r="D2" s="225"/>
      <c r="E2" s="225"/>
      <c r="F2" s="225"/>
      <c r="G2" s="225"/>
      <c r="H2" s="225"/>
      <c r="I2" s="225"/>
      <c r="J2" s="225"/>
    </row>
    <row r="3" spans="1:12" ht="99.75">
      <c r="A3" s="458" t="s">
        <v>943</v>
      </c>
      <c r="B3" s="458" t="s">
        <v>944</v>
      </c>
      <c r="C3" s="458" t="s">
        <v>2339</v>
      </c>
      <c r="D3" s="1198" t="s">
        <v>945</v>
      </c>
      <c r="E3" s="218"/>
      <c r="F3" s="1198" t="s">
        <v>946</v>
      </c>
      <c r="G3" s="458" t="s">
        <v>947</v>
      </c>
      <c r="H3" s="459"/>
      <c r="I3" s="458" t="s">
        <v>948</v>
      </c>
      <c r="J3" s="458" t="s">
        <v>949</v>
      </c>
      <c r="K3" s="218"/>
      <c r="L3" s="328"/>
    </row>
    <row r="4" spans="1:12">
      <c r="A4" s="460" t="str">
        <f>Application!B714</f>
        <v>SRO/Studio</v>
      </c>
      <c r="B4" s="1129">
        <f>Application!G714</f>
        <v>14</v>
      </c>
      <c r="C4" s="1130"/>
      <c r="D4" s="460">
        <f>Application!O714</f>
        <v>599</v>
      </c>
      <c r="E4" s="461"/>
      <c r="F4" s="1131"/>
      <c r="G4" s="460">
        <f>F4*B4</f>
        <v>0</v>
      </c>
      <c r="H4" s="461"/>
      <c r="I4" s="460" t="str">
        <f>IF(F4=0," ",(F4-D4))</f>
        <v xml:space="preserve"> </v>
      </c>
      <c r="J4" s="460" t="str">
        <f>IF(F4=0," ",(I4*B4))</f>
        <v xml:space="preserve"> </v>
      </c>
      <c r="K4" s="218"/>
      <c r="L4" s="328"/>
    </row>
    <row r="5" spans="1:12">
      <c r="A5" s="460" t="str">
        <f>Application!B715</f>
        <v>SRO/Studio</v>
      </c>
      <c r="B5" s="1129">
        <f>Application!G715</f>
        <v>26</v>
      </c>
      <c r="C5" s="1130"/>
      <c r="D5" s="460">
        <f>Application!O715</f>
        <v>1432</v>
      </c>
      <c r="E5" s="461"/>
      <c r="F5" s="1131"/>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29">
        <f>Application!G716</f>
        <v>13</v>
      </c>
      <c r="C6" s="1130"/>
      <c r="D6" s="460">
        <f>Application!O716</f>
        <v>633</v>
      </c>
      <c r="E6" s="461"/>
      <c r="F6" s="1131"/>
      <c r="G6" s="460">
        <f t="shared" si="0"/>
        <v>0</v>
      </c>
      <c r="H6" s="461"/>
      <c r="I6" s="460" t="str">
        <f t="shared" si="1"/>
        <v xml:space="preserve"> </v>
      </c>
      <c r="J6" s="460" t="str">
        <f t="shared" si="2"/>
        <v xml:space="preserve"> </v>
      </c>
      <c r="K6" s="218"/>
      <c r="L6" s="328"/>
    </row>
    <row r="7" spans="1:12">
      <c r="A7" s="460" t="str">
        <f>Application!B717</f>
        <v>1 Bedroom</v>
      </c>
      <c r="B7" s="1129">
        <f>Application!G717</f>
        <v>28</v>
      </c>
      <c r="C7" s="1130"/>
      <c r="D7" s="460">
        <f>Application!O717</f>
        <v>1526</v>
      </c>
      <c r="E7" s="461"/>
      <c r="F7" s="1131"/>
      <c r="G7" s="460">
        <f t="shared" si="0"/>
        <v>0</v>
      </c>
      <c r="H7" s="461"/>
      <c r="I7" s="460" t="str">
        <f t="shared" si="1"/>
        <v xml:space="preserve"> </v>
      </c>
      <c r="J7" s="460" t="str">
        <f t="shared" si="2"/>
        <v xml:space="preserve"> </v>
      </c>
      <c r="K7" s="218"/>
      <c r="L7" s="328"/>
    </row>
    <row r="8" spans="1:12">
      <c r="A8" s="460" t="str">
        <f>Application!B718</f>
        <v>2 Bedrooms</v>
      </c>
      <c r="B8" s="1129">
        <f>Application!G718</f>
        <v>5</v>
      </c>
      <c r="C8" s="1130"/>
      <c r="D8" s="460">
        <f>Application!O718</f>
        <v>755</v>
      </c>
      <c r="E8" s="461"/>
      <c r="F8" s="1131"/>
      <c r="G8" s="460">
        <f t="shared" si="0"/>
        <v>0</v>
      </c>
      <c r="H8" s="461"/>
      <c r="I8" s="460" t="str">
        <f t="shared" si="1"/>
        <v xml:space="preserve"> </v>
      </c>
      <c r="J8" s="460" t="str">
        <f t="shared" si="2"/>
        <v xml:space="preserve"> </v>
      </c>
      <c r="K8" s="218"/>
      <c r="L8" s="328"/>
    </row>
    <row r="9" spans="1:12">
      <c r="A9" s="460" t="str">
        <f>Application!B719</f>
        <v>2 Bedrooms</v>
      </c>
      <c r="B9" s="1129">
        <f>Application!G719</f>
        <v>9</v>
      </c>
      <c r="C9" s="1130"/>
      <c r="D9" s="460">
        <f>Application!O719</f>
        <v>1559</v>
      </c>
      <c r="E9" s="461"/>
      <c r="F9" s="1131"/>
      <c r="G9" s="460">
        <f t="shared" si="0"/>
        <v>0</v>
      </c>
      <c r="H9" s="461"/>
      <c r="I9" s="460" t="str">
        <f t="shared" si="1"/>
        <v xml:space="preserve"> </v>
      </c>
      <c r="J9" s="460" t="str">
        <f t="shared" si="2"/>
        <v xml:space="preserve"> </v>
      </c>
      <c r="K9" s="218"/>
      <c r="L9" s="328"/>
    </row>
    <row r="10" spans="1:12">
      <c r="A10" s="460" t="str">
        <f>Application!B720</f>
        <v>2 Bedrooms</v>
      </c>
      <c r="B10" s="1129">
        <f>Application!G720</f>
        <v>19</v>
      </c>
      <c r="C10" s="1130"/>
      <c r="D10" s="460">
        <f>Application!O720</f>
        <v>1826.9999999999998</v>
      </c>
      <c r="E10" s="461"/>
      <c r="F10" s="1131"/>
      <c r="G10" s="460">
        <f t="shared" si="0"/>
        <v>0</v>
      </c>
      <c r="H10" s="461"/>
      <c r="I10" s="460" t="str">
        <f t="shared" si="1"/>
        <v xml:space="preserve"> </v>
      </c>
      <c r="J10" s="460" t="str">
        <f t="shared" si="2"/>
        <v xml:space="preserve"> </v>
      </c>
      <c r="K10" s="218"/>
      <c r="L10" s="328"/>
    </row>
    <row r="11" spans="1:12">
      <c r="A11" s="460" t="str">
        <f>Application!B721</f>
        <v>2 Bedrooms</v>
      </c>
      <c r="B11" s="1129">
        <f>Application!G721</f>
        <v>11</v>
      </c>
      <c r="C11" s="1130"/>
      <c r="D11" s="460">
        <f>Application!O721</f>
        <v>2095</v>
      </c>
      <c r="E11" s="461"/>
      <c r="F11" s="1131"/>
      <c r="G11" s="460">
        <f t="shared" si="0"/>
        <v>0</v>
      </c>
      <c r="H11" s="461"/>
      <c r="I11" s="460" t="str">
        <f t="shared" si="1"/>
        <v xml:space="preserve"> </v>
      </c>
      <c r="J11" s="460" t="str">
        <f t="shared" si="2"/>
        <v xml:space="preserve"> </v>
      </c>
      <c r="K11" s="218"/>
      <c r="L11" s="328"/>
    </row>
    <row r="12" spans="1:12">
      <c r="A12" s="460" t="str">
        <f>Application!B722</f>
        <v>3 Bedrooms</v>
      </c>
      <c r="B12" s="1129">
        <f>Application!G722</f>
        <v>5</v>
      </c>
      <c r="C12" s="1130"/>
      <c r="D12" s="460">
        <f>Application!O722</f>
        <v>870</v>
      </c>
      <c r="E12" s="461"/>
      <c r="F12" s="1131"/>
      <c r="G12" s="460">
        <f t="shared" si="0"/>
        <v>0</v>
      </c>
      <c r="H12" s="461"/>
      <c r="I12" s="460" t="str">
        <f t="shared" si="1"/>
        <v xml:space="preserve"> </v>
      </c>
      <c r="J12" s="460" t="str">
        <f t="shared" si="2"/>
        <v xml:space="preserve"> </v>
      </c>
      <c r="K12" s="218"/>
      <c r="L12" s="328"/>
    </row>
    <row r="13" spans="1:12">
      <c r="A13" s="460" t="str">
        <f>Application!B723</f>
        <v>3 Bedrooms</v>
      </c>
      <c r="B13" s="1129">
        <f>Application!G723</f>
        <v>25</v>
      </c>
      <c r="C13" s="1130"/>
      <c r="D13" s="460">
        <f>Application!O723</f>
        <v>1799</v>
      </c>
      <c r="E13" s="461"/>
      <c r="F13" s="1131"/>
      <c r="G13" s="460">
        <f t="shared" si="0"/>
        <v>0</v>
      </c>
      <c r="H13" s="461"/>
      <c r="I13" s="460" t="str">
        <f t="shared" si="1"/>
        <v xml:space="preserve"> </v>
      </c>
      <c r="J13" s="460" t="str">
        <f t="shared" si="2"/>
        <v xml:space="preserve"> </v>
      </c>
      <c r="K13" s="218"/>
      <c r="L13" s="328"/>
    </row>
    <row r="14" spans="1:12">
      <c r="A14" s="460" t="str">
        <f>Application!B724</f>
        <v>3 Bedrooms</v>
      </c>
      <c r="B14" s="1129">
        <f>Application!G724</f>
        <v>16</v>
      </c>
      <c r="C14" s="1130"/>
      <c r="D14" s="460">
        <f>Application!O724</f>
        <v>2108.1999999999998</v>
      </c>
      <c r="E14" s="461"/>
      <c r="F14" s="1131"/>
      <c r="G14" s="460">
        <f t="shared" si="0"/>
        <v>0</v>
      </c>
      <c r="H14" s="461"/>
      <c r="I14" s="460" t="str">
        <f t="shared" si="1"/>
        <v xml:space="preserve"> </v>
      </c>
      <c r="J14" s="460" t="str">
        <f t="shared" si="2"/>
        <v xml:space="preserve"> </v>
      </c>
      <c r="K14" s="218"/>
      <c r="L14" s="328"/>
    </row>
    <row r="15" spans="1:12">
      <c r="A15" s="460">
        <f>Application!B725</f>
        <v>0</v>
      </c>
      <c r="B15" s="1129">
        <f>Application!G725</f>
        <v>0</v>
      </c>
      <c r="C15" s="1130"/>
      <c r="D15" s="460">
        <f>Application!O725</f>
        <v>0</v>
      </c>
      <c r="E15" s="461"/>
      <c r="F15" s="1131"/>
      <c r="G15" s="460">
        <f t="shared" si="0"/>
        <v>0</v>
      </c>
      <c r="H15" s="461"/>
      <c r="I15" s="460" t="str">
        <f t="shared" si="1"/>
        <v xml:space="preserve"> </v>
      </c>
      <c r="J15" s="460" t="str">
        <f t="shared" si="2"/>
        <v xml:space="preserve"> </v>
      </c>
      <c r="K15" s="218"/>
      <c r="L15" s="328"/>
    </row>
    <row r="16" spans="1:12">
      <c r="A16" s="460">
        <f>Application!B726</f>
        <v>0</v>
      </c>
      <c r="B16" s="1129">
        <f>Application!G726</f>
        <v>0</v>
      </c>
      <c r="C16" s="1130"/>
      <c r="D16" s="460">
        <f>Application!O726</f>
        <v>0</v>
      </c>
      <c r="E16" s="461"/>
      <c r="F16" s="1131"/>
      <c r="G16" s="460">
        <f t="shared" si="0"/>
        <v>0</v>
      </c>
      <c r="H16" s="461"/>
      <c r="I16" s="460" t="str">
        <f t="shared" si="1"/>
        <v xml:space="preserve"> </v>
      </c>
      <c r="J16" s="460" t="str">
        <f t="shared" si="2"/>
        <v xml:space="preserve"> </v>
      </c>
      <c r="K16" s="218"/>
      <c r="L16" s="328"/>
    </row>
    <row r="17" spans="1:12">
      <c r="A17" s="460">
        <f>Application!B727</f>
        <v>0</v>
      </c>
      <c r="B17" s="1129">
        <f>Application!G727</f>
        <v>0</v>
      </c>
      <c r="C17" s="1130"/>
      <c r="D17" s="460">
        <f>Application!O727</f>
        <v>0</v>
      </c>
      <c r="E17" s="461"/>
      <c r="F17" s="1131"/>
      <c r="G17" s="460">
        <f t="shared" si="0"/>
        <v>0</v>
      </c>
      <c r="H17" s="461"/>
      <c r="I17" s="460" t="str">
        <f t="shared" si="1"/>
        <v xml:space="preserve"> </v>
      </c>
      <c r="J17" s="460" t="str">
        <f t="shared" si="2"/>
        <v xml:space="preserve"> </v>
      </c>
      <c r="K17" s="218"/>
      <c r="L17" s="328"/>
    </row>
    <row r="18" spans="1:12">
      <c r="A18" s="460">
        <f>Application!B728</f>
        <v>0</v>
      </c>
      <c r="B18" s="1129">
        <f>Application!G728</f>
        <v>0</v>
      </c>
      <c r="C18" s="1130"/>
      <c r="D18" s="460">
        <f>Application!O728</f>
        <v>0</v>
      </c>
      <c r="E18" s="461"/>
      <c r="F18" s="1131"/>
      <c r="G18" s="460">
        <f t="shared" si="0"/>
        <v>0</v>
      </c>
      <c r="H18" s="461"/>
      <c r="I18" s="460" t="str">
        <f t="shared" si="1"/>
        <v xml:space="preserve"> </v>
      </c>
      <c r="J18" s="460" t="str">
        <f t="shared" si="2"/>
        <v xml:space="preserve"> </v>
      </c>
      <c r="K18" s="218"/>
      <c r="L18" s="328"/>
    </row>
    <row r="19" spans="1:12">
      <c r="A19" s="460">
        <f>Application!B729</f>
        <v>0</v>
      </c>
      <c r="B19" s="1129">
        <f>Application!G729</f>
        <v>0</v>
      </c>
      <c r="C19" s="1130"/>
      <c r="D19" s="460">
        <f>Application!O729</f>
        <v>0</v>
      </c>
      <c r="E19" s="461"/>
      <c r="F19" s="1131"/>
      <c r="G19" s="460">
        <f t="shared" si="0"/>
        <v>0</v>
      </c>
      <c r="H19" s="461"/>
      <c r="I19" s="460" t="str">
        <f t="shared" si="1"/>
        <v xml:space="preserve"> </v>
      </c>
      <c r="J19" s="460" t="str">
        <f t="shared" si="2"/>
        <v xml:space="preserve"> </v>
      </c>
      <c r="K19" s="218"/>
      <c r="L19" s="328"/>
    </row>
    <row r="20" spans="1:12">
      <c r="A20" s="460">
        <f>Application!B730</f>
        <v>0</v>
      </c>
      <c r="B20" s="1129">
        <f>Application!G730</f>
        <v>0</v>
      </c>
      <c r="C20" s="1130"/>
      <c r="D20" s="460">
        <f>Application!O730</f>
        <v>0</v>
      </c>
      <c r="E20" s="461"/>
      <c r="F20" s="1131"/>
      <c r="G20" s="460">
        <f t="shared" si="0"/>
        <v>0</v>
      </c>
      <c r="H20" s="461"/>
      <c r="I20" s="460" t="str">
        <f t="shared" si="1"/>
        <v xml:space="preserve"> </v>
      </c>
      <c r="J20" s="460" t="str">
        <f t="shared" si="2"/>
        <v xml:space="preserve"> </v>
      </c>
      <c r="K20" s="218"/>
      <c r="L20" s="328"/>
    </row>
    <row r="21" spans="1:12">
      <c r="A21" s="460">
        <f>Application!B731</f>
        <v>0</v>
      </c>
      <c r="B21" s="1129">
        <f>Application!G731</f>
        <v>0</v>
      </c>
      <c r="C21" s="1130"/>
      <c r="D21" s="460">
        <f>Application!O731</f>
        <v>0</v>
      </c>
      <c r="E21" s="461"/>
      <c r="F21" s="1131"/>
      <c r="G21" s="460">
        <f t="shared" si="0"/>
        <v>0</v>
      </c>
      <c r="H21" s="461"/>
      <c r="I21" s="460" t="str">
        <f t="shared" si="1"/>
        <v xml:space="preserve"> </v>
      </c>
      <c r="J21" s="460" t="str">
        <f t="shared" si="2"/>
        <v xml:space="preserve"> </v>
      </c>
      <c r="K21" s="218"/>
      <c r="L21" s="328"/>
    </row>
    <row r="22" spans="1:12">
      <c r="A22" s="460">
        <f>Application!B732</f>
        <v>0</v>
      </c>
      <c r="B22" s="1129">
        <f>Application!G732</f>
        <v>0</v>
      </c>
      <c r="C22" s="1130"/>
      <c r="D22" s="460">
        <f>Application!O732</f>
        <v>0</v>
      </c>
      <c r="E22" s="461"/>
      <c r="F22" s="1131"/>
      <c r="G22" s="460">
        <f t="shared" si="0"/>
        <v>0</v>
      </c>
      <c r="H22" s="461"/>
      <c r="I22" s="460" t="str">
        <f t="shared" si="1"/>
        <v xml:space="preserve"> </v>
      </c>
      <c r="J22" s="460" t="str">
        <f t="shared" si="2"/>
        <v xml:space="preserve"> </v>
      </c>
      <c r="K22" s="218"/>
      <c r="L22" s="328"/>
    </row>
    <row r="23" spans="1:12">
      <c r="A23" s="460">
        <f>Application!B733</f>
        <v>0</v>
      </c>
      <c r="B23" s="1129">
        <f>Application!G733</f>
        <v>0</v>
      </c>
      <c r="C23" s="1130"/>
      <c r="D23" s="460">
        <f>Application!O733</f>
        <v>0</v>
      </c>
      <c r="E23" s="461"/>
      <c r="F23" s="1131"/>
      <c r="G23" s="460">
        <f t="shared" si="0"/>
        <v>0</v>
      </c>
      <c r="H23" s="461"/>
      <c r="I23" s="460" t="str">
        <f t="shared" si="1"/>
        <v xml:space="preserve"> </v>
      </c>
      <c r="J23" s="460" t="str">
        <f t="shared" si="2"/>
        <v xml:space="preserve"> </v>
      </c>
      <c r="K23" s="218"/>
      <c r="L23" s="328"/>
    </row>
    <row r="24" spans="1:12">
      <c r="A24" s="460">
        <f>Application!B734</f>
        <v>0</v>
      </c>
      <c r="B24" s="1129">
        <f>Application!G734</f>
        <v>0</v>
      </c>
      <c r="C24" s="1130"/>
      <c r="D24" s="460">
        <f>Application!O734</f>
        <v>0</v>
      </c>
      <c r="E24" s="461"/>
      <c r="F24" s="1131"/>
      <c r="G24" s="460">
        <f t="shared" si="0"/>
        <v>0</v>
      </c>
      <c r="H24" s="461"/>
      <c r="I24" s="460" t="str">
        <f t="shared" si="1"/>
        <v xml:space="preserve"> </v>
      </c>
      <c r="J24" s="460" t="str">
        <f t="shared" si="2"/>
        <v xml:space="preserve"> </v>
      </c>
      <c r="K24" s="218"/>
      <c r="L24" s="328"/>
    </row>
    <row r="25" spans="1:12">
      <c r="A25" s="460">
        <f>Application!B735</f>
        <v>0</v>
      </c>
      <c r="B25" s="1129">
        <f>Application!G735</f>
        <v>0</v>
      </c>
      <c r="C25" s="1130"/>
      <c r="D25" s="460">
        <f>Application!O735</f>
        <v>0</v>
      </c>
      <c r="E25" s="461"/>
      <c r="F25" s="1131"/>
      <c r="G25" s="460">
        <f t="shared" si="0"/>
        <v>0</v>
      </c>
      <c r="H25" s="461"/>
      <c r="I25" s="460" t="str">
        <f t="shared" si="1"/>
        <v xml:space="preserve"> </v>
      </c>
      <c r="J25" s="460" t="str">
        <f t="shared" si="2"/>
        <v xml:space="preserve"> </v>
      </c>
      <c r="K25" s="218"/>
      <c r="L25" s="328"/>
    </row>
    <row r="26" spans="1:12">
      <c r="A26" s="460">
        <f>Application!B736</f>
        <v>0</v>
      </c>
      <c r="B26" s="1129">
        <f>Application!G736</f>
        <v>0</v>
      </c>
      <c r="C26" s="1130"/>
      <c r="D26" s="460">
        <f>Application!O736</f>
        <v>0</v>
      </c>
      <c r="E26" s="461"/>
      <c r="F26" s="1131"/>
      <c r="G26" s="460">
        <f t="shared" si="0"/>
        <v>0</v>
      </c>
      <c r="H26" s="461"/>
      <c r="I26" s="460" t="str">
        <f t="shared" si="1"/>
        <v xml:space="preserve"> </v>
      </c>
      <c r="J26" s="460" t="str">
        <f t="shared" si="2"/>
        <v xml:space="preserve"> </v>
      </c>
      <c r="K26" s="218"/>
      <c r="L26" s="328"/>
    </row>
    <row r="27" spans="1:12">
      <c r="A27" s="460">
        <f>Application!B737</f>
        <v>0</v>
      </c>
      <c r="B27" s="1129">
        <f>Application!G737</f>
        <v>0</v>
      </c>
      <c r="C27" s="1130"/>
      <c r="D27" s="460">
        <f>Application!O737</f>
        <v>0</v>
      </c>
      <c r="E27" s="461"/>
      <c r="F27" s="1131"/>
      <c r="G27" s="460">
        <f t="shared" si="0"/>
        <v>0</v>
      </c>
      <c r="H27" s="461"/>
      <c r="I27" s="460" t="str">
        <f t="shared" si="1"/>
        <v xml:space="preserve"> </v>
      </c>
      <c r="J27" s="460" t="str">
        <f t="shared" si="2"/>
        <v xml:space="preserve"> </v>
      </c>
      <c r="K27" s="218"/>
      <c r="L27" s="328"/>
    </row>
    <row r="28" spans="1:12">
      <c r="A28" s="460">
        <f>Application!B738</f>
        <v>0</v>
      </c>
      <c r="B28" s="1129">
        <f>Application!G738</f>
        <v>0</v>
      </c>
      <c r="C28" s="1130"/>
      <c r="D28" s="460">
        <f>Application!O738</f>
        <v>0</v>
      </c>
      <c r="E28" s="461"/>
      <c r="F28" s="1131"/>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950</v>
      </c>
      <c r="B30" s="463"/>
      <c r="C30" s="463"/>
      <c r="D30" s="464">
        <f>Application!O739</f>
        <v>255195.2</v>
      </c>
      <c r="E30" s="461"/>
      <c r="F30" s="461"/>
      <c r="G30" s="464">
        <f>SUM(G4:G28)*12</f>
        <v>0</v>
      </c>
      <c r="H30" s="465"/>
      <c r="I30" s="463"/>
      <c r="J30" s="464">
        <f>SUM(J4:J28)*12</f>
        <v>0</v>
      </c>
      <c r="K30" s="218"/>
      <c r="L30" s="329"/>
    </row>
    <row r="31" spans="1:12" ht="15">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2525</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28"/>
  <sheetViews>
    <sheetView topLeftCell="E38" zoomScaleNormal="100" zoomScaleSheetLayoutView="100" workbookViewId="0">
      <selection activeCell="AG57" sqref="AG57"/>
    </sheetView>
  </sheetViews>
  <sheetFormatPr defaultColWidth="0" defaultRowHeight="12.75" zeroHeight="1"/>
  <cols>
    <col min="1" max="1" width="3.7109375" customWidth="1"/>
    <col min="2" max="2" width="39.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2515</v>
      </c>
      <c r="B1" s="226"/>
    </row>
    <row r="2" spans="1:34"/>
    <row r="3" spans="1:34" ht="15.7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25">
      <c r="A4" s="235" t="s">
        <v>865</v>
      </c>
      <c r="C4" s="253">
        <v>1.0249999999999999</v>
      </c>
      <c r="E4" s="235">
        <f>Application!Y785</f>
        <v>3125486.4000000004</v>
      </c>
      <c r="G4" s="235">
        <f>E4*$C$4</f>
        <v>3203623.56</v>
      </c>
      <c r="I4" s="235">
        <f>G4*$C$4</f>
        <v>3283714.1489999997</v>
      </c>
      <c r="K4" s="235">
        <f>I4*$C$4</f>
        <v>3365807.0027249996</v>
      </c>
      <c r="M4" s="235">
        <f>K4*$C$4</f>
        <v>3449952.1777931242</v>
      </c>
      <c r="O4" s="235">
        <f>M4*$C$4</f>
        <v>3536200.9822379518</v>
      </c>
      <c r="Q4" s="235">
        <f>O4*$C$4</f>
        <v>3624606.0067939004</v>
      </c>
      <c r="S4" s="235">
        <f>Q4*$C$4</f>
        <v>3715221.1569637475</v>
      </c>
      <c r="U4" s="235">
        <f>S4*$C$4</f>
        <v>3808101.685887841</v>
      </c>
      <c r="W4" s="235">
        <f>U4*$C$4</f>
        <v>3903304.2280350369</v>
      </c>
      <c r="Y4" s="235">
        <f>W4*$C$4</f>
        <v>4000886.8337359126</v>
      </c>
      <c r="AA4" s="235">
        <f>Y4*$C$4</f>
        <v>4100909.0045793098</v>
      </c>
      <c r="AC4" s="235">
        <f>AA4*$C$4</f>
        <v>4203431.7296937918</v>
      </c>
      <c r="AE4" s="235">
        <f>AC4*$C$4</f>
        <v>4308517.5229361365</v>
      </c>
      <c r="AG4" s="235">
        <f>AE4*$C$4</f>
        <v>4416230.4610095397</v>
      </c>
    </row>
    <row r="5" spans="1:34" s="225" customFormat="1" ht="14.25">
      <c r="B5" s="225" t="s">
        <v>866</v>
      </c>
      <c r="C5" s="254">
        <f>IF(Application!$D$210="Special Needs",0.1,0.05)</f>
        <v>0.05</v>
      </c>
      <c r="E5" s="237">
        <f>-E4*$C$5</f>
        <v>-156274.32000000004</v>
      </c>
      <c r="F5" s="237"/>
      <c r="G5" s="237">
        <f>-G4*$C$5</f>
        <v>-160181.17800000001</v>
      </c>
      <c r="H5" s="237"/>
      <c r="I5" s="237">
        <f>-I4*$C$5</f>
        <v>-164185.70744999999</v>
      </c>
      <c r="J5" s="237"/>
      <c r="K5" s="237">
        <f>-K4*$C$5</f>
        <v>-168290.35013625</v>
      </c>
      <c r="L5" s="237"/>
      <c r="M5" s="237">
        <f>-M4*$C$5</f>
        <v>-172497.60888965623</v>
      </c>
      <c r="N5" s="237"/>
      <c r="O5" s="237">
        <f>-O4*$C$5</f>
        <v>-176810.04911189759</v>
      </c>
      <c r="P5" s="237"/>
      <c r="Q5" s="237">
        <f>-Q4*$C$5</f>
        <v>-181230.30033969504</v>
      </c>
      <c r="R5" s="237"/>
      <c r="S5" s="237">
        <f>-S4*$C$5</f>
        <v>-185761.0578481874</v>
      </c>
      <c r="T5" s="237"/>
      <c r="U5" s="237">
        <f>-U4*$C$5</f>
        <v>-190405.08429439206</v>
      </c>
      <c r="V5" s="237"/>
      <c r="W5" s="237">
        <f>-W4*$C$5</f>
        <v>-195165.21140175185</v>
      </c>
      <c r="X5" s="237"/>
      <c r="Y5" s="237">
        <f>-Y4*$C$5</f>
        <v>-200044.34168679564</v>
      </c>
      <c r="Z5" s="237"/>
      <c r="AA5" s="237">
        <f>-AA4*$C$5</f>
        <v>-205045.45022896549</v>
      </c>
      <c r="AB5" s="237"/>
      <c r="AC5" s="237">
        <f>-AC4*$C$5</f>
        <v>-210171.58648468961</v>
      </c>
      <c r="AD5" s="237"/>
      <c r="AE5" s="237">
        <f>-AE4*$C$5</f>
        <v>-215425.87614680684</v>
      </c>
      <c r="AF5" s="237"/>
      <c r="AG5" s="237">
        <f>-AG4*$C$5</f>
        <v>-220811.523050477</v>
      </c>
    </row>
    <row r="6" spans="1:34" s="225" customFormat="1" ht="14.25">
      <c r="A6" s="225" t="s">
        <v>864</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866</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290</v>
      </c>
      <c r="C8" s="253">
        <v>1.0249999999999999</v>
      </c>
      <c r="E8" s="238">
        <f>Application!Z801</f>
        <v>191500.30337078651</v>
      </c>
      <c r="F8" s="238"/>
      <c r="G8" s="238">
        <f>E8*$C$8</f>
        <v>196287.81095505616</v>
      </c>
      <c r="H8" s="238"/>
      <c r="I8" s="238">
        <f>G8*$C$8</f>
        <v>201195.00622893256</v>
      </c>
      <c r="J8" s="238"/>
      <c r="K8" s="238">
        <f>I8*$C$8</f>
        <v>206224.88138465586</v>
      </c>
      <c r="L8" s="238"/>
      <c r="M8" s="238">
        <f>K8*$C$8</f>
        <v>211380.50341927225</v>
      </c>
      <c r="N8" s="238"/>
      <c r="O8" s="238">
        <f>M8*$C$8</f>
        <v>216665.01600475403</v>
      </c>
      <c r="P8" s="238"/>
      <c r="Q8" s="238">
        <f>O8*$C$8</f>
        <v>222081.64140487285</v>
      </c>
      <c r="R8" s="238"/>
      <c r="S8" s="238">
        <f>Q8*$C$8</f>
        <v>227633.68243999465</v>
      </c>
      <c r="T8" s="238"/>
      <c r="U8" s="238">
        <f>S8*$C$8</f>
        <v>233324.52450099451</v>
      </c>
      <c r="V8" s="238"/>
      <c r="W8" s="238">
        <f>U8*$C$8</f>
        <v>239157.63761351936</v>
      </c>
      <c r="X8" s="238"/>
      <c r="Y8" s="238">
        <f>W8*$C$8</f>
        <v>245136.57855385731</v>
      </c>
      <c r="Z8" s="238"/>
      <c r="AA8" s="238">
        <f>Y8*$C$8</f>
        <v>251264.99301770373</v>
      </c>
      <c r="AB8" s="238"/>
      <c r="AC8" s="238">
        <f>AA8*$C$8</f>
        <v>257546.61784314629</v>
      </c>
      <c r="AD8" s="238"/>
      <c r="AE8" s="238">
        <f>AC8*$C$8</f>
        <v>263985.2832892249</v>
      </c>
      <c r="AF8" s="238"/>
      <c r="AG8" s="238">
        <f>AE8*$C$8</f>
        <v>270584.91537145549</v>
      </c>
    </row>
    <row r="9" spans="1:34" s="225" customFormat="1" ht="14.25">
      <c r="B9" s="225" t="s">
        <v>866</v>
      </c>
      <c r="C9" s="254">
        <f>IF(Application!$D$210="Special Needs",0.1,0.05)</f>
        <v>0.05</v>
      </c>
      <c r="E9" s="237">
        <f>-E8*$C$9</f>
        <v>-9575.0151685393266</v>
      </c>
      <c r="F9" s="237"/>
      <c r="G9" s="237">
        <f>-G8*$C$9</f>
        <v>-9814.3905477528078</v>
      </c>
      <c r="H9" s="237"/>
      <c r="I9" s="237">
        <f>-I8*$C$9</f>
        <v>-10059.750311446629</v>
      </c>
      <c r="J9" s="237"/>
      <c r="K9" s="237">
        <f>-K8*$C$9</f>
        <v>-10311.244069232795</v>
      </c>
      <c r="L9" s="237"/>
      <c r="M9" s="237">
        <f>-M8*$C$9</f>
        <v>-10569.025170963614</v>
      </c>
      <c r="N9" s="237"/>
      <c r="O9" s="237">
        <f>-O8*$C$9</f>
        <v>-10833.250800237702</v>
      </c>
      <c r="P9" s="237"/>
      <c r="Q9" s="237">
        <f>-Q8*$C$9</f>
        <v>-11104.082070243643</v>
      </c>
      <c r="R9" s="237"/>
      <c r="S9" s="237">
        <f>-S8*$C$9</f>
        <v>-11381.684121999733</v>
      </c>
      <c r="T9" s="237"/>
      <c r="U9" s="237">
        <f>-U8*$C$9</f>
        <v>-11666.226225049726</v>
      </c>
      <c r="V9" s="237"/>
      <c r="W9" s="237">
        <f>-W8*$C$9</f>
        <v>-11957.881880675968</v>
      </c>
      <c r="X9" s="237"/>
      <c r="Y9" s="237">
        <f>-Y8*$C$9</f>
        <v>-12256.828927692866</v>
      </c>
      <c r="Z9" s="237"/>
      <c r="AA9" s="237">
        <f>-AA8*$C$9</f>
        <v>-12563.249650885187</v>
      </c>
      <c r="AB9" s="237"/>
      <c r="AC9" s="237">
        <f>-AC8*$C$9</f>
        <v>-12877.330892157315</v>
      </c>
      <c r="AD9" s="237"/>
      <c r="AE9" s="237">
        <f>-AE8*$C$9</f>
        <v>-13199.264164461245</v>
      </c>
      <c r="AF9" s="237"/>
      <c r="AG9" s="237">
        <f>-AG8*$C$9</f>
        <v>-13529.245768572775</v>
      </c>
    </row>
    <row r="10" spans="1:34" s="225" customFormat="1" ht="14.25">
      <c r="A10" s="1195" t="s">
        <v>2520</v>
      </c>
      <c r="B10" s="1195"/>
      <c r="C10" s="254"/>
      <c r="E10" s="1196"/>
      <c r="F10" s="238"/>
      <c r="G10" s="1196"/>
      <c r="H10" s="238"/>
      <c r="I10" s="1196"/>
      <c r="J10" s="238"/>
      <c r="K10" s="1196"/>
      <c r="L10" s="238"/>
      <c r="M10" s="1196"/>
      <c r="N10" s="238"/>
      <c r="O10" s="1196"/>
      <c r="P10" s="238"/>
      <c r="Q10" s="1196"/>
      <c r="R10" s="238"/>
      <c r="S10" s="1196"/>
      <c r="T10" s="238"/>
      <c r="U10" s="1196"/>
      <c r="V10" s="238"/>
      <c r="W10" s="1196"/>
      <c r="X10" s="238"/>
      <c r="Y10" s="1196"/>
      <c r="Z10" s="238"/>
      <c r="AA10" s="1196"/>
      <c r="AB10" s="238"/>
      <c r="AC10" s="1196"/>
      <c r="AD10" s="238"/>
      <c r="AE10" s="1196"/>
      <c r="AF10" s="238"/>
      <c r="AG10" s="1196"/>
    </row>
    <row r="11" spans="1:34" s="239" customFormat="1" ht="15">
      <c r="A11" s="239" t="s">
        <v>887</v>
      </c>
      <c r="C11" s="231"/>
      <c r="E11" s="239">
        <f>SUM(E4:E10)</f>
        <v>3151137.3682022477</v>
      </c>
      <c r="G11" s="239">
        <f>SUM(G4:G10)</f>
        <v>3229915.8024073034</v>
      </c>
      <c r="I11" s="239">
        <f>SUM(I4:I10)</f>
        <v>3310663.6974674854</v>
      </c>
      <c r="K11" s="239">
        <f>SUM(K4:K10)</f>
        <v>3393430.289904173</v>
      </c>
      <c r="M11" s="239">
        <f>SUM(M4:M10)</f>
        <v>3478266.0471517765</v>
      </c>
      <c r="O11" s="239">
        <f>SUM(O4:O10)</f>
        <v>3565222.6983305709</v>
      </c>
      <c r="Q11" s="239">
        <f>SUM(Q4:Q10)</f>
        <v>3654353.2657888345</v>
      </c>
      <c r="S11" s="239">
        <f>SUM(S4:S10)</f>
        <v>3745712.0974335545</v>
      </c>
      <c r="U11" s="239">
        <f>SUM(U4:U10)</f>
        <v>3839354.8998693936</v>
      </c>
      <c r="W11" s="239">
        <f>SUM(W4:W10)</f>
        <v>3935338.7723661289</v>
      </c>
      <c r="Y11" s="239">
        <f>SUM(Y4:Y10)</f>
        <v>4033722.2416752814</v>
      </c>
      <c r="AA11" s="239">
        <f>SUM(AA4:AA10)</f>
        <v>4134565.2977171629</v>
      </c>
      <c r="AC11" s="239">
        <f>SUM(AC4:AC10)</f>
        <v>4237929.4301600903</v>
      </c>
      <c r="AE11" s="239">
        <f>SUM(AE4:AE10)</f>
        <v>4343877.6659140941</v>
      </c>
      <c r="AG11" s="239">
        <f>SUM(AG4:AG10)</f>
        <v>4452474.607561945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869</v>
      </c>
      <c r="C15" s="185"/>
      <c r="E15" s="238">
        <f>Application!W831</f>
        <v>76000</v>
      </c>
      <c r="F15" s="238"/>
      <c r="G15" s="238">
        <f>E15*$C$14</f>
        <v>78660</v>
      </c>
      <c r="H15" s="238"/>
      <c r="I15" s="238">
        <f>G15*$C$14</f>
        <v>81413.099999999991</v>
      </c>
      <c r="J15" s="238"/>
      <c r="K15" s="238">
        <f>I15*$C$14</f>
        <v>84262.558499999985</v>
      </c>
      <c r="L15" s="238"/>
      <c r="M15" s="238">
        <f>K15*$C$14</f>
        <v>87211.748047499976</v>
      </c>
      <c r="N15" s="238"/>
      <c r="O15" s="238">
        <f>M15*$C$14</f>
        <v>90264.159229162469</v>
      </c>
      <c r="P15" s="238"/>
      <c r="Q15" s="238">
        <f>O15*$C$14</f>
        <v>93423.404802183155</v>
      </c>
      <c r="R15" s="238"/>
      <c r="S15" s="238">
        <f>Q15*$C$14</f>
        <v>96693.223970259554</v>
      </c>
      <c r="T15" s="238"/>
      <c r="U15" s="238">
        <f>S15*$C$14</f>
        <v>100077.48680921864</v>
      </c>
      <c r="V15" s="238"/>
      <c r="W15" s="238">
        <f>U15*$C$14</f>
        <v>103580.19884754128</v>
      </c>
      <c r="X15" s="238"/>
      <c r="Y15" s="238">
        <f>W15*$C$14</f>
        <v>107205.50580720522</v>
      </c>
      <c r="Z15" s="238"/>
      <c r="AA15" s="238">
        <f>Y15*$C$14</f>
        <v>110957.6985104574</v>
      </c>
      <c r="AB15" s="238"/>
      <c r="AC15" s="238">
        <f>AA15*$C$14</f>
        <v>114841.2179583234</v>
      </c>
      <c r="AD15" s="238"/>
      <c r="AE15" s="238">
        <f>AC15*$C$14</f>
        <v>118860.6605868647</v>
      </c>
      <c r="AF15" s="238"/>
      <c r="AG15" s="238">
        <f>AE15*$C$14</f>
        <v>123020.78370740496</v>
      </c>
    </row>
    <row r="16" spans="1:34" s="225" customFormat="1" ht="14.25">
      <c r="A16" s="225" t="s">
        <v>346</v>
      </c>
      <c r="C16" s="249"/>
      <c r="E16" s="238">
        <f>Application!W833</f>
        <v>133923.33814859553</v>
      </c>
      <c r="F16" s="238"/>
      <c r="G16" s="238">
        <f>G11*4.25%</f>
        <v>137271.42160231041</v>
      </c>
      <c r="H16" s="238"/>
      <c r="I16" s="238">
        <f>I11*4.25%</f>
        <v>140703.20714236813</v>
      </c>
      <c r="J16" s="238"/>
      <c r="K16" s="238">
        <f>K11*4.25%</f>
        <v>144220.78732092737</v>
      </c>
      <c r="L16" s="238"/>
      <c r="M16" s="238">
        <f>M11*4.25%</f>
        <v>147826.30700395053</v>
      </c>
      <c r="N16" s="238"/>
      <c r="O16" s="238">
        <f>O11*4.25%</f>
        <v>151521.96467904927</v>
      </c>
      <c r="P16" s="238"/>
      <c r="Q16" s="238">
        <f>Q11*4.25%</f>
        <v>155310.01379602548</v>
      </c>
      <c r="R16" s="238"/>
      <c r="S16" s="238">
        <f>S11*4.25%</f>
        <v>159192.76414092607</v>
      </c>
      <c r="T16" s="238"/>
      <c r="U16" s="238">
        <f>U11*4.25%</f>
        <v>163172.58324444923</v>
      </c>
      <c r="V16" s="238"/>
      <c r="W16" s="238">
        <f>W11*4.25%</f>
        <v>167251.89782556047</v>
      </c>
      <c r="X16" s="238"/>
      <c r="Y16" s="238">
        <f>Y11*4.25%</f>
        <v>171433.19527119948</v>
      </c>
      <c r="Z16" s="238"/>
      <c r="AA16" s="238">
        <f>AA11*4.25%</f>
        <v>175719.02515297945</v>
      </c>
      <c r="AB16" s="238"/>
      <c r="AC16" s="238">
        <f>AC11*4.25%</f>
        <v>180112.00078180386</v>
      </c>
      <c r="AD16" s="238"/>
      <c r="AE16" s="238">
        <f>AE11*4.25%</f>
        <v>184614.80080134902</v>
      </c>
      <c r="AF16" s="238"/>
      <c r="AG16" s="238">
        <f>AG11*4.25%</f>
        <v>189230.17082138266</v>
      </c>
    </row>
    <row r="17" spans="1:33" s="225" customFormat="1" ht="14.25">
      <c r="A17" s="225" t="s">
        <v>570</v>
      </c>
      <c r="C17" s="249"/>
      <c r="E17" s="238">
        <f>Application!W839</f>
        <v>164352.52500000014</v>
      </c>
      <c r="F17" s="238"/>
      <c r="G17" s="238">
        <f>E17*$C$14</f>
        <v>170104.86337500013</v>
      </c>
      <c r="H17" s="238"/>
      <c r="I17" s="238">
        <f>G17*$C$14</f>
        <v>176058.53359312512</v>
      </c>
      <c r="J17" s="238"/>
      <c r="K17" s="238">
        <f>I17*$C$14</f>
        <v>182220.58226888449</v>
      </c>
      <c r="L17" s="238"/>
      <c r="M17" s="238">
        <f>K17*$C$14</f>
        <v>188598.30264829544</v>
      </c>
      <c r="N17" s="238"/>
      <c r="O17" s="238">
        <f>M17*$C$14</f>
        <v>195199.24324098576</v>
      </c>
      <c r="P17" s="238"/>
      <c r="Q17" s="238">
        <f>O17*$C$14</f>
        <v>202031.21675442025</v>
      </c>
      <c r="R17" s="238"/>
      <c r="S17" s="238">
        <f>Q17*$C$14</f>
        <v>209102.30934082496</v>
      </c>
      <c r="T17" s="238"/>
      <c r="U17" s="238">
        <f>S17*$C$14</f>
        <v>216420.89016775382</v>
      </c>
      <c r="V17" s="238"/>
      <c r="W17" s="238">
        <f>U17*$C$14</f>
        <v>223995.62132362518</v>
      </c>
      <c r="X17" s="238"/>
      <c r="Y17" s="238">
        <f>W17*$C$14</f>
        <v>231835.46806995204</v>
      </c>
      <c r="Z17" s="238"/>
      <c r="AA17" s="238">
        <f>Y17*$C$14</f>
        <v>239949.70945240033</v>
      </c>
      <c r="AB17" s="238"/>
      <c r="AC17" s="238">
        <f>AA17*$C$14</f>
        <v>248347.94928323434</v>
      </c>
      <c r="AD17" s="238"/>
      <c r="AE17" s="238">
        <f>AC17*$C$14</f>
        <v>257040.12750814753</v>
      </c>
      <c r="AF17" s="238"/>
      <c r="AG17" s="238">
        <f>AE17*$C$14</f>
        <v>266036.53197093267</v>
      </c>
    </row>
    <row r="18" spans="1:33" s="225" customFormat="1" ht="14.25">
      <c r="A18" s="225" t="s">
        <v>870</v>
      </c>
      <c r="C18" s="249"/>
      <c r="E18" s="238">
        <f>Application!W846</f>
        <v>344427.6</v>
      </c>
      <c r="F18" s="238"/>
      <c r="G18" s="238">
        <f t="shared" ref="G18:AG21" si="0">E18*$C$14</f>
        <v>356482.56599999993</v>
      </c>
      <c r="H18" s="238"/>
      <c r="I18" s="238">
        <f t="shared" si="0"/>
        <v>368959.4558099999</v>
      </c>
      <c r="J18" s="238"/>
      <c r="K18" s="238">
        <f t="shared" si="0"/>
        <v>381873.03676334984</v>
      </c>
      <c r="L18" s="238"/>
      <c r="M18" s="238">
        <f t="shared" si="0"/>
        <v>395238.59305006708</v>
      </c>
      <c r="N18" s="238"/>
      <c r="O18" s="238">
        <f t="shared" si="0"/>
        <v>409071.94380681938</v>
      </c>
      <c r="P18" s="238"/>
      <c r="Q18" s="238">
        <f t="shared" si="0"/>
        <v>423389.46184005804</v>
      </c>
      <c r="R18" s="238"/>
      <c r="S18" s="238">
        <f t="shared" si="0"/>
        <v>438208.09300446004</v>
      </c>
      <c r="T18" s="238"/>
      <c r="U18" s="238">
        <f t="shared" si="0"/>
        <v>453545.37625961611</v>
      </c>
      <c r="V18" s="238"/>
      <c r="W18" s="238">
        <f t="shared" si="0"/>
        <v>469419.46442870266</v>
      </c>
      <c r="X18" s="238"/>
      <c r="Y18" s="238">
        <f t="shared" si="0"/>
        <v>485849.1456837072</v>
      </c>
      <c r="Z18" s="238"/>
      <c r="AA18" s="238">
        <f t="shared" si="0"/>
        <v>502853.86578263692</v>
      </c>
      <c r="AB18" s="238"/>
      <c r="AC18" s="238">
        <f t="shared" si="0"/>
        <v>520453.75108502916</v>
      </c>
      <c r="AD18" s="238"/>
      <c r="AE18" s="238">
        <f t="shared" si="0"/>
        <v>538669.63237300515</v>
      </c>
      <c r="AF18" s="238"/>
      <c r="AG18" s="238">
        <f t="shared" si="0"/>
        <v>557523.06950606033</v>
      </c>
    </row>
    <row r="19" spans="1:33" s="225" customFormat="1" ht="14.25">
      <c r="A19" s="225" t="s">
        <v>156</v>
      </c>
      <c r="C19" s="249"/>
      <c r="E19" s="238">
        <f>Application!W847</f>
        <v>65740</v>
      </c>
      <c r="F19" s="238"/>
      <c r="G19" s="238">
        <f t="shared" si="0"/>
        <v>68040.899999999994</v>
      </c>
      <c r="H19" s="238"/>
      <c r="I19" s="238">
        <f t="shared" si="0"/>
        <v>70422.331499999986</v>
      </c>
      <c r="J19" s="238"/>
      <c r="K19" s="238">
        <f t="shared" si="0"/>
        <v>72887.113102499978</v>
      </c>
      <c r="L19" s="238"/>
      <c r="M19" s="238">
        <f t="shared" si="0"/>
        <v>75438.162061087467</v>
      </c>
      <c r="N19" s="238"/>
      <c r="O19" s="238">
        <f t="shared" si="0"/>
        <v>78078.497733225522</v>
      </c>
      <c r="P19" s="238"/>
      <c r="Q19" s="238">
        <f t="shared" si="0"/>
        <v>80811.245153888405</v>
      </c>
      <c r="R19" s="238"/>
      <c r="S19" s="238">
        <f t="shared" si="0"/>
        <v>83639.6387342745</v>
      </c>
      <c r="T19" s="238"/>
      <c r="U19" s="238">
        <f t="shared" si="0"/>
        <v>86567.026089974097</v>
      </c>
      <c r="V19" s="238"/>
      <c r="W19" s="238">
        <f t="shared" si="0"/>
        <v>89596.872003123179</v>
      </c>
      <c r="X19" s="238"/>
      <c r="Y19" s="238">
        <f t="shared" si="0"/>
        <v>92732.762523232479</v>
      </c>
      <c r="Z19" s="238"/>
      <c r="AA19" s="238">
        <f t="shared" si="0"/>
        <v>95978.409211545615</v>
      </c>
      <c r="AB19" s="238"/>
      <c r="AC19" s="238">
        <f t="shared" si="0"/>
        <v>99337.653533949706</v>
      </c>
      <c r="AD19" s="238"/>
      <c r="AE19" s="238">
        <f t="shared" si="0"/>
        <v>102814.47140763793</v>
      </c>
      <c r="AF19" s="238"/>
      <c r="AG19" s="238">
        <f t="shared" si="0"/>
        <v>106412.97790690525</v>
      </c>
    </row>
    <row r="20" spans="1:33" s="225" customFormat="1" ht="14.25">
      <c r="A20" s="225" t="s">
        <v>392</v>
      </c>
      <c r="C20" s="249"/>
      <c r="E20" s="238">
        <f>Application!W856</f>
        <v>159617.53685140441</v>
      </c>
      <c r="F20" s="238"/>
      <c r="G20" s="238">
        <f t="shared" si="0"/>
        <v>165204.15064120354</v>
      </c>
      <c r="H20" s="238"/>
      <c r="I20" s="238">
        <f t="shared" si="0"/>
        <v>170986.29591364565</v>
      </c>
      <c r="J20" s="238"/>
      <c r="K20" s="238">
        <f t="shared" si="0"/>
        <v>176970.81627062324</v>
      </c>
      <c r="L20" s="238"/>
      <c r="M20" s="238">
        <f t="shared" si="0"/>
        <v>183164.79484009504</v>
      </c>
      <c r="N20" s="238"/>
      <c r="O20" s="238">
        <f t="shared" si="0"/>
        <v>189575.56265949836</v>
      </c>
      <c r="P20" s="238"/>
      <c r="Q20" s="238">
        <f t="shared" si="0"/>
        <v>196210.70735258079</v>
      </c>
      <c r="R20" s="238"/>
      <c r="S20" s="238">
        <f t="shared" si="0"/>
        <v>203078.08210992112</v>
      </c>
      <c r="T20" s="238"/>
      <c r="U20" s="238">
        <f t="shared" si="0"/>
        <v>210185.81498376833</v>
      </c>
      <c r="V20" s="238"/>
      <c r="W20" s="238">
        <f t="shared" si="0"/>
        <v>217542.3185082002</v>
      </c>
      <c r="X20" s="238"/>
      <c r="Y20" s="238">
        <f t="shared" si="0"/>
        <v>225156.29965598718</v>
      </c>
      <c r="Z20" s="238"/>
      <c r="AA20" s="238">
        <f t="shared" si="0"/>
        <v>233036.77014394672</v>
      </c>
      <c r="AB20" s="238"/>
      <c r="AC20" s="238">
        <f t="shared" si="0"/>
        <v>241193.05709898483</v>
      </c>
      <c r="AD20" s="238"/>
      <c r="AE20" s="238">
        <f t="shared" si="0"/>
        <v>249634.81409744927</v>
      </c>
      <c r="AF20" s="238"/>
      <c r="AG20" s="238">
        <f t="shared" si="0"/>
        <v>258372.03259085998</v>
      </c>
    </row>
    <row r="21" spans="1:33" s="225" customFormat="1" ht="14.25">
      <c r="A21" s="242" t="s">
        <v>2713</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871</v>
      </c>
      <c r="C22" s="249"/>
      <c r="E22" s="239">
        <f>SUM(E15:E21)</f>
        <v>944061</v>
      </c>
      <c r="G22" s="239">
        <f>SUM(G15:G21)</f>
        <v>975763.90161851398</v>
      </c>
      <c r="I22" s="239">
        <f>SUM(I15:I21)</f>
        <v>1008542.9239591388</v>
      </c>
      <c r="K22" s="239">
        <f>SUM(K15:K21)</f>
        <v>1042434.8942262849</v>
      </c>
      <c r="M22" s="239">
        <f>SUM(M15:M21)</f>
        <v>1077477.9076509955</v>
      </c>
      <c r="O22" s="239">
        <f>SUM(O15:O21)</f>
        <v>1113711.3713487408</v>
      </c>
      <c r="Q22" s="239">
        <f>SUM(Q15:Q21)</f>
        <v>1151176.0496991561</v>
      </c>
      <c r="S22" s="239">
        <f>SUM(S15:S21)</f>
        <v>1189914.1113006664</v>
      </c>
      <c r="U22" s="239">
        <f>SUM(U15:U21)</f>
        <v>1229969.1775547802</v>
      </c>
      <c r="W22" s="239">
        <f>SUM(W15:W21)</f>
        <v>1271386.3729367529</v>
      </c>
      <c r="Y22" s="239">
        <f>SUM(Y15:Y21)</f>
        <v>1314212.3770112835</v>
      </c>
      <c r="AA22" s="239">
        <f>SUM(AA15:AA21)</f>
        <v>1358495.4782539664</v>
      </c>
      <c r="AC22" s="239">
        <f>SUM(AC15:AC21)</f>
        <v>1404285.6297413255</v>
      </c>
      <c r="AE22" s="239">
        <f>SUM(AE15:AE21)</f>
        <v>1451634.5067744534</v>
      </c>
      <c r="AG22" s="239">
        <f>SUM(AG15:AG21)</f>
        <v>1500595.566503546</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1939</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1299</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873</v>
      </c>
      <c r="C27" s="253">
        <v>1.0349999999999999</v>
      </c>
      <c r="E27" s="238">
        <f>Application!AC872</f>
        <v>27000</v>
      </c>
      <c r="F27" s="238"/>
      <c r="G27" s="238">
        <f>E27*$C$27</f>
        <v>27944.999999999996</v>
      </c>
      <c r="H27" s="238"/>
      <c r="I27" s="238">
        <f>G27*$C$27</f>
        <v>28923.074999999993</v>
      </c>
      <c r="J27" s="238"/>
      <c r="K27" s="238">
        <f>I27*$C$27</f>
        <v>29935.382624999991</v>
      </c>
      <c r="L27" s="238"/>
      <c r="M27" s="238">
        <f>K27*$C$27</f>
        <v>30983.121016874989</v>
      </c>
      <c r="N27" s="238"/>
      <c r="O27" s="238">
        <f>M27*$C$27</f>
        <v>32067.530252465611</v>
      </c>
      <c r="P27" s="238"/>
      <c r="Q27" s="238">
        <f>O27*$C$27</f>
        <v>33189.893811301903</v>
      </c>
      <c r="R27" s="238"/>
      <c r="S27" s="238">
        <f>Q27*$C$27</f>
        <v>34351.54009469747</v>
      </c>
      <c r="T27" s="238"/>
      <c r="U27" s="238">
        <f>S27*$C$27</f>
        <v>35553.843998011878</v>
      </c>
      <c r="V27" s="238"/>
      <c r="W27" s="238">
        <f>U27*$C$27</f>
        <v>36798.22853794229</v>
      </c>
      <c r="X27" s="238"/>
      <c r="Y27" s="238">
        <f>W27*$C$27</f>
        <v>38086.166536770266</v>
      </c>
      <c r="Z27" s="238"/>
      <c r="AA27" s="238">
        <f>Y27*$C$27</f>
        <v>39419.182365557223</v>
      </c>
      <c r="AB27" s="238"/>
      <c r="AC27" s="238">
        <f>AA27*$C$27</f>
        <v>40798.853748351721</v>
      </c>
      <c r="AD27" s="238"/>
      <c r="AE27" s="238">
        <f>AC27*$C$27</f>
        <v>42226.813629544027</v>
      </c>
      <c r="AF27" s="238"/>
      <c r="AG27" s="238">
        <f>AE27*$C$27</f>
        <v>43704.752106578067</v>
      </c>
    </row>
    <row r="28" spans="1:33" s="225" customFormat="1" ht="14.25">
      <c r="A28" s="225" t="s">
        <v>874</v>
      </c>
      <c r="C28" s="253"/>
      <c r="E28" s="238">
        <f>Application!AC873</f>
        <v>43250</v>
      </c>
      <c r="F28" s="238"/>
      <c r="G28" s="238">
        <f>$E$28</f>
        <v>43250</v>
      </c>
      <c r="H28" s="238"/>
      <c r="I28" s="238">
        <f>$E$28</f>
        <v>43250</v>
      </c>
      <c r="J28" s="238"/>
      <c r="K28" s="238">
        <f>$E$28</f>
        <v>43250</v>
      </c>
      <c r="L28" s="238"/>
      <c r="M28" s="238">
        <f>$E$28</f>
        <v>43250</v>
      </c>
      <c r="N28" s="238"/>
      <c r="O28" s="238">
        <f>$E$28</f>
        <v>43250</v>
      </c>
      <c r="P28" s="238"/>
      <c r="Q28" s="238">
        <f>$E$28</f>
        <v>43250</v>
      </c>
      <c r="R28" s="238"/>
      <c r="S28" s="238">
        <f>$E$28</f>
        <v>43250</v>
      </c>
      <c r="T28" s="238"/>
      <c r="U28" s="238">
        <f>$E$28</f>
        <v>43250</v>
      </c>
      <c r="V28" s="238"/>
      <c r="W28" s="238">
        <f>$E$28</f>
        <v>43250</v>
      </c>
      <c r="X28" s="238"/>
      <c r="Y28" s="238">
        <f>$E$28</f>
        <v>43250</v>
      </c>
      <c r="Z28" s="238"/>
      <c r="AA28" s="238">
        <f>$E$28</f>
        <v>43250</v>
      </c>
      <c r="AB28" s="238"/>
      <c r="AC28" s="238">
        <f>$E$28</f>
        <v>43250</v>
      </c>
      <c r="AD28" s="238"/>
      <c r="AE28" s="238">
        <f>$E$28</f>
        <v>43250</v>
      </c>
      <c r="AF28" s="238"/>
      <c r="AG28" s="238">
        <f>$E$28</f>
        <v>43250</v>
      </c>
    </row>
    <row r="29" spans="1:33" s="225" customFormat="1" ht="14.25">
      <c r="A29" s="225" t="s">
        <v>1937</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872</v>
      </c>
      <c r="C30" s="253">
        <v>1.02</v>
      </c>
      <c r="E30" s="238">
        <f>Application!AC875</f>
        <v>15000</v>
      </c>
      <c r="F30" s="238"/>
      <c r="G30" s="238">
        <f>E30*$C$30</f>
        <v>15300</v>
      </c>
      <c r="H30" s="238"/>
      <c r="I30" s="238">
        <f>G30*$C$30</f>
        <v>15606</v>
      </c>
      <c r="J30" s="238"/>
      <c r="K30" s="238">
        <f>I30*$C$30</f>
        <v>15918.12</v>
      </c>
      <c r="L30" s="238"/>
      <c r="M30" s="238">
        <f>K30*$C$30</f>
        <v>16236.482400000001</v>
      </c>
      <c r="N30" s="238"/>
      <c r="O30" s="238">
        <f>M30*$C$30</f>
        <v>16561.212048000001</v>
      </c>
      <c r="P30" s="238"/>
      <c r="Q30" s="238">
        <f>O30*$C$30</f>
        <v>16892.436288960002</v>
      </c>
      <c r="R30" s="238"/>
      <c r="S30" s="238">
        <f>Q30*$C$30</f>
        <v>17230.285014739202</v>
      </c>
      <c r="T30" s="238"/>
      <c r="U30" s="238">
        <f>S30*$C$30</f>
        <v>17574.890715033987</v>
      </c>
      <c r="V30" s="238"/>
      <c r="W30" s="238">
        <f>U30*$C$30</f>
        <v>17926.388529334668</v>
      </c>
      <c r="X30" s="238"/>
      <c r="Y30" s="238">
        <f>W30*$C$30</f>
        <v>18284.916299921362</v>
      </c>
      <c r="Z30" s="238"/>
      <c r="AA30" s="238">
        <f>Y30*$C$30</f>
        <v>18650.614625919789</v>
      </c>
      <c r="AB30" s="238"/>
      <c r="AC30" s="238">
        <f>AA30*$C$30</f>
        <v>19023.626918438185</v>
      </c>
      <c r="AD30" s="238"/>
      <c r="AE30" s="238">
        <f>AC30*$C$30</f>
        <v>19404.099456806951</v>
      </c>
      <c r="AF30" s="238"/>
      <c r="AG30" s="238">
        <f>AE30*$C$30</f>
        <v>19792.18144594309</v>
      </c>
    </row>
    <row r="31" spans="1:33" s="225" customFormat="1" ht="14.25">
      <c r="A31" s="225" t="s">
        <v>1938</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CMFA Administration Fee, SCEP Fee, &amp; Owner-Hosted Broadband):</v>
      </c>
      <c r="C32" s="340">
        <v>1.0349999999999999</v>
      </c>
      <c r="E32" s="238">
        <f>Application!AC877</f>
        <v>68124.84</v>
      </c>
      <c r="F32" s="238"/>
      <c r="G32" s="238">
        <f>E32*$C$32</f>
        <v>70509.209399999992</v>
      </c>
      <c r="H32" s="238"/>
      <c r="I32" s="238">
        <f>G32*$C$32</f>
        <v>72977.03172899998</v>
      </c>
      <c r="J32" s="238"/>
      <c r="K32" s="238">
        <f>I32*$C$32</f>
        <v>75531.227839514977</v>
      </c>
      <c r="L32" s="238"/>
      <c r="M32" s="238">
        <f>K32*$C$32</f>
        <v>78174.820813897997</v>
      </c>
      <c r="N32" s="238"/>
      <c r="O32" s="238">
        <f>M32*$C$32</f>
        <v>80910.939542384425</v>
      </c>
      <c r="P32" s="238"/>
      <c r="Q32" s="238">
        <f>O32*$C$32</f>
        <v>83742.822426367871</v>
      </c>
      <c r="R32" s="238"/>
      <c r="S32" s="238">
        <f>Q32*$C$32</f>
        <v>86673.821211290735</v>
      </c>
      <c r="T32" s="238"/>
      <c r="U32" s="238">
        <f>S32*$C$32</f>
        <v>89707.404953685909</v>
      </c>
      <c r="V32" s="238"/>
      <c r="W32" s="238">
        <f>U32*$C$32</f>
        <v>92847.164127064912</v>
      </c>
      <c r="X32" s="238"/>
      <c r="Y32" s="238">
        <f>W32*$C$32</f>
        <v>96096.814871512179</v>
      </c>
      <c r="Z32" s="238"/>
      <c r="AA32" s="238">
        <f>Y32*$C$32</f>
        <v>99460.203392015101</v>
      </c>
      <c r="AB32" s="238"/>
      <c r="AC32" s="238">
        <f>AA32*$C$32</f>
        <v>102941.31051073562</v>
      </c>
      <c r="AD32" s="238"/>
      <c r="AE32" s="238">
        <f>AC32*$C$32</f>
        <v>106544.25637861136</v>
      </c>
      <c r="AF32" s="238"/>
      <c r="AG32" s="238">
        <f>AE32*$C$32</f>
        <v>110273.30535186276</v>
      </c>
    </row>
    <row r="33" spans="1:33" s="225" customFormat="1" ht="14.25">
      <c r="A33" s="225" t="str">
        <f>Application!C878</f>
        <v>Other (Employee Apartment):</v>
      </c>
      <c r="C33" s="340">
        <f>C4</f>
        <v>1.0249999999999999</v>
      </c>
      <c r="E33" s="238">
        <f>Application!AC878</f>
        <v>63144</v>
      </c>
      <c r="F33" s="238"/>
      <c r="G33" s="238">
        <f>E33*$C$33</f>
        <v>64722.599999999991</v>
      </c>
      <c r="H33" s="238"/>
      <c r="I33" s="238">
        <f>G33*$C$33</f>
        <v>66340.664999999979</v>
      </c>
      <c r="J33" s="238"/>
      <c r="K33" s="238">
        <f>I33*$C$33</f>
        <v>67999.181624999968</v>
      </c>
      <c r="L33" s="238"/>
      <c r="M33" s="238">
        <f>K33*$C$33</f>
        <v>69699.161165624959</v>
      </c>
      <c r="N33" s="238"/>
      <c r="O33" s="238">
        <f>M33*$C$33</f>
        <v>71441.640194765583</v>
      </c>
      <c r="P33" s="238"/>
      <c r="Q33" s="238">
        <f>O33*$C$33</f>
        <v>73227.68119963471</v>
      </c>
      <c r="R33" s="238"/>
      <c r="S33" s="238">
        <f>Q33*$C$33</f>
        <v>75058.373229625577</v>
      </c>
      <c r="T33" s="238"/>
      <c r="U33" s="238">
        <f>S33*$C$33</f>
        <v>76934.832560366209</v>
      </c>
      <c r="V33" s="238"/>
      <c r="W33" s="238">
        <f>U33*$C$33</f>
        <v>78858.203374375356</v>
      </c>
      <c r="X33" s="238"/>
      <c r="Y33" s="238">
        <f>W33*$C$33</f>
        <v>80829.658458734732</v>
      </c>
      <c r="Z33" s="238"/>
      <c r="AA33" s="238">
        <f>Y33*$C$33</f>
        <v>82850.399920203097</v>
      </c>
      <c r="AB33" s="238"/>
      <c r="AC33" s="238">
        <f>AA33*$C$33</f>
        <v>84921.65991820817</v>
      </c>
      <c r="AD33" s="238"/>
      <c r="AE33" s="238">
        <f>AC33*$C$33</f>
        <v>87044.701416163371</v>
      </c>
      <c r="AF33" s="238"/>
      <c r="AG33" s="238">
        <f>AE33*$C$33</f>
        <v>89220.818951567446</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1160579.8400000001</v>
      </c>
      <c r="G35" s="239">
        <f>SUM(G22:G33)</f>
        <v>1197490.7110185141</v>
      </c>
      <c r="I35" s="239">
        <f>SUM(I22:I33)</f>
        <v>1235639.6956881387</v>
      </c>
      <c r="K35" s="239">
        <f>SUM(K22:K33)</f>
        <v>1275068.8063158002</v>
      </c>
      <c r="M35" s="239">
        <f>SUM(M22:M33)</f>
        <v>1315821.4930473934</v>
      </c>
      <c r="O35" s="239">
        <f>SUM(O22:O33)</f>
        <v>1357942.6933863561</v>
      </c>
      <c r="Q35" s="239">
        <f>SUM(Q22:Q33)</f>
        <v>1401478.8834254204</v>
      </c>
      <c r="S35" s="239">
        <f>SUM(S22:S33)</f>
        <v>1446478.1308510194</v>
      </c>
      <c r="U35" s="239">
        <f>SUM(U22:U33)</f>
        <v>1492990.1497818781</v>
      </c>
      <c r="W35" s="239">
        <f>SUM(W22:W33)</f>
        <v>1541066.35750547</v>
      </c>
      <c r="Y35" s="239">
        <f>SUM(Y22:Y33)</f>
        <v>1590759.933178222</v>
      </c>
      <c r="AA35" s="239">
        <f>SUM(AA22:AA33)</f>
        <v>1642125.8785576615</v>
      </c>
      <c r="AC35" s="239">
        <f>SUM(AC22:AC33)</f>
        <v>1695221.0808370593</v>
      </c>
      <c r="AE35" s="239">
        <f>SUM(AE22:AE33)</f>
        <v>1750104.3776555792</v>
      </c>
      <c r="AG35" s="239">
        <f>SUM(AG22:AG33)</f>
        <v>1806836.6243594973</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875</v>
      </c>
      <c r="C37" s="240"/>
      <c r="E37" s="239">
        <f>E11-E35</f>
        <v>1990557.5282022476</v>
      </c>
      <c r="G37" s="239">
        <f>G11-G35</f>
        <v>2032425.0913887892</v>
      </c>
      <c r="I37" s="239">
        <f>I11-I35</f>
        <v>2075024.0017793467</v>
      </c>
      <c r="K37" s="239">
        <f>K11-K35</f>
        <v>2118361.4835883728</v>
      </c>
      <c r="M37" s="239">
        <f>M11-M35</f>
        <v>2162444.5541043831</v>
      </c>
      <c r="O37" s="239">
        <f>O11-O35</f>
        <v>2207280.0049442146</v>
      </c>
      <c r="Q37" s="239">
        <f>Q11-Q35</f>
        <v>2252874.3823634144</v>
      </c>
      <c r="S37" s="239">
        <f>S11-S35</f>
        <v>2299233.9665825348</v>
      </c>
      <c r="U37" s="239">
        <f>U11-U35</f>
        <v>2346364.7500875155</v>
      </c>
      <c r="W37" s="239">
        <f>W11-W35</f>
        <v>2394272.4148606588</v>
      </c>
      <c r="Y37" s="239">
        <f>Y11-Y35</f>
        <v>2442962.3084970592</v>
      </c>
      <c r="AA37" s="239">
        <f>AA11-AA35</f>
        <v>2492439.4191595013</v>
      </c>
      <c r="AC37" s="239">
        <f>AC11-AC35</f>
        <v>2542708.349323031</v>
      </c>
      <c r="AE37" s="239">
        <f>AE11-AE35</f>
        <v>2593773.2882585148</v>
      </c>
      <c r="AG37" s="239">
        <f>AG11-AG35</f>
        <v>2645637.9832024476</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Citibank Tax-Exempt Loan</v>
      </c>
      <c r="B40" s="242"/>
      <c r="C40" s="236"/>
      <c r="E40" s="238">
        <f>Application!AF623</f>
        <v>1730919.5897410852</v>
      </c>
      <c r="F40" s="238"/>
      <c r="G40" s="238">
        <f>$E$40</f>
        <v>1730919.5897410852</v>
      </c>
      <c r="H40" s="238"/>
      <c r="I40" s="238">
        <f>$E$40</f>
        <v>1730919.5897410852</v>
      </c>
      <c r="J40" s="238"/>
      <c r="K40" s="238">
        <f>$E$40</f>
        <v>1730919.5897410852</v>
      </c>
      <c r="L40" s="238"/>
      <c r="M40" s="238">
        <f>$E$40</f>
        <v>1730919.5897410852</v>
      </c>
      <c r="N40" s="238"/>
      <c r="O40" s="238">
        <f>$E$40</f>
        <v>1730919.5897410852</v>
      </c>
      <c r="P40" s="238"/>
      <c r="Q40" s="238">
        <f>$E$40</f>
        <v>1730919.5897410852</v>
      </c>
      <c r="R40" s="238"/>
      <c r="S40" s="238">
        <f>$E$40</f>
        <v>1730919.5897410852</v>
      </c>
      <c r="T40" s="238"/>
      <c r="U40" s="238">
        <f>$E$40</f>
        <v>1730919.5897410852</v>
      </c>
      <c r="V40" s="238"/>
      <c r="W40" s="238">
        <f>$E$40</f>
        <v>1730919.5897410852</v>
      </c>
      <c r="X40" s="238"/>
      <c r="Y40" s="238">
        <f>$E$40</f>
        <v>1730919.5897410852</v>
      </c>
      <c r="Z40" s="238"/>
      <c r="AA40" s="238">
        <f>$E$40</f>
        <v>1730919.5897410852</v>
      </c>
      <c r="AB40" s="238"/>
      <c r="AC40" s="238">
        <f>$E$40</f>
        <v>1730919.5897410852</v>
      </c>
      <c r="AD40" s="238"/>
      <c r="AE40" s="238">
        <f>$E$40</f>
        <v>1730919.5897410852</v>
      </c>
      <c r="AF40" s="238"/>
      <c r="AG40" s="238">
        <f>$E$40</f>
        <v>1730919.5897410852</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876</v>
      </c>
      <c r="C43" s="240"/>
      <c r="E43" s="239">
        <f>SUM(E40:E42)</f>
        <v>1730919.5897410852</v>
      </c>
      <c r="G43" s="239">
        <f>SUM(G40:G42)</f>
        <v>1730919.5897410852</v>
      </c>
      <c r="I43" s="239">
        <f>SUM(I40:I42)</f>
        <v>1730919.5897410852</v>
      </c>
      <c r="K43" s="239">
        <f>SUM(K40:K42)</f>
        <v>1730919.5897410852</v>
      </c>
      <c r="M43" s="239">
        <f>SUM(M40:M42)</f>
        <v>1730919.5897410852</v>
      </c>
      <c r="O43" s="239">
        <f>SUM(O40:O42)</f>
        <v>1730919.5897410852</v>
      </c>
      <c r="Q43" s="239">
        <f>SUM(Q40:Q42)</f>
        <v>1730919.5897410852</v>
      </c>
      <c r="S43" s="239">
        <f>SUM(S40:S42)</f>
        <v>1730919.5897410852</v>
      </c>
      <c r="U43" s="239">
        <f>SUM(U40:U42)</f>
        <v>1730919.5897410852</v>
      </c>
      <c r="W43" s="239">
        <f>SUM(W40:W42)</f>
        <v>1730919.5897410852</v>
      </c>
      <c r="Y43" s="239">
        <f>SUM(Y40:Y42)</f>
        <v>1730919.5897410852</v>
      </c>
      <c r="AA43" s="239">
        <f>SUM(AA40:AA42)</f>
        <v>1730919.5897410852</v>
      </c>
      <c r="AC43" s="239">
        <f>SUM(AC40:AC42)</f>
        <v>1730919.5897410852</v>
      </c>
      <c r="AE43" s="239">
        <f>SUM(AE40:AE42)</f>
        <v>1730919.5897410852</v>
      </c>
      <c r="AG43" s="239">
        <f>SUM(AG40:AG42)</f>
        <v>1730919.5897410852</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877</v>
      </c>
      <c r="C45" s="240"/>
      <c r="E45" s="239">
        <f>E37-E43</f>
        <v>259637.93846116238</v>
      </c>
      <c r="G45" s="239">
        <f>G37-G43</f>
        <v>301505.50164770405</v>
      </c>
      <c r="I45" s="239">
        <f>I37-I43</f>
        <v>344104.41203826154</v>
      </c>
      <c r="K45" s="239">
        <f>K37-K43</f>
        <v>387441.89384728763</v>
      </c>
      <c r="M45" s="239">
        <f>M37-M43</f>
        <v>431524.96436329791</v>
      </c>
      <c r="O45" s="239">
        <f>O37-O43</f>
        <v>476360.41520312941</v>
      </c>
      <c r="Q45" s="239">
        <f>Q37-Q43</f>
        <v>521954.7926223292</v>
      </c>
      <c r="S45" s="239">
        <f>S37-S43</f>
        <v>568314.37684144964</v>
      </c>
      <c r="U45" s="239">
        <f>U37-U43</f>
        <v>615445.16034643026</v>
      </c>
      <c r="W45" s="239">
        <f>W37-W43</f>
        <v>663352.82511957362</v>
      </c>
      <c r="Y45" s="239">
        <f>Y37-Y43</f>
        <v>712042.71875597397</v>
      </c>
      <c r="AA45" s="239">
        <f>AA37-AA43</f>
        <v>761519.82941841614</v>
      </c>
      <c r="AC45" s="239">
        <f>AC37-AC43</f>
        <v>811788.75958194584</v>
      </c>
      <c r="AE45" s="239">
        <f>AE37-AE43</f>
        <v>862853.69851742964</v>
      </c>
      <c r="AG45" s="239">
        <f>AG37-AG43</f>
        <v>914718.39346136246</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879</v>
      </c>
      <c r="C47" s="236"/>
      <c r="E47" s="243">
        <f>E45/(E4+E6+E8)</f>
        <v>7.827524246549232E-2</v>
      </c>
      <c r="G47" s="243">
        <f>G45/(G4+G6+G8)</f>
        <v>8.8680400384380992E-2</v>
      </c>
      <c r="I47" s="243">
        <f>I45/(I4+I6+I8)</f>
        <v>9.8741286131361572E-2</v>
      </c>
      <c r="K47" s="243">
        <f>K45/(K4+K6+K8)</f>
        <v>0.10846540748161861</v>
      </c>
      <c r="M47" s="243">
        <f>M45/(M4+M6+M8)</f>
        <v>0.11786008045037982</v>
      </c>
      <c r="O47" s="243">
        <f>O45/(O4+O6+O8)</f>
        <v>0.12693243388551231</v>
      </c>
      <c r="Q47" s="243">
        <f>Q45/(Q4+Q6+Q8)</f>
        <v>0.13568941394727918</v>
      </c>
      <c r="S47" s="243">
        <f>S45/(S4+S6+S8)</f>
        <v>0.14413778847800365</v>
      </c>
      <c r="U47" s="243">
        <f>U45/(U4+U6+U8)</f>
        <v>0.15228415126431735</v>
      </c>
      <c r="W47" s="243">
        <f>W45/(W4+W6+W8)</f>
        <v>0.16013492619459926</v>
      </c>
      <c r="Y47" s="243">
        <f>Y45/(Y4+Y6+Y8)</f>
        <v>0.16769637131416282</v>
      </c>
      <c r="AA47" s="243">
        <f>AA45/(AA4+AA6+AA8)</f>
        <v>0.17497458278066955</v>
      </c>
      <c r="AC47" s="243">
        <f>AC45/(AC4+AC6+AC8)</f>
        <v>0.1819754987221946</v>
      </c>
      <c r="AE47" s="243">
        <f>AE45/(AE4+AE6+AE8)</f>
        <v>0.18870490300031603</v>
      </c>
      <c r="AG47" s="243">
        <f>AG45/(AG4+AG6+AG8)</f>
        <v>0.19516842888052441</v>
      </c>
    </row>
    <row r="48" spans="1:33" s="243" customFormat="1" ht="14.25">
      <c r="A48" s="243" t="s">
        <v>880</v>
      </c>
      <c r="C48" s="236"/>
      <c r="E48" s="243">
        <f>E45/E43</f>
        <v>0.14999999999999977</v>
      </c>
      <c r="G48" s="243">
        <f>G45/G43</f>
        <v>0.17418804630479912</v>
      </c>
      <c r="I48" s="243">
        <f>I45/I43</f>
        <v>0.1987986120659328</v>
      </c>
      <c r="K48" s="243">
        <f>K45/K43</f>
        <v>0.22383587091139343</v>
      </c>
      <c r="M48" s="243">
        <f>M45/M43</f>
        <v>0.24930387692235106</v>
      </c>
      <c r="O48" s="243">
        <f>O45/O43</f>
        <v>0.27520655380322112</v>
      </c>
      <c r="Q48" s="243">
        <f>Q45/Q43</f>
        <v>0.30154768350643274</v>
      </c>
      <c r="S48" s="243">
        <f>S45/S43</f>
        <v>0.32833089428865925</v>
      </c>
      <c r="U48" s="243">
        <f>U45/U43</f>
        <v>0.35555964817434987</v>
      </c>
      <c r="W48" s="243">
        <f>W45/W43</f>
        <v>0.38323722780143671</v>
      </c>
      <c r="Y48" s="243">
        <f>Y45/Y43</f>
        <v>0.41136672262313634</v>
      </c>
      <c r="AA48" s="243">
        <f>AA45/AA43</f>
        <v>0.43995101443870421</v>
      </c>
      <c r="AC48" s="243">
        <f>AC45/AC43</f>
        <v>0.46899276222494829</v>
      </c>
      <c r="AE48" s="243">
        <f>AE45/AE43</f>
        <v>0.49849438623922282</v>
      </c>
      <c r="AG48" s="243">
        <f>AG45/AG43</f>
        <v>0.52845805136343049</v>
      </c>
    </row>
    <row r="49" spans="1:35" s="244" customFormat="1" ht="14.25">
      <c r="A49" s="244" t="s">
        <v>878</v>
      </c>
      <c r="C49" s="245"/>
      <c r="E49" s="244">
        <f>E37/E43</f>
        <v>1.1499999999999997</v>
      </c>
      <c r="G49" s="244">
        <f>G37/G43</f>
        <v>1.1741880463047991</v>
      </c>
      <c r="I49" s="244">
        <f>I37/I43</f>
        <v>1.1987986120659329</v>
      </c>
      <c r="K49" s="244">
        <f>K37/K43</f>
        <v>1.2238358709113935</v>
      </c>
      <c r="M49" s="244">
        <f>M37/M43</f>
        <v>1.249303876922351</v>
      </c>
      <c r="O49" s="244">
        <f>O37/O43</f>
        <v>1.2752065538032211</v>
      </c>
      <c r="Q49" s="244">
        <f>Q37/Q43</f>
        <v>1.3015476835064328</v>
      </c>
      <c r="S49" s="244">
        <f>S37/S43</f>
        <v>1.3283308942886591</v>
      </c>
      <c r="U49" s="244">
        <f>U37/U43</f>
        <v>1.3555596481743499</v>
      </c>
      <c r="W49" s="244">
        <f>W37/W43</f>
        <v>1.3832372278014367</v>
      </c>
      <c r="Y49" s="244">
        <f>Y37/Y43</f>
        <v>1.4113667226231363</v>
      </c>
      <c r="AA49" s="244">
        <f>AA37/AA43</f>
        <v>1.4399510144387042</v>
      </c>
      <c r="AC49" s="244">
        <f>AC37/AC43</f>
        <v>1.4689927622249483</v>
      </c>
      <c r="AE49" s="244">
        <f>AE37/AE43</f>
        <v>1.4984943862392228</v>
      </c>
      <c r="AG49" s="244">
        <f>AG37/AG43</f>
        <v>1.5284580513634305</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ht="12.75" customHeight="1">
      <c r="A51" s="999"/>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row>
    <row r="52" spans="1:35" s="999" customFormat="1">
      <c r="A52" s="999" t="s">
        <v>886</v>
      </c>
      <c r="C52" s="1005"/>
      <c r="E52" s="999">
        <f>E45</f>
        <v>259637.93846116238</v>
      </c>
      <c r="G52" s="999">
        <f t="shared" ref="G52:AG52" si="1">G45</f>
        <v>301505.50164770405</v>
      </c>
      <c r="I52" s="999">
        <f t="shared" si="1"/>
        <v>344104.41203826154</v>
      </c>
      <c r="K52" s="999">
        <f t="shared" si="1"/>
        <v>387441.89384728763</v>
      </c>
      <c r="M52" s="999">
        <f t="shared" si="1"/>
        <v>431524.96436329791</v>
      </c>
      <c r="O52" s="999">
        <f t="shared" si="1"/>
        <v>476360.41520312941</v>
      </c>
      <c r="Q52" s="999">
        <f t="shared" si="1"/>
        <v>521954.7926223292</v>
      </c>
      <c r="S52" s="999">
        <f t="shared" si="1"/>
        <v>568314.37684144964</v>
      </c>
      <c r="U52" s="999">
        <f t="shared" si="1"/>
        <v>615445.16034643026</v>
      </c>
      <c r="W52" s="999">
        <f t="shared" si="1"/>
        <v>663352.82511957362</v>
      </c>
      <c r="Y52" s="999">
        <f t="shared" si="1"/>
        <v>712042.71875597397</v>
      </c>
      <c r="AA52" s="999">
        <f t="shared" si="1"/>
        <v>761519.82941841614</v>
      </c>
      <c r="AC52" s="999">
        <f t="shared" si="1"/>
        <v>811788.75958194584</v>
      </c>
      <c r="AE52" s="999">
        <f t="shared" si="1"/>
        <v>862853.69851742964</v>
      </c>
      <c r="AG52" s="999">
        <f t="shared" si="1"/>
        <v>914718.39346136246</v>
      </c>
    </row>
    <row r="53" spans="1:35" s="3" customFormat="1" ht="8.25" customHeight="1">
      <c r="C53" s="998"/>
      <c r="E53" s="997"/>
      <c r="F53" s="997"/>
      <c r="G53" s="997"/>
      <c r="H53" s="997"/>
      <c r="I53" s="997"/>
      <c r="J53" s="997"/>
      <c r="K53" s="997"/>
      <c r="L53" s="997"/>
      <c r="M53" s="997"/>
      <c r="N53" s="997"/>
      <c r="O53" s="997"/>
      <c r="P53" s="997"/>
      <c r="Q53" s="997"/>
      <c r="R53" s="997"/>
      <c r="S53" s="997"/>
      <c r="T53" s="997"/>
      <c r="U53" s="997"/>
      <c r="V53" s="997"/>
      <c r="W53" s="997"/>
      <c r="X53" s="997"/>
      <c r="Y53" s="997"/>
      <c r="Z53" s="997"/>
      <c r="AA53" s="997"/>
      <c r="AB53" s="997"/>
      <c r="AC53" s="997"/>
      <c r="AD53" s="997"/>
      <c r="AE53" s="997"/>
      <c r="AF53" s="997"/>
      <c r="AG53" s="997"/>
      <c r="AH53" s="997"/>
      <c r="AI53" s="997"/>
    </row>
    <row r="54" spans="1:35" s="999" customFormat="1">
      <c r="A54" s="999" t="s">
        <v>885</v>
      </c>
      <c r="C54" s="996">
        <v>1</v>
      </c>
      <c r="E54" s="1001">
        <f>E52*$C$54</f>
        <v>259637.93846116238</v>
      </c>
      <c r="G54" s="999">
        <f>G52*$C$54</f>
        <v>301505.50164770405</v>
      </c>
      <c r="I54" s="999">
        <f>I52*$C$54</f>
        <v>344104.41203826154</v>
      </c>
      <c r="K54" s="999">
        <f>K52*$C$54</f>
        <v>387441.89384728763</v>
      </c>
      <c r="M54" s="999">
        <f>M52*$C$54</f>
        <v>431524.96436329791</v>
      </c>
      <c r="O54" s="999">
        <f>O52*$C$54</f>
        <v>476360.41520312941</v>
      </c>
      <c r="Q54" s="999">
        <f>Q52*$C$54</f>
        <v>521954.7926223292</v>
      </c>
      <c r="S54" s="999">
        <f>S52*$C$54</f>
        <v>568314.37684144964</v>
      </c>
      <c r="U54" s="999">
        <f>U52*$C$54</f>
        <v>615445.16034643026</v>
      </c>
      <c r="W54" s="999">
        <f>W52*$C$54</f>
        <v>663352.82511957362</v>
      </c>
      <c r="Y54" s="999">
        <f>Y52*$C$54</f>
        <v>712042.71875597397</v>
      </c>
      <c r="AA54" s="999">
        <f>AA52*$C$54</f>
        <v>761519.82941841614</v>
      </c>
      <c r="AC54" s="999">
        <f>AC52*$C$54</f>
        <v>811788.75958194584</v>
      </c>
      <c r="AE54" s="999">
        <f>AE52*$C$54</f>
        <v>862853.69851742964</v>
      </c>
      <c r="AG54" s="999">
        <f>Application!AO624-SUM('15 Year Pro Forma'!E54:AE54)</f>
        <v>435943.17551597208</v>
      </c>
    </row>
    <row r="55" spans="1:35" s="999" customFormat="1">
      <c r="A55" s="2544" t="s">
        <v>2741</v>
      </c>
      <c r="B55" s="2544"/>
      <c r="C55" s="2544"/>
    </row>
    <row r="56" spans="1:35" s="3" customFormat="1">
      <c r="C56" s="998"/>
      <c r="E56" s="997"/>
      <c r="F56" s="997"/>
      <c r="G56" s="997"/>
      <c r="H56" s="997"/>
      <c r="I56" s="997"/>
      <c r="J56" s="997"/>
      <c r="K56" s="997"/>
      <c r="L56" s="997"/>
      <c r="M56" s="997"/>
      <c r="N56" s="997"/>
      <c r="O56" s="997"/>
      <c r="P56" s="997"/>
      <c r="Q56" s="997"/>
      <c r="R56" s="997"/>
      <c r="S56" s="997"/>
      <c r="T56" s="997"/>
      <c r="U56" s="997"/>
      <c r="V56" s="997"/>
      <c r="W56" s="997"/>
      <c r="X56" s="997"/>
      <c r="Y56" s="997"/>
      <c r="Z56" s="997"/>
      <c r="AA56" s="997"/>
      <c r="AB56" s="997"/>
      <c r="AC56" s="997"/>
      <c r="AD56" s="997"/>
      <c r="AE56" s="997"/>
      <c r="AF56" s="997"/>
      <c r="AG56" s="997"/>
      <c r="AH56" s="997"/>
      <c r="AI56" s="997"/>
    </row>
    <row r="57" spans="1:35" s="3" customFormat="1">
      <c r="A57" s="999" t="s">
        <v>886</v>
      </c>
      <c r="C57" s="998"/>
      <c r="E57" s="999">
        <f>E52-E54</f>
        <v>0</v>
      </c>
      <c r="F57" s="999"/>
      <c r="G57" s="999">
        <f t="shared" ref="G57:AG57" si="2">G52-G54</f>
        <v>0</v>
      </c>
      <c r="H57" s="999"/>
      <c r="I57" s="999">
        <f t="shared" si="2"/>
        <v>0</v>
      </c>
      <c r="J57" s="999"/>
      <c r="K57" s="999">
        <f t="shared" si="2"/>
        <v>0</v>
      </c>
      <c r="L57" s="999"/>
      <c r="M57" s="999">
        <f t="shared" si="2"/>
        <v>0</v>
      </c>
      <c r="N57" s="999"/>
      <c r="O57" s="999">
        <f t="shared" si="2"/>
        <v>0</v>
      </c>
      <c r="P57" s="999"/>
      <c r="Q57" s="999">
        <f t="shared" si="2"/>
        <v>0</v>
      </c>
      <c r="R57" s="999"/>
      <c r="S57" s="999">
        <f t="shared" si="2"/>
        <v>0</v>
      </c>
      <c r="T57" s="999"/>
      <c r="U57" s="999">
        <f t="shared" si="2"/>
        <v>0</v>
      </c>
      <c r="V57" s="999"/>
      <c r="W57" s="999">
        <f t="shared" si="2"/>
        <v>0</v>
      </c>
      <c r="X57" s="999"/>
      <c r="Y57" s="999">
        <f t="shared" si="2"/>
        <v>0</v>
      </c>
      <c r="Z57" s="999"/>
      <c r="AA57" s="999">
        <f t="shared" si="2"/>
        <v>0</v>
      </c>
      <c r="AB57" s="999"/>
      <c r="AC57" s="999">
        <f t="shared" si="2"/>
        <v>0</v>
      </c>
      <c r="AD57" s="999"/>
      <c r="AE57" s="999">
        <f t="shared" si="2"/>
        <v>0</v>
      </c>
      <c r="AF57" s="999"/>
      <c r="AG57" s="999">
        <f t="shared" si="2"/>
        <v>478775.21794539038</v>
      </c>
      <c r="AH57" s="997"/>
      <c r="AI57" s="997"/>
    </row>
    <row r="58" spans="1:35" s="3" customFormat="1">
      <c r="C58" s="998"/>
      <c r="E58" s="997"/>
      <c r="F58" s="997"/>
      <c r="G58" s="997"/>
      <c r="H58" s="997"/>
      <c r="I58" s="997"/>
      <c r="J58" s="997"/>
      <c r="K58" s="997"/>
      <c r="L58" s="997"/>
      <c r="M58" s="997"/>
      <c r="N58" s="997"/>
      <c r="O58" s="997"/>
      <c r="P58" s="997"/>
      <c r="Q58" s="997"/>
      <c r="R58" s="997"/>
      <c r="S58" s="997"/>
      <c r="T58" s="997"/>
      <c r="U58" s="997"/>
      <c r="V58" s="997"/>
      <c r="W58" s="997"/>
      <c r="X58" s="997"/>
      <c r="Y58" s="997"/>
      <c r="Z58" s="997"/>
      <c r="AA58" s="997"/>
      <c r="AB58" s="997"/>
      <c r="AC58" s="997"/>
      <c r="AD58" s="997"/>
      <c r="AE58" s="997"/>
      <c r="AF58" s="997"/>
      <c r="AG58" s="997"/>
      <c r="AH58" s="997"/>
      <c r="AI58" s="997"/>
    </row>
    <row r="59" spans="1:35" s="3" customFormat="1">
      <c r="A59" s="3" t="s">
        <v>890</v>
      </c>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row>
    <row r="60" spans="1:35" s="3" customFormat="1">
      <c r="A60" s="2544" t="s">
        <v>2741</v>
      </c>
      <c r="B60" s="2544"/>
      <c r="C60" s="2544"/>
      <c r="D60" s="997"/>
      <c r="E60" s="997"/>
      <c r="F60" s="997"/>
      <c r="G60" s="997"/>
      <c r="H60" s="997"/>
      <c r="I60" s="997"/>
      <c r="J60" s="997"/>
      <c r="K60" s="997"/>
      <c r="L60" s="997"/>
      <c r="M60" s="997"/>
      <c r="N60" s="997"/>
      <c r="O60" s="997"/>
      <c r="P60" s="997"/>
      <c r="Q60" s="997"/>
      <c r="R60" s="997"/>
      <c r="S60" s="997"/>
      <c r="T60" s="997"/>
      <c r="U60" s="997"/>
      <c r="V60" s="997"/>
      <c r="W60" s="997"/>
      <c r="X60" s="997"/>
      <c r="Y60" s="997"/>
      <c r="Z60" s="997"/>
      <c r="AA60" s="997"/>
      <c r="AB60" s="997"/>
      <c r="AC60" s="997"/>
      <c r="AD60" s="997"/>
      <c r="AE60" s="997"/>
      <c r="AF60" s="997"/>
      <c r="AG60" s="997"/>
    </row>
    <row r="61" spans="1:35" s="999" customFormat="1">
      <c r="A61" s="999" t="s">
        <v>882</v>
      </c>
      <c r="C61" s="1000">
        <v>1.03</v>
      </c>
      <c r="E61" s="1001"/>
      <c r="G61" s="997">
        <f>E61*$C$61</f>
        <v>0</v>
      </c>
      <c r="I61" s="997">
        <f>G61*C61</f>
        <v>0</v>
      </c>
      <c r="K61" s="997">
        <v>0</v>
      </c>
      <c r="M61" s="997">
        <v>0</v>
      </c>
      <c r="O61" s="997">
        <v>0</v>
      </c>
      <c r="Q61" s="997">
        <v>0</v>
      </c>
      <c r="S61" s="997">
        <v>0</v>
      </c>
      <c r="U61" s="997">
        <v>0</v>
      </c>
      <c r="W61" s="997">
        <v>0</v>
      </c>
      <c r="Y61" s="997">
        <v>0</v>
      </c>
      <c r="AA61" s="997">
        <v>0</v>
      </c>
      <c r="AC61" s="997">
        <v>0</v>
      </c>
      <c r="AE61" s="997">
        <v>0</v>
      </c>
      <c r="AG61" s="997">
        <v>22688.845872826674</v>
      </c>
    </row>
    <row r="62" spans="1:35" s="3" customFormat="1">
      <c r="A62" s="3" t="s">
        <v>883</v>
      </c>
      <c r="C62" s="995"/>
      <c r="E62" s="1001"/>
      <c r="F62" s="997"/>
      <c r="G62" s="997">
        <f>E62*$C$61</f>
        <v>0</v>
      </c>
      <c r="H62" s="997"/>
      <c r="I62" s="997">
        <f>G62*C61</f>
        <v>0</v>
      </c>
      <c r="J62" s="997"/>
      <c r="K62" s="997">
        <v>0</v>
      </c>
      <c r="L62" s="997"/>
      <c r="M62" s="997">
        <v>0</v>
      </c>
      <c r="N62" s="997"/>
      <c r="O62" s="997">
        <v>0</v>
      </c>
      <c r="P62" s="997"/>
      <c r="Q62" s="997">
        <v>0</v>
      </c>
      <c r="R62" s="997"/>
      <c r="S62" s="997">
        <v>0</v>
      </c>
      <c r="T62" s="997"/>
      <c r="U62" s="997">
        <v>0</v>
      </c>
      <c r="V62" s="997"/>
      <c r="W62" s="997">
        <v>0</v>
      </c>
      <c r="X62" s="997"/>
      <c r="Y62" s="997">
        <v>0</v>
      </c>
      <c r="Z62" s="997"/>
      <c r="AA62" s="997">
        <v>0</v>
      </c>
      <c r="AB62" s="997"/>
      <c r="AC62" s="997">
        <v>0</v>
      </c>
      <c r="AD62" s="997"/>
      <c r="AE62" s="997">
        <v>0</v>
      </c>
      <c r="AF62" s="997"/>
      <c r="AG62" s="997">
        <v>22688.845872826674</v>
      </c>
      <c r="AH62" s="997"/>
      <c r="AI62" s="997"/>
    </row>
    <row r="63" spans="1:35" s="3" customFormat="1">
      <c r="A63" s="3" t="s">
        <v>884</v>
      </c>
      <c r="C63" s="995"/>
      <c r="E63" s="1001"/>
      <c r="F63" s="997"/>
      <c r="G63" s="997">
        <f>E63*$C$61</f>
        <v>0</v>
      </c>
      <c r="H63" s="997"/>
      <c r="I63" s="997">
        <f>G63*C61</f>
        <v>0</v>
      </c>
      <c r="J63" s="997"/>
      <c r="K63" s="997">
        <v>0</v>
      </c>
      <c r="L63" s="997"/>
      <c r="M63" s="997">
        <v>0</v>
      </c>
      <c r="N63" s="997"/>
      <c r="O63" s="997">
        <v>0</v>
      </c>
      <c r="P63" s="997"/>
      <c r="Q63" s="997">
        <v>0</v>
      </c>
      <c r="R63" s="997"/>
      <c r="S63" s="997">
        <v>0</v>
      </c>
      <c r="T63" s="997"/>
      <c r="U63" s="997">
        <v>0</v>
      </c>
      <c r="V63" s="997"/>
      <c r="W63" s="997">
        <v>0</v>
      </c>
      <c r="X63" s="997"/>
      <c r="Y63" s="997">
        <v>0</v>
      </c>
      <c r="Z63" s="997"/>
      <c r="AA63" s="997">
        <v>0</v>
      </c>
      <c r="AB63" s="997"/>
      <c r="AC63" s="997">
        <v>0</v>
      </c>
      <c r="AD63" s="997"/>
      <c r="AE63" s="997">
        <v>0</v>
      </c>
      <c r="AF63" s="997"/>
      <c r="AG63" s="1004">
        <v>18151.076698261342</v>
      </c>
      <c r="AH63" s="997"/>
      <c r="AI63" s="997"/>
    </row>
    <row r="64" spans="1:35" s="3" customFormat="1">
      <c r="A64" s="999" t="s">
        <v>881</v>
      </c>
      <c r="C64" s="998"/>
      <c r="E64" s="1260">
        <f>SUM(E61:E63)</f>
        <v>0</v>
      </c>
      <c r="F64" s="997"/>
      <c r="G64" s="1260">
        <f>SUM(G61:G63)</f>
        <v>0</v>
      </c>
      <c r="H64" s="997"/>
      <c r="I64" s="1260">
        <f>SUM(I61:I63)</f>
        <v>0</v>
      </c>
      <c r="J64" s="997"/>
      <c r="K64" s="1260">
        <f>SUM(K61:K63)</f>
        <v>0</v>
      </c>
      <c r="L64" s="997"/>
      <c r="M64" s="1260">
        <f>SUM(M61:M63)</f>
        <v>0</v>
      </c>
      <c r="N64" s="997"/>
      <c r="O64" s="1260">
        <f>SUM(O61:O63)</f>
        <v>0</v>
      </c>
      <c r="P64" s="997"/>
      <c r="Q64" s="1260">
        <f>SUM(Q61:Q63)</f>
        <v>0</v>
      </c>
      <c r="R64" s="997"/>
      <c r="S64" s="1260">
        <f>SUM(S61:S63)</f>
        <v>0</v>
      </c>
      <c r="T64" s="997"/>
      <c r="U64" s="1260">
        <f>SUM(U61:U63)</f>
        <v>0</v>
      </c>
      <c r="V64" s="997"/>
      <c r="W64" s="1260">
        <f>SUM(W61:W63)</f>
        <v>0</v>
      </c>
      <c r="X64" s="997"/>
      <c r="Y64" s="1260">
        <f t="shared" ref="Y64:AC64" si="3">SUM(Y61:Y63)</f>
        <v>0</v>
      </c>
      <c r="Z64" s="997"/>
      <c r="AA64" s="1260">
        <f t="shared" si="3"/>
        <v>0</v>
      </c>
      <c r="AB64" s="997"/>
      <c r="AC64" s="1260">
        <f t="shared" si="3"/>
        <v>0</v>
      </c>
      <c r="AD64" s="997"/>
      <c r="AE64" s="1260">
        <f t="shared" ref="AE64" si="4">SUM(AE61:AE63)</f>
        <v>0</v>
      </c>
      <c r="AF64" s="997"/>
      <c r="AG64" s="1260">
        <f>SUM(AG61:AG63)</f>
        <v>63528.768443914691</v>
      </c>
      <c r="AH64" s="997"/>
      <c r="AI64" s="997"/>
    </row>
    <row r="65" spans="1:35" s="3" customFormat="1">
      <c r="C65" s="998"/>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3" customFormat="1">
      <c r="A66" s="3" t="s">
        <v>889</v>
      </c>
      <c r="C66" s="996">
        <v>0</v>
      </c>
      <c r="E66" s="997"/>
      <c r="F66" s="997"/>
      <c r="G66" s="997"/>
      <c r="H66" s="997"/>
      <c r="I66" s="997"/>
      <c r="J66" s="997"/>
      <c r="K66" s="997"/>
      <c r="L66" s="997"/>
      <c r="M66" s="997"/>
      <c r="N66" s="997"/>
      <c r="O66" s="997"/>
      <c r="P66" s="997"/>
      <c r="Q66" s="997"/>
      <c r="R66" s="997"/>
      <c r="S66" s="997"/>
      <c r="T66" s="997"/>
      <c r="U66" s="997"/>
      <c r="V66" s="997"/>
      <c r="W66" s="997"/>
      <c r="X66" s="997"/>
      <c r="Y66" s="997"/>
      <c r="Z66" s="997"/>
      <c r="AA66" s="997"/>
      <c r="AB66" s="997"/>
      <c r="AC66" s="997"/>
      <c r="AD66" s="997"/>
      <c r="AE66" s="997"/>
      <c r="AF66" s="997"/>
      <c r="AG66" s="997"/>
      <c r="AH66" s="997"/>
      <c r="AI66" s="997"/>
    </row>
    <row r="67" spans="1:35" s="999" customFormat="1">
      <c r="A67" s="1001"/>
      <c r="B67" s="1001"/>
      <c r="C67" s="1000"/>
      <c r="E67" s="1001"/>
      <c r="G67" s="997">
        <f>G52*$C$66</f>
        <v>0</v>
      </c>
      <c r="I67" s="997">
        <f>I52*$C$66</f>
        <v>0</v>
      </c>
      <c r="K67" s="997">
        <f>K52*$C$66</f>
        <v>0</v>
      </c>
      <c r="M67" s="997">
        <f>M52*$C$66</f>
        <v>0</v>
      </c>
      <c r="O67" s="997">
        <f>O52*$C$66</f>
        <v>0</v>
      </c>
      <c r="Q67" s="997">
        <f>Q52*$C$66</f>
        <v>0</v>
      </c>
      <c r="S67" s="997">
        <f>S52*$C$66</f>
        <v>0</v>
      </c>
      <c r="U67" s="997">
        <f>U52*$C$66</f>
        <v>0</v>
      </c>
      <c r="W67" s="997">
        <f>W52*$C$66</f>
        <v>0</v>
      </c>
      <c r="Y67" s="997">
        <f>Y52*$C$66</f>
        <v>0</v>
      </c>
      <c r="AA67" s="997">
        <f>AA52*$C$66</f>
        <v>0</v>
      </c>
      <c r="AC67" s="997">
        <f>AC52*$C$66</f>
        <v>0</v>
      </c>
      <c r="AE67" s="997">
        <f>AE52*$C$66</f>
        <v>0</v>
      </c>
      <c r="AG67" s="997">
        <f>AG52*$C$66</f>
        <v>0</v>
      </c>
    </row>
    <row r="68" spans="1:35" s="997" customFormat="1">
      <c r="A68" s="1002"/>
      <c r="B68" s="1002"/>
      <c r="C68" s="1006"/>
      <c r="E68" s="1001"/>
      <c r="G68" s="997">
        <f>G52*$C$66</f>
        <v>0</v>
      </c>
      <c r="I68" s="997">
        <f>I52*$C$66</f>
        <v>0</v>
      </c>
      <c r="K68" s="997">
        <f>K52*$C$66</f>
        <v>0</v>
      </c>
      <c r="M68" s="997">
        <f>M52*$C$66</f>
        <v>0</v>
      </c>
      <c r="O68" s="997">
        <f>O52*$C$66</f>
        <v>0</v>
      </c>
      <c r="Q68" s="997">
        <f>Q52*$C$66</f>
        <v>0</v>
      </c>
      <c r="S68" s="997">
        <f>S52*$C$66</f>
        <v>0</v>
      </c>
      <c r="U68" s="997">
        <f>U52*$C$66</f>
        <v>0</v>
      </c>
      <c r="W68" s="997">
        <f>W52*$C$66</f>
        <v>0</v>
      </c>
      <c r="Y68" s="997">
        <f>Y52*$C$66</f>
        <v>0</v>
      </c>
      <c r="AA68" s="997">
        <f>AA52*$C$66</f>
        <v>0</v>
      </c>
      <c r="AC68" s="997">
        <f>AC52*$C$66</f>
        <v>0</v>
      </c>
      <c r="AE68" s="997">
        <f>AE52*$C$66</f>
        <v>0</v>
      </c>
      <c r="AG68" s="997">
        <f>AG52*$C$66</f>
        <v>0</v>
      </c>
    </row>
    <row r="69" spans="1:35" s="997" customFormat="1">
      <c r="A69" s="1002"/>
      <c r="B69" s="1002"/>
      <c r="C69" s="1006"/>
      <c r="E69" s="1002"/>
      <c r="G69" s="997">
        <f t="shared" ref="G69:AG70" si="5">E69*$C$67</f>
        <v>0</v>
      </c>
      <c r="I69" s="997">
        <f t="shared" si="5"/>
        <v>0</v>
      </c>
      <c r="K69" s="997">
        <f t="shared" si="5"/>
        <v>0</v>
      </c>
      <c r="M69" s="997">
        <f t="shared" si="5"/>
        <v>0</v>
      </c>
      <c r="O69" s="997">
        <f t="shared" si="5"/>
        <v>0</v>
      </c>
      <c r="Q69" s="997">
        <f t="shared" si="5"/>
        <v>0</v>
      </c>
      <c r="S69" s="997">
        <f t="shared" si="5"/>
        <v>0</v>
      </c>
      <c r="U69" s="997">
        <f t="shared" si="5"/>
        <v>0</v>
      </c>
      <c r="W69" s="997">
        <f t="shared" si="5"/>
        <v>0</v>
      </c>
      <c r="Y69" s="997">
        <f t="shared" si="5"/>
        <v>0</v>
      </c>
      <c r="AA69" s="997">
        <f t="shared" si="5"/>
        <v>0</v>
      </c>
      <c r="AC69" s="997">
        <f t="shared" si="5"/>
        <v>0</v>
      </c>
      <c r="AE69" s="997">
        <f t="shared" si="5"/>
        <v>0</v>
      </c>
      <c r="AG69" s="997">
        <f t="shared" si="5"/>
        <v>0</v>
      </c>
    </row>
    <row r="70" spans="1:35" s="997" customFormat="1">
      <c r="A70" s="1002"/>
      <c r="B70" s="1002"/>
      <c r="C70" s="1006"/>
      <c r="E70" s="1003"/>
      <c r="G70" s="1004">
        <f t="shared" si="5"/>
        <v>0</v>
      </c>
      <c r="I70" s="1004">
        <f t="shared" si="5"/>
        <v>0</v>
      </c>
      <c r="K70" s="1004">
        <f t="shared" si="5"/>
        <v>0</v>
      </c>
      <c r="M70" s="1004">
        <f t="shared" si="5"/>
        <v>0</v>
      </c>
      <c r="O70" s="1004">
        <f t="shared" si="5"/>
        <v>0</v>
      </c>
      <c r="Q70" s="1004">
        <f t="shared" si="5"/>
        <v>0</v>
      </c>
      <c r="S70" s="1004">
        <f t="shared" si="5"/>
        <v>0</v>
      </c>
      <c r="U70" s="1004">
        <f t="shared" si="5"/>
        <v>0</v>
      </c>
      <c r="W70" s="1004">
        <f t="shared" si="5"/>
        <v>0</v>
      </c>
      <c r="Y70" s="1004">
        <f t="shared" si="5"/>
        <v>0</v>
      </c>
      <c r="AA70" s="1004">
        <f t="shared" si="5"/>
        <v>0</v>
      </c>
      <c r="AC70" s="1004">
        <f t="shared" si="5"/>
        <v>0</v>
      </c>
      <c r="AE70" s="1004">
        <f t="shared" si="5"/>
        <v>0</v>
      </c>
      <c r="AG70" s="1004">
        <f t="shared" si="5"/>
        <v>0</v>
      </c>
    </row>
    <row r="71" spans="1:35" s="997" customFormat="1">
      <c r="A71" s="999" t="s">
        <v>881</v>
      </c>
      <c r="C71" s="1006"/>
      <c r="E71" s="997">
        <f>SUM(E67:E70)</f>
        <v>0</v>
      </c>
      <c r="G71" s="997">
        <f>SUM(G67:G70)</f>
        <v>0</v>
      </c>
      <c r="I71" s="997">
        <f>SUM(I67:I70)</f>
        <v>0</v>
      </c>
      <c r="K71" s="997">
        <f>SUM(K67:K70)</f>
        <v>0</v>
      </c>
      <c r="M71" s="997">
        <f>SUM(M67:M70)</f>
        <v>0</v>
      </c>
      <c r="O71" s="997">
        <f>SUM(O67:O70)</f>
        <v>0</v>
      </c>
      <c r="Q71" s="997">
        <f>SUM(Q67:Q70)</f>
        <v>0</v>
      </c>
      <c r="S71" s="997">
        <f>SUM(S67:S70)</f>
        <v>0</v>
      </c>
      <c r="U71" s="997">
        <f>SUM(U67:U70)</f>
        <v>0</v>
      </c>
      <c r="W71" s="997">
        <f>SUM(W67:W70)</f>
        <v>0</v>
      </c>
      <c r="Y71" s="997">
        <f>SUM(Y67:Y70)</f>
        <v>0</v>
      </c>
      <c r="AA71" s="997">
        <f>SUM(AA67:AA70)</f>
        <v>0</v>
      </c>
      <c r="AC71" s="997">
        <f>SUM(AC67:AC70)</f>
        <v>0</v>
      </c>
      <c r="AE71" s="997">
        <f>SUM(AE67:AE70)</f>
        <v>0</v>
      </c>
      <c r="AG71" s="997">
        <f>SUM(AG67:AG70)</f>
        <v>0</v>
      </c>
    </row>
    <row r="72" spans="1:35" s="997" customFormat="1">
      <c r="A72" s="999"/>
      <c r="C72" s="1006"/>
    </row>
    <row r="73" spans="1:35" s="997" customFormat="1">
      <c r="A73" s="999" t="s">
        <v>1981</v>
      </c>
      <c r="C73" s="1006"/>
      <c r="E73" s="999">
        <f>E52-E54-E71</f>
        <v>0</v>
      </c>
      <c r="G73" s="999">
        <f>G52-G54-G71</f>
        <v>0</v>
      </c>
      <c r="I73" s="999">
        <f>I52-I54-I71</f>
        <v>0</v>
      </c>
      <c r="K73" s="999">
        <f>K52-K54-K71</f>
        <v>0</v>
      </c>
      <c r="M73" s="999">
        <f>M52-M54-M71</f>
        <v>0</v>
      </c>
      <c r="O73" s="999">
        <f>O52-O54-O71</f>
        <v>0</v>
      </c>
      <c r="Q73" s="999">
        <f>Q52-Q54-Q71</f>
        <v>0</v>
      </c>
      <c r="S73" s="999">
        <f>S52-S54-S71</f>
        <v>0</v>
      </c>
      <c r="U73" s="999">
        <f>U52-U54-U71</f>
        <v>0</v>
      </c>
      <c r="W73" s="999">
        <f>W52-W54-W71</f>
        <v>0</v>
      </c>
      <c r="Y73" s="999">
        <f>Y52-Y54-Y71</f>
        <v>0</v>
      </c>
      <c r="AA73" s="999">
        <f>AA52-AA54-AA71</f>
        <v>0</v>
      </c>
      <c r="AC73" s="999">
        <f>AC52-AC54-AC71</f>
        <v>0</v>
      </c>
      <c r="AE73" s="999">
        <f>AE52-AE54-AE71-AE64</f>
        <v>0</v>
      </c>
      <c r="AG73" s="999">
        <f>AG52-AG54-AG71-AG64</f>
        <v>415246.44950147567</v>
      </c>
    </row>
    <row r="74" spans="1:35" s="997" customFormat="1">
      <c r="A74" s="564"/>
      <c r="C74" s="1006"/>
    </row>
    <row r="75" spans="1:35" s="233" customFormat="1">
      <c r="A75" s="564"/>
      <c r="C75" s="192"/>
    </row>
    <row r="76" spans="1:35" s="233" customFormat="1">
      <c r="A76" s="997" t="s">
        <v>1980</v>
      </c>
      <c r="C76" s="192"/>
    </row>
    <row r="77" spans="1:35" s="233" customFormat="1">
      <c r="C77" s="192"/>
    </row>
    <row r="78" spans="1:35" s="250" customFormat="1" ht="30" customHeight="1">
      <c r="A78" s="2542" t="s">
        <v>1979</v>
      </c>
      <c r="B78" s="2543"/>
      <c r="C78" s="2543"/>
      <c r="D78" s="2543"/>
      <c r="E78" s="2543"/>
      <c r="F78" s="2543"/>
      <c r="G78" s="2543"/>
      <c r="H78" s="2543"/>
      <c r="I78" s="2543"/>
      <c r="J78" s="2543"/>
      <c r="K78" s="2543"/>
      <c r="L78" s="2543"/>
      <c r="M78" s="2543"/>
      <c r="N78" s="2543"/>
      <c r="O78" s="2543"/>
      <c r="P78" s="2543"/>
      <c r="Q78" s="2543"/>
      <c r="R78" s="2543"/>
      <c r="S78" s="2543"/>
      <c r="T78" s="2543"/>
      <c r="U78" s="2543"/>
      <c r="V78" s="2543"/>
      <c r="W78" s="2543"/>
      <c r="X78" s="2543"/>
      <c r="Y78" s="2543"/>
      <c r="Z78" s="2543"/>
      <c r="AA78" s="2543"/>
      <c r="AB78" s="2543"/>
      <c r="AC78" s="2543"/>
      <c r="AD78" s="2543"/>
      <c r="AE78" s="2543"/>
      <c r="AF78" s="2543"/>
      <c r="AG78" s="2543"/>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row r="218" spans="3:3" s="230" customFormat="1" hidden="1">
      <c r="C218" s="232"/>
    </row>
    <row r="219" spans="3:3"/>
    <row r="220" spans="3:3"/>
    <row r="221" spans="3:3"/>
    <row r="222" spans="3:3"/>
    <row r="223" spans="3:3"/>
    <row r="224" spans="3:3"/>
    <row r="225"/>
    <row r="226"/>
    <row r="227"/>
    <row r="228"/>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8:AG78"/>
    <mergeCell ref="A55:C55"/>
    <mergeCell ref="A60:C60"/>
  </mergeCells>
  <dataValidations count="1">
    <dataValidation type="list" allowBlank="1" showInputMessage="1" showErrorMessage="1" sqref="A60:C60 A55:C55"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B71" sqref="AB71:AU71"/>
    </sheetView>
  </sheetViews>
  <sheetFormatPr defaultColWidth="0" defaultRowHeight="12.75" zeroHeight="1"/>
  <cols>
    <col min="1" max="1" width="161.7109375" customWidth="1"/>
    <col min="2" max="16384" width="8.85546875" hidden="1"/>
  </cols>
  <sheetData>
    <row r="1" spans="1:1" ht="47.25">
      <c r="A1" s="337" t="s">
        <v>1009</v>
      </c>
    </row>
    <row r="2" spans="1:1" ht="15.75">
      <c r="A2" s="338"/>
    </row>
    <row r="3" spans="1:1" ht="15.75">
      <c r="A3" s="339" t="s">
        <v>1004</v>
      </c>
    </row>
    <row r="4" spans="1:1" ht="15.75">
      <c r="A4" s="339" t="s">
        <v>1005</v>
      </c>
    </row>
    <row r="5" spans="1:1" ht="15.75">
      <c r="A5" s="339" t="s">
        <v>1006</v>
      </c>
    </row>
    <row r="6" spans="1:1" ht="15.75">
      <c r="A6" s="339" t="s">
        <v>1008</v>
      </c>
    </row>
    <row r="7" spans="1:1" ht="15.75">
      <c r="A7" s="339" t="s">
        <v>1007</v>
      </c>
    </row>
    <row r="8" spans="1:1" ht="15.75">
      <c r="A8" s="375" t="s">
        <v>1083</v>
      </c>
    </row>
    <row r="9" spans="1:1" ht="15.75">
      <c r="A9" s="339" t="s">
        <v>1084</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72" zoomScaleNormal="100" zoomScaleSheetLayoutView="100" workbookViewId="0">
      <selection activeCell="AB71" sqref="AB71:AU71"/>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1359</v>
      </c>
      <c r="D1" s="301"/>
    </row>
    <row r="2" spans="1:7" s="296" customFormat="1">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c r="A4" s="284" t="s">
        <v>26</v>
      </c>
      <c r="B4" s="284"/>
      <c r="C4" s="284"/>
      <c r="D4" s="284"/>
      <c r="E4" s="303"/>
      <c r="F4" s="284"/>
      <c r="G4" s="384"/>
    </row>
    <row r="5" spans="1:7" s="381" customFormat="1">
      <c r="A5" s="396" t="s">
        <v>27</v>
      </c>
      <c r="B5" s="286">
        <f>'Sources and Uses Budget'!$C4</f>
        <v>10650300</v>
      </c>
      <c r="C5" s="286">
        <f>'Sources and Uses Budget'!$C4</f>
        <v>10650300</v>
      </c>
      <c r="D5" s="290">
        <f>C5-B5</f>
        <v>0</v>
      </c>
      <c r="E5" s="288"/>
      <c r="F5" s="287"/>
      <c r="G5" s="384"/>
    </row>
    <row r="6" spans="1:7" s="381" customFormat="1">
      <c r="A6" s="396" t="s">
        <v>28</v>
      </c>
      <c r="B6" s="286">
        <f>'Sources and Uses Budget'!$C5</f>
        <v>225000</v>
      </c>
      <c r="C6" s="286">
        <f>'Sources and Uses Budget'!$C5</f>
        <v>225000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10875300</v>
      </c>
      <c r="C9" s="290">
        <f>SUM(C5:C8)</f>
        <v>10875300</v>
      </c>
      <c r="D9" s="290">
        <f t="shared" si="0"/>
        <v>0</v>
      </c>
      <c r="E9" s="288"/>
      <c r="F9" s="287"/>
      <c r="G9" s="384"/>
    </row>
    <row r="10" spans="1:7" s="381" customFormat="1">
      <c r="A10" s="396" t="s">
        <v>603</v>
      </c>
      <c r="B10" s="286">
        <f>'Sources and Uses Budget'!$C9</f>
        <v>0</v>
      </c>
      <c r="C10" s="286">
        <f>'Sources and Uses Budget'!$C9</f>
        <v>0</v>
      </c>
      <c r="D10" s="290">
        <f t="shared" si="0"/>
        <v>0</v>
      </c>
      <c r="E10" s="288"/>
      <c r="F10" s="287"/>
      <c r="G10" s="384"/>
    </row>
    <row r="11" spans="1:7" s="381" customFormat="1">
      <c r="A11" s="396" t="s">
        <v>604</v>
      </c>
      <c r="B11" s="286">
        <f>'Sources and Uses Budget'!$C10</f>
        <v>0</v>
      </c>
      <c r="C11" s="286">
        <f>'Sources and Uses Budget'!$C10</f>
        <v>0</v>
      </c>
      <c r="D11" s="290">
        <f t="shared" si="0"/>
        <v>0</v>
      </c>
      <c r="E11" s="288"/>
      <c r="F11" s="287"/>
      <c r="G11" s="384"/>
    </row>
    <row r="12" spans="1:7" s="381" customFormat="1">
      <c r="A12" s="397" t="s">
        <v>605</v>
      </c>
      <c r="B12" s="290">
        <f>SUM(B10:B11)</f>
        <v>0</v>
      </c>
      <c r="C12" s="290">
        <f>SUM(C10:C11)</f>
        <v>0</v>
      </c>
      <c r="D12" s="290">
        <f t="shared" si="0"/>
        <v>0</v>
      </c>
      <c r="E12" s="288"/>
      <c r="F12" s="287"/>
      <c r="G12" s="384"/>
    </row>
    <row r="13" spans="1:7" s="381" customFormat="1">
      <c r="A13" s="397" t="s">
        <v>85</v>
      </c>
      <c r="B13" s="290">
        <f>SUM(B9+B12)</f>
        <v>10875300</v>
      </c>
      <c r="C13" s="290">
        <f>SUM(C9+C12)</f>
        <v>10875300</v>
      </c>
      <c r="D13" s="290">
        <f t="shared" si="0"/>
        <v>0</v>
      </c>
      <c r="E13" s="288"/>
      <c r="F13" s="287"/>
      <c r="G13" s="384"/>
    </row>
    <row r="14" spans="1:7" s="381" customFormat="1">
      <c r="A14" s="398" t="s">
        <v>935</v>
      </c>
      <c r="B14" s="286">
        <f>'Sources and Uses Budget'!$C13</f>
        <v>355000</v>
      </c>
      <c r="C14" s="286">
        <f>'Sources and Uses Budget'!$C13</f>
        <v>355000</v>
      </c>
      <c r="D14" s="290">
        <f t="shared" si="0"/>
        <v>0</v>
      </c>
      <c r="E14" s="288"/>
      <c r="F14" s="287"/>
      <c r="G14" s="384"/>
    </row>
    <row r="15" spans="1:7" s="381" customFormat="1" ht="24">
      <c r="A15" s="396" t="s">
        <v>936</v>
      </c>
      <c r="B15" s="286">
        <f>'Sources and Uses Budget'!$C14</f>
        <v>0</v>
      </c>
      <c r="C15" s="286">
        <f>'Sources and Uses Budget'!$C14</f>
        <v>0</v>
      </c>
      <c r="D15" s="290">
        <f t="shared" si="0"/>
        <v>0</v>
      </c>
      <c r="E15" s="288"/>
      <c r="F15" s="287"/>
      <c r="G15" s="384"/>
    </row>
    <row r="16" spans="1:7" s="381" customFormat="1">
      <c r="A16" s="396" t="s">
        <v>1301</v>
      </c>
      <c r="B16" s="286">
        <f>'Sources and Uses Budget'!$C15</f>
        <v>0</v>
      </c>
      <c r="C16" s="286">
        <f>'Sources and Uses Budget'!$C15</f>
        <v>0</v>
      </c>
      <c r="D16" s="290">
        <f t="shared" si="0"/>
        <v>0</v>
      </c>
      <c r="E16" s="288"/>
      <c r="F16" s="287"/>
      <c r="G16" s="384"/>
    </row>
    <row r="17" spans="1:7" s="381" customFormat="1">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0</v>
      </c>
      <c r="C19" s="286">
        <f>'Sources and Uses Budget'!$C18</f>
        <v>0</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1818</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4"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607</v>
      </c>
      <c r="B30" s="286">
        <f>'Sources and Uses Budget'!$C29</f>
        <v>240000</v>
      </c>
      <c r="C30" s="286">
        <f>'Sources and Uses Budget'!$C29</f>
        <v>240000</v>
      </c>
      <c r="D30" s="290">
        <f t="shared" si="0"/>
        <v>0</v>
      </c>
      <c r="E30" s="288"/>
      <c r="F30" s="287"/>
      <c r="G30" s="384"/>
    </row>
    <row r="31" spans="1:7" s="381" customFormat="1">
      <c r="A31" s="145" t="s">
        <v>608</v>
      </c>
      <c r="B31" s="286">
        <f>'Sources and Uses Budget'!$C30</f>
        <v>49054150</v>
      </c>
      <c r="C31" s="286">
        <f>'Sources and Uses Budget'!$C30</f>
        <v>49054150</v>
      </c>
      <c r="D31" s="290">
        <f t="shared" si="0"/>
        <v>0</v>
      </c>
      <c r="E31" s="288"/>
      <c r="F31" s="287"/>
      <c r="G31" s="384"/>
    </row>
    <row r="32" spans="1:7" s="381" customFormat="1">
      <c r="A32" s="145" t="s">
        <v>609</v>
      </c>
      <c r="B32" s="286">
        <f>'Sources and Uses Budget'!$C31</f>
        <v>2292250</v>
      </c>
      <c r="C32" s="286">
        <f>'Sources and Uses Budget'!$C31</f>
        <v>2292250</v>
      </c>
      <c r="D32" s="290">
        <f t="shared" si="0"/>
        <v>0</v>
      </c>
      <c r="E32" s="288"/>
      <c r="F32" s="287"/>
      <c r="G32" s="384"/>
    </row>
    <row r="33" spans="1:7" s="381" customFormat="1">
      <c r="A33" s="145" t="s">
        <v>138</v>
      </c>
      <c r="B33" s="286">
        <f>'Sources and Uses Budget'!$C32</f>
        <v>1026928</v>
      </c>
      <c r="C33" s="286">
        <f>'Sources and Uses Budget'!$C32</f>
        <v>1026928</v>
      </c>
      <c r="D33" s="290">
        <f t="shared" si="0"/>
        <v>0</v>
      </c>
      <c r="E33" s="288"/>
      <c r="F33" s="287"/>
      <c r="G33" s="384"/>
    </row>
    <row r="34" spans="1:7" s="381" customFormat="1">
      <c r="A34" s="145" t="s">
        <v>139</v>
      </c>
      <c r="B34" s="286">
        <f>'Sources and Uses Budget'!$C33</f>
        <v>1026928</v>
      </c>
      <c r="C34" s="286">
        <f>'Sources and Uses Budget'!$C33</f>
        <v>1026928</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133500.64000000001</v>
      </c>
      <c r="C36" s="286">
        <f>'Sources and Uses Budget'!$C35</f>
        <v>133500.64000000001</v>
      </c>
      <c r="D36" s="290">
        <f t="shared" si="0"/>
        <v>0</v>
      </c>
      <c r="E36" s="288"/>
      <c r="F36" s="287"/>
      <c r="G36" s="384"/>
    </row>
    <row r="37" spans="1:7" s="381" customFormat="1">
      <c r="A37" s="304" t="s">
        <v>1818</v>
      </c>
      <c r="B37" s="286">
        <f>'Sources and Uses Budget'!$C36</f>
        <v>0</v>
      </c>
      <c r="C37" s="286">
        <f>'Sources and Uses Budget'!$C36</f>
        <v>0</v>
      </c>
      <c r="D37" s="290"/>
      <c r="E37" s="288"/>
      <c r="F37" s="287"/>
      <c r="G37" s="384"/>
    </row>
    <row r="38" spans="1:7" s="381" customFormat="1">
      <c r="A38" s="155" t="str">
        <f>'Sources and Uses Budget'!A37</f>
        <v>Other: (P&amp;P Bonds)</v>
      </c>
      <c r="B38" s="286">
        <f>'Sources and Uses Budget'!$C37</f>
        <v>535337.56640000001</v>
      </c>
      <c r="C38" s="286">
        <f>'Sources and Uses Budget'!$C37</f>
        <v>535337.56640000001</v>
      </c>
      <c r="D38" s="290">
        <f t="shared" si="0"/>
        <v>0</v>
      </c>
      <c r="E38" s="288"/>
      <c r="F38" s="287"/>
      <c r="G38" s="384"/>
    </row>
    <row r="39" spans="1:7" s="381" customFormat="1">
      <c r="A39" s="291" t="s">
        <v>144</v>
      </c>
      <c r="B39" s="290">
        <f>SUM(B30:B38)</f>
        <v>54309094.2064</v>
      </c>
      <c r="C39" s="290">
        <f>SUM(C30:C38)</f>
        <v>54309094.2064</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924000</v>
      </c>
      <c r="C41" s="286">
        <f>'Sources and Uses Budget'!$C40</f>
        <v>924000</v>
      </c>
      <c r="D41" s="290">
        <f t="shared" si="0"/>
        <v>0</v>
      </c>
      <c r="E41" s="288"/>
      <c r="F41" s="287"/>
      <c r="G41" s="384"/>
    </row>
    <row r="42" spans="1:7" s="381" customFormat="1">
      <c r="A42" s="289" t="s">
        <v>147</v>
      </c>
      <c r="B42" s="286">
        <f>'Sources and Uses Budget'!$C41</f>
        <v>288000</v>
      </c>
      <c r="C42" s="286">
        <f>'Sources and Uses Budget'!$C41</f>
        <v>288000</v>
      </c>
      <c r="D42" s="290">
        <f t="shared" si="0"/>
        <v>0</v>
      </c>
      <c r="E42" s="288"/>
      <c r="F42" s="287"/>
      <c r="G42" s="384"/>
    </row>
    <row r="43" spans="1:7" s="381" customFormat="1">
      <c r="A43" s="291" t="s">
        <v>148</v>
      </c>
      <c r="B43" s="290">
        <f>SUM(B41:B42)</f>
        <v>1212000</v>
      </c>
      <c r="C43" s="290">
        <f>SUM(C41:C42)</f>
        <v>1212000</v>
      </c>
      <c r="D43" s="290">
        <f t="shared" si="0"/>
        <v>0</v>
      </c>
      <c r="E43" s="288"/>
      <c r="F43" s="287"/>
      <c r="G43" s="384"/>
    </row>
    <row r="44" spans="1:7" s="381" customFormat="1">
      <c r="A44" s="291" t="s">
        <v>149</v>
      </c>
      <c r="B44" s="286">
        <f>'Sources and Uses Budget'!$C43</f>
        <v>1352415</v>
      </c>
      <c r="C44" s="286">
        <f>'Sources and Uses Budget'!$C43</f>
        <v>1352415</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5770998.333333333</v>
      </c>
      <c r="C46" s="286">
        <f>'Sources and Uses Budget'!$C45</f>
        <v>5770998.333333333</v>
      </c>
      <c r="D46" s="290">
        <f t="shared" si="0"/>
        <v>0</v>
      </c>
      <c r="E46" s="288"/>
      <c r="F46" s="287"/>
      <c r="G46" s="384"/>
    </row>
    <row r="47" spans="1:7" s="381" customFormat="1">
      <c r="A47" s="145" t="s">
        <v>152</v>
      </c>
      <c r="B47" s="286">
        <f>'Sources and Uses Budget'!$C46</f>
        <v>544700</v>
      </c>
      <c r="C47" s="286">
        <f>'Sources and Uses Budget'!$C46</f>
        <v>544700</v>
      </c>
      <c r="D47" s="290">
        <f t="shared" si="0"/>
        <v>0</v>
      </c>
      <c r="E47" s="288"/>
      <c r="F47" s="287"/>
      <c r="G47" s="384"/>
    </row>
    <row r="48" spans="1:7" s="381" customFormat="1" ht="12" customHeight="1">
      <c r="A48" s="198" t="s">
        <v>153</v>
      </c>
      <c r="B48" s="286">
        <f>'Sources and Uses Budget'!$C47</f>
        <v>51000</v>
      </c>
      <c r="C48" s="286">
        <f>'Sources and Uses Budget'!$C47</f>
        <v>51000</v>
      </c>
      <c r="D48" s="290">
        <f t="shared" si="0"/>
        <v>0</v>
      </c>
      <c r="E48" s="288"/>
      <c r="F48" s="287"/>
      <c r="G48" s="384"/>
    </row>
    <row r="49" spans="1:7" s="381" customFormat="1">
      <c r="A49" s="145" t="s">
        <v>154</v>
      </c>
      <c r="B49" s="286">
        <f>'Sources and Uses Budget'!$C48</f>
        <v>203100</v>
      </c>
      <c r="C49" s="286">
        <f>'Sources and Uses Budget'!$C48</f>
        <v>203100</v>
      </c>
      <c r="D49" s="290">
        <f t="shared" si="0"/>
        <v>0</v>
      </c>
      <c r="E49" s="288"/>
      <c r="F49" s="287"/>
      <c r="G49" s="384"/>
    </row>
    <row r="50" spans="1:7" s="381" customFormat="1">
      <c r="A50" s="145" t="s">
        <v>57</v>
      </c>
      <c r="B50" s="286">
        <f>'Sources and Uses Budget'!$C49</f>
        <v>0</v>
      </c>
      <c r="C50" s="286">
        <f>'Sources and Uses Budget'!$C49</f>
        <v>0</v>
      </c>
      <c r="D50" s="290">
        <f t="shared" si="0"/>
        <v>0</v>
      </c>
      <c r="E50" s="288"/>
      <c r="F50" s="287"/>
      <c r="G50" s="384"/>
    </row>
    <row r="51" spans="1:7" s="381" customFormat="1">
      <c r="A51" s="145" t="s">
        <v>157</v>
      </c>
      <c r="B51" s="286">
        <f>'Sources and Uses Budget'!$C50</f>
        <v>115500</v>
      </c>
      <c r="C51" s="286">
        <f>'Sources and Uses Budget'!$C50</f>
        <v>115500</v>
      </c>
      <c r="D51" s="290">
        <f t="shared" si="0"/>
        <v>0</v>
      </c>
      <c r="E51" s="288"/>
      <c r="F51" s="287"/>
      <c r="G51" s="384"/>
    </row>
    <row r="52" spans="1:7" s="381" customFormat="1">
      <c r="A52" s="304" t="s">
        <v>155</v>
      </c>
      <c r="B52" s="286">
        <f>'Sources and Uses Budget'!$C51</f>
        <v>78000</v>
      </c>
      <c r="C52" s="286">
        <f>'Sources and Uses Budget'!$C51</f>
        <v>78000</v>
      </c>
      <c r="D52" s="290">
        <f t="shared" si="0"/>
        <v>0</v>
      </c>
      <c r="E52" s="288"/>
      <c r="F52" s="287"/>
      <c r="G52" s="384"/>
    </row>
    <row r="53" spans="1:7" s="381" customFormat="1">
      <c r="A53" s="145" t="s">
        <v>156</v>
      </c>
      <c r="B53" s="286">
        <f>'Sources and Uses Budget'!$C52</f>
        <v>1800000</v>
      </c>
      <c r="C53" s="286">
        <f>'Sources and Uses Budget'!$C52</f>
        <v>1800000</v>
      </c>
      <c r="D53" s="290">
        <f t="shared" si="0"/>
        <v>0</v>
      </c>
      <c r="E53" s="288"/>
      <c r="F53" s="287"/>
      <c r="G53" s="384"/>
    </row>
    <row r="54" spans="1:7" s="381" customFormat="1">
      <c r="A54" s="155" t="str">
        <f>'Sources and Uses Budget'!A53</f>
        <v>Other: (Specify)</v>
      </c>
      <c r="B54" s="286">
        <f>'Sources and Uses Budget'!$C53</f>
        <v>0</v>
      </c>
      <c r="C54" s="286">
        <f>'Sources and Uses Budget'!$C53</f>
        <v>0</v>
      </c>
      <c r="D54" s="290">
        <f t="shared" si="0"/>
        <v>0</v>
      </c>
      <c r="E54" s="288"/>
      <c r="F54" s="287"/>
      <c r="G54" s="384"/>
    </row>
    <row r="55" spans="1:7" s="382" customFormat="1">
      <c r="A55" s="291" t="s">
        <v>158</v>
      </c>
      <c r="B55" s="293">
        <f>SUM(B46:B54)</f>
        <v>8563298.3333333321</v>
      </c>
      <c r="C55" s="293">
        <f>SUM(C46:C54)</f>
        <v>8563298.3333333321</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0</v>
      </c>
      <c r="C57" s="286">
        <f>'Sources and Uses Budget'!$C56</f>
        <v>0</v>
      </c>
      <c r="D57" s="290">
        <f t="shared" si="0"/>
        <v>0</v>
      </c>
      <c r="E57" s="288"/>
      <c r="F57" s="287"/>
      <c r="G57" s="384"/>
    </row>
    <row r="58" spans="1:7" s="381" customFormat="1" ht="12" customHeight="1">
      <c r="A58" s="289" t="s">
        <v>153</v>
      </c>
      <c r="B58" s="286">
        <f>'Sources and Uses Budget'!$C57</f>
        <v>20000</v>
      </c>
      <c r="C58" s="286">
        <f>'Sources and Uses Budget'!$C57</f>
        <v>20000</v>
      </c>
      <c r="D58" s="290">
        <f t="shared" si="0"/>
        <v>0</v>
      </c>
      <c r="E58" s="288"/>
      <c r="F58" s="287"/>
      <c r="G58" s="384"/>
    </row>
    <row r="59" spans="1:7" s="381" customFormat="1">
      <c r="A59" s="289" t="s">
        <v>157</v>
      </c>
      <c r="B59" s="286">
        <f>'Sources and Uses Budget'!$C58</f>
        <v>30000</v>
      </c>
      <c r="C59" s="286">
        <f>'Sources and Uses Budget'!$C58</f>
        <v>30000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5" t="str">
        <f>'Sources and Uses Budget'!A61</f>
        <v>Other: (Post CofO Construction Interest)</v>
      </c>
      <c r="B62" s="286">
        <f>'Sources and Uses Budget'!$C61</f>
        <v>3213573.8340707002</v>
      </c>
      <c r="C62" s="286">
        <f>'Sources and Uses Budget'!$C61</f>
        <v>3213573.8340707002</v>
      </c>
      <c r="D62" s="290">
        <f t="shared" si="0"/>
        <v>0</v>
      </c>
      <c r="E62" s="288"/>
      <c r="F62" s="287"/>
      <c r="G62" s="384"/>
    </row>
    <row r="63" spans="1:7" s="381" customFormat="1" ht="13.7" customHeight="1">
      <c r="A63" s="291" t="s">
        <v>303</v>
      </c>
      <c r="B63" s="290">
        <f>SUM(B57:B62)</f>
        <v>3263573.8340707002</v>
      </c>
      <c r="C63" s="290">
        <f>SUM(C57:C62)</f>
        <v>3263573.8340707002</v>
      </c>
      <c r="D63" s="290">
        <f t="shared" si="0"/>
        <v>0</v>
      </c>
      <c r="E63" s="288"/>
      <c r="F63" s="287"/>
      <c r="G63" s="384"/>
    </row>
    <row r="64" spans="1:7" s="381" customFormat="1">
      <c r="A64" s="294" t="s">
        <v>304</v>
      </c>
      <c r="B64" s="290">
        <f>SUM(B9+B12+B14+B15+B17+B26+B28+B39+B43+B44+B55+B63)</f>
        <v>79930681.373804033</v>
      </c>
      <c r="C64" s="290">
        <f>SUM(C9+C12+C14+C15+C17+C26+C28+C39+C43+C44+C55+C63)</f>
        <v>79930681.373804033</v>
      </c>
      <c r="D64" s="290">
        <f t="shared" si="0"/>
        <v>0</v>
      </c>
      <c r="E64" s="288"/>
      <c r="F64" s="287"/>
      <c r="G64" s="384"/>
    </row>
    <row r="65" spans="1:7" s="381" customFormat="1" ht="24">
      <c r="A65" s="141" t="s">
        <v>1822</v>
      </c>
      <c r="B65" s="284"/>
      <c r="C65" s="284"/>
      <c r="D65" s="284"/>
      <c r="E65" s="303"/>
      <c r="F65" s="284"/>
      <c r="G65" s="384"/>
    </row>
    <row r="66" spans="1:7" s="381" customFormat="1">
      <c r="A66" s="145" t="s">
        <v>172</v>
      </c>
      <c r="B66" s="286">
        <f>'Sources and Uses Budget'!$C65</f>
        <v>100000</v>
      </c>
      <c r="C66" s="286">
        <f>'Sources and Uses Budget'!$C65</f>
        <v>100000</v>
      </c>
      <c r="D66" s="290">
        <f t="shared" si="0"/>
        <v>0</v>
      </c>
      <c r="E66" s="288"/>
      <c r="F66" s="287"/>
      <c r="G66" s="384"/>
    </row>
    <row r="67" spans="1:7" s="381" customFormat="1" ht="24">
      <c r="A67" s="304" t="s">
        <v>1819</v>
      </c>
      <c r="B67" s="286">
        <f>'Sources and Uses Budget'!$C66</f>
        <v>0</v>
      </c>
      <c r="C67" s="286">
        <f>'Sources and Uses Budget'!$C66</f>
        <v>0</v>
      </c>
      <c r="D67" s="290"/>
      <c r="E67" s="288"/>
      <c r="F67" s="287"/>
      <c r="G67" s="384"/>
    </row>
    <row r="68" spans="1:7" s="381" customFormat="1" ht="24">
      <c r="A68" s="304" t="s">
        <v>1820</v>
      </c>
      <c r="B68" s="286">
        <f>'Sources and Uses Budget'!$C67</f>
        <v>0</v>
      </c>
      <c r="C68" s="286">
        <f>'Sources and Uses Budget'!$C67</f>
        <v>0</v>
      </c>
      <c r="D68" s="290"/>
      <c r="E68" s="288"/>
      <c r="F68" s="287"/>
      <c r="G68" s="384"/>
    </row>
    <row r="69" spans="1:7" s="381" customFormat="1">
      <c r="A69" s="304" t="s">
        <v>1826</v>
      </c>
      <c r="B69" s="286">
        <f>'Sources and Uses Budget'!$C68</f>
        <v>0</v>
      </c>
      <c r="C69" s="286">
        <f>'Sources and Uses Budget'!$C68</f>
        <v>0</v>
      </c>
      <c r="D69" s="290"/>
      <c r="E69" s="288"/>
      <c r="F69" s="287"/>
      <c r="G69" s="384"/>
    </row>
    <row r="70" spans="1:7" s="381" customFormat="1">
      <c r="A70" s="155" t="str">
        <f>'Sources and Uses Budget'!A69</f>
        <v>Other: (Partnership Legal)</v>
      </c>
      <c r="B70" s="286">
        <f>'Sources and Uses Budget'!$C69</f>
        <v>295000</v>
      </c>
      <c r="C70" s="286">
        <f>'Sources and Uses Budget'!$C69</f>
        <v>295000</v>
      </c>
      <c r="D70" s="290">
        <f t="shared" si="0"/>
        <v>0</v>
      </c>
      <c r="E70" s="288"/>
      <c r="F70" s="287"/>
      <c r="G70" s="384"/>
    </row>
    <row r="71" spans="1:7" s="381" customFormat="1">
      <c r="A71" s="149" t="s">
        <v>1823</v>
      </c>
      <c r="B71" s="290">
        <f>SUM(B66:B70)</f>
        <v>395000</v>
      </c>
      <c r="C71" s="290">
        <f>SUM(C66:C70)</f>
        <v>395000</v>
      </c>
      <c r="D71" s="290">
        <f t="shared" si="0"/>
        <v>0</v>
      </c>
      <c r="E71" s="288"/>
      <c r="F71" s="287"/>
      <c r="G71" s="384"/>
    </row>
    <row r="72" spans="1:7" s="381" customFormat="1">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1038</v>
      </c>
      <c r="B75" s="286">
        <f>'Sources and Uses Budget'!$C74</f>
        <v>0</v>
      </c>
      <c r="C75" s="286">
        <f>'Sources and Uses Budget'!$C74</f>
        <v>0</v>
      </c>
      <c r="D75" s="290">
        <f t="shared" si="0"/>
        <v>0</v>
      </c>
      <c r="E75" s="288"/>
      <c r="F75" s="287"/>
      <c r="G75" s="384"/>
    </row>
    <row r="76" spans="1:7" s="381" customFormat="1">
      <c r="A76" s="289" t="s">
        <v>614</v>
      </c>
      <c r="B76" s="286">
        <f>'Sources and Uses Budget'!$C75</f>
        <v>722874.85743527126</v>
      </c>
      <c r="C76" s="286">
        <f>'Sources and Uses Budget'!$C75</f>
        <v>722874.85743527126</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615</v>
      </c>
      <c r="B78" s="290">
        <f>SUM(B73:B77)</f>
        <v>722874.85743527126</v>
      </c>
      <c r="C78" s="290">
        <f>SUM(C73:C77)</f>
        <v>722874.85743527126</v>
      </c>
      <c r="D78" s="290">
        <f t="shared" ref="D78:D106" si="1">C78-B78</f>
        <v>0</v>
      </c>
      <c r="E78" s="288"/>
      <c r="F78" s="287"/>
      <c r="G78" s="384"/>
    </row>
    <row r="79" spans="1:7" s="381" customFormat="1">
      <c r="A79" s="284" t="s">
        <v>1351</v>
      </c>
      <c r="B79" s="284"/>
      <c r="C79" s="284"/>
      <c r="D79" s="284"/>
      <c r="E79" s="303"/>
      <c r="F79" s="284"/>
      <c r="G79" s="384"/>
    </row>
    <row r="80" spans="1:7" s="381" customFormat="1">
      <c r="A80" s="545" t="s">
        <v>1353</v>
      </c>
      <c r="B80" s="286">
        <f>'Sources and Uses Budget'!$C79</f>
        <v>2714704.7103200001</v>
      </c>
      <c r="C80" s="286">
        <f>'Sources and Uses Budget'!$C79</f>
        <v>2714704.7103200001</v>
      </c>
      <c r="D80" s="290">
        <f t="shared" si="1"/>
        <v>0</v>
      </c>
      <c r="E80" s="288"/>
      <c r="F80" s="287"/>
      <c r="G80" s="384"/>
    </row>
    <row r="81" spans="1:7" s="381" customFormat="1">
      <c r="A81" s="545" t="s">
        <v>58</v>
      </c>
      <c r="B81" s="286">
        <f>'Sources and Uses Budget'!$C80</f>
        <v>1050000</v>
      </c>
      <c r="C81" s="286">
        <f>'Sources and Uses Budget'!$C80</f>
        <v>1050000</v>
      </c>
      <c r="D81" s="290">
        <f>C81-B81</f>
        <v>0</v>
      </c>
      <c r="E81" s="288"/>
      <c r="F81" s="287"/>
      <c r="G81" s="384"/>
    </row>
    <row r="82" spans="1:7" s="381" customFormat="1">
      <c r="A82" s="291" t="s">
        <v>1350</v>
      </c>
      <c r="B82" s="290">
        <f>SUM(B80:B81)</f>
        <v>3764704.7103200001</v>
      </c>
      <c r="C82" s="290">
        <f>SUM(C80:C81)</f>
        <v>3764704.7103200001</v>
      </c>
      <c r="D82" s="290">
        <f t="shared" si="1"/>
        <v>0</v>
      </c>
      <c r="E82" s="288"/>
      <c r="F82" s="287"/>
      <c r="G82" s="384"/>
    </row>
    <row r="83" spans="1:7" s="381" customFormat="1">
      <c r="A83" s="284" t="s">
        <v>789</v>
      </c>
      <c r="B83" s="284"/>
      <c r="C83" s="284"/>
      <c r="D83" s="284"/>
      <c r="E83" s="303"/>
      <c r="F83" s="284"/>
      <c r="G83" s="384"/>
    </row>
    <row r="84" spans="1:7" s="381" customFormat="1" ht="13.7" customHeight="1">
      <c r="A84" s="289" t="s">
        <v>790</v>
      </c>
      <c r="B84" s="286">
        <f>'Sources and Uses Budget'!$C83</f>
        <v>119000</v>
      </c>
      <c r="C84" s="286">
        <f>'Sources and Uses Budget'!$C83</f>
        <v>119000</v>
      </c>
      <c r="D84" s="290">
        <f t="shared" si="1"/>
        <v>0</v>
      </c>
      <c r="E84" s="288"/>
      <c r="F84" s="287"/>
      <c r="G84" s="384"/>
    </row>
    <row r="85" spans="1:7" s="381" customFormat="1">
      <c r="A85" s="289" t="s">
        <v>791</v>
      </c>
      <c r="B85" s="286">
        <f>'Sources and Uses Budget'!$C84</f>
        <v>10605</v>
      </c>
      <c r="C85" s="286">
        <f>'Sources and Uses Budget'!$C84</f>
        <v>10605</v>
      </c>
      <c r="D85" s="290">
        <f t="shared" si="1"/>
        <v>0</v>
      </c>
      <c r="E85" s="288"/>
      <c r="F85" s="287"/>
      <c r="G85" s="384"/>
    </row>
    <row r="86" spans="1:7" s="381" customFormat="1">
      <c r="A86" s="289" t="s">
        <v>792</v>
      </c>
      <c r="B86" s="286">
        <f>'Sources and Uses Budget'!$C85</f>
        <v>1417685.5282022473</v>
      </c>
      <c r="C86" s="286">
        <f>'Sources and Uses Budget'!$C85</f>
        <v>1417685.5282022473</v>
      </c>
      <c r="D86" s="290">
        <f t="shared" si="1"/>
        <v>0</v>
      </c>
      <c r="E86" s="288"/>
      <c r="F86" s="287"/>
      <c r="G86" s="384"/>
    </row>
    <row r="87" spans="1:7" s="381" customFormat="1">
      <c r="A87" s="289" t="s">
        <v>793</v>
      </c>
      <c r="B87" s="286">
        <f>'Sources and Uses Budget'!$C86</f>
        <v>666071.67696629209</v>
      </c>
      <c r="C87" s="286">
        <f>'Sources and Uses Budget'!$C86</f>
        <v>666071.67696629209</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235000</v>
      </c>
      <c r="C89" s="286">
        <f>'Sources and Uses Budget'!$C88</f>
        <v>235000</v>
      </c>
      <c r="D89" s="290">
        <f t="shared" si="1"/>
        <v>0</v>
      </c>
      <c r="E89" s="288"/>
      <c r="F89" s="287"/>
      <c r="G89" s="384"/>
    </row>
    <row r="90" spans="1:7" s="381" customFormat="1">
      <c r="A90" s="289" t="s">
        <v>796</v>
      </c>
      <c r="B90" s="286">
        <f>'Sources and Uses Budget'!$C89</f>
        <v>380000</v>
      </c>
      <c r="C90" s="286">
        <f>'Sources and Uses Budget'!$C89</f>
        <v>380000</v>
      </c>
      <c r="D90" s="290">
        <f t="shared" si="1"/>
        <v>0</v>
      </c>
      <c r="E90" s="288"/>
      <c r="F90" s="287"/>
      <c r="G90" s="384"/>
    </row>
    <row r="91" spans="1:7" s="381" customFormat="1">
      <c r="A91" s="289" t="s">
        <v>797</v>
      </c>
      <c r="B91" s="286">
        <f>'Sources and Uses Budget'!$C90</f>
        <v>8250</v>
      </c>
      <c r="C91" s="286">
        <f>'Sources and Uses Budget'!$C90</f>
        <v>8250</v>
      </c>
      <c r="D91" s="290">
        <f t="shared" si="1"/>
        <v>0</v>
      </c>
      <c r="E91" s="288"/>
      <c r="F91" s="287"/>
      <c r="G91" s="384"/>
    </row>
    <row r="92" spans="1:7" s="381" customFormat="1">
      <c r="A92" s="289" t="s">
        <v>374</v>
      </c>
      <c r="B92" s="286">
        <f>'Sources and Uses Budget'!$C91</f>
        <v>120000</v>
      </c>
      <c r="C92" s="286">
        <f>'Sources and Uses Budget'!$C91</f>
        <v>120000</v>
      </c>
      <c r="D92" s="290">
        <f t="shared" si="1"/>
        <v>0</v>
      </c>
      <c r="E92" s="288"/>
      <c r="F92" s="287"/>
      <c r="G92" s="384"/>
    </row>
    <row r="93" spans="1:7" s="381" customFormat="1">
      <c r="A93" s="545" t="s">
        <v>1352</v>
      </c>
      <c r="B93" s="286">
        <f>'Sources and Uses Budget'!$C92</f>
        <v>0</v>
      </c>
      <c r="C93" s="286">
        <f>'Sources and Uses Budget'!$C92</f>
        <v>0</v>
      </c>
      <c r="D93" s="290">
        <f t="shared" si="1"/>
        <v>0</v>
      </c>
      <c r="E93" s="288"/>
      <c r="F93" s="287"/>
      <c r="G93" s="384"/>
    </row>
    <row r="94" spans="1:7" s="381" customFormat="1">
      <c r="A94" s="292" t="s">
        <v>34</v>
      </c>
      <c r="B94" s="286">
        <f>'Sources and Uses Budget'!$C93</f>
        <v>18060</v>
      </c>
      <c r="C94" s="286">
        <f>'Sources and Uses Budget'!$C93</f>
        <v>18060</v>
      </c>
      <c r="D94" s="290">
        <f t="shared" si="1"/>
        <v>0</v>
      </c>
      <c r="E94" s="288"/>
      <c r="F94" s="287"/>
      <c r="G94" s="384"/>
    </row>
    <row r="95" spans="1:7" s="381" customFormat="1">
      <c r="A95" s="292" t="s">
        <v>34</v>
      </c>
      <c r="B95" s="286">
        <f>'Sources and Uses Budget'!$C94</f>
        <v>70000</v>
      </c>
      <c r="C95" s="286">
        <f>'Sources and Uses Budget'!$C94</f>
        <v>70000</v>
      </c>
      <c r="D95" s="290">
        <f t="shared" si="1"/>
        <v>0</v>
      </c>
      <c r="E95" s="288"/>
      <c r="F95" s="287"/>
      <c r="G95" s="384"/>
    </row>
    <row r="96" spans="1:7" s="381" customFormat="1">
      <c r="A96" s="292" t="s">
        <v>34</v>
      </c>
      <c r="B96" s="286">
        <f>'Sources and Uses Budget'!$C95</f>
        <v>1698912</v>
      </c>
      <c r="C96" s="286">
        <f>'Sources and Uses Budget'!$C95</f>
        <v>1698912</v>
      </c>
      <c r="D96" s="290">
        <f t="shared" si="1"/>
        <v>0</v>
      </c>
      <c r="E96" s="288"/>
      <c r="F96" s="287"/>
      <c r="G96" s="384"/>
    </row>
    <row r="97" spans="1:7" s="381" customFormat="1">
      <c r="A97" s="291" t="s">
        <v>798</v>
      </c>
      <c r="B97" s="290">
        <f>SUM(B84:B96)</f>
        <v>4743584.2051685397</v>
      </c>
      <c r="C97" s="290">
        <f>SUM(C84:C96)</f>
        <v>4743584.2051685397</v>
      </c>
      <c r="D97" s="290">
        <f t="shared" si="1"/>
        <v>0</v>
      </c>
      <c r="E97" s="288"/>
      <c r="F97" s="287"/>
      <c r="G97" s="384"/>
    </row>
    <row r="98" spans="1:7" s="381" customFormat="1">
      <c r="A98" s="291" t="s">
        <v>799</v>
      </c>
      <c r="B98" s="290">
        <f>SUM(B64+B71+B78+B82+B97)</f>
        <v>89556845.146727845</v>
      </c>
      <c r="C98" s="290">
        <f>SUM(C64+C71+C78+C82+C97)</f>
        <v>89556845.146727845</v>
      </c>
      <c r="D98" s="290">
        <f t="shared" si="1"/>
        <v>0</v>
      </c>
      <c r="E98" s="288"/>
      <c r="F98" s="287"/>
      <c r="G98" s="384"/>
    </row>
    <row r="99" spans="1:7" s="381" customFormat="1">
      <c r="A99" s="284" t="s">
        <v>800</v>
      </c>
      <c r="B99" s="284"/>
      <c r="C99" s="284"/>
      <c r="D99" s="284"/>
      <c r="E99" s="303"/>
      <c r="F99" s="284"/>
      <c r="G99" s="384"/>
    </row>
    <row r="100" spans="1:7" s="381" customFormat="1">
      <c r="A100" s="145" t="s">
        <v>801</v>
      </c>
      <c r="B100" s="286">
        <f>'Sources and Uses Budget'!$C99</f>
        <v>10978396.718283281</v>
      </c>
      <c r="C100" s="286">
        <f>'Sources and Uses Budget'!$C99</f>
        <v>10978396.718283281</v>
      </c>
      <c r="D100" s="290">
        <f t="shared" si="1"/>
        <v>0</v>
      </c>
      <c r="E100" s="288"/>
      <c r="F100" s="287"/>
      <c r="G100" s="384"/>
    </row>
    <row r="101" spans="1:7" s="381" customFormat="1">
      <c r="A101" s="304" t="s">
        <v>1824</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1825</v>
      </c>
      <c r="B103" s="286">
        <f>'Sources and Uses Budget'!$C102</f>
        <v>0</v>
      </c>
      <c r="C103" s="286">
        <f>'Sources and Uses Budget'!$C102</f>
        <v>0</v>
      </c>
      <c r="D103" s="290">
        <f t="shared" si="1"/>
        <v>0</v>
      </c>
      <c r="E103" s="288"/>
      <c r="F103" s="287"/>
      <c r="G103" s="384"/>
    </row>
    <row r="104" spans="1:7" s="381" customFormat="1">
      <c r="A104" s="1055"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803</v>
      </c>
      <c r="B105" s="290">
        <f>SUM(B100:B104)</f>
        <v>10978396.718283281</v>
      </c>
      <c r="C105" s="290">
        <f>SUM(C100:C104)</f>
        <v>10978396.718283281</v>
      </c>
      <c r="D105" s="290">
        <f t="shared" si="1"/>
        <v>0</v>
      </c>
      <c r="E105" s="288"/>
      <c r="F105" s="287"/>
      <c r="G105" s="384"/>
    </row>
    <row r="106" spans="1:7" s="381" customFormat="1">
      <c r="A106" s="291" t="s">
        <v>804</v>
      </c>
      <c r="B106" s="293">
        <f>SUM(B98+B105)</f>
        <v>100535241.86501113</v>
      </c>
      <c r="C106" s="293">
        <f>SUM(C98+C105)</f>
        <v>100535241.86501113</v>
      </c>
      <c r="D106" s="290">
        <f t="shared" si="1"/>
        <v>0</v>
      </c>
      <c r="E106" s="288"/>
      <c r="F106" s="287"/>
      <c r="G106" s="384"/>
    </row>
    <row r="107" spans="1:7" s="381" customFormat="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7" t="s">
        <v>1103</v>
      </c>
      <c r="B2" s="1297"/>
      <c r="C2" s="1271"/>
      <c r="D2" s="1271"/>
      <c r="E2" s="1271"/>
      <c r="F2" s="1271"/>
      <c r="G2" s="1271"/>
    </row>
    <row r="3" spans="1:9" s="173" customFormat="1">
      <c r="A3" s="1297" t="s">
        <v>1040</v>
      </c>
      <c r="B3" s="1297"/>
      <c r="C3" s="1271"/>
      <c r="D3" s="1271"/>
      <c r="E3" s="1271"/>
      <c r="F3" s="1271"/>
      <c r="G3" s="1271"/>
      <c r="I3" t="s">
        <v>309</v>
      </c>
    </row>
    <row r="4" spans="1:9">
      <c r="I4" s="3" t="s">
        <v>1104</v>
      </c>
    </row>
    <row r="5" spans="1:9">
      <c r="A5" s="1299" t="s">
        <v>1041</v>
      </c>
      <c r="B5" s="1299"/>
      <c r="C5" s="1271"/>
      <c r="D5" s="1271"/>
      <c r="E5" s="1271"/>
      <c r="F5" s="1271"/>
      <c r="G5" s="1271"/>
      <c r="I5" s="3" t="s">
        <v>1105</v>
      </c>
    </row>
    <row r="6" spans="1:9">
      <c r="A6" s="1299" t="s">
        <v>845</v>
      </c>
      <c r="B6" s="1299"/>
      <c r="C6" s="1271"/>
      <c r="D6" s="1271"/>
      <c r="E6" s="1271"/>
      <c r="F6" s="1271"/>
      <c r="G6" s="1271"/>
      <c r="I6" t="s">
        <v>600</v>
      </c>
    </row>
    <row r="7" spans="1:9" ht="11.85" customHeight="1"/>
    <row r="8" spans="1:9">
      <c r="A8" s="1297" t="s">
        <v>1200</v>
      </c>
      <c r="B8" s="1297"/>
      <c r="C8" s="1298"/>
      <c r="D8" s="1298"/>
      <c r="E8" s="1298"/>
      <c r="F8" s="1298"/>
      <c r="G8" s="1298"/>
    </row>
    <row r="9" spans="1:9">
      <c r="A9" s="1297" t="s">
        <v>1201</v>
      </c>
      <c r="B9" s="1297"/>
      <c r="C9" s="1298"/>
      <c r="D9" s="1298"/>
      <c r="E9" s="1298"/>
      <c r="F9" s="1298"/>
      <c r="G9" s="1298"/>
    </row>
    <row r="10" spans="1:9">
      <c r="A10" s="174"/>
      <c r="B10" s="174"/>
      <c r="C10" s="172"/>
      <c r="D10" s="172"/>
      <c r="E10" s="172"/>
      <c r="F10" s="172"/>
    </row>
    <row r="11" spans="1:9">
      <c r="A11" s="1278" t="s">
        <v>1203</v>
      </c>
      <c r="B11" s="1278"/>
      <c r="C11" s="1278"/>
      <c r="D11" s="1278"/>
      <c r="E11" s="1278"/>
      <c r="F11" s="1278"/>
      <c r="G11" s="1278"/>
    </row>
    <row r="12" spans="1:9">
      <c r="A12" s="172"/>
      <c r="B12" s="172"/>
      <c r="E12" s="2"/>
    </row>
    <row r="13" spans="1:9" ht="13.15" customHeight="1">
      <c r="C13" s="172"/>
      <c r="D13" s="1311" t="s">
        <v>1202</v>
      </c>
      <c r="E13" s="1311"/>
      <c r="F13" s="1311"/>
    </row>
    <row r="14" spans="1:9">
      <c r="C14" s="172"/>
      <c r="D14" s="1311"/>
      <c r="E14" s="1311"/>
      <c r="F14" s="1311"/>
    </row>
    <row r="15" spans="1:9">
      <c r="A15" s="175"/>
      <c r="B15" s="175"/>
      <c r="C15" s="175"/>
      <c r="D15" s="1274" t="s">
        <v>1185</v>
      </c>
      <c r="E15" s="1274"/>
      <c r="F15" s="1274"/>
    </row>
    <row r="16" spans="1:9">
      <c r="A16" s="175"/>
      <c r="B16" s="175"/>
      <c r="C16" s="175"/>
      <c r="D16" s="218"/>
    </row>
    <row r="17" spans="1:6" ht="14.25">
      <c r="A17" s="176"/>
      <c r="B17" s="469" t="s">
        <v>309</v>
      </c>
      <c r="C17" s="175"/>
      <c r="D17" s="1263" t="s">
        <v>1186</v>
      </c>
      <c r="E17" s="1263"/>
      <c r="F17" s="1263"/>
    </row>
    <row r="18" spans="1:6">
      <c r="A18" s="175"/>
      <c r="B18" s="175"/>
      <c r="C18" s="175"/>
      <c r="D18" s="1263"/>
      <c r="E18" s="1263"/>
      <c r="F18" s="1263"/>
    </row>
    <row r="19" spans="1:6">
      <c r="A19" s="175"/>
      <c r="B19" s="175"/>
      <c r="C19" s="175"/>
      <c r="D19" s="1263"/>
      <c r="E19" s="1263"/>
      <c r="F19" s="1263"/>
    </row>
    <row r="20" spans="1:6">
      <c r="A20" s="175"/>
      <c r="B20" s="175"/>
      <c r="C20" s="175"/>
    </row>
    <row r="21" spans="1:6" ht="14.25">
      <c r="A21" s="176"/>
      <c r="B21" s="469" t="s">
        <v>309</v>
      </c>
      <c r="D21" s="1306" t="s">
        <v>1187</v>
      </c>
      <c r="E21" s="1306"/>
      <c r="F21" s="1306"/>
    </row>
    <row r="22" spans="1:6" ht="14.25">
      <c r="A22" s="176"/>
      <c r="B22" s="176"/>
      <c r="D22" s="35"/>
    </row>
    <row r="23" spans="1:6" ht="14.25">
      <c r="A23" s="176"/>
      <c r="B23" s="469" t="s">
        <v>309</v>
      </c>
      <c r="D23" s="1263" t="s">
        <v>1188</v>
      </c>
      <c r="E23" s="1263"/>
      <c r="F23" s="1263"/>
    </row>
    <row r="24" spans="1:6" ht="14.25">
      <c r="A24" s="176"/>
      <c r="B24" s="176"/>
      <c r="D24" s="1263"/>
      <c r="E24" s="1263"/>
      <c r="F24" s="1263"/>
    </row>
    <row r="25" spans="1:6"/>
    <row r="26" spans="1:6" ht="14.25">
      <c r="A26" s="176"/>
      <c r="B26" s="469" t="s">
        <v>309</v>
      </c>
      <c r="D26" s="1263" t="s">
        <v>1189</v>
      </c>
      <c r="E26" s="1263"/>
      <c r="F26" s="1263"/>
    </row>
    <row r="27" spans="1:6">
      <c r="D27" s="1263"/>
      <c r="E27" s="1263"/>
      <c r="F27" s="1263"/>
    </row>
    <row r="28" spans="1:6">
      <c r="D28" s="1263"/>
      <c r="E28" s="1263"/>
      <c r="F28" s="1263"/>
    </row>
    <row r="29" spans="1:6">
      <c r="D29" s="1263"/>
      <c r="E29" s="1263"/>
      <c r="F29" s="1263"/>
    </row>
    <row r="30" spans="1:6">
      <c r="D30" s="1263"/>
      <c r="E30" s="1263"/>
      <c r="F30" s="1263"/>
    </row>
    <row r="31" spans="1:6">
      <c r="D31" s="220"/>
    </row>
    <row r="32" spans="1:6">
      <c r="B32" s="469" t="s">
        <v>309</v>
      </c>
      <c r="D32" s="1263" t="s">
        <v>1190</v>
      </c>
      <c r="E32" s="1263"/>
      <c r="F32" s="1263"/>
    </row>
    <row r="33" spans="1:6">
      <c r="D33" s="1263"/>
      <c r="E33" s="1263"/>
      <c r="F33" s="1263"/>
    </row>
    <row r="34" spans="1:6" ht="14.25">
      <c r="A34" s="176"/>
      <c r="B34" s="176"/>
      <c r="D34" s="220"/>
    </row>
    <row r="35" spans="1:6" ht="14.45" customHeight="1">
      <c r="A35" s="176"/>
      <c r="B35" s="469" t="s">
        <v>309</v>
      </c>
      <c r="D35" s="1263" t="s">
        <v>1191</v>
      </c>
      <c r="E35" s="1263"/>
      <c r="F35" s="1263"/>
    </row>
    <row r="36" spans="1:6" ht="14.25">
      <c r="A36" s="176"/>
      <c r="B36" s="176"/>
      <c r="D36" s="1263"/>
      <c r="E36" s="1263"/>
      <c r="F36" s="1263"/>
    </row>
    <row r="37" spans="1:6" ht="14.25">
      <c r="A37" s="176"/>
      <c r="B37" s="176"/>
      <c r="D37" s="1263"/>
      <c r="E37" s="1263"/>
      <c r="F37" s="1263"/>
    </row>
    <row r="38" spans="1:6" ht="14.25">
      <c r="A38" s="176"/>
      <c r="B38" s="176"/>
      <c r="D38"/>
    </row>
    <row r="39" spans="1:6" ht="14.25">
      <c r="A39" s="176"/>
      <c r="B39" s="469" t="s">
        <v>309</v>
      </c>
      <c r="D39" s="1263" t="s">
        <v>1192</v>
      </c>
      <c r="E39" s="1263"/>
      <c r="F39" s="1263"/>
    </row>
    <row r="40" spans="1:6" ht="14.25">
      <c r="A40" s="176"/>
      <c r="B40" s="176"/>
      <c r="D40" s="1263"/>
      <c r="E40" s="1263"/>
      <c r="F40" s="1263"/>
    </row>
    <row r="41" spans="1:6" ht="14.25">
      <c r="A41" s="176"/>
      <c r="B41" s="176"/>
      <c r="D41" s="1263"/>
      <c r="E41" s="1263"/>
      <c r="F41" s="1263"/>
    </row>
    <row r="42" spans="1:6" ht="14.25">
      <c r="A42" s="176"/>
      <c r="B42" s="176"/>
      <c r="D42" s="1263"/>
      <c r="E42" s="1263"/>
      <c r="F42" s="1263"/>
    </row>
    <row r="43" spans="1:6" ht="14.25">
      <c r="A43" s="176"/>
      <c r="B43" s="176"/>
      <c r="D43" s="1263"/>
      <c r="E43" s="1263"/>
      <c r="F43" s="1263"/>
    </row>
    <row r="44" spans="1:6" ht="14.25">
      <c r="A44" s="176"/>
      <c r="B44" s="176"/>
      <c r="D44" s="475"/>
      <c r="E44" s="475"/>
      <c r="F44" s="475"/>
    </row>
    <row r="45" spans="1:6" ht="14.25">
      <c r="A45" s="176"/>
      <c r="B45" s="469" t="s">
        <v>309</v>
      </c>
      <c r="D45" s="1263" t="s">
        <v>1193</v>
      </c>
      <c r="E45" s="1263"/>
      <c r="F45" s="1263"/>
    </row>
    <row r="46" spans="1:6" ht="14.25">
      <c r="A46" s="176"/>
      <c r="B46" s="176"/>
      <c r="D46" s="1263"/>
      <c r="E46" s="1263"/>
      <c r="F46" s="1263"/>
    </row>
    <row r="47" spans="1:6" ht="14.25">
      <c r="A47" s="176"/>
      <c r="B47" s="176"/>
      <c r="D47" s="1263"/>
      <c r="E47" s="1263"/>
      <c r="F47" s="1263"/>
    </row>
    <row r="48" spans="1:6" ht="23.25" customHeight="1">
      <c r="A48" s="176"/>
      <c r="B48" s="176"/>
      <c r="D48" s="1263"/>
      <c r="E48" s="1263"/>
      <c r="F48" s="1263"/>
    </row>
    <row r="49" spans="1:7" ht="14.25">
      <c r="A49" s="176"/>
      <c r="B49" s="176"/>
      <c r="D49" s="35"/>
    </row>
    <row r="50" spans="1:7" ht="14.45" customHeight="1">
      <c r="A50" s="176"/>
      <c r="B50" s="469" t="s">
        <v>309</v>
      </c>
      <c r="D50" s="1263" t="s">
        <v>1194</v>
      </c>
      <c r="E50" s="1263"/>
      <c r="F50" s="1263"/>
    </row>
    <row r="51" spans="1:7" ht="14.25">
      <c r="A51" s="176"/>
      <c r="B51" s="176"/>
      <c r="D51" s="1263"/>
      <c r="E51" s="1263"/>
      <c r="F51" s="1263"/>
    </row>
    <row r="52" spans="1:7" ht="14.25">
      <c r="A52" s="176"/>
      <c r="B52" s="176"/>
      <c r="D52" s="1263"/>
      <c r="E52" s="1263"/>
      <c r="F52" s="1263"/>
    </row>
    <row r="53" spans="1:7" ht="14.25">
      <c r="A53" s="176"/>
      <c r="B53" s="176"/>
      <c r="C53" s="386"/>
      <c r="D53" s="3"/>
      <c r="E53" s="3"/>
      <c r="F53" s="3"/>
      <c r="G53" s="3"/>
    </row>
    <row r="54" spans="1:7" ht="14.25">
      <c r="A54" s="176"/>
      <c r="B54" s="469" t="s">
        <v>309</v>
      </c>
      <c r="C54" s="386"/>
      <c r="D54" s="1263" t="s">
        <v>1195</v>
      </c>
      <c r="E54" s="1263"/>
      <c r="F54" s="1263"/>
      <c r="G54" s="3"/>
    </row>
    <row r="55" spans="1:7" ht="14.25">
      <c r="A55" s="176"/>
      <c r="B55" s="176"/>
      <c r="C55" s="386"/>
      <c r="D55" s="1263"/>
      <c r="E55" s="1263"/>
      <c r="F55" s="1263"/>
      <c r="G55" s="3"/>
    </row>
    <row r="56" spans="1:7">
      <c r="D56" s="220"/>
    </row>
    <row r="57" spans="1:7" ht="14.25">
      <c r="A57" s="176"/>
      <c r="B57" s="469" t="s">
        <v>309</v>
      </c>
      <c r="D57" s="1263" t="s">
        <v>1196</v>
      </c>
      <c r="E57" s="1263"/>
      <c r="F57" s="1263"/>
    </row>
    <row r="58" spans="1:7">
      <c r="D58" s="1263"/>
      <c r="E58" s="1263"/>
      <c r="F58" s="1263"/>
    </row>
    <row r="59" spans="1:7">
      <c r="D59" s="1263"/>
      <c r="E59" s="1263"/>
      <c r="F59" s="1263"/>
    </row>
    <row r="60" spans="1:7">
      <c r="D60" s="3"/>
    </row>
    <row r="61" spans="1:7" ht="14.25">
      <c r="A61" s="176"/>
      <c r="B61" s="469" t="s">
        <v>309</v>
      </c>
      <c r="D61" s="1263" t="s">
        <v>1197</v>
      </c>
      <c r="E61" s="1263"/>
      <c r="F61" s="1263"/>
    </row>
    <row r="62" spans="1:7">
      <c r="D62" s="1263"/>
      <c r="E62" s="1263"/>
      <c r="F62" s="1263"/>
    </row>
    <row r="63" spans="1:7"/>
    <row r="64" spans="1:7" ht="14.25">
      <c r="A64" s="176"/>
      <c r="B64" s="469" t="s">
        <v>309</v>
      </c>
      <c r="D64" s="1263" t="s">
        <v>1198</v>
      </c>
      <c r="E64" s="1263"/>
      <c r="F64" s="1263"/>
    </row>
    <row r="65" spans="1:7">
      <c r="D65" s="1263"/>
      <c r="E65" s="1263"/>
      <c r="F65" s="1263"/>
    </row>
    <row r="66" spans="1:7">
      <c r="D66" s="1263"/>
      <c r="E66" s="1263"/>
      <c r="F66" s="1263"/>
    </row>
    <row r="67" spans="1:7">
      <c r="D67"/>
    </row>
    <row r="68" spans="1:7" ht="14.25">
      <c r="A68" s="176"/>
      <c r="B68" s="469" t="s">
        <v>309</v>
      </c>
      <c r="D68" s="1263" t="s">
        <v>1199</v>
      </c>
      <c r="E68" s="1263"/>
      <c r="F68" s="1263"/>
    </row>
    <row r="69" spans="1:7">
      <c r="D69" s="1263"/>
      <c r="E69" s="1263"/>
      <c r="F69" s="1263"/>
    </row>
    <row r="70" spans="1:7" ht="14.25">
      <c r="A70" s="176"/>
      <c r="B70" s="176"/>
      <c r="D70" s="35"/>
    </row>
    <row r="71" spans="1:7">
      <c r="A71" s="1278" t="s">
        <v>1106</v>
      </c>
      <c r="B71" s="1278"/>
      <c r="C71" s="1278"/>
      <c r="D71" s="1278"/>
      <c r="E71" s="1278"/>
      <c r="F71" s="1278"/>
      <c r="G71" s="1278"/>
    </row>
    <row r="72" spans="1:7"/>
    <row r="73" spans="1:7">
      <c r="C73" s="177"/>
      <c r="D73" s="1296" t="s">
        <v>1204</v>
      </c>
      <c r="E73" s="1296"/>
      <c r="F73" s="1296"/>
    </row>
    <row r="74" spans="1:7">
      <c r="A74" s="35"/>
      <c r="B74" s="35"/>
      <c r="D74" s="1263" t="s">
        <v>1231</v>
      </c>
      <c r="E74" s="1263"/>
      <c r="F74" s="1263"/>
    </row>
    <row r="75" spans="1:7">
      <c r="A75" s="35"/>
      <c r="B75" s="35"/>
    </row>
    <row r="76" spans="1:7" ht="14.25">
      <c r="A76" s="176"/>
      <c r="B76" s="469" t="s">
        <v>309</v>
      </c>
      <c r="D76" s="1263" t="s">
        <v>1205</v>
      </c>
      <c r="E76" s="1263"/>
      <c r="F76" s="1263"/>
    </row>
    <row r="77" spans="1:7" ht="14.25">
      <c r="A77" s="176"/>
      <c r="B77" s="176"/>
      <c r="D77" s="1263"/>
      <c r="E77" s="1263"/>
      <c r="F77" s="1263"/>
    </row>
    <row r="78" spans="1:7" ht="14.25">
      <c r="A78" s="176"/>
      <c r="B78" s="176"/>
      <c r="D78" s="1263"/>
      <c r="E78" s="1263"/>
      <c r="F78" s="1263"/>
    </row>
    <row r="79" spans="1:7" ht="14.25">
      <c r="A79" s="176"/>
      <c r="B79" s="176"/>
      <c r="D79" s="1263"/>
      <c r="E79" s="1263"/>
      <c r="F79" s="1263"/>
    </row>
    <row r="80" spans="1:7" ht="14.25">
      <c r="A80" s="176"/>
      <c r="B80" s="176"/>
      <c r="D80" s="1263"/>
      <c r="E80" s="1263"/>
      <c r="F80" s="1263"/>
    </row>
    <row r="81" spans="1:6" ht="14.25">
      <c r="A81" s="176"/>
      <c r="B81" s="176"/>
      <c r="D81" s="1263"/>
      <c r="E81" s="1263"/>
      <c r="F81" s="1263"/>
    </row>
    <row r="82" spans="1:6" ht="14.25">
      <c r="A82" s="176"/>
      <c r="B82" s="176"/>
      <c r="D82" s="475"/>
      <c r="E82" s="475"/>
      <c r="F82" s="475"/>
    </row>
    <row r="83" spans="1:6" ht="14.45" customHeight="1">
      <c r="A83" s="176"/>
      <c r="B83" s="469" t="s">
        <v>309</v>
      </c>
      <c r="D83" s="1272" t="s">
        <v>1304</v>
      </c>
      <c r="E83" s="1272"/>
      <c r="F83" s="1272"/>
    </row>
    <row r="84" spans="1:6" ht="14.25">
      <c r="A84" s="176"/>
      <c r="B84" s="176"/>
      <c r="D84" s="1272"/>
      <c r="E84" s="1272"/>
      <c r="F84" s="1272"/>
    </row>
    <row r="85" spans="1:6" ht="14.25">
      <c r="A85" s="176"/>
      <c r="B85" s="176"/>
      <c r="D85" s="1272"/>
      <c r="E85" s="1272"/>
      <c r="F85" s="1272"/>
    </row>
    <row r="86" spans="1:6" ht="14.25">
      <c r="A86" s="176"/>
      <c r="B86" s="176"/>
      <c r="D86" s="1272"/>
      <c r="E86" s="1272"/>
      <c r="F86" s="1272"/>
    </row>
    <row r="87" spans="1:6" ht="14.25">
      <c r="A87" s="176"/>
      <c r="B87" s="176"/>
      <c r="D87" s="1272"/>
      <c r="E87" s="1272"/>
      <c r="F87" s="1272"/>
    </row>
    <row r="88" spans="1:6" ht="14.25">
      <c r="A88" s="176"/>
      <c r="B88" s="176"/>
      <c r="D88" s="1272"/>
      <c r="E88" s="1272"/>
      <c r="F88" s="1272"/>
    </row>
    <row r="89" spans="1:6" ht="14.25">
      <c r="A89" s="176"/>
      <c r="B89" s="176"/>
      <c r="D89" s="1272"/>
      <c r="E89" s="1272"/>
      <c r="F89" s="1272"/>
    </row>
    <row r="90" spans="1:6" ht="14.25">
      <c r="A90" s="176"/>
      <c r="B90" s="176"/>
      <c r="D90" s="1272"/>
      <c r="E90" s="1272"/>
      <c r="F90" s="1272"/>
    </row>
    <row r="91" spans="1:6" ht="14.25">
      <c r="A91" s="176"/>
      <c r="B91" s="176"/>
      <c r="D91" s="1272"/>
      <c r="E91" s="1272"/>
      <c r="F91" s="1272"/>
    </row>
    <row r="92" spans="1:6" ht="14.25">
      <c r="A92" s="176"/>
      <c r="B92" s="176"/>
      <c r="D92" s="1272"/>
      <c r="E92" s="1272"/>
      <c r="F92" s="1272"/>
    </row>
    <row r="93" spans="1:6" ht="14.25">
      <c r="A93" s="176"/>
      <c r="B93" s="176"/>
      <c r="D93" s="1272"/>
      <c r="E93" s="1272"/>
      <c r="F93" s="1272"/>
    </row>
    <row r="94" spans="1:6" ht="14.25">
      <c r="A94" s="176"/>
      <c r="B94" s="176"/>
      <c r="D94" s="1272"/>
      <c r="E94" s="1272"/>
      <c r="F94" s="1272"/>
    </row>
    <row r="95" spans="1:6" ht="14.25">
      <c r="A95" s="176"/>
      <c r="B95" s="176"/>
      <c r="D95" s="1272"/>
      <c r="E95" s="1272"/>
      <c r="F95" s="1272"/>
    </row>
    <row r="96" spans="1:6" ht="14.25">
      <c r="A96" s="176"/>
      <c r="B96" s="176"/>
      <c r="D96" s="1272"/>
      <c r="E96" s="1272"/>
      <c r="F96" s="1272"/>
    </row>
    <row r="97" spans="1:11" ht="14.25">
      <c r="A97" s="176"/>
      <c r="B97" s="469" t="s">
        <v>309</v>
      </c>
      <c r="D97" s="1263" t="s">
        <v>1206</v>
      </c>
      <c r="E97" s="1263"/>
      <c r="F97" s="1263"/>
    </row>
    <row r="98" spans="1:11" ht="14.25">
      <c r="A98" s="176"/>
      <c r="B98" s="176"/>
      <c r="D98" s="1263"/>
      <c r="E98" s="1263"/>
      <c r="F98" s="1263"/>
    </row>
    <row r="99" spans="1:11" ht="14.25">
      <c r="A99" s="176"/>
      <c r="B99" s="176"/>
      <c r="D99" s="1263"/>
      <c r="E99" s="1263"/>
      <c r="F99" s="1263"/>
    </row>
    <row r="100" spans="1:11" ht="14.25">
      <c r="A100" s="176"/>
      <c r="B100" s="176"/>
      <c r="D100" s="1263"/>
      <c r="E100" s="1263"/>
      <c r="F100" s="1263"/>
    </row>
    <row r="101" spans="1:11" ht="14.25">
      <c r="A101" s="176"/>
      <c r="B101" s="176"/>
      <c r="D101" s="1263"/>
      <c r="E101" s="1263"/>
      <c r="F101" s="1263"/>
    </row>
    <row r="102" spans="1:11" ht="14.25">
      <c r="A102" s="176"/>
      <c r="B102" s="176"/>
      <c r="D102" s="1263"/>
      <c r="E102" s="1263"/>
      <c r="F102" s="1263"/>
    </row>
    <row r="103" spans="1:11" ht="14.25">
      <c r="A103" s="176"/>
      <c r="B103" s="176"/>
      <c r="D103" s="1263"/>
      <c r="E103" s="1263"/>
      <c r="F103" s="1263"/>
    </row>
    <row r="104" spans="1:11" ht="14.25">
      <c r="A104" s="176"/>
      <c r="B104" s="176"/>
      <c r="D104" s="1263"/>
      <c r="E104" s="1263"/>
      <c r="F104" s="1263"/>
    </row>
    <row r="105" spans="1:11" ht="14.25">
      <c r="A105" s="176"/>
      <c r="B105" s="176"/>
      <c r="D105" s="475"/>
      <c r="E105" s="475"/>
      <c r="F105" s="475"/>
    </row>
    <row r="106" spans="1:11" ht="14.25">
      <c r="A106" s="176"/>
      <c r="B106" s="469" t="s">
        <v>309</v>
      </c>
      <c r="C106" s="179"/>
      <c r="D106" s="1300" t="s">
        <v>1207</v>
      </c>
      <c r="E106" s="1300"/>
      <c r="F106" s="1300"/>
      <c r="G106" s="183"/>
      <c r="H106" s="181"/>
      <c r="I106" s="181"/>
      <c r="J106" s="181"/>
      <c r="K106" s="181"/>
    </row>
    <row r="107" spans="1:11" ht="14.25">
      <c r="A107" s="176"/>
      <c r="B107" s="176"/>
      <c r="C107" s="179"/>
      <c r="D107" s="1300"/>
      <c r="E107" s="1300"/>
      <c r="F107" s="1300"/>
      <c r="G107" s="183"/>
      <c r="H107" s="181"/>
      <c r="I107" s="181"/>
      <c r="J107" s="181"/>
      <c r="K107" s="181"/>
    </row>
    <row r="108" spans="1:11" ht="14.25">
      <c r="A108" s="176"/>
      <c r="B108" s="176"/>
      <c r="C108" s="179"/>
      <c r="D108" s="1300"/>
      <c r="E108" s="1300"/>
      <c r="F108" s="1300"/>
      <c r="G108" s="183"/>
      <c r="H108" s="181"/>
      <c r="I108" s="181"/>
      <c r="J108" s="181"/>
      <c r="K108" s="181"/>
    </row>
    <row r="109" spans="1:11" ht="14.25">
      <c r="A109" s="176"/>
      <c r="B109" s="176"/>
      <c r="C109" s="179"/>
      <c r="D109" s="1300"/>
      <c r="E109" s="1300"/>
      <c r="F109" s="1300"/>
      <c r="G109" s="183"/>
      <c r="H109" s="181"/>
      <c r="I109" s="181"/>
      <c r="J109" s="181"/>
      <c r="K109" s="181"/>
    </row>
    <row r="110" spans="1:11" ht="14.25">
      <c r="A110" s="176"/>
      <c r="B110" s="176"/>
      <c r="C110" s="179"/>
      <c r="D110" s="1300"/>
      <c r="E110" s="1300"/>
      <c r="F110" s="1300"/>
      <c r="G110" s="183"/>
      <c r="H110" s="181"/>
      <c r="I110" s="181"/>
      <c r="J110" s="181"/>
      <c r="K110" s="181"/>
    </row>
    <row r="111" spans="1:11">
      <c r="C111"/>
      <c r="D111" s="1300"/>
      <c r="E111" s="1300"/>
      <c r="F111" s="1300"/>
      <c r="G111"/>
    </row>
    <row r="112" spans="1:11">
      <c r="C112"/>
      <c r="D112" s="1300"/>
      <c r="E112" s="1300"/>
      <c r="F112" s="1300"/>
      <c r="G112"/>
    </row>
    <row r="113" spans="1:7">
      <c r="C113"/>
      <c r="D113" s="330"/>
      <c r="E113"/>
      <c r="F113"/>
      <c r="G113"/>
    </row>
    <row r="114" spans="1:7" ht="14.25">
      <c r="A114" s="176"/>
      <c r="B114" s="469" t="s">
        <v>309</v>
      </c>
      <c r="C114"/>
      <c r="D114" s="1301" t="s">
        <v>1208</v>
      </c>
      <c r="E114" s="1301"/>
      <c r="F114" s="1301"/>
      <c r="G114"/>
    </row>
    <row r="115" spans="1:7" ht="14.25">
      <c r="A115" s="176"/>
      <c r="B115" s="176"/>
      <c r="C115"/>
      <c r="D115" s="1301"/>
      <c r="E115" s="1301"/>
      <c r="F115" s="1301"/>
      <c r="G115"/>
    </row>
    <row r="116" spans="1:7"/>
    <row r="117" spans="1:7" ht="14.25">
      <c r="A117" s="176"/>
      <c r="B117" s="469" t="s">
        <v>309</v>
      </c>
      <c r="D117" s="1263" t="s">
        <v>1209</v>
      </c>
      <c r="E117" s="1263"/>
      <c r="F117" s="1263"/>
    </row>
    <row r="118" spans="1:7">
      <c r="D118" s="1263"/>
      <c r="E118" s="1263"/>
      <c r="F118" s="1263"/>
    </row>
    <row r="119" spans="1:7">
      <c r="D119" s="1263"/>
      <c r="E119" s="1263"/>
      <c r="F119" s="1263"/>
    </row>
    <row r="120" spans="1:7">
      <c r="D120" s="1263"/>
      <c r="E120" s="1263"/>
      <c r="F120" s="1263"/>
    </row>
    <row r="121" spans="1:7">
      <c r="D121" s="1263"/>
      <c r="E121" s="1263"/>
      <c r="F121" s="1263"/>
    </row>
    <row r="122" spans="1:7"/>
    <row r="123" spans="1:7" ht="14.25">
      <c r="A123" s="176"/>
      <c r="B123" s="469" t="s">
        <v>309</v>
      </c>
      <c r="D123" s="1263" t="s">
        <v>1210</v>
      </c>
      <c r="E123" s="1263"/>
      <c r="F123" s="1263"/>
    </row>
    <row r="124" spans="1:7" s="197" customFormat="1" ht="13.7" customHeight="1">
      <c r="A124" s="195"/>
      <c r="B124" s="195"/>
      <c r="C124" s="195"/>
      <c r="D124" s="1263"/>
      <c r="E124" s="1263"/>
      <c r="F124" s="1263"/>
      <c r="G124" s="196"/>
    </row>
    <row r="125" spans="1:7" ht="13.7" customHeight="1">
      <c r="D125" s="1263"/>
      <c r="E125" s="1263"/>
      <c r="F125" s="1263"/>
    </row>
    <row r="126" spans="1:7" ht="13.7" customHeight="1">
      <c r="D126" s="1263"/>
      <c r="E126" s="1263"/>
      <c r="F126" s="1263"/>
    </row>
    <row r="127" spans="1:7" ht="13.7" customHeight="1">
      <c r="D127" s="1263"/>
      <c r="E127" s="1263"/>
      <c r="F127" s="1263"/>
    </row>
    <row r="128" spans="1:7" ht="13.7" customHeight="1">
      <c r="A128" s="256"/>
      <c r="B128" s="256"/>
      <c r="D128" s="1263"/>
      <c r="E128" s="1263"/>
      <c r="F128" s="1263"/>
    </row>
    <row r="129" spans="2:6" ht="13.7" customHeight="1">
      <c r="D129" s="1263"/>
      <c r="E129" s="1263"/>
      <c r="F129" s="1263"/>
    </row>
    <row r="130" spans="2:6" ht="13.7" customHeight="1">
      <c r="D130" s="1263"/>
      <c r="E130" s="1263"/>
      <c r="F130" s="1263"/>
    </row>
    <row r="131" spans="2:6" ht="13.7" customHeight="1">
      <c r="D131" s="1263"/>
      <c r="E131" s="1263"/>
      <c r="F131" s="1263"/>
    </row>
    <row r="132" spans="2:6" ht="13.7" customHeight="1">
      <c r="D132" s="1263"/>
      <c r="E132" s="1263"/>
      <c r="F132" s="1263"/>
    </row>
    <row r="133" spans="2:6" ht="13.7" customHeight="1">
      <c r="D133" s="1263"/>
      <c r="E133" s="1263"/>
      <c r="F133" s="1263"/>
    </row>
    <row r="134" spans="2:6" ht="13.7" customHeight="1">
      <c r="D134" s="1263"/>
      <c r="E134" s="1263"/>
      <c r="F134" s="1263"/>
    </row>
    <row r="135" spans="2:6" ht="13.7" customHeight="1">
      <c r="D135" s="218"/>
      <c r="E135" s="35"/>
      <c r="F135" s="35"/>
    </row>
    <row r="136" spans="2:6" ht="13.7" customHeight="1">
      <c r="B136" s="469" t="s">
        <v>309</v>
      </c>
      <c r="D136" s="1263" t="s">
        <v>1318</v>
      </c>
      <c r="E136" s="1263"/>
      <c r="F136" s="1263"/>
    </row>
    <row r="137" spans="2:6" ht="13.7" customHeight="1">
      <c r="D137" s="1263"/>
      <c r="E137" s="1263"/>
      <c r="F137" s="1263"/>
    </row>
    <row r="138" spans="2:6" ht="13.7" customHeight="1">
      <c r="D138" s="1263"/>
      <c r="E138" s="1263"/>
      <c r="F138" s="1263"/>
    </row>
    <row r="139" spans="2:6" ht="13.7" customHeight="1">
      <c r="D139" s="1263"/>
      <c r="E139" s="1263"/>
      <c r="F139" s="1263"/>
    </row>
    <row r="140" spans="2:6" ht="13.7" customHeight="1">
      <c r="D140" s="1263"/>
      <c r="E140" s="1263"/>
      <c r="F140" s="1263"/>
    </row>
    <row r="141" spans="2:6" ht="13.7" customHeight="1">
      <c r="D141" s="1263"/>
      <c r="E141" s="1263"/>
      <c r="F141" s="1263"/>
    </row>
    <row r="142" spans="2:6" ht="13.7" customHeight="1">
      <c r="D142" s="1263"/>
      <c r="E142" s="1263"/>
      <c r="F142" s="1263"/>
    </row>
    <row r="143" spans="2:6" ht="13.7" customHeight="1">
      <c r="D143" s="1263"/>
      <c r="E143" s="1263"/>
      <c r="F143" s="1263"/>
    </row>
    <row r="144" spans="2:6" ht="13.7" customHeight="1">
      <c r="D144" s="1263"/>
      <c r="E144" s="1263"/>
      <c r="F144" s="1263"/>
    </row>
    <row r="145" spans="1:7" ht="13.7" customHeight="1">
      <c r="D145" s="1263"/>
      <c r="E145" s="1263"/>
      <c r="F145" s="1263"/>
    </row>
    <row r="146" spans="1:7" ht="13.7" customHeight="1">
      <c r="D146" s="1263"/>
      <c r="E146" s="1263"/>
      <c r="F146" s="1263"/>
    </row>
    <row r="147" spans="1:7" ht="13.7" customHeight="1">
      <c r="D147" s="1263"/>
      <c r="E147" s="1263"/>
      <c r="F147" s="1263"/>
    </row>
    <row r="148" spans="1:7" ht="13.7" customHeight="1">
      <c r="D148" s="1263"/>
      <c r="E148" s="1263"/>
      <c r="F148" s="1263"/>
    </row>
    <row r="149" spans="1:7" ht="13.7" customHeight="1">
      <c r="D149" s="1263"/>
      <c r="E149" s="1263"/>
      <c r="F149" s="1263"/>
    </row>
    <row r="150" spans="1:7" ht="13.7" customHeight="1">
      <c r="D150" s="1263"/>
      <c r="E150" s="1263"/>
      <c r="F150" s="1263"/>
    </row>
    <row r="151" spans="1:7" ht="13.7" customHeight="1">
      <c r="D151" s="1263"/>
      <c r="E151" s="1263"/>
      <c r="F151" s="1263"/>
    </row>
    <row r="152" spans="1:7" ht="13.7" customHeight="1">
      <c r="D152" s="1263"/>
      <c r="E152" s="1263"/>
      <c r="F152" s="1263"/>
    </row>
    <row r="153" spans="1:7" ht="13.7" customHeight="1">
      <c r="D153" s="1263"/>
      <c r="E153" s="1263"/>
      <c r="F153" s="1263"/>
    </row>
    <row r="154" spans="1:7" ht="13.7" customHeight="1">
      <c r="D154" s="1263"/>
      <c r="E154" s="1263"/>
      <c r="F154" s="1263"/>
    </row>
    <row r="155" spans="1:7" ht="13.7" customHeight="1">
      <c r="D155" s="218"/>
      <c r="E155" s="35"/>
      <c r="F155" s="35"/>
    </row>
    <row r="156" spans="1:7" ht="13.7" customHeight="1">
      <c r="A156" s="256"/>
      <c r="B156" s="469" t="s">
        <v>309</v>
      </c>
      <c r="C156" s="218"/>
      <c r="D156" s="1272" t="s">
        <v>1211</v>
      </c>
      <c r="E156" s="1272"/>
      <c r="F156" s="1272"/>
      <c r="G156" s="218"/>
    </row>
    <row r="157" spans="1:7" ht="13.7" customHeight="1">
      <c r="A157" s="256"/>
      <c r="B157" s="256"/>
      <c r="C157" s="218"/>
      <c r="D157" s="1272"/>
      <c r="E157" s="1272"/>
      <c r="F157" s="1272"/>
      <c r="G157" s="218"/>
    </row>
    <row r="158" spans="1:7" ht="13.7" customHeight="1">
      <c r="A158" s="256"/>
      <c r="B158" s="256"/>
      <c r="C158" s="218"/>
      <c r="D158" s="218"/>
      <c r="E158" s="218"/>
      <c r="F158" s="218"/>
      <c r="G158" s="218"/>
    </row>
    <row r="159" spans="1:7" ht="13.7" customHeight="1">
      <c r="A159" s="256"/>
      <c r="B159" s="469" t="s">
        <v>309</v>
      </c>
      <c r="C159" s="218"/>
      <c r="D159" s="1272" t="s">
        <v>1212</v>
      </c>
      <c r="E159" s="1272"/>
      <c r="F159" s="1272"/>
      <c r="G159" s="218"/>
    </row>
    <row r="160" spans="1:7" ht="13.7" customHeight="1">
      <c r="A160" s="256"/>
      <c r="B160" s="256"/>
      <c r="C160" s="218"/>
      <c r="D160" s="1272"/>
      <c r="E160" s="1272"/>
      <c r="F160" s="1272"/>
      <c r="G160" s="218"/>
    </row>
    <row r="161" spans="1:7" ht="13.7" customHeight="1">
      <c r="A161" s="256"/>
      <c r="B161" s="256"/>
      <c r="C161" s="218"/>
      <c r="D161" s="1272"/>
      <c r="E161" s="1272"/>
      <c r="F161" s="1272"/>
      <c r="G161" s="218"/>
    </row>
    <row r="162" spans="1:7" ht="13.7" customHeight="1">
      <c r="A162" s="256"/>
      <c r="B162" s="256"/>
      <c r="C162" s="218"/>
      <c r="D162" s="1272"/>
      <c r="E162" s="1272"/>
      <c r="F162" s="1272"/>
      <c r="G162" s="218"/>
    </row>
    <row r="163" spans="1:7" ht="13.7" customHeight="1">
      <c r="D163" s="35"/>
      <c r="E163" s="35"/>
      <c r="F163" s="35"/>
    </row>
    <row r="164" spans="1:7" ht="13.7" customHeight="1">
      <c r="B164" s="469" t="s">
        <v>309</v>
      </c>
      <c r="D164" s="1277" t="s">
        <v>1213</v>
      </c>
      <c r="E164" s="1277"/>
      <c r="F164" s="1277"/>
    </row>
    <row r="165" spans="1:7" ht="13.7" customHeight="1">
      <c r="D165" s="1277"/>
      <c r="E165" s="1277"/>
      <c r="F165" s="1277"/>
    </row>
    <row r="166" spans="1:7" ht="13.7" customHeight="1">
      <c r="D166" s="1277"/>
      <c r="E166" s="1277"/>
      <c r="F166" s="1277"/>
    </row>
    <row r="167" spans="1:7" ht="13.7" customHeight="1">
      <c r="A167" s="13"/>
      <c r="B167" s="13"/>
      <c r="E167" s="35"/>
      <c r="F167" s="35"/>
    </row>
    <row r="168" spans="1:7">
      <c r="A168" s="1278" t="s">
        <v>1107</v>
      </c>
      <c r="B168" s="1278"/>
      <c r="C168" s="1278"/>
      <c r="D168" s="1278"/>
      <c r="E168" s="1278"/>
      <c r="F168" s="1278"/>
      <c r="G168" s="1278"/>
    </row>
    <row r="169" spans="1:7" ht="12" customHeight="1">
      <c r="D169" s="35"/>
      <c r="E169" s="35"/>
      <c r="F169" s="35"/>
    </row>
    <row r="170" spans="1:7">
      <c r="B170" s="1295" t="s">
        <v>449</v>
      </c>
      <c r="C170" s="1295"/>
      <c r="D170" s="1295"/>
      <c r="E170" s="1295"/>
      <c r="F170" s="1295"/>
    </row>
    <row r="171" spans="1:7" ht="12" customHeight="1">
      <c r="A171" s="172"/>
      <c r="B171" s="172"/>
      <c r="C171" s="172"/>
    </row>
    <row r="172" spans="1:7">
      <c r="A172" s="1278" t="s">
        <v>1108</v>
      </c>
      <c r="B172" s="1278"/>
      <c r="C172" s="1278"/>
      <c r="D172" s="1278"/>
      <c r="E172" s="1278"/>
      <c r="F172" s="1278"/>
      <c r="G172" s="1278"/>
    </row>
    <row r="173" spans="1:7" ht="12" customHeight="1">
      <c r="A173" s="2"/>
      <c r="B173" s="2"/>
      <c r="E173" s="2"/>
    </row>
    <row r="174" spans="1:7" ht="13.15" customHeight="1">
      <c r="A174" s="2"/>
      <c r="B174" s="2"/>
      <c r="D174" s="1292" t="s">
        <v>1216</v>
      </c>
      <c r="E174" s="1292"/>
      <c r="F174" s="1292"/>
    </row>
    <row r="175" spans="1:7">
      <c r="A175" s="2"/>
      <c r="B175" s="2"/>
      <c r="D175" s="1292"/>
      <c r="E175" s="1292"/>
      <c r="F175" s="1292"/>
    </row>
    <row r="176" spans="1:7">
      <c r="A176" s="2"/>
      <c r="B176" s="2"/>
      <c r="D176" s="1293" t="s">
        <v>1217</v>
      </c>
      <c r="E176" s="1293"/>
      <c r="F176" s="1293"/>
    </row>
    <row r="177" spans="1:7" ht="12" customHeight="1">
      <c r="A177" s="2"/>
      <c r="B177" s="2"/>
      <c r="E177" s="2"/>
    </row>
    <row r="178" spans="1:7" ht="14.25">
      <c r="A178" s="176"/>
      <c r="B178" s="469" t="s">
        <v>309</v>
      </c>
      <c r="D178" s="1290" t="s">
        <v>1215</v>
      </c>
      <c r="E178" s="1290"/>
      <c r="F178" s="1290"/>
    </row>
    <row r="179" spans="1:7" ht="14.25">
      <c r="A179" s="176"/>
      <c r="B179" s="176"/>
      <c r="D179" s="1290"/>
      <c r="E179" s="1290"/>
      <c r="F179" s="1290"/>
    </row>
    <row r="180" spans="1:7" ht="14.25">
      <c r="A180" s="176"/>
      <c r="B180" s="176"/>
      <c r="D180" s="1290"/>
      <c r="E180" s="1290"/>
      <c r="F180" s="1290"/>
    </row>
    <row r="181" spans="1:7">
      <c r="D181" s="1290"/>
      <c r="E181" s="1290"/>
      <c r="F181" s="1290"/>
    </row>
    <row r="182" spans="1:7">
      <c r="D182" s="220"/>
    </row>
    <row r="183" spans="1:7">
      <c r="D183" s="1294" t="s">
        <v>1124</v>
      </c>
      <c r="E183" s="1294"/>
      <c r="F183" s="1294"/>
    </row>
    <row r="184" spans="1:7">
      <c r="D184" s="1294"/>
      <c r="E184" s="1294"/>
      <c r="F184" s="1294"/>
    </row>
    <row r="185" spans="1:7">
      <c r="D185" s="476"/>
      <c r="E185" s="476"/>
      <c r="F185" s="476"/>
    </row>
    <row r="186" spans="1:7" ht="14.25">
      <c r="A186" s="176"/>
      <c r="B186" s="469" t="s">
        <v>309</v>
      </c>
      <c r="C186" s="386"/>
      <c r="D186" s="1263" t="s">
        <v>1214</v>
      </c>
      <c r="E186" s="1263"/>
      <c r="F186" s="1263"/>
      <c r="G186" s="3"/>
    </row>
    <row r="187" spans="1:7" ht="14.45" customHeight="1">
      <c r="A187" s="176"/>
      <c r="B187"/>
      <c r="C187" s="386"/>
      <c r="D187" s="1263"/>
      <c r="E187" s="1263"/>
      <c r="F187" s="1263"/>
      <c r="G187" s="3"/>
    </row>
    <row r="188" spans="1:7" ht="14.25">
      <c r="A188" s="176"/>
      <c r="B188" s="386"/>
      <c r="C188" s="386"/>
      <c r="D188" s="1263"/>
      <c r="E188" s="1263"/>
      <c r="F188" s="1263"/>
      <c r="G188" s="3"/>
    </row>
    <row r="189" spans="1:7" ht="14.25">
      <c r="A189" s="176"/>
      <c r="B189" s="386"/>
      <c r="C189" s="386"/>
      <c r="D189" s="1263"/>
      <c r="E189" s="1263"/>
      <c r="F189" s="1263"/>
      <c r="G189" s="3"/>
    </row>
    <row r="190" spans="1:7">
      <c r="D190" s="476"/>
      <c r="E190" s="476"/>
      <c r="F190" s="476"/>
    </row>
    <row r="191" spans="1:7">
      <c r="A191" s="1278" t="s">
        <v>1109</v>
      </c>
      <c r="B191" s="1278"/>
      <c r="C191" s="1278"/>
      <c r="D191" s="1278"/>
      <c r="E191" s="1278"/>
      <c r="F191" s="1278"/>
      <c r="G191" s="1278"/>
    </row>
    <row r="192" spans="1:7" ht="12" customHeight="1">
      <c r="D192" s="35"/>
      <c r="E192" s="35"/>
      <c r="F192" s="35"/>
    </row>
    <row r="193" spans="1:6">
      <c r="C193" s="177"/>
      <c r="D193" s="1279" t="s">
        <v>210</v>
      </c>
      <c r="E193" s="1279"/>
      <c r="F193" s="1279"/>
    </row>
    <row r="194" spans="1:6">
      <c r="A194" s="172"/>
      <c r="B194" s="172"/>
      <c r="C194" s="172"/>
      <c r="D194" s="1274" t="s">
        <v>1238</v>
      </c>
      <c r="E194" s="1282"/>
      <c r="F194" s="1282"/>
    </row>
    <row r="195" spans="1:6" ht="12" customHeight="1">
      <c r="A195" s="13"/>
      <c r="B195" s="13"/>
      <c r="C195" s="13"/>
    </row>
    <row r="196" spans="1:6" ht="13.15" customHeight="1">
      <c r="A196" s="13"/>
      <c r="C196" s="13"/>
      <c r="D196" s="1279" t="s">
        <v>555</v>
      </c>
      <c r="E196" s="1279"/>
      <c r="F196" s="1279"/>
    </row>
    <row r="197" spans="1:6" ht="14.25">
      <c r="A197" s="176"/>
      <c r="B197" s="469" t="s">
        <v>309</v>
      </c>
      <c r="D197" s="1263" t="s">
        <v>1232</v>
      </c>
      <c r="E197" s="1263"/>
      <c r="F197" s="1263"/>
    </row>
    <row r="198" spans="1:6" ht="14.25">
      <c r="A198" s="176"/>
      <c r="B198" s="176"/>
      <c r="D198" s="1263"/>
      <c r="E198" s="1263"/>
      <c r="F198" s="1263"/>
    </row>
    <row r="199" spans="1:6"/>
    <row r="200" spans="1:6" ht="14.25">
      <c r="A200" s="176"/>
      <c r="B200" s="469" t="s">
        <v>309</v>
      </c>
      <c r="D200" s="1263" t="s">
        <v>1233</v>
      </c>
      <c r="E200" s="1263"/>
      <c r="F200" s="1263"/>
    </row>
    <row r="201" spans="1:6" ht="14.25">
      <c r="A201" s="176"/>
      <c r="B201" s="176"/>
      <c r="D201" s="1263"/>
      <c r="E201" s="1263"/>
      <c r="F201" s="1263"/>
    </row>
    <row r="202" spans="1:6" ht="14.25">
      <c r="A202" s="176"/>
      <c r="B202" s="176"/>
      <c r="D202" s="1263"/>
      <c r="E202" s="1263"/>
      <c r="F202" s="1263"/>
    </row>
    <row r="203" spans="1:6" ht="5.0999999999999996" customHeight="1">
      <c r="A203" s="176"/>
      <c r="B203" s="176"/>
      <c r="D203" s="35"/>
      <c r="E203" s="35"/>
      <c r="F203" s="35"/>
    </row>
    <row r="204" spans="1:6" ht="14.25">
      <c r="A204" s="176"/>
      <c r="B204" s="176"/>
      <c r="D204" s="1263" t="s">
        <v>1234</v>
      </c>
      <c r="E204" s="1263"/>
      <c r="F204" s="1263"/>
    </row>
    <row r="205" spans="1:6" ht="14.25">
      <c r="A205" s="176"/>
      <c r="B205" s="176"/>
      <c r="D205" s="1263"/>
      <c r="E205" s="1263"/>
      <c r="F205" s="1263"/>
    </row>
    <row r="206" spans="1:6" ht="14.25">
      <c r="A206" s="176"/>
      <c r="B206" s="176"/>
      <c r="D206" s="1263"/>
      <c r="E206" s="1263"/>
      <c r="F206" s="1263"/>
    </row>
    <row r="207" spans="1:6" ht="14.25">
      <c r="A207" s="176"/>
      <c r="B207" s="176"/>
      <c r="D207" s="1263"/>
      <c r="E207" s="1263"/>
      <c r="F207" s="1263"/>
    </row>
    <row r="208" spans="1:6" ht="14.25">
      <c r="A208" s="176"/>
      <c r="B208" s="176"/>
      <c r="D208" s="1263"/>
      <c r="E208" s="1263"/>
      <c r="F208" s="1263"/>
    </row>
    <row r="209" spans="1:7" ht="14.25">
      <c r="A209" s="176"/>
      <c r="B209" s="176"/>
      <c r="D209" s="35"/>
      <c r="E209" s="35"/>
      <c r="F209" s="35"/>
    </row>
    <row r="210" spans="1:7" ht="14.25">
      <c r="A210" s="176"/>
      <c r="B210" s="469" t="s">
        <v>309</v>
      </c>
      <c r="D210" s="1263" t="s">
        <v>1235</v>
      </c>
      <c r="E210" s="1263"/>
      <c r="F210" s="1263"/>
    </row>
    <row r="211" spans="1:7" ht="14.25">
      <c r="A211" s="176"/>
      <c r="B211" s="176"/>
      <c r="D211" s="1263"/>
      <c r="E211" s="1263"/>
      <c r="F211" s="1263"/>
    </row>
    <row r="212" spans="1:7" ht="14.25">
      <c r="A212" s="176"/>
      <c r="B212" s="176"/>
      <c r="D212" s="1295" t="s">
        <v>927</v>
      </c>
      <c r="E212" s="1295"/>
      <c r="F212" s="1295"/>
    </row>
    <row r="213" spans="1:7" ht="14.25">
      <c r="A213" s="176"/>
      <c r="B213" s="176"/>
      <c r="D213" s="35"/>
      <c r="E213" s="35"/>
      <c r="F213" s="35"/>
    </row>
    <row r="214" spans="1:7" ht="14.45" customHeight="1">
      <c r="A214" s="176"/>
      <c r="B214" s="469" t="s">
        <v>309</v>
      </c>
      <c r="D214" s="1263" t="s">
        <v>1237</v>
      </c>
      <c r="E214" s="1263"/>
      <c r="F214" s="1263"/>
    </row>
    <row r="215" spans="1:7" ht="14.25">
      <c r="A215" s="176"/>
      <c r="B215" s="176"/>
      <c r="D215" s="1263"/>
      <c r="E215" s="1263"/>
      <c r="F215" s="1263"/>
    </row>
    <row r="216" spans="1:7" ht="14.25">
      <c r="A216" s="176"/>
      <c r="B216" s="176"/>
      <c r="D216" s="1263"/>
      <c r="E216" s="1263"/>
      <c r="F216" s="1263"/>
    </row>
    <row r="217" spans="1:7" ht="14.25">
      <c r="A217" s="176"/>
      <c r="B217" s="176"/>
      <c r="D217" s="1263"/>
      <c r="E217" s="1263"/>
      <c r="F217" s="1263"/>
    </row>
    <row r="218" spans="1:7" ht="14.25">
      <c r="A218" s="176"/>
      <c r="B218" s="176"/>
      <c r="D218" s="1263"/>
      <c r="E218" s="1263"/>
      <c r="F218" s="1263"/>
    </row>
    <row r="219" spans="1:7">
      <c r="D219" s="35"/>
      <c r="E219" s="35"/>
      <c r="F219" s="35"/>
    </row>
    <row r="220" spans="1:7" ht="14.25">
      <c r="A220" s="176"/>
      <c r="B220" s="469" t="s">
        <v>309</v>
      </c>
      <c r="D220" s="1263" t="s">
        <v>1236</v>
      </c>
      <c r="E220" s="1263"/>
      <c r="F220" s="1263"/>
    </row>
    <row r="221" spans="1:7" ht="14.25">
      <c r="A221" s="176"/>
      <c r="B221" s="176"/>
      <c r="D221" s="1263"/>
      <c r="E221" s="1263"/>
      <c r="F221" s="1263"/>
    </row>
    <row r="222" spans="1:7">
      <c r="D222" s="19"/>
    </row>
    <row r="223" spans="1:7">
      <c r="A223" s="1278" t="s">
        <v>1110</v>
      </c>
      <c r="B223" s="1278"/>
      <c r="C223" s="1278"/>
      <c r="D223" s="1278"/>
      <c r="E223" s="1278"/>
      <c r="F223" s="1278"/>
      <c r="G223" s="1278"/>
    </row>
    <row r="224" spans="1:7">
      <c r="D224" s="19"/>
    </row>
    <row r="225" spans="1:6">
      <c r="C225" s="177"/>
      <c r="D225" s="1279" t="s">
        <v>1239</v>
      </c>
      <c r="E225" s="1279"/>
      <c r="F225" s="1279"/>
    </row>
    <row r="226" spans="1:6">
      <c r="A226" s="172"/>
      <c r="B226" s="172"/>
      <c r="C226" s="172"/>
      <c r="D226" s="35"/>
      <c r="E226" s="35"/>
      <c r="F226" s="35"/>
    </row>
    <row r="227" spans="1:6">
      <c r="A227" s="175"/>
      <c r="B227" s="175"/>
      <c r="C227" s="175"/>
      <c r="D227" s="1279" t="s">
        <v>271</v>
      </c>
      <c r="E227" s="1279"/>
      <c r="F227" s="1279"/>
    </row>
    <row r="228" spans="1:6" ht="14.25">
      <c r="A228" s="176"/>
      <c r="B228" s="469" t="s">
        <v>309</v>
      </c>
      <c r="D228" s="1281" t="s">
        <v>1240</v>
      </c>
      <c r="E228" s="1281"/>
      <c r="F228" s="1281"/>
    </row>
    <row r="229" spans="1:6" ht="14.25">
      <c r="A229" s="176"/>
      <c r="B229" s="176"/>
      <c r="D229" s="1281"/>
      <c r="E229" s="1281"/>
      <c r="F229" s="1281"/>
    </row>
    <row r="230" spans="1:6">
      <c r="D230" s="35"/>
      <c r="E230" s="35"/>
      <c r="F230" s="35"/>
    </row>
    <row r="231" spans="1:6" ht="14.45" customHeight="1">
      <c r="A231" s="176"/>
      <c r="B231" s="469" t="s">
        <v>309</v>
      </c>
      <c r="D231" s="1263" t="s">
        <v>1241</v>
      </c>
      <c r="E231" s="1263"/>
      <c r="F231" s="1263"/>
    </row>
    <row r="232" spans="1:6">
      <c r="D232" s="1263"/>
      <c r="E232" s="1263"/>
      <c r="F232" s="1263"/>
    </row>
    <row r="233" spans="1:6">
      <c r="D233" s="1282" t="s">
        <v>918</v>
      </c>
      <c r="E233" s="1282"/>
      <c r="F233" s="1282"/>
    </row>
    <row r="234" spans="1:6">
      <c r="D234" s="35"/>
      <c r="E234" s="35"/>
      <c r="F234" s="35"/>
    </row>
    <row r="235" spans="1:6" ht="14.45" customHeight="1">
      <c r="A235" s="176"/>
      <c r="B235" s="469" t="s">
        <v>309</v>
      </c>
      <c r="D235" s="1263" t="s">
        <v>1243</v>
      </c>
      <c r="E235" s="1263"/>
      <c r="F235" s="1263"/>
    </row>
    <row r="236" spans="1:6">
      <c r="D236" s="1263"/>
      <c r="E236" s="1263"/>
      <c r="F236" s="1263"/>
    </row>
    <row r="237" spans="1:6">
      <c r="D237" s="1263"/>
      <c r="E237" s="1263"/>
      <c r="F237" s="1263"/>
    </row>
    <row r="238" spans="1:6">
      <c r="D238" s="1263"/>
      <c r="E238" s="1263"/>
      <c r="F238" s="1263"/>
    </row>
    <row r="239" spans="1:6">
      <c r="D239" s="1263"/>
      <c r="E239" s="1263"/>
      <c r="F239" s="1263"/>
    </row>
    <row r="240" spans="1:6">
      <c r="D240" s="35"/>
      <c r="E240" s="35"/>
      <c r="F240" s="35"/>
    </row>
    <row r="241" spans="1:7" ht="14.25">
      <c r="A241" s="176"/>
      <c r="B241" s="469" t="s">
        <v>309</v>
      </c>
      <c r="D241" s="1263" t="s">
        <v>1242</v>
      </c>
      <c r="E241" s="1263"/>
      <c r="F241" s="1263"/>
    </row>
    <row r="242" spans="1:7">
      <c r="D242" s="1263"/>
      <c r="E242" s="1263"/>
      <c r="F242" s="1263"/>
    </row>
    <row r="243" spans="1:7">
      <c r="D243" s="1263"/>
      <c r="E243" s="1263"/>
      <c r="F243" s="1263"/>
    </row>
    <row r="244" spans="1:7">
      <c r="D244" s="178"/>
      <c r="E244" s="35"/>
      <c r="F244" s="35"/>
    </row>
    <row r="245" spans="1:7">
      <c r="A245" s="1278" t="s">
        <v>1111</v>
      </c>
      <c r="B245" s="1278"/>
      <c r="C245" s="1278"/>
      <c r="D245" s="1278"/>
      <c r="E245" s="1278"/>
      <c r="F245" s="1278"/>
      <c r="G245" s="1278"/>
    </row>
    <row r="246" spans="1:7">
      <c r="D246" s="178"/>
      <c r="E246" s="35"/>
      <c r="F246" s="35"/>
    </row>
    <row r="247" spans="1:7">
      <c r="C247" s="172"/>
      <c r="D247" s="1296" t="s">
        <v>1244</v>
      </c>
      <c r="E247" s="1296"/>
      <c r="F247" s="1296"/>
    </row>
    <row r="248" spans="1:7">
      <c r="C248" s="172"/>
      <c r="D248" s="1296"/>
      <c r="E248" s="1296"/>
      <c r="F248" s="1296"/>
    </row>
    <row r="249" spans="1:7">
      <c r="A249" s="175"/>
      <c r="B249" s="175"/>
      <c r="C249" s="175"/>
      <c r="D249" s="2"/>
      <c r="E249" s="3"/>
      <c r="F249" s="3"/>
    </row>
    <row r="250" spans="1:7">
      <c r="C250" s="175"/>
      <c r="D250" s="1279" t="s">
        <v>211</v>
      </c>
      <c r="E250" s="1279"/>
      <c r="F250" s="1279"/>
    </row>
    <row r="251" spans="1:7" ht="15.75" customHeight="1">
      <c r="A251" s="176"/>
      <c r="B251" s="176"/>
      <c r="D251" s="1285" t="s">
        <v>1245</v>
      </c>
      <c r="E251" s="1285"/>
      <c r="F251" s="1285"/>
    </row>
    <row r="252" spans="1:7">
      <c r="E252" s="35"/>
      <c r="F252" s="35"/>
    </row>
    <row r="253" spans="1:7" ht="14.25">
      <c r="A253" s="176"/>
      <c r="B253" s="469" t="s">
        <v>309</v>
      </c>
      <c r="D253" s="1263" t="s">
        <v>1246</v>
      </c>
      <c r="E253" s="1263"/>
      <c r="F253" s="1263"/>
    </row>
    <row r="254" spans="1:7" ht="14.25">
      <c r="A254" s="176"/>
      <c r="B254" s="176"/>
      <c r="D254" s="1263"/>
      <c r="E254" s="1263"/>
      <c r="F254" s="1263"/>
    </row>
    <row r="255" spans="1:7">
      <c r="D255" s="35"/>
      <c r="E255" s="35"/>
      <c r="F255" s="35"/>
    </row>
    <row r="256" spans="1:7" ht="14.25">
      <c r="A256" s="176"/>
      <c r="B256" s="469" t="s">
        <v>309</v>
      </c>
      <c r="D256" s="1263" t="s">
        <v>1247</v>
      </c>
      <c r="E256" s="1263"/>
      <c r="F256" s="1263"/>
    </row>
    <row r="257" spans="1:7" ht="14.25">
      <c r="A257" s="176"/>
      <c r="B257" s="176"/>
      <c r="D257" s="1263"/>
      <c r="E257" s="1263"/>
      <c r="F257" s="1263"/>
    </row>
    <row r="258" spans="1:7" ht="14.25">
      <c r="A258" s="176"/>
      <c r="B258" s="176"/>
      <c r="D258" s="1263"/>
      <c r="E258" s="1263"/>
      <c r="F258" s="1263"/>
    </row>
    <row r="259" spans="1:7">
      <c r="D259" s="35"/>
      <c r="E259" s="35"/>
      <c r="F259" s="35"/>
    </row>
    <row r="260" spans="1:7" ht="14.25">
      <c r="A260" s="176"/>
      <c r="B260" s="469" t="s">
        <v>309</v>
      </c>
      <c r="D260" s="1263" t="s">
        <v>1248</v>
      </c>
      <c r="E260" s="1263"/>
      <c r="F260" s="1263"/>
    </row>
    <row r="261" spans="1:7" ht="14.25">
      <c r="A261" s="176"/>
      <c r="B261" s="176"/>
      <c r="D261" s="1263"/>
      <c r="E261" s="1263"/>
      <c r="F261" s="1263"/>
    </row>
    <row r="262" spans="1:7">
      <c r="A262" s="13"/>
      <c r="B262" s="13"/>
      <c r="E262" s="35"/>
      <c r="F262" s="35"/>
    </row>
    <row r="263" spans="1:7">
      <c r="A263" s="1278" t="s">
        <v>1112</v>
      </c>
      <c r="B263" s="1278"/>
      <c r="C263" s="1278"/>
      <c r="D263" s="1278"/>
      <c r="E263" s="1278"/>
      <c r="F263" s="1278"/>
      <c r="G263" s="1278"/>
    </row>
    <row r="264" spans="1:7">
      <c r="A264" s="13"/>
      <c r="B264" s="13"/>
      <c r="D264" s="35"/>
      <c r="E264" s="35"/>
      <c r="F264" s="35"/>
    </row>
    <row r="265" spans="1:7">
      <c r="C265" s="13"/>
      <c r="D265" s="1279" t="s">
        <v>691</v>
      </c>
      <c r="E265" s="1279"/>
      <c r="F265" s="1279"/>
    </row>
    <row r="266" spans="1:7">
      <c r="C266" s="13"/>
      <c r="D266" s="1274" t="s">
        <v>1249</v>
      </c>
      <c r="E266" s="1274"/>
      <c r="F266" s="1274"/>
    </row>
    <row r="267" spans="1:7">
      <c r="C267" s="13"/>
      <c r="D267" s="173"/>
    </row>
    <row r="268" spans="1:7">
      <c r="B268" s="469" t="s">
        <v>309</v>
      </c>
      <c r="D268" s="1274" t="s">
        <v>1250</v>
      </c>
      <c r="E268" s="1274"/>
      <c r="F268" s="1274"/>
    </row>
    <row r="269" spans="1:7" ht="14.25">
      <c r="A269" s="176"/>
      <c r="B269" s="176"/>
      <c r="D269" s="342"/>
      <c r="E269" s="343"/>
      <c r="F269" s="343"/>
    </row>
    <row r="270" spans="1:7" ht="13.15" customHeight="1">
      <c r="B270" s="469" t="s">
        <v>309</v>
      </c>
      <c r="D270" s="1283" t="s">
        <v>1251</v>
      </c>
      <c r="E270" s="1283"/>
      <c r="F270" s="1283"/>
    </row>
    <row r="271" spans="1:7" ht="14.25">
      <c r="A271" s="176"/>
      <c r="B271" s="176"/>
      <c r="D271" s="1283"/>
      <c r="E271" s="1283"/>
      <c r="F271" s="1283"/>
    </row>
    <row r="272" spans="1:7" ht="14.25">
      <c r="A272" s="176"/>
      <c r="B272" s="176"/>
      <c r="D272" s="1283"/>
      <c r="E272" s="1283"/>
      <c r="F272" s="1283"/>
    </row>
    <row r="273" spans="1:6" ht="14.25">
      <c r="A273" s="176"/>
      <c r="B273" s="176"/>
      <c r="D273" s="1283"/>
      <c r="E273" s="1283"/>
      <c r="F273" s="1283"/>
    </row>
    <row r="274" spans="1:6" ht="14.25">
      <c r="A274" s="176"/>
      <c r="B274" s="176"/>
      <c r="D274" s="1283"/>
      <c r="E274" s="1283"/>
      <c r="F274" s="1283"/>
    </row>
    <row r="275" spans="1:6" ht="14.25">
      <c r="A275" s="176"/>
      <c r="B275" s="176"/>
      <c r="D275" s="342"/>
      <c r="E275" s="343"/>
      <c r="F275" s="343"/>
    </row>
    <row r="276" spans="1:6" ht="13.15" customHeight="1">
      <c r="B276" s="469" t="s">
        <v>309</v>
      </c>
      <c r="D276" s="1283" t="s">
        <v>1252</v>
      </c>
      <c r="E276" s="1283"/>
      <c r="F276" s="1283"/>
    </row>
    <row r="277" spans="1:6">
      <c r="D277" s="1283"/>
      <c r="E277" s="1283"/>
      <c r="F277" s="1283"/>
    </row>
    <row r="278" spans="1:6" ht="14.25">
      <c r="A278" s="176"/>
      <c r="B278" s="176"/>
      <c r="D278" s="342"/>
      <c r="E278" s="343"/>
      <c r="F278" s="343"/>
    </row>
    <row r="279" spans="1:6">
      <c r="B279" s="469" t="s">
        <v>309</v>
      </c>
      <c r="D279" s="1274" t="s">
        <v>1253</v>
      </c>
      <c r="E279" s="1274"/>
      <c r="F279" s="1274"/>
    </row>
    <row r="280" spans="1:6">
      <c r="E280" s="35"/>
      <c r="F280" s="35"/>
    </row>
    <row r="281" spans="1:6" ht="14.25">
      <c r="A281" s="176"/>
      <c r="B281" s="469" t="s">
        <v>309</v>
      </c>
      <c r="D281" s="1263" t="s">
        <v>1254</v>
      </c>
      <c r="E281" s="1263"/>
      <c r="F281" s="1263"/>
    </row>
    <row r="282" spans="1:6" ht="14.25">
      <c r="A282" s="176"/>
      <c r="B282" s="176"/>
      <c r="D282" s="1263"/>
      <c r="E282" s="1263"/>
      <c r="F282" s="1263"/>
    </row>
    <row r="283" spans="1:6" ht="14.25">
      <c r="A283" s="176"/>
      <c r="B283" s="176"/>
      <c r="D283" s="1263"/>
      <c r="E283" s="1263"/>
      <c r="F283" s="1263"/>
    </row>
    <row r="284" spans="1:6" ht="14.25">
      <c r="A284" s="176"/>
      <c r="B284" s="176"/>
      <c r="D284" s="1263"/>
      <c r="E284" s="1263"/>
      <c r="F284" s="1263"/>
    </row>
    <row r="285" spans="1:6" ht="14.25">
      <c r="A285" s="176"/>
      <c r="B285" s="176"/>
      <c r="D285" s="1263"/>
      <c r="E285" s="1263"/>
      <c r="F285" s="1263"/>
    </row>
    <row r="286" spans="1:6" ht="14.25">
      <c r="A286" s="176"/>
      <c r="B286" s="176"/>
      <c r="D286" s="1263"/>
      <c r="E286" s="1263"/>
      <c r="F286" s="1263"/>
    </row>
    <row r="287" spans="1:6" ht="14.25">
      <c r="A287" s="176"/>
      <c r="B287" s="176"/>
      <c r="D287" s="1263"/>
      <c r="E287" s="1263"/>
      <c r="F287" s="1263"/>
    </row>
    <row r="288" spans="1:6" ht="14.25">
      <c r="A288" s="176"/>
      <c r="B288" s="176"/>
      <c r="D288" s="1263"/>
      <c r="E288" s="1263"/>
      <c r="F288" s="1263"/>
    </row>
    <row r="289" spans="1:6" ht="14.25">
      <c r="A289" s="176"/>
      <c r="B289" s="176"/>
      <c r="D289" s="1263"/>
      <c r="E289" s="1263"/>
      <c r="F289" s="1263"/>
    </row>
    <row r="290" spans="1:6" ht="14.25">
      <c r="A290" s="176"/>
      <c r="B290" s="176"/>
      <c r="D290" s="1263"/>
      <c r="E290" s="1263"/>
      <c r="F290" s="1263"/>
    </row>
    <row r="291" spans="1:6" ht="14.25">
      <c r="A291" s="176"/>
      <c r="B291" s="176"/>
      <c r="D291" s="1263"/>
      <c r="E291" s="1263"/>
      <c r="F291" s="1263"/>
    </row>
    <row r="292" spans="1:6" ht="14.25">
      <c r="A292" s="176"/>
      <c r="B292" s="176"/>
      <c r="D292" s="1263"/>
      <c r="E292" s="1263"/>
      <c r="F292" s="1263"/>
    </row>
    <row r="293" spans="1:6" ht="14.25">
      <c r="A293" s="176"/>
      <c r="B293" s="176"/>
      <c r="D293" s="1263"/>
      <c r="E293" s="1263"/>
      <c r="F293" s="1263"/>
    </row>
    <row r="294" spans="1:6" ht="14.25">
      <c r="A294" s="176"/>
      <c r="B294" s="176"/>
      <c r="D294" s="1263"/>
      <c r="E294" s="1263"/>
      <c r="F294" s="1263"/>
    </row>
    <row r="295" spans="1:6" ht="14.25">
      <c r="A295" s="176"/>
      <c r="B295" s="176"/>
      <c r="D295" s="1263"/>
      <c r="E295" s="1263"/>
      <c r="F295" s="1263"/>
    </row>
    <row r="296" spans="1:6">
      <c r="D296" s="35"/>
      <c r="E296" s="35"/>
      <c r="F296" s="35"/>
    </row>
    <row r="297" spans="1:6" ht="14.25">
      <c r="A297" s="176"/>
      <c r="B297" s="469" t="s">
        <v>309</v>
      </c>
      <c r="D297" s="1263" t="s">
        <v>1255</v>
      </c>
      <c r="E297" s="1263"/>
      <c r="F297" s="1263"/>
    </row>
    <row r="298" spans="1:6">
      <c r="D298" s="1263"/>
      <c r="E298" s="1263"/>
      <c r="F298" s="1263"/>
    </row>
    <row r="299" spans="1:6">
      <c r="D299" s="1263"/>
      <c r="E299" s="1263"/>
      <c r="F299" s="1263"/>
    </row>
    <row r="300" spans="1:6">
      <c r="D300" s="1263"/>
      <c r="E300" s="1263"/>
      <c r="F300" s="1263"/>
    </row>
    <row r="301" spans="1:6">
      <c r="D301" s="1263"/>
      <c r="E301" s="1263"/>
      <c r="F301" s="1263"/>
    </row>
    <row r="302" spans="1:6">
      <c r="D302" s="1263"/>
      <c r="E302" s="1263"/>
      <c r="F302" s="1263"/>
    </row>
    <row r="303" spans="1:6">
      <c r="D303" s="1263"/>
      <c r="E303" s="1263"/>
      <c r="F303" s="1263"/>
    </row>
    <row r="304" spans="1:6">
      <c r="D304" s="1263"/>
      <c r="E304" s="1263"/>
      <c r="F304" s="1263"/>
    </row>
    <row r="305" spans="1:7">
      <c r="D305" s="1263"/>
      <c r="E305" s="1263"/>
      <c r="F305" s="1263"/>
    </row>
    <row r="306" spans="1:7">
      <c r="D306" s="35"/>
      <c r="E306" s="35"/>
      <c r="F306" s="35"/>
    </row>
    <row r="307" spans="1:7" ht="14.25">
      <c r="A307" s="176"/>
      <c r="B307" s="469" t="s">
        <v>309</v>
      </c>
      <c r="D307" s="1263" t="s">
        <v>1256</v>
      </c>
      <c r="E307" s="1263"/>
      <c r="F307" s="1263"/>
    </row>
    <row r="308" spans="1:7">
      <c r="D308" s="1263"/>
      <c r="E308" s="1263"/>
      <c r="F308" s="1263"/>
      <c r="G308"/>
    </row>
    <row r="309" spans="1:7">
      <c r="D309" s="1263"/>
      <c r="E309" s="1263"/>
      <c r="F309" s="1263"/>
      <c r="G309"/>
    </row>
    <row r="310" spans="1:7">
      <c r="D310" s="1263"/>
      <c r="E310" s="1263"/>
      <c r="F310" s="1263"/>
      <c r="G310"/>
    </row>
    <row r="311" spans="1:7">
      <c r="D311" s="1263"/>
      <c r="E311" s="1263"/>
      <c r="F311" s="1263"/>
      <c r="G311"/>
    </row>
    <row r="312" spans="1:7">
      <c r="D312" s="1263"/>
      <c r="E312" s="1263"/>
      <c r="F312" s="1263"/>
      <c r="G312"/>
    </row>
    <row r="313" spans="1:7">
      <c r="D313" s="475"/>
      <c r="E313" s="475"/>
      <c r="F313" s="475"/>
      <c r="G313"/>
    </row>
    <row r="314" spans="1:7" ht="13.5" thickBot="1">
      <c r="D314" s="1286" t="s">
        <v>1017</v>
      </c>
      <c r="E314" s="1286"/>
      <c r="F314" s="1286"/>
      <c r="G314"/>
    </row>
    <row r="315" spans="1:7" ht="13.5" thickTop="1">
      <c r="D315" s="1287" t="s">
        <v>1257</v>
      </c>
      <c r="E315" s="1287"/>
      <c r="F315" s="1287"/>
      <c r="G315"/>
    </row>
    <row r="316" spans="1:7">
      <c r="A316" s="218"/>
      <c r="B316" s="218"/>
      <c r="C316" s="218"/>
      <c r="D316" s="220"/>
      <c r="E316" s="220"/>
      <c r="F316" s="35"/>
      <c r="G316"/>
    </row>
    <row r="317" spans="1:7" ht="14.25">
      <c r="A317" s="176"/>
      <c r="B317" s="469" t="s">
        <v>309</v>
      </c>
      <c r="C317" s="218"/>
      <c r="D317" s="1276" t="s">
        <v>1258</v>
      </c>
      <c r="E317" s="1276"/>
      <c r="F317" s="1276"/>
      <c r="G317"/>
    </row>
    <row r="318" spans="1:7">
      <c r="A318" s="218"/>
      <c r="B318" s="218"/>
      <c r="C318" s="218"/>
      <c r="D318" s="220"/>
      <c r="E318" s="220"/>
      <c r="F318" s="35"/>
      <c r="G318"/>
    </row>
    <row r="319" spans="1:7">
      <c r="A319" s="218"/>
      <c r="B319" s="469" t="s">
        <v>309</v>
      </c>
      <c r="C319" s="218"/>
      <c r="D319" s="1272" t="s">
        <v>1259</v>
      </c>
      <c r="E319" s="1272"/>
      <c r="F319" s="1272"/>
      <c r="G319"/>
    </row>
    <row r="320" spans="1:7">
      <c r="A320" s="218"/>
      <c r="B320" s="218"/>
      <c r="C320" s="218"/>
      <c r="D320" s="1272"/>
      <c r="E320" s="1272"/>
      <c r="F320" s="1272"/>
      <c r="G320"/>
    </row>
    <row r="321" spans="1:7">
      <c r="A321" s="218"/>
      <c r="B321" s="218"/>
      <c r="C321" s="218"/>
      <c r="D321" s="1272"/>
      <c r="E321" s="1272"/>
      <c r="F321" s="1272"/>
      <c r="G321"/>
    </row>
    <row r="322" spans="1:7">
      <c r="A322" s="218"/>
      <c r="B322" s="218"/>
      <c r="C322" s="218"/>
      <c r="D322" s="1272"/>
      <c r="E322" s="1272"/>
      <c r="F322" s="1272"/>
      <c r="G322"/>
    </row>
    <row r="323" spans="1:7">
      <c r="A323" s="218"/>
      <c r="B323" s="218"/>
      <c r="C323" s="218"/>
      <c r="D323" s="1272"/>
      <c r="E323" s="1272"/>
      <c r="F323" s="1272"/>
      <c r="G323"/>
    </row>
    <row r="324" spans="1:7">
      <c r="A324" s="218"/>
      <c r="B324" s="218"/>
      <c r="C324" s="218"/>
      <c r="D324" s="1272"/>
      <c r="E324" s="1272"/>
      <c r="F324" s="1272"/>
      <c r="G324"/>
    </row>
    <row r="325" spans="1:7">
      <c r="A325" s="218"/>
      <c r="B325" s="218"/>
      <c r="C325" s="218"/>
      <c r="D325" s="1272"/>
      <c r="E325" s="1272"/>
      <c r="F325" s="1272"/>
      <c r="G325"/>
    </row>
    <row r="326" spans="1:7">
      <c r="A326" s="218"/>
      <c r="B326" s="218"/>
      <c r="C326" s="218"/>
      <c r="D326" s="1272"/>
      <c r="E326" s="1272"/>
      <c r="F326" s="1272"/>
      <c r="G326"/>
    </row>
    <row r="327" spans="1:7">
      <c r="A327" s="218"/>
      <c r="B327" s="218"/>
      <c r="C327" s="218"/>
      <c r="D327" s="1272"/>
      <c r="E327" s="1272"/>
      <c r="F327" s="1272"/>
      <c r="G327"/>
    </row>
    <row r="328" spans="1:7">
      <c r="A328" s="218"/>
      <c r="B328" s="218"/>
      <c r="C328" s="218"/>
      <c r="D328" s="1272"/>
      <c r="E328" s="1272"/>
      <c r="F328" s="1272"/>
      <c r="G328"/>
    </row>
    <row r="329" spans="1:7">
      <c r="A329" s="218"/>
      <c r="B329" s="218"/>
      <c r="C329" s="218"/>
      <c r="D329" s="1272"/>
      <c r="E329" s="1272"/>
      <c r="F329" s="1272"/>
      <c r="G329"/>
    </row>
    <row r="330" spans="1:7">
      <c r="A330" s="218"/>
      <c r="B330" s="218"/>
      <c r="C330" s="218"/>
      <c r="D330"/>
      <c r="E330" s="220"/>
      <c r="F330" s="35"/>
      <c r="G330"/>
    </row>
    <row r="331" spans="1:7" ht="14.25">
      <c r="A331" s="176"/>
      <c r="B331" s="469" t="s">
        <v>309</v>
      </c>
      <c r="C331" s="218"/>
      <c r="D331" s="1272" t="s">
        <v>1260</v>
      </c>
      <c r="E331" s="1272"/>
      <c r="F331" s="1272"/>
      <c r="G331"/>
    </row>
    <row r="332" spans="1:7">
      <c r="A332" s="218"/>
      <c r="B332" s="218"/>
      <c r="C332" s="218"/>
      <c r="D332" s="1272"/>
      <c r="E332" s="1272"/>
      <c r="F332" s="1272"/>
      <c r="G332"/>
    </row>
    <row r="333" spans="1:7">
      <c r="A333" s="218"/>
      <c r="B333" s="218"/>
      <c r="C333" s="218"/>
      <c r="D333" s="1272"/>
      <c r="E333" s="1272"/>
      <c r="F333" s="1272"/>
      <c r="G333"/>
    </row>
    <row r="334" spans="1:7">
      <c r="A334" s="218"/>
      <c r="B334" s="218"/>
      <c r="C334" s="218"/>
      <c r="D334" s="1272"/>
      <c r="E334" s="1272"/>
      <c r="F334" s="1272"/>
      <c r="G334"/>
    </row>
    <row r="335" spans="1:7">
      <c r="A335" s="218"/>
      <c r="B335" s="218"/>
      <c r="C335" s="218"/>
      <c r="D335" s="220"/>
      <c r="E335" s="220"/>
      <c r="F335" s="35"/>
      <c r="G335"/>
    </row>
    <row r="336" spans="1:7">
      <c r="A336" s="218"/>
      <c r="B336" s="218"/>
      <c r="C336" s="218"/>
      <c r="D336" s="1272" t="s">
        <v>1261</v>
      </c>
      <c r="E336" s="1272"/>
      <c r="F336" s="1272"/>
      <c r="G336"/>
    </row>
    <row r="337" spans="1:7">
      <c r="A337" s="218"/>
      <c r="B337" s="218"/>
      <c r="C337" s="218"/>
      <c r="D337" s="1272"/>
      <c r="E337" s="1272"/>
      <c r="F337" s="1272"/>
      <c r="G337"/>
    </row>
    <row r="338" spans="1:7">
      <c r="A338" s="218"/>
      <c r="B338" s="218"/>
      <c r="C338" s="218"/>
      <c r="D338" s="1272"/>
      <c r="E338" s="1272"/>
      <c r="F338" s="1272"/>
      <c r="G338"/>
    </row>
    <row r="339" spans="1:7">
      <c r="A339" s="218"/>
      <c r="B339" s="218"/>
      <c r="C339" s="218"/>
      <c r="D339" s="1272"/>
      <c r="E339" s="1272"/>
      <c r="F339" s="1272"/>
      <c r="G339"/>
    </row>
    <row r="340" spans="1:7" ht="18" customHeight="1">
      <c r="A340" s="218"/>
      <c r="B340" s="218"/>
      <c r="C340" s="218"/>
      <c r="D340" s="1272"/>
      <c r="E340" s="1272"/>
      <c r="F340" s="1272"/>
      <c r="G340"/>
    </row>
    <row r="341" spans="1:7">
      <c r="A341" s="218"/>
      <c r="B341" s="218"/>
      <c r="C341" s="218"/>
      <c r="D341" s="1272"/>
      <c r="E341" s="1272"/>
      <c r="F341" s="1272"/>
      <c r="G341"/>
    </row>
    <row r="342" spans="1:7">
      <c r="A342" s="218"/>
      <c r="B342" s="218"/>
      <c r="C342" s="218"/>
      <c r="D342" s="1272"/>
      <c r="E342" s="1272"/>
      <c r="F342" s="1272"/>
      <c r="G342"/>
    </row>
    <row r="343" spans="1:7">
      <c r="A343" s="218"/>
      <c r="B343" s="218"/>
      <c r="C343" s="218"/>
      <c r="D343" s="1272"/>
      <c r="E343" s="1272"/>
      <c r="F343" s="1272"/>
      <c r="G343"/>
    </row>
    <row r="344" spans="1:7" ht="8.25" customHeight="1">
      <c r="A344" s="218"/>
      <c r="B344" s="218"/>
      <c r="C344" s="218"/>
      <c r="D344" s="1272"/>
      <c r="E344" s="1272"/>
      <c r="F344" s="1272"/>
      <c r="G344"/>
    </row>
    <row r="345" spans="1:7" ht="13.15" customHeight="1">
      <c r="A345" s="218"/>
      <c r="B345" s="218"/>
      <c r="C345" s="218"/>
      <c r="D345" s="1272" t="s">
        <v>1262</v>
      </c>
      <c r="E345" s="1272"/>
      <c r="F345" s="1272"/>
      <c r="G345"/>
    </row>
    <row r="346" spans="1:7">
      <c r="A346" s="218"/>
      <c r="B346" s="218"/>
      <c r="C346" s="218"/>
      <c r="D346" s="1272"/>
      <c r="E346" s="1272"/>
      <c r="F346" s="1272"/>
      <c r="G346"/>
    </row>
    <row r="347" spans="1:7">
      <c r="A347" s="218"/>
      <c r="B347" s="218"/>
      <c r="C347" s="218"/>
      <c r="D347" s="1272"/>
      <c r="E347" s="1272"/>
      <c r="F347" s="1272"/>
      <c r="G347"/>
    </row>
    <row r="348" spans="1:7">
      <c r="A348" s="218"/>
      <c r="B348" s="218"/>
      <c r="C348" s="218"/>
      <c r="D348" s="1272"/>
      <c r="E348" s="1272"/>
      <c r="F348" s="1272"/>
      <c r="G348"/>
    </row>
    <row r="349" spans="1:7">
      <c r="A349" s="218"/>
      <c r="B349" s="218"/>
      <c r="C349" s="218"/>
      <c r="D349" s="1272"/>
      <c r="E349" s="1272"/>
      <c r="F349" s="1272"/>
      <c r="G349"/>
    </row>
    <row r="350" spans="1:7">
      <c r="A350" s="218"/>
      <c r="B350" s="218"/>
      <c r="C350" s="218"/>
      <c r="D350" s="1272"/>
      <c r="E350" s="1272"/>
      <c r="F350" s="1272"/>
      <c r="G350"/>
    </row>
    <row r="351" spans="1:7">
      <c r="A351" s="218"/>
      <c r="B351" s="218"/>
      <c r="C351" s="218"/>
      <c r="D351" s="1272"/>
      <c r="E351" s="1272"/>
      <c r="F351" s="1272"/>
      <c r="G351"/>
    </row>
    <row r="352" spans="1:7">
      <c r="A352" s="218"/>
      <c r="B352" s="218"/>
      <c r="C352" s="218"/>
      <c r="D352" s="1272"/>
      <c r="E352" s="1272"/>
      <c r="F352" s="1272"/>
      <c r="G352"/>
    </row>
    <row r="353" spans="1:7">
      <c r="A353" s="218"/>
      <c r="B353" s="218"/>
      <c r="C353" s="218"/>
      <c r="D353" s="1272"/>
      <c r="E353" s="1272"/>
      <c r="F353" s="1272"/>
      <c r="G353"/>
    </row>
    <row r="354" spans="1:7">
      <c r="A354" s="218"/>
      <c r="B354" s="218"/>
      <c r="C354" s="218"/>
      <c r="D354" s="1272"/>
      <c r="E354" s="1272"/>
      <c r="F354" s="1272"/>
      <c r="G354"/>
    </row>
    <row r="355" spans="1:7">
      <c r="A355" s="218"/>
      <c r="B355" s="218"/>
      <c r="C355" s="218"/>
      <c r="D355" s="1272"/>
      <c r="E355" s="1272"/>
      <c r="F355" s="1272"/>
      <c r="G355"/>
    </row>
    <row r="356" spans="1:7">
      <c r="A356" s="218"/>
      <c r="B356" s="218"/>
      <c r="C356" s="218"/>
      <c r="D356" s="1272"/>
      <c r="E356" s="1272"/>
      <c r="F356" s="1272"/>
      <c r="G356"/>
    </row>
    <row r="357" spans="1:7">
      <c r="A357" s="218"/>
      <c r="B357" s="218"/>
      <c r="C357" s="348"/>
      <c r="D357" s="1272"/>
      <c r="E357" s="1272"/>
      <c r="F357" s="1272"/>
      <c r="G357"/>
    </row>
    <row r="358" spans="1:7">
      <c r="A358" s="218"/>
      <c r="B358" s="218"/>
      <c r="C358" s="348"/>
      <c r="D358" s="1272"/>
      <c r="E358" s="1272"/>
      <c r="F358" s="1272"/>
      <c r="G358"/>
    </row>
    <row r="359" spans="1:7">
      <c r="A359" s="218"/>
      <c r="B359" s="218"/>
      <c r="C359" s="218"/>
      <c r="D359" s="1272"/>
      <c r="E359" s="1272"/>
      <c r="F359" s="1272"/>
      <c r="G359"/>
    </row>
    <row r="360" spans="1:7">
      <c r="A360" s="218"/>
      <c r="B360" s="218"/>
      <c r="C360" s="348"/>
      <c r="D360" s="1272"/>
      <c r="E360" s="1272"/>
      <c r="F360" s="1272"/>
      <c r="G360"/>
    </row>
    <row r="361" spans="1:7">
      <c r="A361" s="218"/>
      <c r="B361" s="218"/>
      <c r="C361" s="348"/>
      <c r="D361" s="1272"/>
      <c r="E361" s="1272"/>
      <c r="F361" s="1272"/>
      <c r="G361"/>
    </row>
    <row r="362" spans="1:7">
      <c r="A362" s="218"/>
      <c r="B362" s="218"/>
      <c r="C362" s="348"/>
      <c r="D362" s="1272"/>
      <c r="E362" s="1272"/>
      <c r="F362" s="1272"/>
      <c r="G362"/>
    </row>
    <row r="363" spans="1:7">
      <c r="A363" s="218"/>
      <c r="B363" s="218"/>
      <c r="C363" s="218"/>
      <c r="D363" s="220"/>
      <c r="E363" s="220"/>
      <c r="F363" s="35"/>
      <c r="G363"/>
    </row>
    <row r="364" spans="1:7">
      <c r="A364" s="218"/>
      <c r="B364" s="469" t="s">
        <v>309</v>
      </c>
      <c r="C364" s="218"/>
      <c r="D364" s="1272" t="s">
        <v>1263</v>
      </c>
      <c r="E364" s="1272"/>
      <c r="F364" s="1272"/>
      <c r="G364"/>
    </row>
    <row r="365" spans="1:7">
      <c r="A365" s="218"/>
      <c r="B365" s="218"/>
      <c r="C365" s="218"/>
      <c r="D365" s="1272"/>
      <c r="E365" s="1272"/>
      <c r="F365" s="1272"/>
      <c r="G365"/>
    </row>
    <row r="366" spans="1:7">
      <c r="A366" s="218"/>
      <c r="B366" s="218"/>
      <c r="C366" s="218"/>
      <c r="D366" s="220"/>
      <c r="E366" s="220"/>
      <c r="F366" s="35"/>
      <c r="G366"/>
    </row>
    <row r="367" spans="1:7" ht="14.25">
      <c r="A367" s="176"/>
      <c r="B367" s="469" t="s">
        <v>309</v>
      </c>
      <c r="C367" s="218"/>
      <c r="D367" s="1272" t="s">
        <v>1264</v>
      </c>
      <c r="E367" s="1272"/>
      <c r="F367" s="1272"/>
      <c r="G367"/>
    </row>
    <row r="368" spans="1:7" ht="14.25">
      <c r="A368" s="347"/>
      <c r="B368" s="347"/>
      <c r="C368" s="218"/>
      <c r="D368" s="1272"/>
      <c r="E368" s="1272"/>
      <c r="F368" s="1272"/>
      <c r="G368"/>
    </row>
    <row r="369" spans="1:7" ht="14.25">
      <c r="A369" s="347"/>
      <c r="B369" s="347"/>
      <c r="C369" s="218"/>
      <c r="D369" s="1272"/>
      <c r="E369" s="1272"/>
      <c r="F369" s="1272"/>
      <c r="G369"/>
    </row>
    <row r="370" spans="1:7" ht="14.25">
      <c r="A370" s="347"/>
      <c r="B370" s="347"/>
      <c r="C370" s="218"/>
      <c r="D370" s="1272"/>
      <c r="E370" s="1272"/>
      <c r="F370" s="1272"/>
      <c r="G370"/>
    </row>
    <row r="371" spans="1:7" ht="14.25">
      <c r="A371" s="347"/>
      <c r="B371" s="347"/>
      <c r="C371" s="218"/>
      <c r="D371" s="1272"/>
      <c r="E371" s="1272"/>
      <c r="F371" s="1272"/>
      <c r="G371"/>
    </row>
    <row r="372" spans="1:7">
      <c r="D372" s="35"/>
      <c r="E372" s="35"/>
      <c r="F372" s="35"/>
      <c r="G372"/>
    </row>
    <row r="373" spans="1:7" ht="14.25">
      <c r="A373" s="176"/>
      <c r="B373" s="469" t="s">
        <v>309</v>
      </c>
      <c r="C373" s="179"/>
      <c r="D373" s="1263" t="s">
        <v>1265</v>
      </c>
      <c r="E373" s="1263"/>
      <c r="F373" s="1263"/>
      <c r="G373"/>
    </row>
    <row r="374" spans="1:7" ht="14.25">
      <c r="A374" s="176"/>
      <c r="B374" s="176"/>
      <c r="D374" s="1263"/>
      <c r="E374" s="1263"/>
      <c r="F374" s="1263"/>
      <c r="G374"/>
    </row>
    <row r="375" spans="1:7">
      <c r="D375" s="1263"/>
      <c r="E375" s="1263"/>
      <c r="F375" s="1263"/>
      <c r="G375"/>
    </row>
    <row r="376" spans="1:7">
      <c r="D376" s="1263"/>
      <c r="E376" s="1263"/>
      <c r="F376" s="1263"/>
      <c r="G376"/>
    </row>
    <row r="377" spans="1:7">
      <c r="D377" s="1263"/>
      <c r="E377" s="1263"/>
      <c r="F377" s="1263"/>
      <c r="G377"/>
    </row>
    <row r="378" spans="1:7">
      <c r="D378" s="1263"/>
      <c r="E378" s="1263"/>
      <c r="F378" s="1263"/>
      <c r="G378"/>
    </row>
    <row r="379" spans="1:7">
      <c r="D379" s="1263"/>
      <c r="E379" s="1263"/>
      <c r="F379" s="1263"/>
      <c r="G379"/>
    </row>
    <row r="380" spans="1:7">
      <c r="D380" s="1263"/>
      <c r="E380" s="1263"/>
      <c r="F380" s="1263"/>
      <c r="G380"/>
    </row>
    <row r="381" spans="1:7">
      <c r="D381" s="1263"/>
      <c r="E381" s="1263"/>
      <c r="F381" s="1263"/>
      <c r="G381"/>
    </row>
    <row r="382" spans="1:7">
      <c r="D382" s="1263"/>
      <c r="E382" s="1263"/>
      <c r="F382" s="1263"/>
      <c r="G382"/>
    </row>
    <row r="383" spans="1:7">
      <c r="D383" s="1263"/>
      <c r="E383" s="1263"/>
      <c r="F383" s="1263"/>
      <c r="G383"/>
    </row>
    <row r="384" spans="1:7">
      <c r="D384" s="1263"/>
      <c r="E384" s="1263"/>
      <c r="F384" s="1263"/>
      <c r="G384"/>
    </row>
    <row r="385" spans="1:7">
      <c r="D385" s="1263"/>
      <c r="E385" s="1263"/>
      <c r="F385" s="1263"/>
      <c r="G385"/>
    </row>
    <row r="386" spans="1:7">
      <c r="A386"/>
      <c r="B386"/>
      <c r="C386"/>
      <c r="D386" s="1263"/>
      <c r="E386" s="1263"/>
      <c r="F386" s="1263"/>
      <c r="G386"/>
    </row>
    <row r="387" spans="1:7">
      <c r="A387"/>
      <c r="B387"/>
      <c r="C387"/>
      <c r="D387" s="1263"/>
      <c r="E387" s="1263"/>
      <c r="F387" s="1263"/>
      <c r="G387"/>
    </row>
    <row r="388" spans="1:7">
      <c r="A388"/>
      <c r="B388"/>
      <c r="C388"/>
      <c r="D388" s="1263"/>
      <c r="E388" s="1263"/>
      <c r="F388" s="1263"/>
      <c r="G388"/>
    </row>
    <row r="389" spans="1:7">
      <c r="A389"/>
      <c r="B389"/>
      <c r="C389"/>
      <c r="D389" s="1263"/>
      <c r="E389" s="1263"/>
      <c r="F389" s="1263"/>
      <c r="G389"/>
    </row>
    <row r="390" spans="1:7">
      <c r="A390"/>
      <c r="B390"/>
      <c r="C390"/>
      <c r="D390" s="1263"/>
      <c r="E390" s="1263"/>
      <c r="F390" s="1263"/>
      <c r="G390"/>
    </row>
    <row r="391" spans="1:7">
      <c r="A391"/>
      <c r="B391"/>
      <c r="C391"/>
      <c r="D391" s="1263"/>
      <c r="E391" s="1263"/>
      <c r="F391" s="1263"/>
      <c r="G391"/>
    </row>
    <row r="392" spans="1:7">
      <c r="A392"/>
      <c r="B392"/>
      <c r="C392"/>
      <c r="D392" s="1263"/>
      <c r="E392" s="1263"/>
      <c r="F392" s="1263"/>
      <c r="G392"/>
    </row>
    <row r="393" spans="1:7">
      <c r="A393"/>
      <c r="B393"/>
      <c r="C393"/>
      <c r="D393" s="1263"/>
      <c r="E393" s="1263"/>
      <c r="F393" s="1263"/>
      <c r="G393"/>
    </row>
    <row r="394" spans="1:7">
      <c r="A394"/>
      <c r="B394"/>
      <c r="C394"/>
      <c r="D394" s="1263"/>
      <c r="E394" s="1263"/>
      <c r="F394" s="1263"/>
      <c r="G394"/>
    </row>
    <row r="395" spans="1:7">
      <c r="A395"/>
      <c r="B395"/>
      <c r="C395"/>
      <c r="D395" s="1263"/>
      <c r="E395" s="1263"/>
      <c r="F395" s="1263"/>
      <c r="G395"/>
    </row>
    <row r="396" spans="1:7">
      <c r="A396"/>
      <c r="B396"/>
      <c r="C396"/>
      <c r="D396" s="1263"/>
      <c r="E396" s="1263"/>
      <c r="F396" s="1263"/>
      <c r="G396"/>
    </row>
    <row r="397" spans="1:7">
      <c r="A397"/>
      <c r="B397"/>
      <c r="C397"/>
      <c r="D397" s="1263"/>
      <c r="E397" s="1263"/>
      <c r="F397" s="1263"/>
      <c r="G397"/>
    </row>
    <row r="398" spans="1:7">
      <c r="A398"/>
      <c r="B398"/>
      <c r="C398"/>
      <c r="D398" s="1263"/>
      <c r="E398" s="1263"/>
      <c r="F398" s="1263"/>
      <c r="G398"/>
    </row>
    <row r="399" spans="1:7">
      <c r="A399"/>
      <c r="B399"/>
      <c r="C399"/>
      <c r="D399" s="1263"/>
      <c r="E399" s="1263"/>
      <c r="F399" s="1263"/>
      <c r="G399"/>
    </row>
    <row r="400" spans="1:7">
      <c r="A400"/>
      <c r="B400"/>
      <c r="C400"/>
      <c r="D400" s="1263"/>
      <c r="E400" s="1263"/>
      <c r="F400" s="1263"/>
      <c r="G400"/>
    </row>
    <row r="401" spans="1:7">
      <c r="A401"/>
      <c r="B401"/>
      <c r="C401"/>
      <c r="D401" s="1263"/>
      <c r="E401" s="1263"/>
      <c r="F401" s="1263"/>
      <c r="G401"/>
    </row>
    <row r="402" spans="1:7">
      <c r="D402" s="1263"/>
      <c r="E402" s="1263"/>
      <c r="F402" s="1263"/>
    </row>
    <row r="403" spans="1:7" ht="40.700000000000003" customHeight="1">
      <c r="D403" s="1263"/>
      <c r="E403" s="1263"/>
      <c r="F403" s="1263"/>
    </row>
    <row r="404" spans="1:7">
      <c r="D404" s="35"/>
      <c r="E404" s="35"/>
      <c r="F404" s="35"/>
    </row>
    <row r="405" spans="1:7" ht="14.25">
      <c r="A405" s="176"/>
      <c r="B405" s="469" t="s">
        <v>309</v>
      </c>
      <c r="C405" s="179"/>
      <c r="D405" s="1274" t="s">
        <v>1266</v>
      </c>
      <c r="E405" s="1274"/>
      <c r="F405" s="1274"/>
    </row>
    <row r="406" spans="1:7">
      <c r="D406" s="1284" t="s">
        <v>1037</v>
      </c>
      <c r="E406" s="1284"/>
      <c r="F406" s="1284"/>
    </row>
    <row r="407" spans="1:7">
      <c r="D407" s="1263" t="s">
        <v>1267</v>
      </c>
      <c r="E407" s="1263"/>
      <c r="F407" s="1263"/>
    </row>
    <row r="408" spans="1:7">
      <c r="D408" s="1263"/>
      <c r="E408" s="1263"/>
      <c r="F408" s="1263"/>
    </row>
    <row r="409" spans="1:7">
      <c r="D409" s="1263"/>
      <c r="E409" s="1263"/>
      <c r="F409" s="1263"/>
    </row>
    <row r="410" spans="1:7">
      <c r="D410" s="1263"/>
      <c r="E410" s="1263"/>
      <c r="F410" s="1263"/>
    </row>
    <row r="411" spans="1:7">
      <c r="D411" s="35"/>
      <c r="E411" s="35"/>
      <c r="F411" s="35"/>
      <c r="G411"/>
    </row>
    <row r="412" spans="1:7" ht="14.25">
      <c r="A412" s="176"/>
      <c r="B412" s="469" t="s">
        <v>309</v>
      </c>
      <c r="C412" s="179"/>
      <c r="D412" s="1263" t="s">
        <v>1268</v>
      </c>
      <c r="E412" s="1263"/>
      <c r="F412" s="1263"/>
      <c r="G412"/>
    </row>
    <row r="413" spans="1:7">
      <c r="D413" s="1263"/>
      <c r="E413" s="1263"/>
      <c r="F413" s="1263"/>
      <c r="G413"/>
    </row>
    <row r="414" spans="1:7">
      <c r="D414" s="1263"/>
      <c r="E414" s="1263"/>
      <c r="F414" s="1263"/>
      <c r="G414"/>
    </row>
    <row r="415" spans="1:7">
      <c r="D415" s="475"/>
      <c r="E415" s="475"/>
      <c r="F415" s="475"/>
      <c r="G415"/>
    </row>
    <row r="416" spans="1:7" ht="14.25">
      <c r="B416" s="469" t="s">
        <v>309</v>
      </c>
      <c r="C416" s="176"/>
      <c r="D416" s="1263" t="s">
        <v>1269</v>
      </c>
      <c r="E416" s="1263"/>
      <c r="F416" s="1263"/>
      <c r="G416"/>
    </row>
    <row r="417" spans="1:7">
      <c r="D417" s="1263"/>
      <c r="E417" s="1263"/>
      <c r="F417" s="1263"/>
      <c r="G417"/>
    </row>
    <row r="418" spans="1:7">
      <c r="D418" s="35"/>
      <c r="E418" s="35"/>
      <c r="F418" s="35"/>
      <c r="G418"/>
    </row>
    <row r="419" spans="1:7" ht="14.25">
      <c r="B419" s="469" t="s">
        <v>309</v>
      </c>
      <c r="C419" s="176"/>
      <c r="D419" s="1263" t="s">
        <v>1270</v>
      </c>
      <c r="E419" s="1263"/>
      <c r="F419" s="1263"/>
      <c r="G419"/>
    </row>
    <row r="420" spans="1:7">
      <c r="D420" s="1263"/>
      <c r="E420" s="1263"/>
      <c r="F420" s="1263"/>
      <c r="G420"/>
    </row>
    <row r="421" spans="1:7">
      <c r="D421" s="1263"/>
      <c r="E421" s="1263"/>
      <c r="F421" s="1263"/>
      <c r="G421"/>
    </row>
    <row r="422" spans="1:7">
      <c r="D422" s="1263"/>
      <c r="E422" s="1263"/>
      <c r="F422" s="1263"/>
      <c r="G422"/>
    </row>
    <row r="423" spans="1:7">
      <c r="B423" s="469" t="s">
        <v>309</v>
      </c>
      <c r="D423" s="1263"/>
      <c r="E423" s="1263"/>
      <c r="F423" s="1263"/>
      <c r="G423"/>
    </row>
    <row r="424" spans="1:7">
      <c r="A424"/>
      <c r="B424"/>
      <c r="C424"/>
      <c r="D424" s="1263"/>
      <c r="E424" s="1263"/>
      <c r="F424" s="1263"/>
      <c r="G424"/>
    </row>
    <row r="425" spans="1:7">
      <c r="A425"/>
      <c r="C425"/>
      <c r="D425" s="1263"/>
      <c r="E425" s="1263"/>
      <c r="F425" s="1263"/>
      <c r="G425"/>
    </row>
    <row r="426" spans="1:7">
      <c r="A426"/>
      <c r="B426" s="469" t="s">
        <v>309</v>
      </c>
      <c r="C426"/>
      <c r="D426" s="1263"/>
      <c r="E426" s="1263"/>
      <c r="F426" s="1263"/>
      <c r="G426"/>
    </row>
    <row r="427" spans="1:7">
      <c r="A427"/>
      <c r="B427"/>
      <c r="C427"/>
      <c r="D427" s="1263"/>
      <c r="E427" s="1263"/>
      <c r="F427" s="1263"/>
      <c r="G427"/>
    </row>
    <row r="428" spans="1:7">
      <c r="A428"/>
      <c r="C428"/>
      <c r="D428" s="1263"/>
      <c r="E428" s="1263"/>
      <c r="F428" s="1263"/>
      <c r="G428"/>
    </row>
    <row r="429" spans="1:7">
      <c r="A429"/>
      <c r="C429"/>
      <c r="D429" s="1263"/>
      <c r="E429" s="1263"/>
      <c r="F429" s="1263"/>
      <c r="G429"/>
    </row>
    <row r="430" spans="1:7">
      <c r="A430"/>
      <c r="B430" s="469" t="s">
        <v>309</v>
      </c>
      <c r="C430"/>
      <c r="D430" s="1263"/>
      <c r="E430" s="1263"/>
      <c r="F430" s="1263"/>
      <c r="G430"/>
    </row>
    <row r="431" spans="1:7">
      <c r="A431"/>
      <c r="B431"/>
      <c r="C431"/>
      <c r="D431" s="1263"/>
      <c r="E431" s="1263"/>
      <c r="F431" s="1263"/>
      <c r="G431"/>
    </row>
    <row r="432" spans="1:7">
      <c r="A432"/>
      <c r="B432" s="469" t="s">
        <v>309</v>
      </c>
      <c r="C432"/>
      <c r="D432" s="1263"/>
      <c r="E432" s="1263"/>
      <c r="F432" s="1263"/>
      <c r="G432"/>
    </row>
    <row r="433" spans="1:7">
      <c r="A433"/>
      <c r="B433"/>
      <c r="C433"/>
      <c r="D433" s="475"/>
      <c r="E433" s="475"/>
      <c r="F433" s="475"/>
      <c r="G433"/>
    </row>
    <row r="434" spans="1:7">
      <c r="A434"/>
      <c r="B434" s="469" t="s">
        <v>309</v>
      </c>
      <c r="C434"/>
      <c r="D434" s="1263" t="s">
        <v>1271</v>
      </c>
      <c r="E434" s="1263"/>
      <c r="F434" s="1263"/>
      <c r="G434"/>
    </row>
    <row r="435" spans="1:7">
      <c r="A435"/>
      <c r="B435"/>
      <c r="C435"/>
      <c r="D435" s="1263"/>
      <c r="E435" s="1263"/>
      <c r="F435" s="1263"/>
      <c r="G435"/>
    </row>
    <row r="436" spans="1:7">
      <c r="A436"/>
      <c r="B436"/>
      <c r="C436"/>
      <c r="D436" s="1263"/>
      <c r="E436" s="1263"/>
      <c r="F436" s="1263"/>
      <c r="G436"/>
    </row>
    <row r="437" spans="1:7">
      <c r="A437"/>
      <c r="B437"/>
      <c r="C437"/>
      <c r="D437" s="1263"/>
      <c r="E437" s="1263"/>
      <c r="F437" s="1263"/>
      <c r="G437"/>
    </row>
    <row r="438" spans="1:7">
      <c r="D438" s="1263"/>
      <c r="E438" s="1263"/>
      <c r="F438" s="1263"/>
    </row>
    <row r="439" spans="1:7">
      <c r="D439" s="35"/>
      <c r="E439" s="35"/>
      <c r="F439" s="35"/>
    </row>
    <row r="440" spans="1:7">
      <c r="B440" s="469" t="s">
        <v>309</v>
      </c>
      <c r="D440" s="1274" t="s">
        <v>1272</v>
      </c>
      <c r="E440" s="1274"/>
      <c r="F440" s="1274"/>
    </row>
    <row r="441" spans="1:7">
      <c r="A441" s="35"/>
      <c r="B441" s="35"/>
    </row>
    <row r="442" spans="1:7">
      <c r="A442" s="1278" t="s">
        <v>1113</v>
      </c>
      <c r="B442" s="1278"/>
      <c r="C442" s="1278"/>
      <c r="D442" s="1278"/>
      <c r="E442" s="1278"/>
      <c r="F442" s="1278"/>
      <c r="G442" s="1278"/>
    </row>
    <row r="443" spans="1:7">
      <c r="A443" s="35"/>
      <c r="B443" s="35"/>
    </row>
    <row r="444" spans="1:7">
      <c r="D444" s="1275" t="s">
        <v>912</v>
      </c>
      <c r="E444" s="1275"/>
      <c r="F444" s="1275"/>
    </row>
    <row r="445" spans="1:7" ht="14.25">
      <c r="A445" s="176"/>
      <c r="B445" s="176"/>
      <c r="D445" s="1276" t="s">
        <v>1273</v>
      </c>
      <c r="E445" s="1276"/>
      <c r="F445" s="1276"/>
    </row>
    <row r="446" spans="1:7" ht="14.25">
      <c r="A446" s="176"/>
      <c r="B446" s="176"/>
      <c r="D446" s="482"/>
      <c r="E446" s="3"/>
      <c r="F446" s="3"/>
    </row>
    <row r="447" spans="1:7" ht="14.25">
      <c r="A447" s="176"/>
      <c r="B447" s="469" t="s">
        <v>309</v>
      </c>
      <c r="D447" s="1272" t="s">
        <v>1274</v>
      </c>
      <c r="E447" s="1272"/>
      <c r="F447" s="1272"/>
    </row>
    <row r="448" spans="1:7" ht="14.25">
      <c r="A448" s="176"/>
      <c r="B448" s="176"/>
      <c r="D448" s="1272"/>
      <c r="E448" s="1272"/>
      <c r="F448" s="1272"/>
    </row>
    <row r="449" spans="1:7" ht="14.25">
      <c r="A449" s="176"/>
      <c r="B449" s="176"/>
      <c r="D449" s="118"/>
      <c r="E449" s="3"/>
      <c r="F449" s="3"/>
    </row>
    <row r="450" spans="1:7">
      <c r="B450" s="469" t="s">
        <v>309</v>
      </c>
      <c r="D450" s="1277" t="s">
        <v>1275</v>
      </c>
      <c r="E450" s="1277"/>
      <c r="F450" s="1277"/>
    </row>
    <row r="451" spans="1:7" ht="14.25">
      <c r="A451" s="176"/>
      <c r="D451" s="1277"/>
      <c r="E451" s="1277"/>
      <c r="F451" s="1277"/>
    </row>
    <row r="452" spans="1:7" ht="14.25">
      <c r="A452" s="176"/>
      <c r="B452" s="176"/>
      <c r="D452" s="1277"/>
      <c r="E452" s="1277"/>
      <c r="F452" s="1277"/>
    </row>
    <row r="453" spans="1:7" ht="14.25">
      <c r="A453" s="176"/>
      <c r="B453" s="176"/>
      <c r="D453" s="1277"/>
      <c r="E453" s="1277"/>
      <c r="F453" s="1277"/>
    </row>
    <row r="454" spans="1:7">
      <c r="D454" s="3"/>
      <c r="E454" s="3"/>
      <c r="F454" s="3"/>
      <c r="G454"/>
    </row>
    <row r="455" spans="1:7" ht="14.25">
      <c r="A455" s="176"/>
      <c r="B455" s="469" t="s">
        <v>309</v>
      </c>
      <c r="D455" s="1263" t="s">
        <v>1276</v>
      </c>
      <c r="E455" s="1263"/>
      <c r="F455" s="1263"/>
      <c r="G455"/>
    </row>
    <row r="456" spans="1:7" ht="14.25">
      <c r="A456" s="176"/>
      <c r="B456" s="176"/>
      <c r="D456" s="1263"/>
      <c r="E456" s="1263"/>
      <c r="F456" s="1263"/>
      <c r="G456"/>
    </row>
    <row r="457" spans="1:7" ht="14.25">
      <c r="A457" s="176"/>
      <c r="D457" s="1263"/>
      <c r="E457" s="1263"/>
      <c r="F457" s="1263"/>
      <c r="G457"/>
    </row>
    <row r="458" spans="1:7" ht="14.25">
      <c r="A458" s="176"/>
      <c r="B458" s="176"/>
      <c r="D458" s="3"/>
      <c r="E458" s="3"/>
      <c r="F458" s="3"/>
      <c r="G458"/>
    </row>
    <row r="459" spans="1:7" ht="14.25">
      <c r="A459" s="176"/>
      <c r="B459" s="469" t="s">
        <v>309</v>
      </c>
      <c r="D459" s="1274" t="s">
        <v>1277</v>
      </c>
      <c r="E459" s="1274"/>
      <c r="F459" s="1274"/>
      <c r="G459"/>
    </row>
    <row r="460" spans="1:7" ht="14.25">
      <c r="A460" s="176"/>
      <c r="B460" s="176"/>
      <c r="D460" s="118"/>
      <c r="E460" s="3"/>
      <c r="F460" s="3"/>
      <c r="G460"/>
    </row>
    <row r="461" spans="1:7" ht="14.25">
      <c r="A461" s="176"/>
      <c r="B461" s="469" t="s">
        <v>309</v>
      </c>
      <c r="D461" s="1263" t="s">
        <v>1278</v>
      </c>
      <c r="E461" s="1263"/>
      <c r="F461" s="1263"/>
      <c r="G461"/>
    </row>
    <row r="462" spans="1:7" ht="14.25">
      <c r="A462" s="176"/>
      <c r="D462" s="1263"/>
      <c r="E462" s="1263"/>
      <c r="F462" s="1263"/>
      <c r="G462"/>
    </row>
    <row r="463" spans="1:7">
      <c r="A463" s="13"/>
      <c r="B463" s="13"/>
      <c r="D463" s="482"/>
      <c r="E463" s="3"/>
      <c r="F463" s="3"/>
      <c r="G463"/>
    </row>
    <row r="464" spans="1:7">
      <c r="A464" s="13"/>
      <c r="B464" s="469" t="s">
        <v>309</v>
      </c>
      <c r="D464" s="1274" t="s">
        <v>1279</v>
      </c>
      <c r="E464" s="1274"/>
      <c r="F464" s="1274"/>
      <c r="G464"/>
    </row>
    <row r="465" spans="1:7" ht="14.25">
      <c r="A465" s="176"/>
      <c r="B465" s="176"/>
      <c r="D465" s="35"/>
    </row>
    <row r="466" spans="1:7">
      <c r="A466" s="1278" t="s">
        <v>1114</v>
      </c>
      <c r="B466" s="1278"/>
      <c r="C466" s="1278"/>
      <c r="D466" s="1278"/>
      <c r="E466" s="1278"/>
      <c r="F466" s="1278"/>
      <c r="G466" s="1278"/>
    </row>
    <row r="467" spans="1:7" ht="12" customHeight="1">
      <c r="A467" s="176"/>
      <c r="B467" s="176"/>
      <c r="D467" s="35"/>
    </row>
    <row r="468" spans="1:7">
      <c r="C468" s="172"/>
      <c r="D468" s="1279" t="s">
        <v>817</v>
      </c>
      <c r="E468" s="1279"/>
      <c r="F468" s="1279"/>
    </row>
    <row r="469" spans="1:7" ht="13.15" customHeight="1">
      <c r="A469" s="175"/>
      <c r="B469" s="175"/>
      <c r="C469" s="175"/>
      <c r="D469" s="1280" t="s">
        <v>1157</v>
      </c>
      <c r="E469" s="1280"/>
      <c r="F469" s="1280"/>
    </row>
    <row r="470" spans="1:7">
      <c r="A470" s="175"/>
      <c r="B470" s="175"/>
      <c r="C470" s="175"/>
      <c r="D470" s="1280"/>
      <c r="E470" s="1280"/>
      <c r="F470" s="1280"/>
    </row>
    <row r="471" spans="1:7">
      <c r="A471" s="175"/>
      <c r="B471" s="175"/>
      <c r="C471" s="175"/>
      <c r="D471" s="1280"/>
      <c r="E471" s="1280"/>
      <c r="F471" s="1280"/>
    </row>
    <row r="472" spans="1:7">
      <c r="A472" s="175"/>
      <c r="B472" s="175"/>
      <c r="C472" s="175"/>
      <c r="D472" s="1280"/>
      <c r="E472" s="1280"/>
      <c r="F472" s="1280"/>
    </row>
    <row r="473" spans="1:7">
      <c r="A473" s="175"/>
      <c r="B473" s="175"/>
      <c r="C473" s="175"/>
      <c r="D473" s="1280"/>
      <c r="E473" s="1280"/>
      <c r="F473" s="1280"/>
    </row>
    <row r="474" spans="1:7">
      <c r="A474" s="175"/>
      <c r="B474" s="175"/>
      <c r="C474" s="175"/>
      <c r="D474" s="326"/>
      <c r="F474" s="35"/>
    </row>
    <row r="475" spans="1:7" ht="14.45" customHeight="1">
      <c r="A475" s="176"/>
      <c r="B475" s="469" t="s">
        <v>309</v>
      </c>
      <c r="C475" s="175"/>
      <c r="D475" s="1294" t="s">
        <v>1148</v>
      </c>
      <c r="E475" s="1294"/>
      <c r="F475" s="1294"/>
    </row>
    <row r="476" spans="1:7">
      <c r="A476" s="175"/>
      <c r="B476" s="175"/>
      <c r="C476" s="175"/>
      <c r="D476" s="1294"/>
      <c r="E476" s="1294"/>
      <c r="F476" s="1294"/>
    </row>
    <row r="477" spans="1:7">
      <c r="A477" s="175"/>
      <c r="B477" s="175"/>
      <c r="C477" s="175"/>
      <c r="D477" s="1294"/>
      <c r="E477" s="1294"/>
      <c r="F477" s="1294"/>
    </row>
    <row r="478" spans="1:7">
      <c r="A478" s="175"/>
      <c r="B478" s="175"/>
      <c r="C478" s="175"/>
      <c r="D478" s="1294"/>
      <c r="E478" s="1294"/>
      <c r="F478" s="1294"/>
    </row>
    <row r="479" spans="1:7">
      <c r="A479" s="175"/>
      <c r="B479" s="175"/>
      <c r="C479" s="175"/>
      <c r="D479" s="1294"/>
      <c r="E479" s="1294"/>
      <c r="F479" s="1294"/>
    </row>
    <row r="480" spans="1:7">
      <c r="A480" s="175"/>
      <c r="B480" s="175"/>
      <c r="C480" s="175"/>
      <c r="D480" s="220"/>
      <c r="F480" s="35"/>
    </row>
    <row r="481" spans="1:6" ht="14.45" customHeight="1">
      <c r="A481" s="176"/>
      <c r="B481" s="469" t="s">
        <v>309</v>
      </c>
      <c r="C481" s="175"/>
      <c r="D481" s="1294" t="s">
        <v>1151</v>
      </c>
      <c r="E481" s="1294"/>
      <c r="F481" s="1294"/>
    </row>
    <row r="482" spans="1:6">
      <c r="A482" s="175"/>
      <c r="B482" s="175"/>
      <c r="C482" s="175"/>
      <c r="D482" s="1294"/>
      <c r="E482" s="1294"/>
      <c r="F482" s="1294"/>
    </row>
    <row r="483" spans="1:6">
      <c r="A483" s="175"/>
      <c r="B483" s="175"/>
      <c r="C483" s="175"/>
      <c r="D483" s="1294"/>
      <c r="E483" s="1294"/>
      <c r="F483" s="1294"/>
    </row>
    <row r="484" spans="1:6">
      <c r="A484" s="175"/>
      <c r="B484" s="175"/>
      <c r="C484" s="175"/>
      <c r="D484" s="1294"/>
      <c r="E484" s="1294"/>
      <c r="F484" s="1294"/>
    </row>
    <row r="485" spans="1:6" ht="9.9499999999999993" customHeight="1">
      <c r="A485" s="175"/>
      <c r="B485" s="175"/>
      <c r="C485" s="175"/>
      <c r="D485" s="220"/>
      <c r="F485" s="35"/>
    </row>
    <row r="486" spans="1:6" ht="14.45" customHeight="1">
      <c r="A486" s="176"/>
      <c r="B486" s="469" t="s">
        <v>309</v>
      </c>
      <c r="C486" s="175"/>
      <c r="D486" s="1294" t="s">
        <v>1149</v>
      </c>
      <c r="E486" s="1294"/>
      <c r="F486" s="1294"/>
    </row>
    <row r="487" spans="1:6">
      <c r="A487" s="175"/>
      <c r="B487" s="175"/>
      <c r="C487" s="175"/>
      <c r="D487" s="1294"/>
      <c r="E487" s="1294"/>
      <c r="F487" s="1294"/>
    </row>
    <row r="488" spans="1:6">
      <c r="A488" s="175"/>
      <c r="B488" s="175"/>
      <c r="C488" s="175"/>
      <c r="D488" s="1294"/>
      <c r="E488" s="1294"/>
      <c r="F488" s="1294"/>
    </row>
    <row r="489" spans="1:6">
      <c r="A489" s="175"/>
      <c r="B489" s="175"/>
      <c r="C489" s="175"/>
      <c r="D489" s="476"/>
      <c r="E489" s="476"/>
      <c r="F489" s="476"/>
    </row>
    <row r="490" spans="1:6" ht="14.45" customHeight="1">
      <c r="A490" s="176"/>
      <c r="B490" s="469" t="s">
        <v>309</v>
      </c>
      <c r="C490" s="175"/>
      <c r="D490" s="1294" t="s">
        <v>1150</v>
      </c>
      <c r="E490" s="1294"/>
      <c r="F490" s="1294"/>
    </row>
    <row r="491" spans="1:6">
      <c r="A491" s="175"/>
      <c r="B491" s="175"/>
      <c r="C491" s="175"/>
      <c r="D491" s="1294"/>
      <c r="E491" s="1294"/>
      <c r="F491" s="1294"/>
    </row>
    <row r="492" spans="1:6">
      <c r="A492" s="175"/>
      <c r="B492" s="175"/>
      <c r="C492" s="175"/>
      <c r="D492" s="1294"/>
      <c r="E492" s="1294"/>
      <c r="F492" s="1294"/>
    </row>
    <row r="493" spans="1:6">
      <c r="A493" s="175"/>
      <c r="B493" s="175"/>
      <c r="C493" s="175"/>
      <c r="D493" s="1294"/>
      <c r="E493" s="1294"/>
      <c r="F493" s="1294"/>
    </row>
    <row r="494" spans="1:6">
      <c r="A494" s="175"/>
      <c r="B494" s="175"/>
      <c r="C494" s="175"/>
      <c r="D494" s="1294"/>
      <c r="E494" s="1294"/>
      <c r="F494" s="1294"/>
    </row>
    <row r="495" spans="1:6">
      <c r="A495" s="175"/>
      <c r="B495" s="175"/>
      <c r="C495" s="175"/>
      <c r="D495" s="1294"/>
      <c r="E495" s="1294"/>
      <c r="F495" s="1294"/>
    </row>
    <row r="496" spans="1:6">
      <c r="A496" s="175"/>
      <c r="B496" s="175"/>
      <c r="C496" s="175"/>
      <c r="D496" s="1294"/>
      <c r="E496" s="1294"/>
      <c r="F496" s="1294"/>
    </row>
    <row r="497" spans="1:7">
      <c r="A497" s="175"/>
      <c r="B497" s="175"/>
      <c r="C497" s="175"/>
      <c r="D497" s="1294"/>
      <c r="E497" s="1294"/>
      <c r="F497" s="1294"/>
    </row>
    <row r="498" spans="1:7">
      <c r="A498" s="175"/>
      <c r="B498" s="175"/>
      <c r="C498" s="175"/>
      <c r="D498" s="1294"/>
      <c r="E498" s="1294"/>
      <c r="F498" s="1294"/>
    </row>
    <row r="499" spans="1:7">
      <c r="A499" s="175"/>
      <c r="B499" s="175"/>
      <c r="C499" s="175"/>
      <c r="D499" s="220"/>
      <c r="F499" s="35"/>
    </row>
    <row r="500" spans="1:7" ht="13.15" customHeight="1">
      <c r="A500" s="175"/>
      <c r="B500" s="469" t="s">
        <v>309</v>
      </c>
      <c r="C500" s="175"/>
      <c r="D500" s="1272" t="s">
        <v>1294</v>
      </c>
      <c r="E500" s="1272"/>
      <c r="F500" s="1272"/>
    </row>
    <row r="501" spans="1:7">
      <c r="A501" s="175"/>
      <c r="B501" s="175"/>
      <c r="C501" s="175"/>
      <c r="D501" s="1272"/>
      <c r="E501" s="1272"/>
      <c r="F501" s="1272"/>
    </row>
    <row r="502" spans="1:7">
      <c r="A502" s="175"/>
      <c r="B502" s="175"/>
      <c r="C502" s="175"/>
      <c r="D502" s="1272"/>
      <c r="E502" s="1272"/>
      <c r="F502" s="1272"/>
    </row>
    <row r="503" spans="1:7">
      <c r="A503" s="175"/>
      <c r="B503" s="175"/>
      <c r="C503" s="175"/>
      <c r="D503" s="1272"/>
      <c r="E503" s="1272"/>
      <c r="F503" s="1272"/>
    </row>
    <row r="504" spans="1:7">
      <c r="A504" s="175"/>
      <c r="B504" s="175"/>
      <c r="C504" s="175"/>
      <c r="D504" s="1272"/>
      <c r="E504" s="1272"/>
      <c r="F504" s="1272"/>
    </row>
    <row r="505" spans="1:7">
      <c r="A505" s="175"/>
      <c r="B505" s="175"/>
      <c r="C505" s="175"/>
      <c r="D505" s="486"/>
      <c r="E505" s="486"/>
      <c r="F505" s="486"/>
    </row>
    <row r="506" spans="1:7" ht="14.45" customHeight="1">
      <c r="A506" s="176"/>
      <c r="B506" s="469" t="s">
        <v>309</v>
      </c>
      <c r="D506" s="1294" t="s">
        <v>1152</v>
      </c>
      <c r="E506" s="1294"/>
      <c r="F506" s="1294"/>
    </row>
    <row r="507" spans="1:7">
      <c r="D507" s="1294"/>
      <c r="E507" s="1294"/>
      <c r="F507" s="1294"/>
    </row>
    <row r="508" spans="1:7">
      <c r="D508" s="1294"/>
      <c r="E508" s="1294"/>
      <c r="F508" s="1294"/>
    </row>
    <row r="509" spans="1:7" ht="12" customHeight="1">
      <c r="A509" s="35"/>
      <c r="B509" s="35"/>
      <c r="C509" s="179"/>
      <c r="D509" s="35"/>
      <c r="F509" s="57"/>
    </row>
    <row r="510" spans="1:7">
      <c r="A510" s="1278" t="s">
        <v>1115</v>
      </c>
      <c r="B510" s="1278"/>
      <c r="C510" s="1278"/>
      <c r="D510" s="1278"/>
      <c r="E510" s="1278"/>
      <c r="F510" s="1278"/>
      <c r="G510" s="1278"/>
    </row>
    <row r="511" spans="1:7">
      <c r="A511" s="35"/>
      <c r="B511" s="35"/>
      <c r="C511" s="179"/>
      <c r="F511" s="57"/>
    </row>
    <row r="512" spans="1:7">
      <c r="B512" s="1295" t="s">
        <v>449</v>
      </c>
      <c r="C512" s="1295"/>
      <c r="D512" s="1295"/>
      <c r="E512" s="1295"/>
      <c r="F512" s="1295"/>
    </row>
    <row r="513" spans="1:7">
      <c r="A513" s="35"/>
      <c r="B513" s="35"/>
      <c r="C513" s="179"/>
      <c r="D513" s="35"/>
      <c r="F513" s="35"/>
    </row>
    <row r="514" spans="1:7">
      <c r="A514" s="1309" t="s">
        <v>1116</v>
      </c>
      <c r="B514" s="1309"/>
      <c r="C514" s="1309"/>
      <c r="D514" s="1309"/>
      <c r="E514" s="1309"/>
      <c r="F514" s="1309"/>
      <c r="G514" s="1309"/>
    </row>
    <row r="515" spans="1:7">
      <c r="A515" s="35"/>
      <c r="B515" s="35"/>
      <c r="C515" s="179"/>
      <c r="D515" s="35"/>
      <c r="F515" s="35"/>
    </row>
    <row r="516" spans="1:7">
      <c r="C516" s="179"/>
      <c r="D516" s="1279" t="s">
        <v>692</v>
      </c>
      <c r="E516" s="1279"/>
      <c r="F516" s="1279"/>
    </row>
    <row r="517" spans="1:7">
      <c r="C517" s="179"/>
      <c r="D517" s="1274" t="s">
        <v>1173</v>
      </c>
      <c r="E517" s="1274"/>
      <c r="F517" s="1274"/>
    </row>
    <row r="518" spans="1:7">
      <c r="C518" s="179"/>
      <c r="D518" s="118"/>
      <c r="E518" s="118"/>
      <c r="F518" s="118"/>
    </row>
    <row r="519" spans="1:7" ht="13.15" customHeight="1">
      <c r="A519" s="176"/>
      <c r="B519" s="469" t="s">
        <v>309</v>
      </c>
      <c r="C519" s="179"/>
      <c r="D519" s="1274" t="s">
        <v>913</v>
      </c>
      <c r="E519" s="1274"/>
      <c r="F519" s="1274"/>
      <c r="G519"/>
    </row>
    <row r="520" spans="1:7" ht="13.15" customHeight="1">
      <c r="A520" s="179"/>
      <c r="B520" s="179"/>
      <c r="C520" s="179"/>
      <c r="D520" s="118"/>
      <c r="E520"/>
      <c r="F520"/>
      <c r="G520"/>
    </row>
    <row r="521" spans="1:7" ht="14.25">
      <c r="A521" s="176"/>
      <c r="B521" s="469" t="s">
        <v>309</v>
      </c>
      <c r="C521" s="179"/>
      <c r="D521" s="1263" t="s">
        <v>1174</v>
      </c>
      <c r="E521" s="1263"/>
      <c r="F521" s="1263"/>
      <c r="G521"/>
    </row>
    <row r="522" spans="1:7">
      <c r="A522" s="179"/>
      <c r="B522" s="179"/>
      <c r="C522" s="179"/>
      <c r="D522" s="1263"/>
      <c r="E522" s="1263"/>
      <c r="F522" s="1263"/>
      <c r="G522"/>
    </row>
    <row r="523" spans="1:7">
      <c r="A523" s="179"/>
      <c r="B523" s="179"/>
      <c r="C523" s="179"/>
      <c r="D523" s="35"/>
      <c r="E523" s="35"/>
      <c r="F523" s="35"/>
      <c r="G523"/>
    </row>
    <row r="524" spans="1:7" ht="14.25">
      <c r="A524" s="176"/>
      <c r="B524" s="469" t="s">
        <v>309</v>
      </c>
      <c r="C524" s="179"/>
      <c r="D524" s="1263" t="s">
        <v>1175</v>
      </c>
      <c r="E524" s="1263"/>
      <c r="F524" s="1263"/>
      <c r="G524"/>
    </row>
    <row r="525" spans="1:7">
      <c r="A525" s="179"/>
      <c r="B525" s="179"/>
      <c r="C525" s="179"/>
      <c r="D525" s="1263"/>
      <c r="E525" s="1263"/>
      <c r="F525" s="1263"/>
      <c r="G525"/>
    </row>
    <row r="526" spans="1:7">
      <c r="A526" s="179"/>
      <c r="B526" s="179"/>
      <c r="C526" s="179"/>
      <c r="D526" s="35"/>
      <c r="E526" s="35"/>
      <c r="F526" s="35"/>
      <c r="G526"/>
    </row>
    <row r="527" spans="1:7" ht="14.25">
      <c r="A527" s="176"/>
      <c r="B527" s="469" t="s">
        <v>309</v>
      </c>
      <c r="C527" s="179"/>
      <c r="D527" s="1263" t="s">
        <v>1176</v>
      </c>
      <c r="E527" s="1263"/>
      <c r="F527" s="1263"/>
      <c r="G527"/>
    </row>
    <row r="528" spans="1:7">
      <c r="A528" s="179"/>
      <c r="B528" s="179"/>
      <c r="C528" s="179"/>
      <c r="D528" s="1263"/>
      <c r="E528" s="1263"/>
      <c r="F528" s="1263"/>
      <c r="G528"/>
    </row>
    <row r="529" spans="1:7">
      <c r="A529" s="179"/>
      <c r="B529" s="179"/>
      <c r="C529" s="179"/>
      <c r="D529" s="35"/>
      <c r="E529" s="35"/>
      <c r="F529" s="35"/>
      <c r="G529"/>
    </row>
    <row r="530" spans="1:7" ht="14.25">
      <c r="A530" s="176"/>
      <c r="B530" s="469" t="s">
        <v>309</v>
      </c>
      <c r="C530" s="179"/>
      <c r="D530" s="1263" t="s">
        <v>1177</v>
      </c>
      <c r="E530" s="1263"/>
      <c r="F530" s="1263"/>
      <c r="G530"/>
    </row>
    <row r="531" spans="1:7">
      <c r="A531" s="179"/>
      <c r="B531" s="179"/>
      <c r="C531" s="179"/>
      <c r="D531" s="1263"/>
      <c r="E531" s="1263"/>
      <c r="F531" s="1263"/>
      <c r="G531"/>
    </row>
    <row r="532" spans="1:7">
      <c r="A532" s="179"/>
      <c r="B532" s="179"/>
      <c r="C532" s="179"/>
      <c r="D532" s="1263"/>
      <c r="E532" s="1263"/>
      <c r="F532" s="1263"/>
      <c r="G532"/>
    </row>
    <row r="533" spans="1:7">
      <c r="A533" s="179"/>
      <c r="B533" s="179"/>
      <c r="C533" s="179"/>
      <c r="D533" s="35"/>
      <c r="E533" s="35"/>
      <c r="F533" s="35"/>
    </row>
    <row r="534" spans="1:7" ht="14.25">
      <c r="A534" s="176"/>
      <c r="B534" s="469" t="s">
        <v>309</v>
      </c>
      <c r="C534" s="179"/>
      <c r="D534" s="1263" t="s">
        <v>1295</v>
      </c>
      <c r="E534" s="1263"/>
      <c r="F534" s="1263"/>
    </row>
    <row r="535" spans="1:7">
      <c r="A535" s="179"/>
      <c r="B535" s="179"/>
      <c r="C535" s="179"/>
      <c r="D535" s="1263"/>
      <c r="E535" s="1263"/>
      <c r="F535" s="1263"/>
    </row>
    <row r="536" spans="1:7">
      <c r="A536" s="179"/>
      <c r="B536" s="179"/>
      <c r="C536" s="179"/>
      <c r="D536" s="35"/>
      <c r="E536" s="35"/>
      <c r="F536" s="35"/>
    </row>
    <row r="537" spans="1:7" ht="14.25">
      <c r="A537" s="176"/>
      <c r="B537" s="469" t="s">
        <v>309</v>
      </c>
      <c r="C537" s="179"/>
      <c r="D537" s="1263" t="s">
        <v>1178</v>
      </c>
      <c r="E537" s="1263"/>
      <c r="F537" s="1263"/>
    </row>
    <row r="538" spans="1:7">
      <c r="A538" s="179"/>
      <c r="B538" s="179"/>
      <c r="C538" s="179"/>
      <c r="D538" s="1263"/>
      <c r="E538" s="1263"/>
      <c r="F538" s="1263"/>
    </row>
    <row r="539" spans="1:7">
      <c r="A539" s="179"/>
      <c r="B539" s="179"/>
      <c r="C539" s="179"/>
      <c r="D539" s="35"/>
      <c r="E539" s="35"/>
      <c r="F539" s="35"/>
    </row>
    <row r="540" spans="1:7" ht="14.25">
      <c r="A540" s="176"/>
      <c r="B540" s="469" t="s">
        <v>309</v>
      </c>
      <c r="C540" s="179"/>
      <c r="D540" s="1263" t="s">
        <v>1179</v>
      </c>
      <c r="E540" s="1263"/>
      <c r="F540" s="1263"/>
    </row>
    <row r="541" spans="1:7">
      <c r="A541" s="179"/>
      <c r="B541" s="179"/>
      <c r="C541" s="179"/>
      <c r="D541" s="1263"/>
      <c r="E541" s="1263"/>
      <c r="F541" s="1263"/>
    </row>
    <row r="542" spans="1:7">
      <c r="A542" s="179"/>
      <c r="B542" s="179"/>
      <c r="C542" s="179"/>
      <c r="D542" s="35"/>
      <c r="E542" s="35"/>
      <c r="F542" s="35"/>
    </row>
    <row r="543" spans="1:7" ht="14.25">
      <c r="A543" s="176"/>
      <c r="B543" s="469" t="s">
        <v>309</v>
      </c>
      <c r="C543" s="179"/>
      <c r="D543" s="1274" t="s">
        <v>1180</v>
      </c>
      <c r="E543" s="1274"/>
      <c r="F543" s="1274"/>
    </row>
    <row r="544" spans="1:7">
      <c r="A544" s="13"/>
      <c r="B544" s="13"/>
      <c r="C544" s="179"/>
      <c r="D544" s="1274" t="s">
        <v>846</v>
      </c>
      <c r="E544" s="1274"/>
      <c r="F544" s="1274"/>
    </row>
    <row r="545" spans="1:7">
      <c r="A545" s="13"/>
      <c r="B545" s="13"/>
      <c r="C545" s="179"/>
      <c r="D545" s="3"/>
      <c r="E545" s="1285" t="s">
        <v>1181</v>
      </c>
      <c r="F545" s="1285"/>
    </row>
    <row r="546" spans="1:7" ht="14.25">
      <c r="A546" s="176"/>
      <c r="B546" s="176"/>
      <c r="C546" s="179"/>
      <c r="E546" s="35"/>
      <c r="F546" s="35"/>
    </row>
    <row r="547" spans="1:7" ht="14.25">
      <c r="A547" s="176"/>
      <c r="B547" s="469" t="s">
        <v>309</v>
      </c>
      <c r="C547" s="179"/>
      <c r="D547" s="1274" t="s">
        <v>1182</v>
      </c>
      <c r="E547" s="1274"/>
      <c r="F547" s="1274"/>
    </row>
    <row r="548" spans="1:7">
      <c r="C548" s="179"/>
      <c r="D548" s="1263" t="s">
        <v>1183</v>
      </c>
      <c r="E548" s="1263"/>
      <c r="F548" s="1263"/>
    </row>
    <row r="549" spans="1:7">
      <c r="A549" s="179"/>
      <c r="B549" s="179"/>
      <c r="C549" s="179"/>
      <c r="D549" s="1263"/>
      <c r="E549" s="1263"/>
      <c r="F549" s="1263"/>
    </row>
    <row r="550" spans="1:7">
      <c r="A550" s="179"/>
      <c r="B550" s="179"/>
      <c r="C550" s="179"/>
      <c r="D550" s="1263"/>
      <c r="E550" s="1263"/>
      <c r="F550" s="1263"/>
    </row>
    <row r="551" spans="1:7">
      <c r="A551" s="179"/>
      <c r="B551" s="179"/>
      <c r="C551" s="179"/>
      <c r="D551" s="35"/>
      <c r="E551" s="35"/>
      <c r="F551" s="35"/>
    </row>
    <row r="552" spans="1:7" ht="14.25">
      <c r="A552" s="176"/>
      <c r="B552" s="469" t="s">
        <v>309</v>
      </c>
      <c r="C552" s="179"/>
      <c r="D552" s="1263" t="s">
        <v>1184</v>
      </c>
      <c r="E552" s="1263"/>
      <c r="F552" s="1263"/>
    </row>
    <row r="553" spans="1:7" ht="14.25">
      <c r="A553" s="176"/>
      <c r="B553" s="176"/>
      <c r="C553" s="179"/>
      <c r="D553" s="1263"/>
      <c r="E553" s="1263"/>
      <c r="F553" s="1263"/>
    </row>
    <row r="554" spans="1:7" ht="14.25">
      <c r="A554" s="176"/>
      <c r="B554" s="176"/>
      <c r="C554" s="179"/>
      <c r="D554" s="1263"/>
      <c r="E554" s="1263"/>
      <c r="F554" s="1263"/>
    </row>
    <row r="555" spans="1:7" ht="14.25">
      <c r="A555" s="176"/>
      <c r="B555" s="176"/>
      <c r="C555" s="179"/>
      <c r="D555" s="1263"/>
      <c r="E555" s="1263"/>
      <c r="F555" s="1263"/>
    </row>
    <row r="556" spans="1:7" ht="14.25">
      <c r="A556" s="176"/>
      <c r="B556" s="176"/>
      <c r="C556" s="179"/>
      <c r="D556" s="35"/>
      <c r="E556" s="35"/>
      <c r="F556" s="35"/>
    </row>
    <row r="557" spans="1:7">
      <c r="A557" s="1278" t="s">
        <v>1117</v>
      </c>
      <c r="B557" s="1278"/>
      <c r="C557" s="1278"/>
      <c r="D557" s="1278"/>
      <c r="E557" s="1278"/>
      <c r="F557" s="1278"/>
      <c r="G557" s="1278"/>
    </row>
    <row r="558" spans="1:7">
      <c r="A558" s="179"/>
      <c r="B558" s="179"/>
      <c r="C558" s="179"/>
      <c r="E558" s="35"/>
      <c r="F558" s="35"/>
    </row>
    <row r="559" spans="1:7" ht="12.75" customHeight="1">
      <c r="C559" s="172"/>
      <c r="D559" s="1296" t="s">
        <v>212</v>
      </c>
      <c r="E559" s="1296"/>
      <c r="F559" s="1296"/>
    </row>
    <row r="560" spans="1:7">
      <c r="A560" s="175"/>
      <c r="B560" s="175"/>
      <c r="C560" s="175"/>
      <c r="D560" s="1277" t="s">
        <v>1133</v>
      </c>
      <c r="E560" s="1277"/>
      <c r="F560" s="1277"/>
    </row>
    <row r="561" spans="1:6">
      <c r="A561"/>
      <c r="B561"/>
      <c r="C561" s="175"/>
      <c r="D561" s="255"/>
    </row>
    <row r="562" spans="1:6">
      <c r="A562" s="175"/>
      <c r="B562" s="469" t="s">
        <v>309</v>
      </c>
      <c r="D562" s="1277" t="s">
        <v>919</v>
      </c>
      <c r="E562" s="1277"/>
      <c r="F562" s="1277"/>
    </row>
    <row r="563" spans="1:6">
      <c r="A563" s="13"/>
      <c r="B563" s="13"/>
      <c r="D563" s="218"/>
    </row>
    <row r="564" spans="1:6">
      <c r="A564" s="13"/>
      <c r="B564" s="469" t="s">
        <v>309</v>
      </c>
      <c r="D564" s="1277" t="s">
        <v>1134</v>
      </c>
      <c r="E564" s="1277"/>
      <c r="F564" s="1277"/>
    </row>
    <row r="565" spans="1:6">
      <c r="A565" s="13"/>
      <c r="B565" s="13"/>
      <c r="D565" s="1277"/>
      <c r="E565" s="1277"/>
      <c r="F565" s="1277"/>
    </row>
    <row r="566" spans="1:6">
      <c r="A566" s="13"/>
      <c r="B566" s="13"/>
      <c r="D566" s="1277"/>
      <c r="E566" s="1277"/>
      <c r="F566" s="1277"/>
    </row>
    <row r="567" spans="1:6">
      <c r="A567" s="13"/>
      <c r="B567" s="13"/>
      <c r="D567" s="255"/>
    </row>
    <row r="568" spans="1:6">
      <c r="A568" s="13"/>
      <c r="B568" s="469" t="s">
        <v>309</v>
      </c>
      <c r="D568" s="1277" t="s">
        <v>1135</v>
      </c>
      <c r="E568" s="1277"/>
      <c r="F568" s="1277"/>
    </row>
    <row r="569" spans="1:6">
      <c r="A569" s="13"/>
      <c r="B569" s="13"/>
      <c r="D569" s="1277"/>
      <c r="E569" s="1277"/>
      <c r="F569" s="1277"/>
    </row>
    <row r="570" spans="1:6">
      <c r="A570" s="13"/>
      <c r="B570" s="13"/>
      <c r="D570" s="1277"/>
      <c r="E570" s="1277"/>
      <c r="F570" s="1277"/>
    </row>
    <row r="571" spans="1:6">
      <c r="A571" s="13"/>
      <c r="B571" s="13"/>
      <c r="D571" s="1277"/>
      <c r="E571" s="1277"/>
      <c r="F571" s="1277"/>
    </row>
    <row r="572" spans="1:6">
      <c r="A572" s="13"/>
      <c r="B572" s="13"/>
      <c r="D572" s="474"/>
      <c r="E572" s="474"/>
      <c r="F572" s="474"/>
    </row>
    <row r="573" spans="1:6">
      <c r="A573" s="13"/>
      <c r="B573" s="469" t="s">
        <v>309</v>
      </c>
      <c r="D573" s="1277" t="s">
        <v>1136</v>
      </c>
      <c r="E573" s="1277"/>
      <c r="F573" s="1277"/>
    </row>
    <row r="574" spans="1:6">
      <c r="A574" s="13"/>
      <c r="B574" s="13"/>
      <c r="D574" s="1277"/>
      <c r="E574" s="1277"/>
      <c r="F574" s="1277"/>
    </row>
    <row r="575" spans="1:6">
      <c r="A575" s="13"/>
      <c r="B575" s="13"/>
      <c r="D575" s="255"/>
    </row>
    <row r="576" spans="1:6">
      <c r="A576" s="13"/>
      <c r="B576" s="469" t="s">
        <v>309</v>
      </c>
      <c r="D576" s="1277" t="s">
        <v>1137</v>
      </c>
      <c r="E576" s="1277"/>
      <c r="F576" s="1277"/>
    </row>
    <row r="577" spans="1:7">
      <c r="A577" s="13"/>
      <c r="B577" s="13"/>
      <c r="D577" s="1277"/>
      <c r="E577" s="1277"/>
      <c r="F577" s="1277"/>
    </row>
    <row r="578" spans="1:7">
      <c r="A578" s="13"/>
      <c r="B578" s="13"/>
      <c r="D578" s="255"/>
    </row>
    <row r="579" spans="1:7" ht="14.25">
      <c r="A579" s="176"/>
      <c r="B579" s="469" t="s">
        <v>309</v>
      </c>
      <c r="D579" s="1277" t="s">
        <v>914</v>
      </c>
      <c r="E579" s="1277"/>
      <c r="F579" s="1277"/>
    </row>
    <row r="580" spans="1:7" ht="14.25">
      <c r="A580" s="176"/>
      <c r="B580" s="176"/>
      <c r="D580" s="255"/>
    </row>
    <row r="581" spans="1:7" ht="14.25">
      <c r="A581" s="176"/>
      <c r="B581" s="469" t="s">
        <v>309</v>
      </c>
      <c r="D581" s="1277" t="s">
        <v>1138</v>
      </c>
      <c r="E581" s="1277"/>
      <c r="F581" s="1277"/>
    </row>
    <row r="582" spans="1:7" ht="14.25">
      <c r="A582" s="176"/>
      <c r="B582" s="176"/>
      <c r="D582" s="1277"/>
      <c r="E582" s="1277"/>
      <c r="F582" s="1277"/>
    </row>
    <row r="583" spans="1:7">
      <c r="D583" s="1277"/>
      <c r="E583" s="1277"/>
      <c r="F583" s="1277"/>
    </row>
    <row r="584" spans="1:7">
      <c r="D584" s="1277"/>
      <c r="E584" s="1277"/>
      <c r="F584" s="1277"/>
    </row>
    <row r="585" spans="1:7">
      <c r="D585" s="1277"/>
      <c r="E585" s="1277"/>
      <c r="F585" s="1277"/>
    </row>
    <row r="586" spans="1:7">
      <c r="D586" s="1277"/>
      <c r="E586" s="1277"/>
      <c r="F586" s="1277"/>
    </row>
    <row r="587" spans="1:7"/>
    <row r="588" spans="1:7">
      <c r="A588" s="1278" t="s">
        <v>1118</v>
      </c>
      <c r="B588" s="1278"/>
      <c r="C588" s="1278"/>
      <c r="D588" s="1278"/>
      <c r="E588" s="1278"/>
      <c r="F588" s="1278"/>
      <c r="G588" s="1278"/>
    </row>
    <row r="589" spans="1:7"/>
    <row r="590" spans="1:7">
      <c r="D590" s="1289" t="s">
        <v>1218</v>
      </c>
      <c r="E590" s="1289"/>
      <c r="F590" s="1289"/>
    </row>
    <row r="591" spans="1:7">
      <c r="D591" s="1312" t="s">
        <v>1219</v>
      </c>
      <c r="E591" s="1312"/>
      <c r="F591" s="1312"/>
    </row>
    <row r="592" spans="1:7">
      <c r="D592" s="479"/>
      <c r="E592" s="434"/>
      <c r="F592" s="434"/>
    </row>
    <row r="593" spans="1:7" ht="14.25">
      <c r="A593" s="176"/>
      <c r="B593" s="469" t="s">
        <v>309</v>
      </c>
      <c r="D593" s="1290" t="s">
        <v>1220</v>
      </c>
      <c r="E593" s="1290"/>
      <c r="F593" s="1290"/>
    </row>
    <row r="594" spans="1:7">
      <c r="D594" s="1290"/>
      <c r="E594" s="1290"/>
      <c r="F594" s="1290"/>
    </row>
    <row r="595" spans="1:7">
      <c r="D595" s="1290"/>
      <c r="E595" s="1290"/>
      <c r="F595" s="1290"/>
    </row>
    <row r="596" spans="1:7"/>
    <row r="597" spans="1:7">
      <c r="A597" s="1278" t="s">
        <v>1119</v>
      </c>
      <c r="B597" s="1278"/>
      <c r="C597" s="1278"/>
      <c r="D597" s="1278"/>
      <c r="E597" s="1278"/>
      <c r="F597" s="1278"/>
      <c r="G597" s="1278"/>
    </row>
    <row r="598" spans="1:7">
      <c r="A598" s="35"/>
      <c r="B598" s="35"/>
    </row>
    <row r="599" spans="1:7">
      <c r="A599" s="172"/>
      <c r="B599" s="172"/>
      <c r="C599" s="172"/>
      <c r="D599" s="1313" t="s">
        <v>1221</v>
      </c>
      <c r="E599" s="1313"/>
      <c r="F599" s="1313"/>
    </row>
    <row r="600" spans="1:7">
      <c r="A600" s="172"/>
      <c r="B600" s="172"/>
      <c r="C600" s="172"/>
      <c r="D600" s="1313"/>
      <c r="E600" s="1313"/>
      <c r="F600" s="1313"/>
    </row>
    <row r="601" spans="1:7">
      <c r="C601" s="175"/>
      <c r="D601" s="1312" t="s">
        <v>1222</v>
      </c>
      <c r="E601" s="1312"/>
      <c r="F601" s="1312"/>
    </row>
    <row r="602" spans="1:7">
      <c r="C602" s="175"/>
      <c r="D602" s="479"/>
      <c r="E602" s="479"/>
      <c r="F602" s="479"/>
    </row>
    <row r="603" spans="1:7">
      <c r="A603" s="13"/>
      <c r="B603" s="469" t="s">
        <v>309</v>
      </c>
      <c r="D603" s="1312" t="s">
        <v>434</v>
      </c>
      <c r="E603" s="1312"/>
      <c r="F603" s="1312"/>
    </row>
    <row r="604" spans="1:7">
      <c r="C604" s="180"/>
      <c r="E604"/>
    </row>
    <row r="605" spans="1:7">
      <c r="A605" s="13"/>
      <c r="B605" s="469" t="s">
        <v>309</v>
      </c>
      <c r="D605" s="1288" t="s">
        <v>1223</v>
      </c>
      <c r="E605" s="1288"/>
      <c r="F605" s="1288"/>
    </row>
    <row r="606" spans="1:7">
      <c r="D606" s="1288"/>
      <c r="E606" s="1288"/>
      <c r="F606" s="1288"/>
    </row>
    <row r="607" spans="1:7">
      <c r="D607"/>
    </row>
    <row r="608" spans="1:7">
      <c r="B608" s="469" t="s">
        <v>309</v>
      </c>
      <c r="D608" s="1288" t="s">
        <v>1224</v>
      </c>
      <c r="E608" s="1288"/>
      <c r="F608" s="1288"/>
    </row>
    <row r="609" spans="1:7">
      <c r="C609" s="180"/>
      <c r="D609" s="1288"/>
      <c r="E609" s="1288"/>
      <c r="F609" s="1288"/>
    </row>
    <row r="610" spans="1:7">
      <c r="C610" s="180"/>
    </row>
    <row r="611" spans="1:7">
      <c r="B611" s="469" t="s">
        <v>309</v>
      </c>
      <c r="C611" s="180"/>
      <c r="D611" s="1288" t="s">
        <v>1225</v>
      </c>
      <c r="E611" s="1288"/>
      <c r="F611" s="1288"/>
    </row>
    <row r="612" spans="1:7">
      <c r="C612" s="180"/>
      <c r="D612" s="1288"/>
      <c r="E612" s="1288"/>
      <c r="F612" s="1288"/>
    </row>
    <row r="613" spans="1:7">
      <c r="C613" s="180"/>
    </row>
    <row r="614" spans="1:7">
      <c r="A614" s="1278" t="s">
        <v>1120</v>
      </c>
      <c r="B614" s="1278"/>
      <c r="C614" s="1278"/>
      <c r="D614" s="1278"/>
      <c r="E614" s="1278"/>
      <c r="F614" s="1278"/>
      <c r="G614" s="1278"/>
    </row>
    <row r="615" spans="1:7">
      <c r="A615" s="172"/>
      <c r="B615" s="172"/>
      <c r="C615" s="172"/>
    </row>
    <row r="616" spans="1:7">
      <c r="C616" s="13"/>
      <c r="D616" s="1289" t="s">
        <v>1226</v>
      </c>
      <c r="E616" s="1289"/>
      <c r="F616" s="1289"/>
    </row>
    <row r="617" spans="1:7">
      <c r="A617" s="13"/>
      <c r="B617" s="13"/>
      <c r="D617" s="2"/>
    </row>
    <row r="618" spans="1:7" ht="14.25">
      <c r="A618" s="176"/>
      <c r="B618" s="469" t="s">
        <v>309</v>
      </c>
      <c r="D618" s="1290" t="s">
        <v>1227</v>
      </c>
      <c r="E618" s="1290"/>
      <c r="F618" s="1290"/>
    </row>
    <row r="619" spans="1:7">
      <c r="D619" s="1290"/>
      <c r="E619" s="1290"/>
      <c r="F619" s="1290"/>
    </row>
    <row r="620" spans="1:7">
      <c r="D620" s="1290"/>
      <c r="E620" s="1290"/>
      <c r="F620" s="1290"/>
    </row>
    <row r="621" spans="1:7">
      <c r="D621" s="1290"/>
      <c r="E621" s="1290"/>
      <c r="F621" s="1290"/>
    </row>
    <row r="622" spans="1:7">
      <c r="D622" s="1290"/>
      <c r="E622" s="1290"/>
      <c r="F622" s="1290"/>
    </row>
    <row r="623" spans="1:7">
      <c r="D623" s="1290"/>
      <c r="E623" s="1290"/>
      <c r="F623" s="1290"/>
    </row>
    <row r="624" spans="1:7">
      <c r="D624" s="480"/>
      <c r="E624" s="480"/>
      <c r="F624" s="480"/>
    </row>
    <row r="625" spans="1:7" ht="14.25">
      <c r="A625" s="176"/>
      <c r="B625" s="469" t="s">
        <v>309</v>
      </c>
      <c r="D625" s="1290" t="s">
        <v>1228</v>
      </c>
      <c r="E625" s="1290"/>
      <c r="F625" s="1290"/>
    </row>
    <row r="626" spans="1:7">
      <c r="A626" s="179"/>
      <c r="B626" s="179"/>
      <c r="C626" s="179"/>
      <c r="D626" s="1290"/>
      <c r="E626" s="1290"/>
      <c r="F626" s="1290"/>
    </row>
    <row r="627" spans="1:7">
      <c r="A627" s="179"/>
      <c r="B627" s="179"/>
      <c r="C627" s="179"/>
      <c r="D627" s="35"/>
      <c r="E627" s="35"/>
      <c r="F627" s="35"/>
    </row>
    <row r="628" spans="1:7" ht="14.25">
      <c r="A628" s="176"/>
      <c r="B628" s="469" t="s">
        <v>309</v>
      </c>
      <c r="C628" s="179"/>
      <c r="D628" s="1290" t="s">
        <v>1229</v>
      </c>
      <c r="E628" s="1290"/>
      <c r="F628" s="1290"/>
    </row>
    <row r="629" spans="1:7" ht="14.25">
      <c r="A629" s="176"/>
      <c r="B629" s="176"/>
      <c r="C629" s="179"/>
      <c r="D629" s="1290"/>
      <c r="E629" s="1290"/>
      <c r="F629" s="1290"/>
    </row>
    <row r="630" spans="1:7" ht="14.25">
      <c r="A630" s="176"/>
      <c r="B630" s="176"/>
      <c r="C630" s="179"/>
      <c r="D630" s="1290"/>
      <c r="E630" s="1290"/>
      <c r="F630" s="1290"/>
    </row>
    <row r="631" spans="1:7">
      <c r="A631" s="179"/>
      <c r="B631" s="179"/>
      <c r="C631" s="179"/>
      <c r="D631" s="1290"/>
      <c r="E631" s="1290"/>
      <c r="F631" s="1290"/>
    </row>
    <row r="632" spans="1:7">
      <c r="A632" s="179"/>
      <c r="B632" s="179"/>
      <c r="C632" s="179"/>
      <c r="D632" s="480"/>
      <c r="E632" s="480"/>
      <c r="F632" s="480"/>
    </row>
    <row r="633" spans="1:7">
      <c r="A633" s="179"/>
      <c r="B633" s="469" t="s">
        <v>309</v>
      </c>
      <c r="C633" s="179"/>
      <c r="D633" s="1291" t="s">
        <v>1230</v>
      </c>
      <c r="E633" s="1291"/>
      <c r="F633" s="1291"/>
    </row>
    <row r="634" spans="1:7">
      <c r="A634" s="179"/>
      <c r="B634" s="179"/>
      <c r="C634" s="179"/>
      <c r="D634" s="481"/>
      <c r="E634" s="481"/>
      <c r="F634" s="481"/>
    </row>
    <row r="635" spans="1:7">
      <c r="A635" s="1278" t="s">
        <v>1121</v>
      </c>
      <c r="B635" s="1278"/>
      <c r="C635" s="1278"/>
      <c r="D635" s="1278"/>
      <c r="E635" s="1278"/>
      <c r="F635" s="1278"/>
      <c r="G635" s="1278"/>
    </row>
    <row r="636" spans="1:7">
      <c r="A636" s="35"/>
      <c r="B636" s="35"/>
      <c r="C636" s="179"/>
      <c r="D636" s="35"/>
      <c r="E636" s="35"/>
      <c r="F636" s="35"/>
    </row>
    <row r="637" spans="1:7">
      <c r="C637" s="172"/>
      <c r="D637" s="1279" t="s">
        <v>1280</v>
      </c>
      <c r="E637" s="1279"/>
      <c r="F637" s="1279"/>
    </row>
    <row r="638" spans="1:7">
      <c r="A638" s="175"/>
      <c r="B638" s="175"/>
      <c r="C638" s="175"/>
      <c r="D638" s="1274" t="s">
        <v>1281</v>
      </c>
      <c r="E638" s="1274"/>
      <c r="F638" s="1274"/>
    </row>
    <row r="639" spans="1:7">
      <c r="A639" s="175"/>
      <c r="B639" s="175"/>
      <c r="C639" s="175"/>
      <c r="D639" s="118"/>
      <c r="E639" s="118"/>
      <c r="F639" s="118"/>
    </row>
    <row r="640" spans="1:7" ht="14.45" customHeight="1">
      <c r="A640" s="176"/>
      <c r="B640" s="469" t="s">
        <v>309</v>
      </c>
      <c r="C640" s="179"/>
      <c r="D640" s="1263" t="s">
        <v>1282</v>
      </c>
      <c r="E640" s="1263"/>
      <c r="F640" s="1263"/>
    </row>
    <row r="641" spans="1:11" ht="14.25">
      <c r="A641" s="176"/>
      <c r="B641" s="176"/>
      <c r="C641" s="179"/>
      <c r="D641" s="1263"/>
      <c r="E641" s="1263"/>
      <c r="F641" s="1263"/>
    </row>
    <row r="642" spans="1:11" ht="14.25">
      <c r="A642" s="176"/>
      <c r="B642" s="176"/>
      <c r="C642" s="179"/>
      <c r="D642" s="1263"/>
      <c r="E642" s="1263"/>
      <c r="F642" s="1263"/>
    </row>
    <row r="643" spans="1:11" ht="14.25">
      <c r="A643" s="176"/>
      <c r="B643" s="176"/>
      <c r="C643" s="179"/>
      <c r="D643" s="1263"/>
      <c r="E643" s="1263"/>
      <c r="F643" s="1263"/>
    </row>
    <row r="644" spans="1:11" ht="14.25">
      <c r="A644" s="176"/>
      <c r="B644" s="176"/>
      <c r="C644" s="179"/>
      <c r="D644" s="1263"/>
      <c r="E644" s="1263"/>
      <c r="F644" s="1263"/>
    </row>
    <row r="645" spans="1:11" ht="14.25">
      <c r="A645" s="176"/>
      <c r="B645" s="176"/>
      <c r="C645" s="179"/>
      <c r="D645" s="475"/>
      <c r="E645" s="475"/>
      <c r="F645" s="475"/>
    </row>
    <row r="646" spans="1:11" ht="14.25">
      <c r="A646" s="176"/>
      <c r="B646" s="469" t="s">
        <v>309</v>
      </c>
      <c r="C646" s="179"/>
      <c r="D646" s="1302" t="s">
        <v>1132</v>
      </c>
      <c r="E646" s="1302"/>
      <c r="F646" s="1302"/>
    </row>
    <row r="647" spans="1:11" ht="14.25">
      <c r="A647" s="176"/>
      <c r="B647" s="176"/>
      <c r="C647" s="179"/>
      <c r="D647" s="1303" t="s">
        <v>1283</v>
      </c>
      <c r="E647" s="1303"/>
      <c r="F647" s="1303"/>
    </row>
    <row r="648" spans="1:11" ht="14.25">
      <c r="A648" s="176"/>
      <c r="B648" s="176"/>
      <c r="C648" s="179"/>
      <c r="D648" s="1303"/>
      <c r="E648" s="1303"/>
      <c r="F648" s="1303"/>
    </row>
    <row r="649" spans="1:11" ht="14.25">
      <c r="A649" s="176"/>
      <c r="B649" s="176"/>
      <c r="C649" s="179"/>
      <c r="D649" s="1303"/>
      <c r="E649" s="1303"/>
      <c r="F649" s="1303"/>
    </row>
    <row r="650" spans="1:11" ht="14.25">
      <c r="A650" s="176"/>
      <c r="B650" s="176"/>
      <c r="C650" s="179"/>
      <c r="D650" s="1303"/>
      <c r="E650" s="1303"/>
      <c r="F650" s="1303"/>
    </row>
    <row r="651" spans="1:11" ht="14.25">
      <c r="A651" s="176"/>
      <c r="B651" s="176"/>
      <c r="C651" s="179"/>
      <c r="D651" s="1303"/>
      <c r="E651" s="1303"/>
      <c r="F651" s="1303"/>
    </row>
    <row r="652" spans="1:11" ht="14.25">
      <c r="A652" s="176"/>
      <c r="B652" s="176"/>
      <c r="C652" s="179"/>
      <c r="D652" s="1304" t="s">
        <v>1284</v>
      </c>
      <c r="E652" s="1304"/>
      <c r="F652" s="1304"/>
    </row>
    <row r="653" spans="1:11">
      <c r="A653" s="179"/>
      <c r="B653" s="179"/>
      <c r="C653" s="179"/>
      <c r="D653" s="35"/>
      <c r="E653" s="35"/>
      <c r="F653" s="35"/>
    </row>
    <row r="654" spans="1:11">
      <c r="A654" s="1278" t="s">
        <v>1122</v>
      </c>
      <c r="B654" s="1278"/>
      <c r="C654" s="1278"/>
      <c r="D654" s="1278"/>
      <c r="E654" s="1278"/>
      <c r="F654" s="1278"/>
      <c r="G654" s="1278"/>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74" t="s">
        <v>1158</v>
      </c>
      <c r="E658" s="1274"/>
      <c r="F658" s="1274"/>
      <c r="H658" s="181"/>
      <c r="I658" s="181"/>
      <c r="J658" s="181"/>
      <c r="K658" s="181"/>
    </row>
    <row r="659" spans="1:11">
      <c r="A659" s="175"/>
      <c r="B659" s="175"/>
      <c r="C659" s="175"/>
      <c r="H659" s="181"/>
      <c r="I659" s="181"/>
      <c r="J659" s="181"/>
      <c r="K659" s="181"/>
    </row>
    <row r="660" spans="1:11" ht="14.25">
      <c r="A660" s="176"/>
      <c r="B660" s="469" t="s">
        <v>309</v>
      </c>
      <c r="C660" s="175"/>
      <c r="D660" s="1274" t="s">
        <v>915</v>
      </c>
      <c r="E660" s="1274"/>
      <c r="F660" s="1274"/>
      <c r="H660" s="181"/>
      <c r="I660" s="181"/>
      <c r="J660" s="181"/>
      <c r="K660" s="181"/>
    </row>
    <row r="661" spans="1:11">
      <c r="A661" s="175"/>
      <c r="B661" s="175"/>
      <c r="C661" s="175"/>
      <c r="D661" s="1274" t="s">
        <v>926</v>
      </c>
      <c r="E661" s="1274"/>
      <c r="F661" s="1274"/>
      <c r="H661" s="181"/>
      <c r="I661" s="181"/>
      <c r="J661" s="181"/>
      <c r="K661" s="181"/>
    </row>
    <row r="662" spans="1:11">
      <c r="A662" s="175"/>
      <c r="B662" s="175"/>
      <c r="C662" s="175"/>
      <c r="D662" s="3"/>
      <c r="E662" s="1273" t="s">
        <v>1159</v>
      </c>
      <c r="F662" s="1273"/>
      <c r="H662" s="181"/>
      <c r="I662" s="181"/>
      <c r="J662" s="181"/>
      <c r="K662" s="181"/>
    </row>
    <row r="663" spans="1:11">
      <c r="A663" s="175"/>
      <c r="B663" s="175"/>
      <c r="C663" s="175"/>
      <c r="D663" s="3"/>
      <c r="E663" s="1273"/>
      <c r="F663" s="1273"/>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3" t="s">
        <v>1160</v>
      </c>
      <c r="E665" s="1263"/>
      <c r="F665" s="1263"/>
      <c r="H665" s="181"/>
      <c r="I665" s="181"/>
      <c r="J665" s="181"/>
      <c r="K665" s="181"/>
    </row>
    <row r="666" spans="1:11">
      <c r="A666" s="13"/>
      <c r="B666" s="13"/>
      <c r="C666" s="175"/>
      <c r="D666" s="1263"/>
      <c r="E666" s="1263"/>
      <c r="F666" s="1263"/>
      <c r="H666" s="181"/>
      <c r="I666" s="181"/>
      <c r="J666" s="181"/>
      <c r="K666" s="181"/>
    </row>
    <row r="667" spans="1:11">
      <c r="A667" s="175"/>
      <c r="B667" s="175"/>
      <c r="C667" s="175"/>
      <c r="D667" s="1263"/>
      <c r="E667" s="1263"/>
      <c r="F667" s="1263"/>
      <c r="H667" s="181"/>
      <c r="I667" s="181"/>
      <c r="J667" s="181"/>
      <c r="K667" s="181"/>
    </row>
    <row r="668" spans="1:11">
      <c r="A668" s="175"/>
      <c r="B668" s="175"/>
      <c r="C668" s="175"/>
      <c r="H668" s="181"/>
      <c r="I668" s="181"/>
      <c r="J668" s="181"/>
      <c r="K668" s="181"/>
    </row>
    <row r="669" spans="1:11" ht="14.25">
      <c r="A669" s="176"/>
      <c r="B669" s="469" t="s">
        <v>309</v>
      </c>
      <c r="C669" s="175"/>
      <c r="D669" s="1274" t="s">
        <v>954</v>
      </c>
      <c r="E669" s="1274"/>
      <c r="F669" s="1274"/>
      <c r="H669" s="181"/>
      <c r="I669" s="181"/>
      <c r="J669" s="181"/>
      <c r="K669" s="181"/>
    </row>
    <row r="670" spans="1:11" ht="14.25">
      <c r="A670" s="176"/>
      <c r="B670" s="176"/>
      <c r="C670" s="175"/>
      <c r="D670" s="1274" t="s">
        <v>926</v>
      </c>
      <c r="E670" s="1274"/>
      <c r="F670" s="1274"/>
      <c r="H670" s="181"/>
      <c r="I670" s="181"/>
      <c r="J670" s="181"/>
      <c r="K670" s="181"/>
    </row>
    <row r="671" spans="1:11">
      <c r="A671" s="175"/>
      <c r="B671" s="175"/>
      <c r="C671" s="175"/>
      <c r="D671" s="3"/>
      <c r="E671" s="1285" t="s">
        <v>1161</v>
      </c>
      <c r="F671" s="1285"/>
      <c r="H671" s="181"/>
      <c r="I671" s="181"/>
      <c r="J671" s="181"/>
      <c r="K671" s="181"/>
    </row>
    <row r="672" spans="1:11">
      <c r="A672" s="175"/>
      <c r="B672" s="175"/>
      <c r="C672" s="175"/>
      <c r="D672" s="2"/>
      <c r="H672" s="181"/>
      <c r="I672" s="181"/>
      <c r="J672" s="181"/>
      <c r="K672" s="181"/>
    </row>
    <row r="673" spans="1:11" ht="14.25">
      <c r="A673" s="176"/>
      <c r="B673" s="469" t="s">
        <v>309</v>
      </c>
      <c r="C673" s="175"/>
      <c r="D673" s="1263" t="s">
        <v>1171</v>
      </c>
      <c r="E673" s="1263"/>
      <c r="F673" s="1263"/>
      <c r="H673" s="181"/>
      <c r="I673" s="181"/>
      <c r="J673" s="181"/>
      <c r="K673" s="181"/>
    </row>
    <row r="674" spans="1:11">
      <c r="A674" s="175"/>
      <c r="B674" s="175"/>
      <c r="C674" s="175"/>
      <c r="D674" s="1263"/>
      <c r="E674" s="1263"/>
      <c r="F674" s="1263"/>
      <c r="H674" s="181"/>
      <c r="I674" s="181"/>
      <c r="J674" s="181"/>
      <c r="K674" s="181"/>
    </row>
    <row r="675" spans="1:11">
      <c r="A675" s="175"/>
      <c r="B675" s="175"/>
      <c r="C675" s="175"/>
      <c r="D675" s="1263"/>
      <c r="E675" s="1263"/>
      <c r="F675" s="1263"/>
      <c r="H675" s="181"/>
      <c r="I675" s="181"/>
      <c r="J675" s="181"/>
      <c r="K675" s="181"/>
    </row>
    <row r="676" spans="1:11">
      <c r="A676" s="175"/>
      <c r="B676" s="175"/>
      <c r="C676" s="175"/>
      <c r="D676" s="1263"/>
      <c r="E676" s="1263"/>
      <c r="F676" s="1263"/>
      <c r="H676" s="181"/>
      <c r="I676" s="181"/>
      <c r="J676" s="181"/>
      <c r="K676" s="181"/>
    </row>
    <row r="677" spans="1:11">
      <c r="A677" s="175"/>
      <c r="B677" s="175"/>
      <c r="C677" s="175"/>
      <c r="D677" s="1263"/>
      <c r="E677" s="1263"/>
      <c r="F677" s="1263"/>
      <c r="H677" s="181"/>
      <c r="I677" s="181"/>
      <c r="J677" s="181"/>
      <c r="K677" s="181"/>
    </row>
    <row r="678" spans="1:11">
      <c r="A678" s="175"/>
      <c r="B678" s="175"/>
      <c r="C678" s="175"/>
      <c r="D678" s="1263"/>
      <c r="E678" s="1263"/>
      <c r="F678" s="1263"/>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3" t="s">
        <v>1162</v>
      </c>
      <c r="E680" s="1263"/>
      <c r="F680" s="1263"/>
      <c r="H680" s="181"/>
      <c r="I680" s="181"/>
      <c r="J680" s="181"/>
      <c r="K680" s="181"/>
    </row>
    <row r="681" spans="1:11">
      <c r="A681" s="175"/>
      <c r="B681" s="175"/>
      <c r="C681" s="175"/>
      <c r="D681" s="1263"/>
      <c r="E681" s="1263"/>
      <c r="F681" s="1263"/>
      <c r="H681" s="181"/>
      <c r="I681" s="181"/>
      <c r="J681" s="181"/>
      <c r="K681" s="181"/>
    </row>
    <row r="682" spans="1:11">
      <c r="A682" s="175"/>
      <c r="B682" s="175"/>
      <c r="C682" s="175"/>
      <c r="D682" s="1263"/>
      <c r="E682" s="1263"/>
      <c r="F682" s="1263"/>
      <c r="H682" s="181"/>
      <c r="I682" s="181"/>
      <c r="J682" s="181"/>
      <c r="K682" s="181"/>
    </row>
    <row r="683" spans="1:11" ht="15" customHeight="1">
      <c r="A683" s="175"/>
      <c r="B683" s="175"/>
      <c r="C683" s="175"/>
      <c r="D683" s="1263"/>
      <c r="E683" s="1263"/>
      <c r="F683" s="1263"/>
      <c r="H683" s="181"/>
      <c r="I683" s="181"/>
      <c r="J683" s="181"/>
      <c r="K683" s="181"/>
    </row>
    <row r="684" spans="1:11" ht="15" customHeight="1">
      <c r="A684" s="175"/>
      <c r="B684" s="175"/>
      <c r="C684" s="175"/>
      <c r="D684" s="1263"/>
      <c r="E684" s="1263"/>
      <c r="F684" s="1263"/>
      <c r="H684" s="181"/>
      <c r="I684" s="181"/>
      <c r="J684" s="181"/>
      <c r="K684" s="181"/>
    </row>
    <row r="685" spans="1:11">
      <c r="A685" s="175"/>
      <c r="B685" s="175"/>
      <c r="C685" s="175"/>
      <c r="D685" s="1263"/>
      <c r="E685" s="1263"/>
      <c r="F685" s="1263"/>
      <c r="H685" s="181"/>
      <c r="I685" s="181"/>
      <c r="J685" s="181"/>
      <c r="K685" s="181"/>
    </row>
    <row r="686" spans="1:11">
      <c r="A686" s="175"/>
      <c r="B686" s="175"/>
      <c r="C686" s="175"/>
      <c r="D686" s="1263"/>
      <c r="E686" s="1263"/>
      <c r="F686" s="1263"/>
      <c r="H686" s="181"/>
      <c r="I686" s="181"/>
      <c r="J686" s="181"/>
      <c r="K686" s="181"/>
    </row>
    <row r="687" spans="1:11">
      <c r="A687" s="175"/>
      <c r="B687" s="175"/>
      <c r="C687" s="175"/>
      <c r="D687" s="1263"/>
      <c r="E687" s="1263"/>
      <c r="F687" s="1263"/>
      <c r="H687" s="181"/>
      <c r="I687" s="181"/>
      <c r="J687" s="181"/>
      <c r="K687" s="181"/>
    </row>
    <row r="688" spans="1:11" ht="15" customHeight="1">
      <c r="A688" s="175"/>
      <c r="B688" s="175"/>
      <c r="C688" s="175"/>
      <c r="D688" s="1263"/>
      <c r="E688" s="1263"/>
      <c r="F688" s="1263"/>
      <c r="H688" s="181"/>
      <c r="I688" s="181"/>
      <c r="J688" s="181"/>
      <c r="K688" s="181"/>
    </row>
    <row r="689" spans="1:11">
      <c r="A689" s="175"/>
      <c r="B689" s="175"/>
      <c r="C689" s="175"/>
      <c r="D689" s="1263"/>
      <c r="E689" s="1263"/>
      <c r="F689" s="1263"/>
      <c r="H689" s="181"/>
      <c r="I689" s="181"/>
      <c r="J689" s="181"/>
      <c r="K689" s="181"/>
    </row>
    <row r="690" spans="1:11">
      <c r="A690" s="175"/>
      <c r="B690" s="175"/>
      <c r="C690" s="175"/>
      <c r="D690" s="1263"/>
      <c r="E690" s="1263"/>
      <c r="F690" s="1263"/>
      <c r="H690" s="181"/>
      <c r="I690" s="181"/>
      <c r="J690" s="181"/>
      <c r="K690" s="181"/>
    </row>
    <row r="691" spans="1:11">
      <c r="A691" s="175"/>
      <c r="B691" s="175"/>
      <c r="C691" s="175"/>
      <c r="D691" s="1263"/>
      <c r="E691" s="1263"/>
      <c r="F691" s="1263"/>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3" t="s">
        <v>1172</v>
      </c>
      <c r="E693" s="1263"/>
      <c r="F693" s="1263"/>
      <c r="H693" s="181"/>
      <c r="I693" s="181"/>
      <c r="J693" s="181"/>
      <c r="K693" s="181"/>
    </row>
    <row r="694" spans="1:11">
      <c r="A694" s="175"/>
      <c r="B694" s="175"/>
      <c r="C694" s="175"/>
      <c r="D694" s="1263"/>
      <c r="E694" s="1263"/>
      <c r="F694" s="1263"/>
      <c r="H694" s="181"/>
      <c r="I694" s="181"/>
      <c r="J694" s="181"/>
      <c r="K694" s="181"/>
    </row>
    <row r="695" spans="1:11">
      <c r="A695" s="175"/>
      <c r="B695" s="175"/>
      <c r="C695" s="175"/>
      <c r="D695" s="1263"/>
      <c r="E695" s="1263"/>
      <c r="F695" s="1263"/>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3" t="s">
        <v>1169</v>
      </c>
      <c r="E697" s="1263"/>
      <c r="F697" s="1263"/>
      <c r="H697" s="181"/>
      <c r="I697" s="181"/>
      <c r="J697" s="181"/>
      <c r="K697" s="181"/>
    </row>
    <row r="698" spans="1:11">
      <c r="A698" s="175"/>
      <c r="B698" s="175"/>
      <c r="C698" s="175"/>
      <c r="D698" s="1263"/>
      <c r="E698" s="1263"/>
      <c r="F698" s="1263"/>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3" t="s">
        <v>1170</v>
      </c>
      <c r="E700" s="1263"/>
      <c r="F700" s="1263"/>
      <c r="H700" s="181"/>
      <c r="I700" s="181"/>
      <c r="J700" s="181"/>
      <c r="K700" s="181"/>
    </row>
    <row r="701" spans="1:11">
      <c r="A701" s="175"/>
      <c r="B701" s="175"/>
      <c r="C701" s="175"/>
      <c r="D701" s="1263"/>
      <c r="E701" s="1263"/>
      <c r="F701" s="1263"/>
      <c r="H701" s="181"/>
      <c r="I701" s="181"/>
      <c r="J701" s="181"/>
      <c r="K701" s="181"/>
    </row>
    <row r="702" spans="1:11">
      <c r="A702" s="175"/>
      <c r="B702" s="175"/>
      <c r="C702" s="175"/>
      <c r="D702" s="1263"/>
      <c r="E702" s="1263"/>
      <c r="F702" s="1263"/>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3" t="s">
        <v>1163</v>
      </c>
      <c r="E704" s="1263"/>
      <c r="F704" s="1263"/>
      <c r="H704" s="181"/>
      <c r="I704" s="181"/>
      <c r="J704" s="181"/>
      <c r="K704" s="181"/>
    </row>
    <row r="705" spans="1:11">
      <c r="A705" s="175"/>
      <c r="B705" s="175"/>
      <c r="C705" s="175"/>
      <c r="D705" s="1263"/>
      <c r="E705" s="1263"/>
      <c r="F705" s="1263"/>
      <c r="H705" s="181"/>
      <c r="I705" s="181"/>
      <c r="J705" s="181"/>
      <c r="K705" s="181"/>
    </row>
    <row r="706" spans="1:11">
      <c r="A706" s="175"/>
      <c r="B706" s="175"/>
      <c r="C706" s="175"/>
      <c r="D706" s="1263"/>
      <c r="E706" s="1263"/>
      <c r="F706" s="1263"/>
      <c r="H706" s="181"/>
      <c r="I706" s="181"/>
      <c r="J706" s="181"/>
      <c r="K706" s="181"/>
    </row>
    <row r="707" spans="1:11">
      <c r="A707" s="175"/>
      <c r="B707" s="175"/>
      <c r="C707" s="175"/>
      <c r="H707" s="181"/>
      <c r="I707" s="181"/>
      <c r="J707" s="181"/>
      <c r="K707" s="181"/>
    </row>
    <row r="708" spans="1:11">
      <c r="A708" s="175"/>
      <c r="B708" s="469" t="s">
        <v>309</v>
      </c>
      <c r="C708" s="175"/>
      <c r="D708" s="1263" t="s">
        <v>1164</v>
      </c>
      <c r="E708" s="1263"/>
      <c r="F708" s="1263"/>
      <c r="H708" s="181"/>
      <c r="I708" s="181"/>
      <c r="J708" s="181"/>
      <c r="K708" s="181"/>
    </row>
    <row r="709" spans="1:11">
      <c r="A709" s="175"/>
      <c r="B709" s="175"/>
      <c r="C709" s="175"/>
      <c r="D709" s="1263"/>
      <c r="E709" s="1263"/>
      <c r="F709" s="1263"/>
      <c r="H709" s="181"/>
      <c r="I709" s="181"/>
      <c r="J709" s="181"/>
      <c r="K709" s="181"/>
    </row>
    <row r="710" spans="1:11">
      <c r="A710" s="175"/>
      <c r="B710" s="175"/>
      <c r="C710" s="175"/>
      <c r="D710" s="1263"/>
      <c r="E710" s="1263"/>
      <c r="F710" s="1263"/>
      <c r="H710" s="181"/>
      <c r="I710" s="181"/>
      <c r="J710" s="181"/>
      <c r="K710" s="181"/>
    </row>
    <row r="711" spans="1:11">
      <c r="A711" s="175"/>
      <c r="B711" s="175"/>
      <c r="C711" s="175"/>
      <c r="D711"/>
      <c r="H711" s="181"/>
      <c r="I711" s="181"/>
      <c r="J711" s="181"/>
      <c r="K711" s="181"/>
    </row>
    <row r="712" spans="1:11" ht="14.25">
      <c r="A712" s="176"/>
      <c r="B712" s="469" t="s">
        <v>309</v>
      </c>
      <c r="C712" s="175"/>
      <c r="D712" s="1263" t="s">
        <v>1165</v>
      </c>
      <c r="E712" s="1263"/>
      <c r="F712" s="1263"/>
      <c r="H712" s="181"/>
      <c r="I712" s="181"/>
      <c r="J712" s="181"/>
      <c r="K712" s="181"/>
    </row>
    <row r="713" spans="1:11">
      <c r="A713" s="175"/>
      <c r="B713" s="175"/>
      <c r="C713" s="175"/>
      <c r="D713" s="1263"/>
      <c r="E713" s="1263"/>
      <c r="F713" s="1263"/>
      <c r="H713" s="181"/>
      <c r="I713" s="181"/>
      <c r="J713" s="181"/>
      <c r="K713" s="181"/>
    </row>
    <row r="714" spans="1:11">
      <c r="A714" s="175"/>
      <c r="B714" s="175"/>
      <c r="C714" s="175"/>
      <c r="D714" s="1263"/>
      <c r="E714" s="1263"/>
      <c r="F714" s="1263"/>
      <c r="H714" s="181"/>
      <c r="I714" s="181"/>
      <c r="J714" s="181"/>
      <c r="K714" s="181"/>
    </row>
    <row r="715" spans="1:11">
      <c r="A715" s="175"/>
      <c r="B715" s="175"/>
      <c r="C715" s="175"/>
      <c r="D715" s="1263"/>
      <c r="E715" s="1263"/>
      <c r="F715" s="1263"/>
      <c r="H715" s="181"/>
      <c r="I715" s="181"/>
      <c r="J715" s="181"/>
      <c r="K715" s="181"/>
    </row>
    <row r="716" spans="1:11">
      <c r="A716" s="175"/>
      <c r="B716" s="175"/>
      <c r="C716" s="175"/>
      <c r="D716" s="178"/>
      <c r="H716" s="181"/>
      <c r="I716" s="181"/>
      <c r="J716" s="181"/>
      <c r="K716" s="181"/>
    </row>
    <row r="717" spans="1:11" ht="14.25">
      <c r="A717" s="176"/>
      <c r="B717" s="469" t="s">
        <v>309</v>
      </c>
      <c r="C717" s="175"/>
      <c r="D717" s="1263" t="s">
        <v>1298</v>
      </c>
      <c r="E717" s="1263"/>
      <c r="F717" s="1263"/>
      <c r="H717" s="181"/>
      <c r="I717" s="181"/>
      <c r="J717" s="181"/>
      <c r="K717" s="181"/>
    </row>
    <row r="718" spans="1:11">
      <c r="A718" s="175"/>
      <c r="B718" s="175"/>
      <c r="C718" s="175"/>
      <c r="D718" s="1263"/>
      <c r="E718" s="1263"/>
      <c r="F718" s="1263"/>
      <c r="H718" s="181"/>
      <c r="I718" s="181"/>
      <c r="J718" s="181"/>
      <c r="K718" s="181"/>
    </row>
    <row r="719" spans="1:11">
      <c r="A719" s="175"/>
      <c r="B719" s="175"/>
      <c r="C719" s="175"/>
      <c r="D719" s="1263"/>
      <c r="E719" s="1263"/>
      <c r="F719" s="1263"/>
      <c r="H719" s="181"/>
      <c r="I719" s="181"/>
      <c r="J719" s="181"/>
      <c r="K719" s="181"/>
    </row>
    <row r="720" spans="1:11">
      <c r="A720" s="175"/>
      <c r="B720" s="175"/>
      <c r="C720" s="175"/>
      <c r="D720" s="1263"/>
      <c r="E720" s="1263"/>
      <c r="F720" s="1263"/>
      <c r="H720" s="181"/>
      <c r="I720" s="181"/>
      <c r="J720" s="181"/>
      <c r="K720" s="181"/>
    </row>
    <row r="721" spans="1:11">
      <c r="A721" s="175"/>
      <c r="B721" s="175"/>
      <c r="C721" s="175"/>
      <c r="D721" s="1263"/>
      <c r="E721" s="1263"/>
      <c r="F721" s="1263"/>
      <c r="H721" s="181"/>
      <c r="I721" s="181"/>
      <c r="J721" s="181"/>
      <c r="K721" s="181"/>
    </row>
    <row r="722" spans="1:11">
      <c r="A722" s="175"/>
      <c r="B722" s="175"/>
      <c r="C722" s="175"/>
      <c r="D722" s="1263"/>
      <c r="E722" s="1263"/>
      <c r="F722" s="1263"/>
      <c r="H722" s="181"/>
      <c r="I722" s="181"/>
      <c r="J722" s="181"/>
      <c r="K722" s="181"/>
    </row>
    <row r="723" spans="1:11">
      <c r="A723" s="175"/>
      <c r="B723" s="175"/>
      <c r="C723" s="175"/>
      <c r="D723" s="1263"/>
      <c r="E723" s="1263"/>
      <c r="F723" s="1263"/>
      <c r="H723" s="181"/>
      <c r="I723" s="181"/>
      <c r="J723" s="181"/>
      <c r="K723" s="181"/>
    </row>
    <row r="724" spans="1:11">
      <c r="A724" s="175"/>
      <c r="B724" s="175"/>
      <c r="C724" s="175"/>
      <c r="D724" s="1307" t="s">
        <v>1166</v>
      </c>
      <c r="E724" s="1307"/>
      <c r="F724" s="1307"/>
      <c r="H724" s="181"/>
      <c r="I724" s="181"/>
      <c r="J724" s="181"/>
      <c r="K724" s="181"/>
    </row>
    <row r="725" spans="1:11">
      <c r="A725" s="175"/>
      <c r="B725" s="175"/>
      <c r="C725" s="175"/>
      <c r="D725" s="370"/>
      <c r="H725" s="181"/>
      <c r="I725" s="181"/>
      <c r="J725" s="181"/>
      <c r="K725" s="181"/>
    </row>
    <row r="726" spans="1:11">
      <c r="A726" s="1309" t="s">
        <v>1123</v>
      </c>
      <c r="B726" s="1309"/>
      <c r="C726" s="1309"/>
      <c r="D726" s="1309"/>
      <c r="E726" s="1309"/>
      <c r="F726" s="1309"/>
      <c r="G726" s="1309"/>
      <c r="H726" s="181"/>
      <c r="I726" s="181"/>
      <c r="J726" s="181"/>
      <c r="K726" s="181"/>
    </row>
    <row r="727" spans="1:11">
      <c r="A727" s="175"/>
      <c r="B727" s="175"/>
      <c r="C727" s="175"/>
      <c r="D727" s="178"/>
      <c r="G727" s="183"/>
      <c r="H727" s="181"/>
      <c r="I727" s="181"/>
      <c r="J727" s="181"/>
      <c r="K727" s="181"/>
    </row>
    <row r="728" spans="1:11" ht="13.15" customHeight="1">
      <c r="C728" s="175"/>
      <c r="D728" s="1296" t="s">
        <v>1139</v>
      </c>
      <c r="E728" s="1296"/>
      <c r="F728" s="1296"/>
      <c r="G728" s="183"/>
      <c r="H728" s="181"/>
      <c r="I728" s="181"/>
      <c r="J728" s="181"/>
      <c r="K728" s="181"/>
    </row>
    <row r="729" spans="1:11">
      <c r="A729" s="175"/>
      <c r="B729" s="175"/>
      <c r="C729" s="175"/>
      <c r="D729" s="1306" t="s">
        <v>1140</v>
      </c>
      <c r="E729" s="1306"/>
      <c r="F729" s="1306"/>
      <c r="G729" s="183"/>
      <c r="H729" s="181"/>
      <c r="I729" s="181"/>
      <c r="J729" s="181"/>
      <c r="K729" s="181"/>
    </row>
    <row r="730" spans="1:11">
      <c r="A730" s="175"/>
      <c r="B730" s="175"/>
      <c r="C730" s="175"/>
      <c r="G730" s="183"/>
      <c r="H730" s="181"/>
      <c r="I730" s="181"/>
      <c r="J730" s="181"/>
      <c r="K730" s="181"/>
    </row>
    <row r="731" spans="1:11" ht="14.25">
      <c r="A731" s="176"/>
      <c r="B731" s="469" t="s">
        <v>309</v>
      </c>
      <c r="D731" s="1263" t="s">
        <v>1141</v>
      </c>
      <c r="E731" s="1263"/>
      <c r="F731" s="1263"/>
      <c r="G731" s="183"/>
      <c r="H731" s="181"/>
      <c r="I731" s="181"/>
      <c r="J731" s="181"/>
      <c r="K731" s="181"/>
    </row>
    <row r="732" spans="1:11" ht="10.5" customHeight="1">
      <c r="D732" s="1263"/>
      <c r="E732" s="1263"/>
      <c r="F732" s="1263"/>
      <c r="G732" s="183"/>
      <c r="H732" s="181"/>
      <c r="I732" s="181"/>
      <c r="J732" s="181"/>
      <c r="K732" s="181"/>
    </row>
    <row r="733" spans="1:11">
      <c r="D733" s="1263"/>
      <c r="E733" s="1263"/>
      <c r="F733" s="1263"/>
      <c r="G733" s="183"/>
      <c r="H733" s="181"/>
      <c r="I733" s="181"/>
      <c r="J733" s="181"/>
      <c r="K733" s="181"/>
    </row>
    <row r="734" spans="1:11">
      <c r="D734" s="1263"/>
      <c r="E734" s="1263"/>
      <c r="F734" s="1263"/>
      <c r="G734" s="183"/>
      <c r="H734" s="181"/>
      <c r="I734" s="181"/>
      <c r="J734" s="181"/>
      <c r="K734" s="181"/>
    </row>
    <row r="735" spans="1:11">
      <c r="D735" s="1263"/>
      <c r="E735" s="1263"/>
      <c r="F735" s="1263"/>
      <c r="G735" s="183"/>
      <c r="H735" s="181"/>
      <c r="I735" s="181"/>
      <c r="J735" s="181"/>
      <c r="K735" s="181"/>
    </row>
    <row r="736" spans="1:11" ht="15.6" customHeight="1">
      <c r="D736" s="1263"/>
      <c r="E736" s="1263"/>
      <c r="F736" s="1263"/>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3" t="s">
        <v>1142</v>
      </c>
      <c r="E738" s="1263"/>
      <c r="F738" s="1263"/>
      <c r="G738" s="210"/>
    </row>
    <row r="739" spans="1:11" s="274" customFormat="1">
      <c r="A739" s="273"/>
      <c r="B739" s="273"/>
      <c r="C739" s="273"/>
      <c r="D739" s="1263"/>
      <c r="E739" s="1263"/>
      <c r="F739" s="1263"/>
      <c r="G739" s="210"/>
    </row>
    <row r="740" spans="1:11" s="274" customFormat="1">
      <c r="A740" s="273"/>
      <c r="B740" s="273"/>
      <c r="C740" s="273"/>
      <c r="D740" s="1263"/>
      <c r="E740" s="1263"/>
      <c r="F740" s="1263"/>
      <c r="G740" s="210"/>
    </row>
    <row r="741" spans="1:11" s="274" customFormat="1">
      <c r="A741" s="273"/>
      <c r="B741" s="273"/>
      <c r="C741" s="273"/>
      <c r="D741" s="1263"/>
      <c r="E741" s="1263"/>
      <c r="F741" s="1263"/>
      <c r="G741" s="210"/>
    </row>
    <row r="742" spans="1:11" s="274" customFormat="1">
      <c r="A742" s="273"/>
      <c r="B742" s="273"/>
      <c r="C742" s="273"/>
      <c r="D742" s="255"/>
      <c r="E742" s="210"/>
      <c r="F742" s="210"/>
      <c r="G742" s="210"/>
    </row>
    <row r="743" spans="1:11" s="274" customFormat="1" ht="14.25">
      <c r="A743" s="176"/>
      <c r="B743" s="469" t="s">
        <v>309</v>
      </c>
      <c r="C743" s="273"/>
      <c r="D743" s="1303" t="s">
        <v>1143</v>
      </c>
      <c r="E743" s="1303"/>
      <c r="F743" s="1303"/>
      <c r="G743" s="210"/>
    </row>
    <row r="744" spans="1:11" s="274" customFormat="1">
      <c r="A744" s="273"/>
      <c r="B744" s="273"/>
      <c r="C744" s="273"/>
      <c r="D744" s="1303"/>
      <c r="E744" s="1303"/>
      <c r="F744" s="1303"/>
      <c r="G744" s="210"/>
    </row>
    <row r="745" spans="1:11" s="274" customFormat="1">
      <c r="A745" s="273"/>
      <c r="B745" s="273"/>
      <c r="C745" s="273"/>
      <c r="D745" s="1303"/>
      <c r="E745" s="1303"/>
      <c r="F745" s="1303"/>
      <c r="G745" s="210"/>
    </row>
    <row r="746" spans="1:11">
      <c r="D746" s="255"/>
      <c r="E746" s="35"/>
      <c r="F746" s="35"/>
      <c r="G746" s="183"/>
      <c r="H746" s="181"/>
      <c r="I746" s="181"/>
      <c r="J746" s="181"/>
      <c r="K746" s="181"/>
    </row>
    <row r="747" spans="1:11" ht="14.25">
      <c r="A747" s="176"/>
      <c r="B747" s="469" t="s">
        <v>309</v>
      </c>
      <c r="D747" s="1263" t="s">
        <v>1144</v>
      </c>
      <c r="E747" s="1263"/>
      <c r="F747" s="1263"/>
      <c r="G747" s="183"/>
      <c r="H747" s="181"/>
      <c r="I747" s="181"/>
      <c r="J747" s="181"/>
      <c r="K747" s="181"/>
    </row>
    <row r="748" spans="1:11">
      <c r="D748" s="1263"/>
      <c r="E748" s="1263"/>
      <c r="F748" s="1263"/>
      <c r="G748" s="183"/>
      <c r="H748" s="181"/>
      <c r="I748" s="181"/>
      <c r="J748" s="181"/>
      <c r="K748" s="181"/>
    </row>
    <row r="749" spans="1:11">
      <c r="D749" s="475"/>
      <c r="E749" s="475"/>
      <c r="F749" s="475"/>
      <c r="G749" s="183"/>
      <c r="H749" s="181"/>
      <c r="I749" s="181"/>
      <c r="J749" s="181"/>
      <c r="K749" s="181"/>
    </row>
    <row r="750" spans="1:11">
      <c r="B750" s="469" t="s">
        <v>309</v>
      </c>
      <c r="D750" s="1263" t="s">
        <v>1145</v>
      </c>
      <c r="E750" s="1263"/>
      <c r="F750" s="1263"/>
      <c r="G750" s="183"/>
      <c r="H750" s="181"/>
      <c r="I750" s="181"/>
      <c r="J750" s="181"/>
      <c r="K750" s="181"/>
    </row>
    <row r="751" spans="1:11">
      <c r="D751" s="1263"/>
      <c r="E751" s="1263"/>
      <c r="F751" s="1263"/>
      <c r="G751" s="183"/>
      <c r="H751" s="181"/>
      <c r="I751" s="181"/>
      <c r="J751" s="181"/>
      <c r="K751" s="181"/>
    </row>
    <row r="752" spans="1:11">
      <c r="D752" s="1263"/>
      <c r="E752" s="1263"/>
      <c r="F752" s="1263"/>
      <c r="G752" s="183"/>
      <c r="H752" s="181"/>
      <c r="I752" s="181"/>
      <c r="J752" s="181"/>
      <c r="K752" s="181"/>
    </row>
    <row r="753" spans="1:11">
      <c r="D753" s="475"/>
      <c r="E753" s="475"/>
      <c r="F753" s="475"/>
      <c r="G753" s="183"/>
      <c r="H753" s="181"/>
      <c r="I753" s="181"/>
      <c r="J753" s="181"/>
      <c r="K753" s="181"/>
    </row>
    <row r="754" spans="1:11">
      <c r="A754" s="1278" t="s">
        <v>1146</v>
      </c>
      <c r="B754" s="1278"/>
      <c r="C754" s="1278"/>
      <c r="D754" s="1278"/>
      <c r="E754" s="1278"/>
      <c r="F754" s="1278"/>
      <c r="G754" s="1278"/>
    </row>
    <row r="755" spans="1:11">
      <c r="A755" s="175"/>
      <c r="B755" s="175"/>
      <c r="C755" s="175"/>
      <c r="D755" s="184"/>
      <c r="F755" s="35"/>
      <c r="G755" s="183"/>
    </row>
    <row r="756" spans="1:11">
      <c r="D756" s="1310" t="s">
        <v>1130</v>
      </c>
      <c r="E756" s="1310"/>
      <c r="F756" s="1310"/>
      <c r="G756" s="183"/>
    </row>
    <row r="757" spans="1:11">
      <c r="A757" s="346"/>
      <c r="B757" s="346"/>
      <c r="C757" s="346"/>
      <c r="D757" s="1293" t="s">
        <v>1147</v>
      </c>
      <c r="E757" s="1293"/>
      <c r="F757" s="1293"/>
      <c r="G757" s="183"/>
    </row>
    <row r="758" spans="1:11">
      <c r="D758" s="434"/>
      <c r="E758" s="434"/>
      <c r="F758" s="434"/>
      <c r="G758" s="183"/>
    </row>
    <row r="759" spans="1:11" ht="14.25">
      <c r="A759" s="176"/>
      <c r="B759" s="469" t="s">
        <v>309</v>
      </c>
      <c r="D759" s="1293" t="s">
        <v>1024</v>
      </c>
      <c r="E759" s="1293"/>
      <c r="F759" s="1293"/>
      <c r="G759" s="183"/>
    </row>
    <row r="760" spans="1:11">
      <c r="D760" s="434"/>
      <c r="E760" s="1305" t="s">
        <v>1131</v>
      </c>
      <c r="F760" s="1305"/>
      <c r="G760" s="183"/>
    </row>
    <row r="761" spans="1:11">
      <c r="A761" s="172"/>
      <c r="B761" s="172"/>
      <c r="C761" s="172"/>
      <c r="D761" s="35"/>
      <c r="G761" s="183"/>
    </row>
    <row r="762" spans="1:11">
      <c r="A762" s="1308" t="s">
        <v>450</v>
      </c>
      <c r="B762" s="1308"/>
      <c r="C762" s="1308"/>
      <c r="D762" s="1308"/>
      <c r="E762" s="1308"/>
      <c r="F762" s="1308"/>
      <c r="G762" s="1308"/>
    </row>
    <row r="763" spans="1:11">
      <c r="A763" s="172"/>
      <c r="B763" s="172"/>
      <c r="C763" s="179"/>
      <c r="D763" s="183"/>
      <c r="E763" s="183"/>
      <c r="F763" s="183"/>
      <c r="G763" s="183"/>
    </row>
    <row r="764" spans="1:11">
      <c r="A764" s="35"/>
      <c r="B764" s="1306" t="s">
        <v>1023</v>
      </c>
      <c r="C764" s="1306"/>
      <c r="D764" s="1306"/>
      <c r="E764" s="1306"/>
      <c r="F764" s="1306"/>
      <c r="G764" s="183"/>
    </row>
    <row r="765" spans="1:11">
      <c r="A765" s="13"/>
      <c r="B765" s="13"/>
      <c r="G765" s="183"/>
    </row>
    <row r="766" spans="1:11">
      <c r="A766" s="1308" t="s">
        <v>451</v>
      </c>
      <c r="B766" s="1308"/>
      <c r="C766" s="1308"/>
      <c r="D766" s="1308"/>
      <c r="E766" s="1308"/>
      <c r="F766" s="1308"/>
      <c r="G766" s="1308"/>
    </row>
    <row r="767" spans="1:11">
      <c r="A767" s="172"/>
      <c r="B767" s="172"/>
      <c r="C767" s="172"/>
      <c r="D767" s="178"/>
      <c r="G767" s="183"/>
    </row>
    <row r="768" spans="1:11">
      <c r="A768" s="35"/>
      <c r="B768" s="1274" t="s">
        <v>449</v>
      </c>
      <c r="C768" s="1274"/>
      <c r="D768" s="1274"/>
      <c r="E768" s="1274"/>
      <c r="F768" s="1274"/>
      <c r="G768" s="183"/>
    </row>
    <row r="769" spans="1:7" ht="14.25">
      <c r="A769" s="176"/>
      <c r="B769" s="176"/>
      <c r="D769" s="35"/>
      <c r="E769" s="35"/>
      <c r="F769" s="183"/>
      <c r="G769" s="183"/>
    </row>
    <row r="770" spans="1:7">
      <c r="A770" s="1308" t="s">
        <v>452</v>
      </c>
      <c r="B770" s="1308"/>
      <c r="C770" s="1308"/>
      <c r="D770" s="1308"/>
      <c r="E770" s="1308"/>
      <c r="F770" s="1308"/>
      <c r="G770" s="1308"/>
    </row>
    <row r="771" spans="1:7">
      <c r="C771" s="175"/>
      <c r="D771" s="173"/>
      <c r="E771" s="35"/>
      <c r="F771" s="183"/>
      <c r="G771" s="183"/>
    </row>
    <row r="772" spans="1:7">
      <c r="A772" s="35"/>
      <c r="B772" s="1274" t="s">
        <v>449</v>
      </c>
      <c r="C772" s="1274"/>
      <c r="D772" s="1274"/>
      <c r="E772" s="1274"/>
      <c r="F772" s="1274"/>
      <c r="G772" s="183"/>
    </row>
    <row r="773" spans="1:7">
      <c r="A773" s="35"/>
      <c r="B773" s="35"/>
      <c r="C773" s="179"/>
      <c r="D773" s="183"/>
      <c r="E773" s="183"/>
      <c r="F773" s="183"/>
      <c r="G773" s="183"/>
    </row>
    <row r="774" spans="1:7">
      <c r="A774" s="1308" t="s">
        <v>453</v>
      </c>
      <c r="B774" s="1308"/>
      <c r="C774" s="1308"/>
      <c r="D774" s="1308"/>
      <c r="E774" s="1308"/>
      <c r="F774" s="1308"/>
      <c r="G774" s="1308"/>
    </row>
    <row r="775" spans="1:7">
      <c r="A775" s="35"/>
      <c r="B775" s="35"/>
    </row>
    <row r="776" spans="1:7">
      <c r="A776" s="35"/>
      <c r="B776" s="1274" t="s">
        <v>449</v>
      </c>
      <c r="C776" s="1274"/>
      <c r="D776" s="1274"/>
      <c r="E776" s="1274"/>
      <c r="F776" s="1274"/>
    </row>
    <row r="777" spans="1:7">
      <c r="A777" s="179"/>
      <c r="B777" s="179"/>
      <c r="C777" s="179"/>
      <c r="D777" s="174"/>
      <c r="F777" s="183"/>
    </row>
    <row r="778" spans="1:7">
      <c r="A778" s="1308" t="s">
        <v>454</v>
      </c>
      <c r="B778" s="1308"/>
      <c r="C778" s="1308"/>
      <c r="D778" s="1308"/>
      <c r="E778" s="1308"/>
      <c r="F778" s="1308"/>
      <c r="G778" s="1308"/>
    </row>
    <row r="779" spans="1:7">
      <c r="A779" s="35"/>
      <c r="B779" s="35"/>
    </row>
    <row r="780" spans="1:7">
      <c r="A780" s="35"/>
      <c r="B780" s="1274" t="s">
        <v>449</v>
      </c>
      <c r="C780" s="1274"/>
      <c r="D780" s="1274"/>
      <c r="E780" s="1274"/>
      <c r="F780" s="1274"/>
    </row>
    <row r="781" spans="1:7">
      <c r="A781" s="179"/>
      <c r="B781" s="179"/>
      <c r="C781" s="179"/>
      <c r="D781" s="174"/>
      <c r="F781" s="183"/>
    </row>
    <row r="782" spans="1:7">
      <c r="A782" s="1308" t="s">
        <v>455</v>
      </c>
      <c r="B782" s="1308"/>
      <c r="C782" s="1308"/>
      <c r="D782" s="1308"/>
      <c r="E782" s="1308"/>
      <c r="F782" s="1308"/>
      <c r="G782" s="1308"/>
    </row>
    <row r="783" spans="1:7">
      <c r="A783" s="35"/>
      <c r="B783" s="35"/>
    </row>
    <row r="784" spans="1:7">
      <c r="A784" s="35"/>
      <c r="B784" s="1274" t="s">
        <v>449</v>
      </c>
      <c r="C784" s="1274"/>
      <c r="D784" s="1274"/>
      <c r="E784" s="1274"/>
      <c r="F784" s="1274"/>
    </row>
    <row r="785" spans="1:7">
      <c r="D785" s="174"/>
    </row>
    <row r="786" spans="1:7">
      <c r="A786" s="1308" t="s">
        <v>188</v>
      </c>
      <c r="B786" s="1308"/>
      <c r="C786" s="1308"/>
      <c r="D786" s="1308"/>
      <c r="E786" s="1308"/>
      <c r="F786" s="1308"/>
      <c r="G786" s="1308"/>
    </row>
    <row r="787" spans="1:7">
      <c r="A787" s="35"/>
      <c r="B787" s="35"/>
    </row>
    <row r="788" spans="1:7">
      <c r="A788" s="35"/>
      <c r="B788" s="1274" t="s">
        <v>449</v>
      </c>
      <c r="C788" s="1274"/>
      <c r="D788" s="1274"/>
      <c r="E788" s="1274"/>
      <c r="F788" s="1274"/>
    </row>
    <row r="789" spans="1:7">
      <c r="A789" s="35"/>
      <c r="B789" s="35"/>
      <c r="D789" s="174"/>
    </row>
    <row r="790" spans="1:7">
      <c r="A790" s="1308" t="s">
        <v>902</v>
      </c>
      <c r="B790" s="1308"/>
      <c r="C790" s="1308"/>
      <c r="D790" s="1308"/>
      <c r="E790" s="1308"/>
      <c r="F790" s="1308"/>
      <c r="G790" s="1308"/>
    </row>
    <row r="791" spans="1:7">
      <c r="A791" s="35"/>
      <c r="B791" s="35"/>
    </row>
    <row r="792" spans="1:7">
      <c r="A792" s="35"/>
      <c r="B792" s="1274" t="s">
        <v>449</v>
      </c>
      <c r="C792" s="1274"/>
      <c r="D792" s="1274"/>
      <c r="E792" s="1274"/>
      <c r="F792" s="1274"/>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19" zoomScaleNormal="100" zoomScaleSheetLayoutView="100" workbookViewId="0">
      <selection activeCell="AB71" sqref="AB71:AU71"/>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4" t="s">
        <v>2132</v>
      </c>
      <c r="B2" s="1315"/>
      <c r="C2" s="1315"/>
      <c r="D2" s="1315"/>
      <c r="E2" s="1315"/>
      <c r="F2" s="1315"/>
      <c r="G2" s="1315"/>
      <c r="H2" s="1315"/>
      <c r="I2" s="1315"/>
      <c r="J2" s="1315"/>
    </row>
    <row r="3" spans="1:10" ht="15">
      <c r="A3" s="1318" t="s">
        <v>1424</v>
      </c>
      <c r="B3" s="1319"/>
      <c r="C3" s="1319"/>
      <c r="D3" s="1319"/>
      <c r="E3" s="1319"/>
      <c r="F3" s="1319"/>
      <c r="G3" s="1319"/>
      <c r="H3" s="1319"/>
      <c r="I3" s="1319"/>
      <c r="J3" s="1319"/>
    </row>
    <row r="4" spans="1:10" ht="12.75"/>
    <row r="5" spans="1:10" ht="12.75" customHeight="1">
      <c r="A5" s="1316" t="s">
        <v>2444</v>
      </c>
      <c r="B5" s="1316"/>
      <c r="C5" s="1316"/>
      <c r="D5" s="1316"/>
      <c r="E5" s="1316"/>
      <c r="F5" s="1316"/>
      <c r="G5" s="1316"/>
      <c r="H5" s="1316"/>
      <c r="I5" s="1316"/>
      <c r="J5" s="1316"/>
    </row>
    <row r="6" spans="1:10" ht="12.75">
      <c r="A6" s="1316"/>
      <c r="B6" s="1316"/>
      <c r="C6" s="1316"/>
      <c r="D6" s="1316"/>
      <c r="E6" s="1316"/>
      <c r="F6" s="1316"/>
      <c r="G6" s="1316"/>
      <c r="H6" s="1316"/>
      <c r="I6" s="1316"/>
      <c r="J6" s="1316"/>
    </row>
    <row r="7" spans="1:10" ht="30" customHeight="1">
      <c r="A7" s="1316"/>
      <c r="B7" s="1316"/>
      <c r="C7" s="1316"/>
      <c r="D7" s="1316"/>
      <c r="E7" s="1316"/>
      <c r="F7" s="1316"/>
      <c r="G7" s="1316"/>
      <c r="H7" s="1316"/>
      <c r="I7" s="1316"/>
      <c r="J7" s="1316"/>
    </row>
    <row r="8" spans="1:10" ht="12.75">
      <c r="A8" s="448"/>
      <c r="B8" s="448"/>
      <c r="C8" s="448"/>
      <c r="D8" s="448"/>
      <c r="E8" s="448"/>
      <c r="F8" s="448"/>
      <c r="G8" s="448"/>
      <c r="H8" s="448"/>
      <c r="I8" s="448"/>
      <c r="J8" s="448"/>
    </row>
    <row r="9" spans="1:10" ht="12.75" customHeight="1">
      <c r="A9" s="434" t="s">
        <v>2135</v>
      </c>
      <c r="B9" s="448"/>
      <c r="C9" s="448"/>
      <c r="D9" s="448"/>
      <c r="E9" s="448"/>
      <c r="F9" s="448"/>
      <c r="G9" s="448"/>
      <c r="H9" s="448"/>
      <c r="I9" s="448"/>
      <c r="J9" s="448"/>
    </row>
    <row r="10" spans="1:10" ht="12.75"/>
    <row r="11" spans="1:10" ht="12.75" customHeight="1">
      <c r="A11" s="1320" t="s">
        <v>2137</v>
      </c>
      <c r="B11" s="1320"/>
      <c r="C11" s="1320"/>
      <c r="D11" s="1320"/>
      <c r="E11" s="1320"/>
      <c r="F11" s="1320"/>
      <c r="G11" s="1320"/>
      <c r="H11" s="1320"/>
      <c r="I11" s="1320"/>
      <c r="J11" s="1320"/>
    </row>
    <row r="12" spans="1:10" ht="12.75">
      <c r="A12" s="1320"/>
      <c r="B12" s="1320"/>
      <c r="C12" s="1320"/>
      <c r="D12" s="1320"/>
      <c r="E12" s="1320"/>
      <c r="F12" s="1320"/>
      <c r="G12" s="1320"/>
      <c r="H12" s="1320"/>
      <c r="I12" s="1320"/>
      <c r="J12" s="1320"/>
    </row>
    <row r="13" spans="1:10" ht="12.75">
      <c r="A13" s="1320"/>
      <c r="B13" s="1320"/>
      <c r="C13" s="1320"/>
      <c r="D13" s="1320"/>
      <c r="E13" s="1320"/>
      <c r="F13" s="1320"/>
      <c r="G13" s="1320"/>
      <c r="H13" s="1320"/>
      <c r="I13" s="1320"/>
      <c r="J13" s="1320"/>
    </row>
    <row r="14" spans="1:10" ht="12.75">
      <c r="A14" s="1320"/>
      <c r="B14" s="1320"/>
      <c r="C14" s="1320"/>
      <c r="D14" s="1320"/>
      <c r="E14" s="1320"/>
      <c r="F14" s="1320"/>
      <c r="G14" s="1320"/>
      <c r="H14" s="1320"/>
      <c r="I14" s="1320"/>
      <c r="J14" s="1320"/>
    </row>
    <row r="15" spans="1:10" ht="12.75">
      <c r="A15" s="1320"/>
      <c r="B15" s="1320"/>
      <c r="C15" s="1320"/>
      <c r="D15" s="1320"/>
      <c r="E15" s="1320"/>
      <c r="F15" s="1320"/>
      <c r="G15" s="1320"/>
      <c r="H15" s="1320"/>
      <c r="I15" s="1320"/>
      <c r="J15" s="1320"/>
    </row>
    <row r="16" spans="1:10" ht="12.75">
      <c r="A16" s="1320"/>
      <c r="B16" s="1320"/>
      <c r="C16" s="1320"/>
      <c r="D16" s="1320"/>
      <c r="E16" s="1320"/>
      <c r="F16" s="1320"/>
      <c r="G16" s="1320"/>
      <c r="H16" s="1320"/>
      <c r="I16" s="1320"/>
      <c r="J16" s="1320"/>
    </row>
    <row r="17" spans="1:10" ht="12.75">
      <c r="A17" s="559"/>
      <c r="B17" s="559"/>
      <c r="C17" s="559"/>
      <c r="D17" s="559"/>
      <c r="E17" s="559"/>
      <c r="F17" s="559"/>
      <c r="G17" s="559"/>
      <c r="H17" s="559"/>
      <c r="I17" s="559"/>
      <c r="J17" s="559"/>
    </row>
    <row r="18" spans="1:10" ht="12.75">
      <c r="A18" s="511" t="s">
        <v>2136</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19" t="s">
        <v>1330</v>
      </c>
      <c r="B20" s="1319"/>
      <c r="C20" s="1319"/>
      <c r="D20" s="1319"/>
      <c r="E20" s="131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6" t="s">
        <v>1331</v>
      </c>
      <c r="B57" s="1316"/>
      <c r="C57" s="1316"/>
      <c r="D57" s="1316"/>
      <c r="E57" s="1316"/>
      <c r="F57" s="1316"/>
      <c r="G57" s="1316"/>
      <c r="H57" s="1316"/>
      <c r="I57" s="1316"/>
      <c r="J57" s="1316"/>
    </row>
    <row r="58" spans="1:10" ht="12.75">
      <c r="A58" s="1316"/>
      <c r="B58" s="1316"/>
      <c r="C58" s="1316"/>
      <c r="D58" s="1316"/>
      <c r="E58" s="1316"/>
      <c r="F58" s="1316"/>
      <c r="G58" s="1316"/>
      <c r="H58" s="1316"/>
      <c r="I58" s="1316"/>
      <c r="J58" s="1316"/>
    </row>
    <row r="59" spans="1:10" ht="12.75">
      <c r="A59" s="1316"/>
      <c r="B59" s="1316"/>
      <c r="C59" s="1316"/>
      <c r="D59" s="1316"/>
      <c r="E59" s="1316"/>
      <c r="F59" s="1316"/>
      <c r="G59" s="1316"/>
      <c r="H59" s="1316"/>
      <c r="I59" s="1316"/>
      <c r="J59" s="1316"/>
    </row>
    <row r="60" spans="1:10" ht="12.75"/>
    <row r="61" spans="1:10" ht="12.75">
      <c r="A61" s="434" t="s">
        <v>1330</v>
      </c>
    </row>
    <row r="62" spans="1:10" ht="12.75"/>
    <row r="63" spans="1:10" ht="12.75"/>
    <row r="64" spans="1:10" ht="12.75"/>
    <row r="65" spans="1:9" ht="12.75"/>
    <row r="66" spans="1:9" ht="12.75"/>
    <row r="67" spans="1:9" ht="12.75"/>
    <row r="68" spans="1:9" ht="12.75"/>
    <row r="69" spans="1:9" ht="12.75"/>
    <row r="70" spans="1:9" ht="12.75"/>
    <row r="71" spans="1:9" ht="12.75"/>
    <row r="72" spans="1:9" ht="12.75">
      <c r="A72" s="1317" t="s">
        <v>2133</v>
      </c>
      <c r="B72" s="1317"/>
      <c r="C72" s="1317"/>
      <c r="D72" s="1317"/>
      <c r="E72" s="1317"/>
      <c r="F72" s="1317"/>
      <c r="G72" s="1317"/>
      <c r="H72" s="1317"/>
      <c r="I72" s="1317"/>
    </row>
    <row r="73" spans="1:9" ht="12.75">
      <c r="A73" s="1269" t="s">
        <v>2442</v>
      </c>
      <c r="B73" s="1269"/>
      <c r="C73" s="1269"/>
      <c r="D73" s="1269"/>
      <c r="E73" s="1269"/>
    </row>
    <row r="74" spans="1:9" ht="12.75">
      <c r="A74" s="1269" t="s">
        <v>2443</v>
      </c>
      <c r="B74" s="1269"/>
      <c r="C74" s="1269"/>
      <c r="D74" s="1269"/>
      <c r="E74" s="1269"/>
    </row>
    <row r="75" spans="1:9" ht="12.75">
      <c r="A75" s="1269" t="s">
        <v>2134</v>
      </c>
      <c r="B75" s="1269"/>
      <c r="C75" s="1269"/>
      <c r="D75" s="1269"/>
      <c r="E75" s="1269"/>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983" zoomScaleNormal="100" zoomScaleSheetLayoutView="100" workbookViewId="0">
      <selection activeCell="AB71" sqref="AB71:AU71"/>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38" t="s">
        <v>2612</v>
      </c>
      <c r="B2" s="1338"/>
      <c r="C2" s="1338"/>
      <c r="D2" s="1338"/>
      <c r="E2" s="1338"/>
      <c r="F2" s="1338"/>
      <c r="G2" s="1338"/>
      <c r="H2" s="1338"/>
      <c r="I2" s="1338"/>
    </row>
    <row r="3" spans="1:13">
      <c r="A3" s="1334" t="s">
        <v>2000</v>
      </c>
      <c r="B3" s="1334"/>
      <c r="C3" s="1334"/>
      <c r="D3" s="1334"/>
      <c r="E3" s="1334"/>
      <c r="F3" s="1334"/>
      <c r="G3" s="1334"/>
      <c r="H3" s="1334"/>
      <c r="I3" s="1334"/>
    </row>
    <row r="4" spans="1:13">
      <c r="A4" s="1334"/>
      <c r="B4" s="1334"/>
      <c r="C4" s="1319"/>
      <c r="D4" s="1319"/>
      <c r="E4" s="1319"/>
      <c r="F4" s="1319"/>
      <c r="G4" s="1319"/>
    </row>
    <row r="5" spans="1:13">
      <c r="A5" s="1334"/>
      <c r="B5" s="1334"/>
      <c r="C5" s="1319"/>
      <c r="D5" s="1319"/>
      <c r="E5" s="1319"/>
      <c r="F5" s="1319"/>
      <c r="G5" s="1319"/>
    </row>
    <row r="6" spans="1:13">
      <c r="A6" s="1338" t="s">
        <v>1200</v>
      </c>
      <c r="B6" s="1338"/>
      <c r="C6" s="1339"/>
      <c r="D6" s="1339"/>
      <c r="E6" s="1339"/>
      <c r="F6" s="1339"/>
      <c r="G6" s="1339"/>
      <c r="I6" s="525" t="s">
        <v>2143</v>
      </c>
    </row>
    <row r="7" spans="1:13">
      <c r="A7" s="1338" t="s">
        <v>1201</v>
      </c>
      <c r="B7" s="1338"/>
      <c r="C7" s="1339"/>
      <c r="D7" s="1339"/>
      <c r="E7" s="1339"/>
      <c r="F7" s="1339"/>
      <c r="G7" s="1339"/>
      <c r="I7" s="525" t="s">
        <v>2144</v>
      </c>
    </row>
    <row r="8" spans="1:13">
      <c r="A8" s="516"/>
      <c r="B8" s="516"/>
      <c r="C8" s="517"/>
      <c r="D8" s="517"/>
      <c r="E8" s="517"/>
      <c r="F8" s="517"/>
    </row>
    <row r="9" spans="1:13">
      <c r="A9" s="1278" t="s">
        <v>1203</v>
      </c>
      <c r="B9" s="1278"/>
      <c r="C9" s="1278"/>
      <c r="D9" s="1278"/>
      <c r="E9" s="1278"/>
      <c r="F9" s="1278"/>
      <c r="G9" s="1278"/>
      <c r="H9" s="1070"/>
      <c r="I9" s="1071"/>
    </row>
    <row r="10" spans="1:13">
      <c r="A10" s="517"/>
      <c r="B10" s="517"/>
      <c r="E10" s="436"/>
    </row>
    <row r="11" spans="1:13" ht="13.7" customHeight="1">
      <c r="C11" s="517"/>
      <c r="D11" s="1340" t="s">
        <v>1202</v>
      </c>
      <c r="E11" s="1340"/>
      <c r="F11" s="1340"/>
    </row>
    <row r="12" spans="1:13">
      <c r="C12" s="517"/>
      <c r="D12" s="1340"/>
      <c r="E12" s="1340"/>
      <c r="F12" s="1340"/>
    </row>
    <row r="13" spans="1:13">
      <c r="A13" s="518"/>
      <c r="B13" s="518"/>
      <c r="C13" s="518"/>
      <c r="D13" s="1291" t="s">
        <v>1185</v>
      </c>
      <c r="E13" s="1291"/>
      <c r="F13" s="1291"/>
      <c r="M13" s="96"/>
    </row>
    <row r="14" spans="1:13">
      <c r="A14" s="518"/>
      <c r="B14" s="518"/>
      <c r="C14" s="518"/>
      <c r="D14" s="511"/>
      <c r="L14" s="336"/>
    </row>
    <row r="15" spans="1:13" ht="14.25">
      <c r="A15" s="519"/>
      <c r="B15" s="520" t="s">
        <v>2718</v>
      </c>
      <c r="C15" s="518"/>
      <c r="D15" s="1290" t="s">
        <v>2301</v>
      </c>
      <c r="E15" s="1290"/>
      <c r="F15" s="1290"/>
      <c r="I15" s="436" t="s">
        <v>2145</v>
      </c>
    </row>
    <row r="16" spans="1:13">
      <c r="A16" s="518"/>
      <c r="B16" s="518"/>
      <c r="C16" s="518"/>
      <c r="D16" s="1290"/>
      <c r="E16" s="1290"/>
      <c r="F16" s="1290"/>
    </row>
    <row r="17" spans="1:9">
      <c r="A17" s="518"/>
      <c r="B17" s="518"/>
      <c r="C17" s="518"/>
      <c r="D17" s="1290"/>
      <c r="E17" s="1290"/>
      <c r="F17" s="1290"/>
    </row>
    <row r="18" spans="1:9">
      <c r="A18" s="518"/>
      <c r="B18" s="518"/>
      <c r="C18" s="518"/>
      <c r="D18" s="480"/>
      <c r="E18" s="336" t="s">
        <v>2299</v>
      </c>
      <c r="F18" s="480"/>
    </row>
    <row r="19" spans="1:9">
      <c r="A19" s="518"/>
      <c r="B19" s="518"/>
      <c r="C19" s="518"/>
    </row>
    <row r="20" spans="1:9" ht="14.25">
      <c r="A20" s="519"/>
      <c r="B20" s="520" t="s">
        <v>2718</v>
      </c>
      <c r="D20" s="1290" t="s">
        <v>2302</v>
      </c>
      <c r="E20" s="1290"/>
      <c r="F20" s="1290"/>
      <c r="I20" s="436" t="s">
        <v>2146</v>
      </c>
    </row>
    <row r="21" spans="1:9" ht="14.25">
      <c r="A21" s="519"/>
      <c r="D21" s="1290"/>
      <c r="E21" s="1290"/>
      <c r="F21" s="1290"/>
    </row>
    <row r="22" spans="1:9" ht="14.25">
      <c r="A22" s="519"/>
      <c r="D22" s="424"/>
      <c r="E22" s="96" t="s">
        <v>2298</v>
      </c>
      <c r="F22" s="424"/>
    </row>
    <row r="23" spans="1:9" ht="14.25">
      <c r="A23" s="519"/>
      <c r="B23" s="519"/>
      <c r="D23" s="481"/>
    </row>
    <row r="24" spans="1:9" ht="14.25">
      <c r="A24" s="519"/>
      <c r="B24" s="520" t="s">
        <v>2719</v>
      </c>
      <c r="D24" s="1290" t="s">
        <v>1188</v>
      </c>
      <c r="E24" s="1290"/>
      <c r="F24" s="1290"/>
      <c r="I24" s="436" t="s">
        <v>2146</v>
      </c>
    </row>
    <row r="25" spans="1:9" ht="14.25">
      <c r="A25" s="519"/>
      <c r="B25" s="519"/>
      <c r="D25" s="1290"/>
      <c r="E25" s="1290"/>
      <c r="F25" s="1290"/>
    </row>
    <row r="26" spans="1:9"/>
    <row r="27" spans="1:9" ht="14.25">
      <c r="A27" s="519"/>
      <c r="B27" s="520" t="s">
        <v>2718</v>
      </c>
      <c r="D27" s="1290" t="s">
        <v>2445</v>
      </c>
      <c r="E27" s="1290"/>
      <c r="F27" s="1290"/>
      <c r="I27" s="436" t="s">
        <v>2149</v>
      </c>
    </row>
    <row r="28" spans="1:9">
      <c r="D28" s="1290"/>
      <c r="E28" s="1290"/>
      <c r="F28" s="1290"/>
    </row>
    <row r="29" spans="1:9">
      <c r="D29" s="1290"/>
      <c r="E29" s="1290"/>
      <c r="F29" s="1290"/>
    </row>
    <row r="30" spans="1:9">
      <c r="D30" s="1290"/>
      <c r="E30" s="1290"/>
      <c r="F30" s="1290"/>
    </row>
    <row r="31" spans="1:9">
      <c r="D31" s="1290"/>
      <c r="E31" s="1290"/>
      <c r="F31" s="1290"/>
    </row>
    <row r="32" spans="1:9">
      <c r="D32" s="482"/>
    </row>
    <row r="33" spans="1:9">
      <c r="B33" s="520" t="s">
        <v>2719</v>
      </c>
      <c r="D33" s="1290" t="s">
        <v>2446</v>
      </c>
      <c r="E33" s="1290"/>
      <c r="F33" s="1290"/>
      <c r="I33" s="436" t="s">
        <v>2145</v>
      </c>
    </row>
    <row r="34" spans="1:9">
      <c r="D34" s="1290"/>
      <c r="E34" s="1290"/>
      <c r="F34" s="1290"/>
    </row>
    <row r="35" spans="1:9" ht="14.25">
      <c r="A35" s="519"/>
      <c r="B35" s="519"/>
      <c r="D35" s="482"/>
    </row>
    <row r="36" spans="1:9" ht="14.45" customHeight="1">
      <c r="A36" s="519"/>
      <c r="B36" s="520" t="s">
        <v>2719</v>
      </c>
      <c r="D36" s="1290" t="s">
        <v>1355</v>
      </c>
      <c r="E36" s="1290"/>
      <c r="F36" s="1290"/>
      <c r="I36" s="436" t="s">
        <v>2216</v>
      </c>
    </row>
    <row r="37" spans="1:9" ht="14.25">
      <c r="A37" s="519"/>
      <c r="B37" s="519"/>
      <c r="D37" s="1290"/>
      <c r="E37" s="1290"/>
      <c r="F37" s="1290"/>
    </row>
    <row r="38" spans="1:9" ht="14.25">
      <c r="A38" s="519"/>
      <c r="B38" s="519"/>
      <c r="D38" s="1290"/>
      <c r="E38" s="1290"/>
      <c r="F38" s="1290"/>
    </row>
    <row r="39" spans="1:9" ht="14.25">
      <c r="A39" s="519"/>
      <c r="B39" s="519"/>
      <c r="D39" s="1290"/>
      <c r="E39" s="1290"/>
      <c r="F39" s="1290"/>
    </row>
    <row r="40" spans="1:9" ht="14.25">
      <c r="A40" s="519"/>
      <c r="B40" s="519"/>
    </row>
    <row r="41" spans="1:9" ht="14.25">
      <c r="A41" s="519"/>
      <c r="B41" s="520" t="s">
        <v>2719</v>
      </c>
      <c r="D41" s="1290" t="s">
        <v>1192</v>
      </c>
      <c r="E41" s="1290"/>
      <c r="F41" s="1290"/>
    </row>
    <row r="42" spans="1:9" ht="14.25">
      <c r="A42" s="519"/>
      <c r="B42" s="519"/>
      <c r="D42" s="1290"/>
      <c r="E42" s="1290"/>
      <c r="F42" s="1290"/>
    </row>
    <row r="43" spans="1:9" ht="14.25">
      <c r="A43" s="519"/>
      <c r="B43" s="519"/>
      <c r="D43" s="1290"/>
      <c r="E43" s="1290"/>
      <c r="F43" s="1290"/>
    </row>
    <row r="44" spans="1:9" ht="14.25">
      <c r="A44" s="519"/>
      <c r="B44" s="519"/>
      <c r="D44" s="1290"/>
      <c r="E44" s="1290"/>
      <c r="F44" s="1290"/>
    </row>
    <row r="45" spans="1:9" ht="14.25">
      <c r="A45" s="519"/>
      <c r="B45" s="519"/>
      <c r="D45" s="1290"/>
      <c r="E45" s="1290"/>
      <c r="F45" s="1290"/>
    </row>
    <row r="46" spans="1:9" ht="14.25">
      <c r="A46" s="519"/>
      <c r="B46" s="519"/>
      <c r="D46" s="480"/>
      <c r="E46" s="480"/>
      <c r="F46" s="480"/>
    </row>
    <row r="47" spans="1:9" ht="14.25">
      <c r="A47" s="519"/>
      <c r="B47" s="520" t="s">
        <v>2719</v>
      </c>
      <c r="D47" s="1290" t="s">
        <v>1193</v>
      </c>
      <c r="E47" s="1290"/>
      <c r="F47" s="1290"/>
      <c r="I47" s="436" t="s">
        <v>2216</v>
      </c>
    </row>
    <row r="48" spans="1:9" ht="14.25">
      <c r="A48" s="519"/>
      <c r="B48" s="519"/>
      <c r="D48" s="1290"/>
      <c r="E48" s="1290"/>
      <c r="F48" s="1290"/>
    </row>
    <row r="49" spans="1:9" ht="14.25">
      <c r="A49" s="519"/>
      <c r="B49" s="519"/>
      <c r="D49" s="1290"/>
      <c r="E49" s="1290"/>
      <c r="F49" s="1290"/>
    </row>
    <row r="50" spans="1:9" ht="23.25" customHeight="1">
      <c r="A50" s="519"/>
      <c r="B50" s="519"/>
      <c r="D50" s="1290"/>
      <c r="E50" s="1290"/>
      <c r="F50" s="1290"/>
    </row>
    <row r="51" spans="1:9" ht="14.25">
      <c r="A51" s="519"/>
      <c r="B51" s="519"/>
      <c r="D51" s="481"/>
    </row>
    <row r="52" spans="1:9" ht="14.45" customHeight="1">
      <c r="A52" s="519"/>
      <c r="B52" s="520" t="s">
        <v>2719</v>
      </c>
      <c r="D52" s="1290" t="s">
        <v>1194</v>
      </c>
      <c r="E52" s="1290"/>
      <c r="F52" s="1290"/>
      <c r="I52" s="436" t="s">
        <v>2216</v>
      </c>
    </row>
    <row r="53" spans="1:9" ht="14.25">
      <c r="A53" s="519"/>
      <c r="B53" s="519"/>
      <c r="D53" s="1290"/>
      <c r="E53" s="1290"/>
      <c r="F53" s="1290"/>
    </row>
    <row r="54" spans="1:9" ht="14.25">
      <c r="A54" s="519"/>
      <c r="B54" s="519"/>
      <c r="D54" s="1290"/>
      <c r="E54" s="1290"/>
      <c r="F54" s="1290"/>
    </row>
    <row r="55" spans="1:9" ht="14.25">
      <c r="A55" s="519"/>
      <c r="B55" s="519"/>
    </row>
    <row r="56" spans="1:9" ht="14.25">
      <c r="A56" s="519"/>
      <c r="B56" s="520" t="s">
        <v>2718</v>
      </c>
      <c r="D56" s="1336" t="s">
        <v>1195</v>
      </c>
      <c r="E56" s="1336"/>
      <c r="F56" s="1336"/>
    </row>
    <row r="57" spans="1:9" ht="14.25">
      <c r="A57" s="519"/>
      <c r="B57" s="519"/>
      <c r="D57" s="1336"/>
      <c r="E57" s="1336"/>
      <c r="F57" s="1336"/>
    </row>
    <row r="58" spans="1:9" ht="14.25">
      <c r="A58" s="519"/>
      <c r="B58" s="519"/>
      <c r="D58" s="424" t="s">
        <v>2300</v>
      </c>
      <c r="E58" s="480"/>
      <c r="F58" s="480"/>
    </row>
    <row r="59" spans="1:9" ht="14.25">
      <c r="A59" s="519"/>
      <c r="B59" s="519"/>
      <c r="D59" s="480"/>
      <c r="E59" s="336" t="s">
        <v>2299</v>
      </c>
      <c r="F59" s="480"/>
    </row>
    <row r="60" spans="1:9">
      <c r="D60" s="482"/>
    </row>
    <row r="61" spans="1:9" ht="14.25">
      <c r="A61" s="519"/>
      <c r="B61" s="520" t="s">
        <v>2719</v>
      </c>
      <c r="D61" s="1290" t="s">
        <v>1196</v>
      </c>
      <c r="E61" s="1290"/>
      <c r="F61" s="1290"/>
      <c r="I61" s="436" t="s">
        <v>2147</v>
      </c>
    </row>
    <row r="62" spans="1:9">
      <c r="D62" s="1290"/>
      <c r="E62" s="1290"/>
      <c r="F62" s="1290"/>
    </row>
    <row r="63" spans="1:9">
      <c r="D63" s="1290"/>
      <c r="E63" s="1290"/>
      <c r="F63" s="1290"/>
    </row>
    <row r="64" spans="1:9"/>
    <row r="65" spans="1:9" ht="14.25">
      <c r="A65" s="519"/>
      <c r="B65" s="520" t="s">
        <v>2719</v>
      </c>
      <c r="D65" s="1290" t="s">
        <v>1197</v>
      </c>
      <c r="E65" s="1290"/>
      <c r="F65" s="1290"/>
      <c r="I65" s="436" t="s">
        <v>2148</v>
      </c>
    </row>
    <row r="66" spans="1:9">
      <c r="D66" s="1290"/>
      <c r="E66" s="1290"/>
      <c r="F66" s="1290"/>
    </row>
    <row r="67" spans="1:9"/>
    <row r="68" spans="1:9" ht="14.25">
      <c r="A68" s="519"/>
      <c r="B68" s="520" t="s">
        <v>2718</v>
      </c>
      <c r="D68" s="1290" t="s">
        <v>1198</v>
      </c>
      <c r="E68" s="1290"/>
      <c r="F68" s="1290"/>
    </row>
    <row r="69" spans="1:9">
      <c r="D69" s="1290"/>
      <c r="E69" s="1290"/>
      <c r="F69" s="1290"/>
      <c r="I69" s="436" t="s">
        <v>2149</v>
      </c>
    </row>
    <row r="70" spans="1:9">
      <c r="D70" s="1290"/>
      <c r="E70" s="1290"/>
      <c r="F70" s="1290"/>
    </row>
    <row r="71" spans="1:9"/>
    <row r="72" spans="1:9" ht="14.25">
      <c r="A72" s="519"/>
      <c r="B72" s="520" t="s">
        <v>2718</v>
      </c>
      <c r="D72" s="1290" t="s">
        <v>1199</v>
      </c>
      <c r="E72" s="1290"/>
      <c r="F72" s="1290"/>
      <c r="I72" s="436" t="s">
        <v>2149</v>
      </c>
    </row>
    <row r="73" spans="1:9">
      <c r="D73" s="1290"/>
      <c r="E73" s="1290"/>
      <c r="F73" s="1290"/>
    </row>
    <row r="74" spans="1:9" ht="14.25">
      <c r="A74" s="519"/>
      <c r="B74" s="519"/>
      <c r="D74" s="481"/>
    </row>
    <row r="75" spans="1:9">
      <c r="A75" s="1278" t="s">
        <v>1106</v>
      </c>
      <c r="B75" s="1278"/>
      <c r="C75" s="1278"/>
      <c r="D75" s="1278"/>
      <c r="E75" s="1278"/>
      <c r="F75" s="1278"/>
      <c r="G75" s="1278"/>
      <c r="H75" s="1070"/>
      <c r="I75" s="1071"/>
    </row>
    <row r="76" spans="1:9"/>
    <row r="77" spans="1:9">
      <c r="C77" s="521"/>
      <c r="D77" s="1292" t="s">
        <v>1204</v>
      </c>
      <c r="E77" s="1292"/>
      <c r="F77" s="1292"/>
    </row>
    <row r="78" spans="1:9">
      <c r="A78" s="481"/>
      <c r="B78" s="481"/>
      <c r="D78" s="1290" t="s">
        <v>1231</v>
      </c>
      <c r="E78" s="1290"/>
      <c r="F78" s="1290"/>
    </row>
    <row r="79" spans="1:9">
      <c r="A79" s="481"/>
      <c r="B79" s="481"/>
    </row>
    <row r="80" spans="1:9" ht="13.7" customHeight="1">
      <c r="A80" s="519"/>
      <c r="B80" s="520" t="s">
        <v>2718</v>
      </c>
      <c r="D80" s="1290" t="s">
        <v>1399</v>
      </c>
      <c r="E80" s="1290"/>
      <c r="F80" s="1290"/>
      <c r="I80" s="436" t="s">
        <v>2150</v>
      </c>
    </row>
    <row r="81" spans="1:9" ht="14.25">
      <c r="A81" s="519"/>
      <c r="B81" s="519"/>
      <c r="D81" s="1290"/>
      <c r="E81" s="1290"/>
      <c r="F81" s="1290"/>
    </row>
    <row r="82" spans="1:9" ht="14.25">
      <c r="A82" s="519"/>
      <c r="B82" s="519"/>
      <c r="D82" s="1290"/>
      <c r="E82" s="1290"/>
      <c r="F82" s="1290"/>
    </row>
    <row r="83" spans="1:9" ht="14.25">
      <c r="A83" s="519"/>
      <c r="B83" s="519"/>
      <c r="D83" s="1290"/>
      <c r="E83" s="1290"/>
      <c r="F83" s="1290"/>
    </row>
    <row r="84" spans="1:9" ht="14.25">
      <c r="A84" s="519"/>
      <c r="B84" s="519"/>
      <c r="D84" s="1290"/>
      <c r="E84" s="1290"/>
      <c r="F84" s="1290"/>
    </row>
    <row r="85" spans="1:9" ht="14.25">
      <c r="A85" s="519"/>
      <c r="B85" s="519"/>
      <c r="D85" s="1290"/>
      <c r="E85" s="1290"/>
      <c r="F85" s="1290"/>
    </row>
    <row r="86" spans="1:9" ht="14.25">
      <c r="A86" s="519"/>
      <c r="B86" s="519"/>
      <c r="D86" s="1290"/>
      <c r="E86" s="1290"/>
      <c r="F86" s="1290"/>
    </row>
    <row r="87" spans="1:9" ht="14.25">
      <c r="A87" s="519"/>
      <c r="B87" s="519"/>
      <c r="D87" s="1290"/>
      <c r="E87" s="1290"/>
      <c r="F87" s="1290"/>
    </row>
    <row r="88" spans="1:9" ht="14.25">
      <c r="A88" s="519"/>
      <c r="B88" s="519"/>
      <c r="D88" s="417"/>
      <c r="E88" s="417"/>
      <c r="F88" s="417"/>
    </row>
    <row r="89" spans="1:9" ht="15" customHeight="1">
      <c r="A89" s="519"/>
      <c r="B89" s="520" t="s">
        <v>2718</v>
      </c>
      <c r="D89" s="1290" t="s">
        <v>2001</v>
      </c>
      <c r="E89" s="1290"/>
      <c r="F89" s="1290"/>
      <c r="I89" s="436" t="s">
        <v>2151</v>
      </c>
    </row>
    <row r="90" spans="1:9" ht="14.25">
      <c r="A90" s="519"/>
      <c r="B90" s="519"/>
      <c r="D90" s="1290"/>
      <c r="E90" s="1290"/>
      <c r="F90" s="1290"/>
    </row>
    <row r="91" spans="1:9" ht="14.25">
      <c r="A91" s="519"/>
      <c r="B91" s="519"/>
      <c r="D91" s="480"/>
      <c r="E91" s="480"/>
      <c r="F91" s="480"/>
    </row>
    <row r="92" spans="1:9" ht="14.25">
      <c r="A92" s="519"/>
      <c r="B92" s="520" t="s">
        <v>2718</v>
      </c>
      <c r="D92" s="1290" t="s">
        <v>2004</v>
      </c>
      <c r="E92" s="1290"/>
      <c r="F92" s="1290"/>
      <c r="I92" s="436" t="s">
        <v>2152</v>
      </c>
    </row>
    <row r="93" spans="1:9" ht="14.25">
      <c r="A93" s="519"/>
      <c r="B93" s="519"/>
      <c r="D93" s="1290"/>
      <c r="E93" s="1290"/>
      <c r="F93" s="1290"/>
    </row>
    <row r="94" spans="1:9" ht="14.25">
      <c r="A94" s="519"/>
      <c r="B94" s="519"/>
      <c r="D94" s="1290"/>
      <c r="E94" s="1290"/>
      <c r="F94" s="1290"/>
    </row>
    <row r="95" spans="1:9" ht="14.25">
      <c r="A95" s="519"/>
      <c r="B95" s="519"/>
      <c r="D95" s="480"/>
      <c r="E95" s="480"/>
      <c r="F95" s="480"/>
    </row>
    <row r="96" spans="1:9" ht="14.25">
      <c r="A96" s="519"/>
      <c r="B96" s="520" t="s">
        <v>2718</v>
      </c>
      <c r="D96" s="1290" t="s">
        <v>2003</v>
      </c>
      <c r="E96" s="1290"/>
      <c r="F96" s="1290"/>
      <c r="I96" s="436" t="s">
        <v>2197</v>
      </c>
    </row>
    <row r="97" spans="1:9" s="1023" customFormat="1" ht="14.25">
      <c r="A97" s="1021"/>
      <c r="B97" s="1021"/>
      <c r="C97" s="1022"/>
      <c r="D97" s="1290"/>
      <c r="E97" s="1290"/>
      <c r="F97" s="1290"/>
      <c r="I97" s="1062"/>
    </row>
    <row r="98" spans="1:9" ht="14.25">
      <c r="A98" s="519"/>
      <c r="B98" s="519"/>
      <c r="D98" s="424"/>
      <c r="E98" s="336" t="s">
        <v>2303</v>
      </c>
      <c r="F98" s="480"/>
    </row>
    <row r="99" spans="1:9" ht="14.25">
      <c r="A99" s="519"/>
      <c r="B99" s="519"/>
      <c r="D99" s="417"/>
      <c r="E99" s="417"/>
      <c r="F99" s="417"/>
    </row>
    <row r="100" spans="1:9" ht="14.25">
      <c r="A100" s="519"/>
      <c r="B100" s="520" t="s">
        <v>2719</v>
      </c>
      <c r="D100" s="1290" t="s">
        <v>2002</v>
      </c>
      <c r="E100" s="1290"/>
      <c r="F100" s="1290"/>
      <c r="I100" s="436" t="s">
        <v>2153</v>
      </c>
    </row>
    <row r="101" spans="1:9" ht="14.25">
      <c r="A101" s="519"/>
      <c r="B101" s="519"/>
      <c r="D101" s="1290"/>
      <c r="E101" s="1290"/>
      <c r="F101" s="1290"/>
    </row>
    <row r="102" spans="1:9" ht="14.25">
      <c r="A102" s="519"/>
      <c r="B102" s="519"/>
      <c r="D102" s="480"/>
      <c r="E102" s="480"/>
      <c r="F102" s="480"/>
    </row>
    <row r="103" spans="1:9" ht="14.45" customHeight="1">
      <c r="A103" s="519"/>
      <c r="B103" s="520" t="s">
        <v>2719</v>
      </c>
      <c r="D103" s="1290" t="s">
        <v>1335</v>
      </c>
      <c r="E103" s="1290"/>
      <c r="F103" s="1290"/>
      <c r="I103" s="436" t="s">
        <v>2154</v>
      </c>
    </row>
    <row r="104" spans="1:9" ht="14.25">
      <c r="A104" s="519"/>
      <c r="B104" s="519"/>
      <c r="D104" s="1290"/>
      <c r="E104" s="1290"/>
      <c r="F104" s="1290"/>
    </row>
    <row r="105" spans="1:9" ht="14.25">
      <c r="A105" s="519"/>
      <c r="B105" s="519"/>
      <c r="D105" s="1290"/>
      <c r="E105" s="1290"/>
      <c r="F105" s="1290"/>
    </row>
    <row r="106" spans="1:9" ht="14.25">
      <c r="A106" s="519"/>
      <c r="B106" s="519"/>
      <c r="D106" s="1290"/>
      <c r="E106" s="1290"/>
      <c r="F106" s="1290"/>
    </row>
    <row r="107" spans="1:9" ht="14.25">
      <c r="A107" s="519"/>
      <c r="B107" s="519"/>
      <c r="D107" s="1290"/>
      <c r="E107" s="1290"/>
      <c r="F107" s="1290"/>
    </row>
    <row r="108" spans="1:9" ht="14.25">
      <c r="A108" s="519"/>
      <c r="B108" s="519"/>
      <c r="D108" s="1290"/>
      <c r="E108" s="1290"/>
      <c r="F108" s="1290"/>
    </row>
    <row r="109" spans="1:9" ht="14.25">
      <c r="A109" s="519"/>
      <c r="B109" s="519"/>
      <c r="D109" s="1290"/>
      <c r="E109" s="1290"/>
      <c r="F109" s="1290"/>
    </row>
    <row r="110" spans="1:9" ht="14.25">
      <c r="A110" s="519"/>
      <c r="B110" s="519"/>
      <c r="D110" s="1290"/>
      <c r="E110" s="1290"/>
      <c r="F110" s="1290"/>
    </row>
    <row r="111" spans="1:9" ht="14.25">
      <c r="A111" s="519"/>
      <c r="B111" s="519"/>
      <c r="D111" s="1290"/>
      <c r="E111" s="1290"/>
      <c r="F111" s="1290"/>
    </row>
    <row r="112" spans="1:9" ht="14.25">
      <c r="A112" s="519"/>
      <c r="B112" s="519"/>
      <c r="D112" s="1290"/>
      <c r="E112" s="1290"/>
      <c r="F112" s="1290"/>
    </row>
    <row r="113" spans="1:9" ht="14.25">
      <c r="A113" s="519"/>
      <c r="B113" s="519"/>
      <c r="D113" s="1290"/>
      <c r="E113" s="1290"/>
      <c r="F113" s="1290"/>
    </row>
    <row r="114" spans="1:9" ht="14.25">
      <c r="A114" s="519"/>
      <c r="B114" s="519"/>
      <c r="D114" s="1290"/>
      <c r="E114" s="1290"/>
      <c r="F114" s="1290"/>
    </row>
    <row r="115" spans="1:9" ht="14.25">
      <c r="A115" s="519"/>
      <c r="B115" s="519"/>
      <c r="D115" s="1290"/>
      <c r="E115" s="1290"/>
      <c r="F115" s="1290"/>
    </row>
    <row r="116" spans="1:9" ht="14.25">
      <c r="A116" s="519"/>
      <c r="B116" s="519"/>
      <c r="D116" s="1290"/>
      <c r="E116" s="1290"/>
      <c r="F116" s="1290"/>
    </row>
    <row r="117" spans="1:9" ht="14.25">
      <c r="A117" s="519"/>
      <c r="B117" s="519"/>
      <c r="D117" s="1290"/>
      <c r="E117" s="1290"/>
      <c r="F117" s="1290"/>
    </row>
    <row r="118" spans="1:9" ht="14.25">
      <c r="A118" s="519"/>
      <c r="B118" s="519"/>
      <c r="D118" s="559"/>
      <c r="E118" s="559"/>
      <c r="F118" s="559"/>
    </row>
    <row r="119" spans="1:9" ht="14.25" customHeight="1">
      <c r="A119" s="519"/>
      <c r="B119" s="520" t="s">
        <v>2719</v>
      </c>
      <c r="D119" s="1301" t="s">
        <v>1206</v>
      </c>
      <c r="E119" s="1301"/>
      <c r="F119" s="1301"/>
    </row>
    <row r="120" spans="1:9" ht="14.25">
      <c r="A120" s="519"/>
      <c r="B120" s="519"/>
      <c r="D120" s="1301"/>
      <c r="E120" s="1301"/>
      <c r="F120" s="1301"/>
    </row>
    <row r="121" spans="1:9" ht="14.25">
      <c r="A121" s="519"/>
      <c r="B121" s="519"/>
      <c r="D121" s="1301"/>
      <c r="E121" s="1301"/>
      <c r="F121" s="1301"/>
    </row>
    <row r="122" spans="1:9" ht="14.25">
      <c r="A122" s="519"/>
      <c r="B122" s="519"/>
      <c r="D122" s="1301"/>
      <c r="E122" s="1301"/>
      <c r="F122" s="1301"/>
    </row>
    <row r="123" spans="1:9" ht="14.25">
      <c r="A123" s="519"/>
      <c r="B123" s="519"/>
      <c r="D123" s="1301"/>
      <c r="E123" s="1301"/>
      <c r="F123" s="1301"/>
    </row>
    <row r="124" spans="1:9" ht="14.25">
      <c r="A124" s="519"/>
      <c r="B124" s="519"/>
      <c r="D124" s="1301"/>
      <c r="E124" s="1301"/>
      <c r="F124" s="1301"/>
    </row>
    <row r="125" spans="1:9" ht="14.25">
      <c r="A125" s="519"/>
      <c r="B125" s="519"/>
      <c r="D125" s="1301"/>
      <c r="E125" s="1301"/>
      <c r="F125" s="1301"/>
    </row>
    <row r="126" spans="1:9" ht="14.25">
      <c r="A126" s="519"/>
      <c r="B126" s="519"/>
      <c r="D126" s="1301"/>
      <c r="E126" s="1301"/>
      <c r="F126" s="1301"/>
    </row>
    <row r="127" spans="1:9">
      <c r="C127" s="434"/>
      <c r="D127" s="560"/>
      <c r="E127" s="560"/>
      <c r="F127" s="560"/>
    </row>
    <row r="128" spans="1:9" ht="14.25">
      <c r="A128" s="519"/>
      <c r="B128" s="520" t="s">
        <v>2718</v>
      </c>
      <c r="C128" s="434"/>
      <c r="D128" s="1301" t="s">
        <v>2447</v>
      </c>
      <c r="E128" s="1301"/>
      <c r="F128" s="1301"/>
      <c r="I128" s="436" t="s">
        <v>2155</v>
      </c>
    </row>
    <row r="129" spans="1:9" ht="14.25">
      <c r="A129" s="519"/>
      <c r="B129" s="519"/>
      <c r="C129" s="434"/>
      <c r="D129" s="1301"/>
      <c r="E129" s="1301"/>
      <c r="F129" s="1301"/>
    </row>
    <row r="130" spans="1:9"/>
    <row r="131" spans="1:9" ht="14.25">
      <c r="A131" s="519"/>
      <c r="B131" s="520" t="s">
        <v>2719</v>
      </c>
      <c r="D131" s="1290" t="s">
        <v>1209</v>
      </c>
      <c r="E131" s="1290"/>
      <c r="F131" s="1290"/>
      <c r="I131" s="436" t="s">
        <v>2155</v>
      </c>
    </row>
    <row r="132" spans="1:9">
      <c r="D132" s="1290"/>
      <c r="E132" s="1290"/>
      <c r="F132" s="1290"/>
    </row>
    <row r="133" spans="1:9">
      <c r="D133" s="1290"/>
      <c r="E133" s="1290"/>
      <c r="F133" s="1290"/>
    </row>
    <row r="134" spans="1:9">
      <c r="D134" s="1290"/>
      <c r="E134" s="1290"/>
      <c r="F134" s="1290"/>
    </row>
    <row r="135" spans="1:9">
      <c r="D135" s="1290"/>
      <c r="E135" s="1290"/>
      <c r="F135" s="1290"/>
    </row>
    <row r="136" spans="1:9"/>
    <row r="137" spans="1:9" ht="14.25">
      <c r="A137" s="519"/>
      <c r="B137" s="520" t="s">
        <v>2718</v>
      </c>
      <c r="D137" s="1290" t="s">
        <v>1210</v>
      </c>
      <c r="E137" s="1290"/>
      <c r="F137" s="1290"/>
      <c r="I137" s="436" t="s">
        <v>2156</v>
      </c>
    </row>
    <row r="138" spans="1:9" s="449" customFormat="1" ht="13.7" customHeight="1">
      <c r="A138" s="523"/>
      <c r="B138" s="523"/>
      <c r="C138" s="523"/>
      <c r="D138" s="1290"/>
      <c r="E138" s="1290"/>
      <c r="F138" s="1290"/>
      <c r="I138" s="1063"/>
    </row>
    <row r="139" spans="1:9" ht="13.7" customHeight="1">
      <c r="D139" s="1290"/>
      <c r="E139" s="1290"/>
      <c r="F139" s="1290"/>
    </row>
    <row r="140" spans="1:9" ht="13.7" customHeight="1">
      <c r="D140" s="1290"/>
      <c r="E140" s="1290"/>
      <c r="F140" s="1290"/>
    </row>
    <row r="141" spans="1:9" ht="13.7" customHeight="1">
      <c r="D141" s="1290"/>
      <c r="E141" s="1290"/>
      <c r="F141" s="1290"/>
    </row>
    <row r="142" spans="1:9" ht="13.7" customHeight="1">
      <c r="A142" s="524"/>
      <c r="B142" s="524"/>
      <c r="D142" s="1290"/>
      <c r="E142" s="1290"/>
      <c r="F142" s="1290"/>
    </row>
    <row r="143" spans="1:9" ht="13.7" customHeight="1">
      <c r="D143" s="1290"/>
      <c r="E143" s="1290"/>
      <c r="F143" s="1290"/>
    </row>
    <row r="144" spans="1:9" ht="13.7" customHeight="1">
      <c r="D144" s="1290"/>
      <c r="E144" s="1290"/>
      <c r="F144" s="1290"/>
    </row>
    <row r="145" spans="2:9" ht="13.7" customHeight="1">
      <c r="D145" s="1290"/>
      <c r="E145" s="1290"/>
      <c r="F145" s="1290"/>
    </row>
    <row r="146" spans="2:9" ht="13.7" customHeight="1">
      <c r="D146" s="1290"/>
      <c r="E146" s="1290"/>
      <c r="F146" s="1290"/>
    </row>
    <row r="147" spans="2:9" ht="13.7" customHeight="1">
      <c r="D147" s="1290"/>
      <c r="E147" s="1290"/>
      <c r="F147" s="1290"/>
    </row>
    <row r="148" spans="2:9" ht="13.7" customHeight="1">
      <c r="D148" s="1290"/>
      <c r="E148" s="1290"/>
      <c r="F148" s="1290"/>
    </row>
    <row r="149" spans="2:9" ht="13.7" customHeight="1">
      <c r="D149" s="1290"/>
      <c r="E149" s="1290"/>
      <c r="F149" s="1290"/>
    </row>
    <row r="150" spans="2:9" ht="13.7" customHeight="1">
      <c r="D150" s="511"/>
      <c r="E150" s="481"/>
      <c r="F150" s="481"/>
    </row>
    <row r="151" spans="2:9" ht="13.7" customHeight="1">
      <c r="B151" s="520" t="s">
        <v>2719</v>
      </c>
      <c r="D151" s="1290" t="s">
        <v>1318</v>
      </c>
      <c r="E151" s="1290"/>
      <c r="F151" s="1290"/>
      <c r="I151" s="436" t="s">
        <v>2157</v>
      </c>
    </row>
    <row r="152" spans="2:9" ht="13.7" customHeight="1">
      <c r="D152" s="1290"/>
      <c r="E152" s="1290"/>
      <c r="F152" s="1290"/>
    </row>
    <row r="153" spans="2:9" ht="13.7" customHeight="1">
      <c r="D153" s="1290"/>
      <c r="E153" s="1290"/>
      <c r="F153" s="1290"/>
    </row>
    <row r="154" spans="2:9" ht="13.7" customHeight="1">
      <c r="D154" s="1290"/>
      <c r="E154" s="1290"/>
      <c r="F154" s="1290"/>
    </row>
    <row r="155" spans="2:9" ht="13.7" customHeight="1">
      <c r="D155" s="1290"/>
      <c r="E155" s="1290"/>
      <c r="F155" s="1290"/>
    </row>
    <row r="156" spans="2:9" ht="13.7" customHeight="1">
      <c r="D156" s="1290"/>
      <c r="E156" s="1290"/>
      <c r="F156" s="1290"/>
    </row>
    <row r="157" spans="2:9" ht="13.7" customHeight="1">
      <c r="D157" s="1290"/>
      <c r="E157" s="1290"/>
      <c r="F157" s="1290"/>
    </row>
    <row r="158" spans="2:9" ht="13.7" customHeight="1">
      <c r="D158" s="1290"/>
      <c r="E158" s="1290"/>
      <c r="F158" s="1290"/>
    </row>
    <row r="159" spans="2:9" ht="13.7" customHeight="1">
      <c r="D159" s="1290"/>
      <c r="E159" s="1290"/>
      <c r="F159" s="1290"/>
    </row>
    <row r="160" spans="2:9" ht="13.7" customHeight="1">
      <c r="D160" s="1290"/>
      <c r="E160" s="1290"/>
      <c r="F160" s="1290"/>
    </row>
    <row r="161" spans="1:9" ht="13.7" customHeight="1">
      <c r="D161" s="1290"/>
      <c r="E161" s="1290"/>
      <c r="F161" s="1290"/>
    </row>
    <row r="162" spans="1:9" ht="13.7" customHeight="1">
      <c r="D162" s="1290"/>
      <c r="E162" s="1290"/>
      <c r="F162" s="1290"/>
    </row>
    <row r="163" spans="1:9" ht="13.7" customHeight="1">
      <c r="D163" s="1290"/>
      <c r="E163" s="1290"/>
      <c r="F163" s="1290"/>
    </row>
    <row r="164" spans="1:9" ht="13.7" customHeight="1">
      <c r="D164" s="1290"/>
      <c r="E164" s="1290"/>
      <c r="F164" s="1290"/>
    </row>
    <row r="165" spans="1:9" ht="13.7" customHeight="1">
      <c r="D165" s="1290"/>
      <c r="E165" s="1290"/>
      <c r="F165" s="1290"/>
    </row>
    <row r="166" spans="1:9" ht="13.7" customHeight="1">
      <c r="D166" s="1290"/>
      <c r="E166" s="1290"/>
      <c r="F166" s="1290"/>
    </row>
    <row r="167" spans="1:9" ht="13.7" customHeight="1">
      <c r="D167" s="1290"/>
      <c r="E167" s="1290"/>
      <c r="F167" s="1290"/>
    </row>
    <row r="168" spans="1:9" ht="13.7" customHeight="1">
      <c r="D168" s="1290"/>
      <c r="E168" s="1290"/>
      <c r="F168" s="1290"/>
    </row>
    <row r="169" spans="1:9" ht="13.7" customHeight="1">
      <c r="D169" s="1335" t="s">
        <v>2472</v>
      </c>
      <c r="E169" s="1335"/>
      <c r="F169" s="1335"/>
      <c r="G169" s="542"/>
    </row>
    <row r="170" spans="1:9" ht="13.7" customHeight="1">
      <c r="D170" s="1276"/>
      <c r="E170" s="1276"/>
      <c r="F170" s="1276"/>
      <c r="G170" s="1276"/>
    </row>
    <row r="171" spans="1:9" ht="14.45" customHeight="1">
      <c r="A171" s="524"/>
      <c r="B171" s="520" t="s">
        <v>2719</v>
      </c>
      <c r="C171" s="511"/>
      <c r="D171" s="1272" t="s">
        <v>1365</v>
      </c>
      <c r="E171" s="1272"/>
      <c r="F171" s="1272"/>
      <c r="G171" s="511"/>
      <c r="I171" s="436" t="s">
        <v>2152</v>
      </c>
    </row>
    <row r="172" spans="1:9" ht="14.45" customHeight="1">
      <c r="A172" s="524"/>
      <c r="B172" s="524"/>
      <c r="C172" s="511"/>
      <c r="D172" s="1272"/>
      <c r="E172" s="1272"/>
      <c r="F172" s="1272"/>
      <c r="G172" s="511"/>
    </row>
    <row r="173" spans="1:9" ht="13.7" customHeight="1">
      <c r="A173" s="524"/>
      <c r="B173" s="524"/>
      <c r="C173" s="511"/>
      <c r="D173" s="1272"/>
      <c r="E173" s="1272"/>
      <c r="F173" s="1272"/>
      <c r="G173" s="511"/>
    </row>
    <row r="174" spans="1:9" ht="13.7" customHeight="1">
      <c r="A174" s="524"/>
      <c r="B174" s="524"/>
      <c r="C174" s="511"/>
      <c r="D174" s="511"/>
      <c r="E174" s="511"/>
      <c r="F174" s="511"/>
      <c r="G174" s="511"/>
    </row>
    <row r="175" spans="1:9" ht="13.7" customHeight="1">
      <c r="A175" s="524"/>
      <c r="B175" s="520" t="s">
        <v>2719</v>
      </c>
      <c r="C175" s="511"/>
      <c r="D175" s="1272" t="s">
        <v>1212</v>
      </c>
      <c r="E175" s="1272"/>
      <c r="F175" s="1272"/>
      <c r="G175" s="511"/>
      <c r="I175" s="436" t="s">
        <v>2158</v>
      </c>
    </row>
    <row r="176" spans="1:9" ht="13.7" customHeight="1">
      <c r="A176" s="524"/>
      <c r="B176" s="524"/>
      <c r="C176" s="511"/>
      <c r="D176" s="1272"/>
      <c r="E176" s="1272"/>
      <c r="F176" s="1272"/>
      <c r="G176" s="511"/>
    </row>
    <row r="177" spans="1:9" ht="13.7" customHeight="1">
      <c r="A177" s="524"/>
      <c r="B177" s="524"/>
      <c r="C177" s="511"/>
      <c r="D177" s="1272"/>
      <c r="E177" s="1272"/>
      <c r="F177" s="1272"/>
      <c r="G177" s="511"/>
    </row>
    <row r="178" spans="1:9" ht="13.7" customHeight="1">
      <c r="A178" s="524"/>
      <c r="B178" s="524"/>
      <c r="C178" s="511"/>
      <c r="D178" s="1272"/>
      <c r="E178" s="1272"/>
      <c r="F178" s="1272"/>
      <c r="G178" s="511"/>
    </row>
    <row r="179" spans="1:9" ht="13.7" customHeight="1">
      <c r="D179" s="481"/>
      <c r="E179" s="481"/>
      <c r="F179" s="481"/>
    </row>
    <row r="180" spans="1:9" ht="13.7" customHeight="1">
      <c r="B180" s="520" t="s">
        <v>2719</v>
      </c>
      <c r="D180" s="1277" t="s">
        <v>2448</v>
      </c>
      <c r="E180" s="1277"/>
      <c r="F180" s="1277"/>
      <c r="I180" s="436" t="s">
        <v>2159</v>
      </c>
    </row>
    <row r="181" spans="1:9" ht="13.7" customHeight="1">
      <c r="D181" s="1277"/>
      <c r="E181" s="1277"/>
      <c r="F181" s="1277"/>
    </row>
    <row r="182" spans="1:9" ht="13.7" customHeight="1">
      <c r="D182" s="1277"/>
      <c r="E182" s="1277"/>
      <c r="F182" s="1277"/>
    </row>
    <row r="183" spans="1:9" ht="13.7" customHeight="1">
      <c r="A183" s="525"/>
      <c r="B183" s="525"/>
      <c r="E183" s="481"/>
      <c r="F183" s="481"/>
    </row>
    <row r="184" spans="1:9">
      <c r="A184" s="1278" t="s">
        <v>2449</v>
      </c>
      <c r="B184" s="1278"/>
      <c r="C184" s="1278"/>
      <c r="D184" s="1278"/>
      <c r="E184" s="1278"/>
      <c r="F184" s="1278"/>
      <c r="G184" s="1278"/>
      <c r="H184" s="1070"/>
      <c r="I184" s="1071"/>
    </row>
    <row r="185" spans="1:9" ht="12" customHeight="1">
      <c r="D185" s="481"/>
      <c r="E185" s="481"/>
      <c r="F185" s="481"/>
    </row>
    <row r="186" spans="1:9">
      <c r="B186" s="1293" t="s">
        <v>449</v>
      </c>
      <c r="C186" s="1293"/>
      <c r="D186" s="1293"/>
      <c r="E186" s="1293"/>
      <c r="F186" s="1293"/>
    </row>
    <row r="187" spans="1:9">
      <c r="B187" s="424" t="s">
        <v>2138</v>
      </c>
      <c r="C187" s="424"/>
      <c r="D187" s="424"/>
      <c r="E187" s="424"/>
      <c r="F187" s="424"/>
    </row>
    <row r="188" spans="1:9" ht="12" customHeight="1">
      <c r="A188" s="517"/>
      <c r="B188" s="517"/>
      <c r="C188" s="517"/>
    </row>
    <row r="189" spans="1:9">
      <c r="A189" s="1278" t="s">
        <v>1108</v>
      </c>
      <c r="B189" s="1278"/>
      <c r="C189" s="1278"/>
      <c r="D189" s="1278"/>
      <c r="E189" s="1278"/>
      <c r="F189" s="1278"/>
      <c r="G189" s="1278"/>
      <c r="H189" s="1070"/>
      <c r="I189" s="1071"/>
    </row>
    <row r="190" spans="1:9" ht="12" customHeight="1">
      <c r="A190" s="436"/>
      <c r="B190" s="436"/>
      <c r="E190" s="436"/>
    </row>
    <row r="191" spans="1:9" ht="13.7" customHeight="1">
      <c r="A191" s="436"/>
      <c r="B191" s="436"/>
      <c r="D191" s="1292" t="s">
        <v>2005</v>
      </c>
      <c r="E191" s="1292"/>
      <c r="F191" s="1292"/>
    </row>
    <row r="192" spans="1:9">
      <c r="A192" s="436"/>
      <c r="B192" s="436"/>
      <c r="D192" s="1292"/>
      <c r="E192" s="1292"/>
      <c r="F192" s="1292"/>
    </row>
    <row r="193" spans="1:9">
      <c r="A193" s="436"/>
      <c r="B193" s="436"/>
      <c r="D193" s="1293" t="s">
        <v>1336</v>
      </c>
      <c r="E193" s="1293"/>
      <c r="F193" s="1293"/>
    </row>
    <row r="194" spans="1:9">
      <c r="A194" s="436"/>
      <c r="B194" s="436"/>
      <c r="D194" s="424"/>
      <c r="E194" s="424"/>
      <c r="F194" s="424"/>
    </row>
    <row r="195" spans="1:9">
      <c r="A195" s="436"/>
      <c r="B195" s="520" t="s">
        <v>2718</v>
      </c>
      <c r="D195" s="1274" t="s">
        <v>2006</v>
      </c>
      <c r="E195" s="1274"/>
      <c r="F195" s="1274"/>
      <c r="I195" s="436" t="s">
        <v>2208</v>
      </c>
    </row>
    <row r="196" spans="1:9">
      <c r="A196" s="436"/>
      <c r="B196" s="436"/>
      <c r="D196" s="1306" t="s">
        <v>2281</v>
      </c>
      <c r="E196" s="1306"/>
      <c r="F196" s="1306"/>
    </row>
    <row r="197" spans="1:9">
      <c r="A197" s="436"/>
      <c r="B197" s="436"/>
      <c r="D197" s="96" t="s">
        <v>2007</v>
      </c>
      <c r="E197" s="1337" t="s">
        <v>2304</v>
      </c>
      <c r="F197" s="1337"/>
    </row>
    <row r="198" spans="1:9">
      <c r="A198" s="436"/>
      <c r="B198" s="436"/>
      <c r="D198" s="3"/>
      <c r="E198" s="3"/>
      <c r="F198" s="3"/>
    </row>
    <row r="199" spans="1:9">
      <c r="A199" s="436"/>
      <c r="B199" s="520" t="s">
        <v>2719</v>
      </c>
      <c r="D199" s="1306" t="s">
        <v>2008</v>
      </c>
      <c r="E199" s="1306"/>
      <c r="F199" s="1306"/>
      <c r="I199" s="436" t="s">
        <v>2209</v>
      </c>
    </row>
    <row r="200" spans="1:9">
      <c r="A200" s="436"/>
      <c r="B200" s="436"/>
      <c r="D200" s="1274" t="s">
        <v>2281</v>
      </c>
      <c r="E200" s="1274"/>
      <c r="F200" s="1274"/>
    </row>
    <row r="201" spans="1:9">
      <c r="A201" s="436"/>
      <c r="B201" s="436"/>
      <c r="D201" s="57" t="s">
        <v>2009</v>
      </c>
      <c r="E201" s="1337" t="s">
        <v>2305</v>
      </c>
      <c r="F201" s="1337"/>
    </row>
    <row r="202" spans="1:9">
      <c r="A202" s="436"/>
      <c r="B202" s="436"/>
      <c r="D202" s="3"/>
      <c r="E202" s="3"/>
      <c r="F202" s="3"/>
    </row>
    <row r="203" spans="1:9">
      <c r="A203" s="436"/>
      <c r="B203" s="520" t="s">
        <v>2719</v>
      </c>
      <c r="D203" s="1306" t="s">
        <v>2010</v>
      </c>
      <c r="E203" s="1306"/>
      <c r="F203" s="1306"/>
      <c r="I203" s="436" t="s">
        <v>2210</v>
      </c>
    </row>
    <row r="204" spans="1:9">
      <c r="A204" s="436"/>
      <c r="B204" s="436"/>
      <c r="D204" s="1274" t="s">
        <v>2281</v>
      </c>
      <c r="E204" s="1274"/>
      <c r="F204" s="1274"/>
    </row>
    <row r="205" spans="1:9">
      <c r="A205" s="436"/>
      <c r="B205" s="436"/>
      <c r="D205" s="57" t="s">
        <v>2007</v>
      </c>
      <c r="E205" s="1337" t="s">
        <v>2306</v>
      </c>
      <c r="F205" s="1337"/>
    </row>
    <row r="206" spans="1:9">
      <c r="A206" s="436"/>
      <c r="B206" s="436"/>
      <c r="D206" s="424"/>
      <c r="E206" s="424"/>
      <c r="F206" s="424"/>
    </row>
    <row r="207" spans="1:9" ht="14.25" customHeight="1">
      <c r="A207" s="519"/>
      <c r="B207" s="520" t="s">
        <v>2719</v>
      </c>
      <c r="D207" s="418" t="s">
        <v>2274</v>
      </c>
      <c r="E207" s="417"/>
      <c r="F207" s="417"/>
      <c r="I207" s="436" t="s">
        <v>2211</v>
      </c>
    </row>
    <row r="208" spans="1:9" ht="14.25">
      <c r="A208" s="519"/>
      <c r="B208" s="519"/>
      <c r="D208" s="1274" t="s">
        <v>2281</v>
      </c>
      <c r="E208" s="1274"/>
      <c r="F208" s="1274"/>
    </row>
    <row r="209" spans="1:9">
      <c r="D209" s="417"/>
      <c r="E209" s="1337" t="s">
        <v>2307</v>
      </c>
      <c r="F209" s="1337"/>
    </row>
    <row r="210" spans="1:9">
      <c r="D210" s="482"/>
    </row>
    <row r="211" spans="1:9">
      <c r="B211" s="520" t="s">
        <v>2719</v>
      </c>
      <c r="D211" s="1306" t="s">
        <v>2011</v>
      </c>
      <c r="E211" s="1306"/>
      <c r="F211" s="1306"/>
      <c r="I211" s="436" t="s">
        <v>2212</v>
      </c>
    </row>
    <row r="212" spans="1:9">
      <c r="D212" s="1274" t="s">
        <v>2281</v>
      </c>
      <c r="E212" s="1274"/>
      <c r="F212" s="1274"/>
    </row>
    <row r="213" spans="1:9">
      <c r="D213" s="57" t="s">
        <v>2007</v>
      </c>
      <c r="E213" s="1337" t="s">
        <v>2308</v>
      </c>
      <c r="F213" s="1337"/>
    </row>
    <row r="214" spans="1:9">
      <c r="D214" s="486"/>
      <c r="E214" s="486"/>
      <c r="F214" s="486"/>
    </row>
    <row r="215" spans="1:9" ht="14.25">
      <c r="A215" s="519"/>
      <c r="B215" s="520" t="s">
        <v>2719</v>
      </c>
      <c r="D215" s="1290" t="s">
        <v>1357</v>
      </c>
      <c r="E215" s="1290"/>
      <c r="F215" s="1290"/>
    </row>
    <row r="216" spans="1:9" ht="14.45" customHeight="1">
      <c r="A216" s="519"/>
      <c r="B216" s="434"/>
      <c r="D216" s="1290"/>
      <c r="E216" s="1290"/>
      <c r="F216" s="1290"/>
    </row>
    <row r="217" spans="1:9" ht="14.25">
      <c r="A217" s="519"/>
      <c r="D217" s="1290"/>
      <c r="E217" s="1290"/>
      <c r="F217" s="1290"/>
    </row>
    <row r="218" spans="1:9" ht="14.25">
      <c r="A218" s="519"/>
      <c r="D218" s="1290"/>
      <c r="E218" s="1290"/>
      <c r="F218" s="1290"/>
    </row>
    <row r="219" spans="1:9">
      <c r="D219" s="486"/>
      <c r="E219" s="486"/>
      <c r="F219" s="486"/>
    </row>
    <row r="220" spans="1:9">
      <c r="A220" s="1278" t="s">
        <v>1109</v>
      </c>
      <c r="B220" s="1278"/>
      <c r="C220" s="1278"/>
      <c r="D220" s="1278"/>
      <c r="E220" s="1278"/>
      <c r="F220" s="1278"/>
      <c r="G220" s="1278"/>
      <c r="H220" s="1070"/>
      <c r="I220" s="1071"/>
    </row>
    <row r="221" spans="1:9" ht="12" customHeight="1">
      <c r="D221" s="481"/>
      <c r="E221" s="481"/>
      <c r="F221" s="481"/>
    </row>
    <row r="222" spans="1:9">
      <c r="C222" s="521"/>
      <c r="D222" s="1289" t="s">
        <v>210</v>
      </c>
      <c r="E222" s="1289"/>
      <c r="F222" s="1289"/>
    </row>
    <row r="223" spans="1:9">
      <c r="A223" s="517"/>
      <c r="B223" s="517"/>
      <c r="C223" s="517"/>
      <c r="D223" s="1291" t="s">
        <v>1238</v>
      </c>
      <c r="E223" s="1291"/>
      <c r="F223" s="1291"/>
    </row>
    <row r="224" spans="1:9" ht="12" customHeight="1">
      <c r="A224" s="525"/>
      <c r="B224" s="525"/>
      <c r="C224" s="525"/>
    </row>
    <row r="225" spans="1:9" ht="13.7" customHeight="1">
      <c r="A225" s="525"/>
      <c r="C225" s="525"/>
      <c r="D225" s="1289" t="s">
        <v>555</v>
      </c>
      <c r="E225" s="1289"/>
      <c r="F225" s="1289"/>
      <c r="I225" s="436" t="s">
        <v>2160</v>
      </c>
    </row>
    <row r="226" spans="1:9" ht="14.25">
      <c r="A226" s="519"/>
      <c r="B226" s="520" t="s">
        <v>2718</v>
      </c>
      <c r="D226" s="1290" t="s">
        <v>2012</v>
      </c>
      <c r="E226" s="1290"/>
      <c r="F226" s="1290"/>
    </row>
    <row r="227" spans="1:9" ht="14.25" customHeight="1">
      <c r="A227" s="519"/>
      <c r="B227" s="519"/>
      <c r="D227" s="1290"/>
      <c r="E227" s="1290"/>
      <c r="F227" s="1290"/>
    </row>
    <row r="228" spans="1:9" ht="14.25" customHeight="1">
      <c r="A228" s="519"/>
      <c r="B228" s="519"/>
      <c r="D228" s="1290"/>
      <c r="E228" s="1290"/>
      <c r="F228" s="1290"/>
    </row>
    <row r="229" spans="1:9" ht="14.25">
      <c r="A229" s="519"/>
      <c r="B229" s="519"/>
      <c r="D229" s="1290"/>
      <c r="E229" s="1290"/>
      <c r="F229" s="1290"/>
    </row>
    <row r="230" spans="1:9" ht="14.25">
      <c r="A230" s="519"/>
      <c r="B230" s="519"/>
      <c r="D230" s="480"/>
      <c r="E230" s="480"/>
      <c r="F230" s="480"/>
    </row>
    <row r="231" spans="1:9" ht="14.25">
      <c r="A231" s="519"/>
      <c r="B231" s="520" t="s">
        <v>2718</v>
      </c>
      <c r="D231" s="1290" t="s">
        <v>2013</v>
      </c>
      <c r="E231" s="1290"/>
      <c r="F231" s="1290"/>
      <c r="I231" s="436" t="s">
        <v>2161</v>
      </c>
    </row>
    <row r="232" spans="1:9" ht="14.25">
      <c r="A232" s="519"/>
      <c r="B232" s="519"/>
      <c r="D232" s="1290"/>
      <c r="E232" s="1290"/>
      <c r="F232" s="1290"/>
    </row>
    <row r="233" spans="1:9" ht="14.25">
      <c r="A233" s="519"/>
      <c r="B233" s="519"/>
      <c r="D233" s="1290"/>
      <c r="E233" s="1290"/>
      <c r="F233" s="1290"/>
    </row>
    <row r="234" spans="1:9" ht="14.25">
      <c r="A234" s="519"/>
      <c r="B234" s="519"/>
      <c r="D234" s="1290"/>
      <c r="E234" s="1290"/>
      <c r="F234" s="1290"/>
    </row>
    <row r="235" spans="1:9" ht="14.25" customHeight="1">
      <c r="A235" s="519"/>
      <c r="B235" s="519"/>
      <c r="D235" s="1290"/>
      <c r="E235" s="1290"/>
      <c r="F235" s="1290"/>
    </row>
    <row r="236" spans="1:9" ht="14.25" customHeight="1">
      <c r="A236" s="519"/>
      <c r="B236" s="519"/>
      <c r="D236" s="480"/>
      <c r="E236" s="480"/>
      <c r="F236" s="480"/>
    </row>
    <row r="237" spans="1:9" ht="14.25">
      <c r="A237" s="519"/>
      <c r="B237" s="519"/>
      <c r="D237" s="1290" t="s">
        <v>1234</v>
      </c>
      <c r="E237" s="1290"/>
      <c r="F237" s="1290"/>
      <c r="I237" s="436" t="s">
        <v>2160</v>
      </c>
    </row>
    <row r="238" spans="1:9" ht="14.25">
      <c r="A238" s="519"/>
      <c r="B238" s="519"/>
      <c r="D238" s="1290"/>
      <c r="E238" s="1290"/>
      <c r="F238" s="1290"/>
    </row>
    <row r="239" spans="1:9" ht="14.25">
      <c r="A239" s="519"/>
      <c r="B239" s="519"/>
      <c r="D239" s="1290"/>
      <c r="E239" s="1290"/>
      <c r="F239" s="1290"/>
    </row>
    <row r="240" spans="1:9" ht="14.25">
      <c r="A240" s="519"/>
      <c r="B240" s="519"/>
      <c r="D240" s="1290"/>
      <c r="E240" s="1290"/>
      <c r="F240" s="1290"/>
    </row>
    <row r="241" spans="1:9" ht="14.25">
      <c r="A241" s="519"/>
      <c r="B241" s="519"/>
      <c r="D241" s="1290"/>
      <c r="E241" s="1290"/>
      <c r="F241" s="1290"/>
    </row>
    <row r="242" spans="1:9" ht="14.25">
      <c r="A242" s="519"/>
      <c r="B242" s="519"/>
      <c r="D242" s="481"/>
      <c r="E242" s="481"/>
      <c r="F242" s="481"/>
    </row>
    <row r="243" spans="1:9" ht="14.25">
      <c r="A243" s="519"/>
      <c r="B243" s="520" t="s">
        <v>2718</v>
      </c>
      <c r="D243" s="1290" t="s">
        <v>2450</v>
      </c>
      <c r="E243" s="1290"/>
      <c r="F243" s="1290"/>
      <c r="I243" s="436" t="s">
        <v>2199</v>
      </c>
    </row>
    <row r="244" spans="1:9" ht="14.25">
      <c r="A244" s="519"/>
      <c r="B244" s="519"/>
      <c r="D244" s="1290"/>
      <c r="E244" s="1290"/>
      <c r="F244" s="1290"/>
    </row>
    <row r="245" spans="1:9" ht="14.25">
      <c r="A245" s="519"/>
      <c r="B245" s="519"/>
      <c r="D245" s="1290"/>
      <c r="E245" s="1290"/>
      <c r="F245" s="1290"/>
    </row>
    <row r="246" spans="1:9" ht="14.25">
      <c r="A246" s="519"/>
      <c r="B246" s="519"/>
      <c r="E246" s="1079" t="s">
        <v>2275</v>
      </c>
    </row>
    <row r="247" spans="1:9" ht="14.25">
      <c r="A247" s="519"/>
      <c r="B247" s="519"/>
      <c r="D247" s="481"/>
      <c r="E247" s="481"/>
      <c r="F247" s="481"/>
    </row>
    <row r="248" spans="1:9" ht="14.45" customHeight="1">
      <c r="A248" s="519"/>
      <c r="B248" s="520" t="s">
        <v>2719</v>
      </c>
      <c r="D248" s="1290" t="s">
        <v>2451</v>
      </c>
      <c r="E248" s="1290"/>
      <c r="F248" s="1290"/>
      <c r="I248" s="436" t="s">
        <v>2217</v>
      </c>
    </row>
    <row r="249" spans="1:9" ht="14.25">
      <c r="A249" s="519"/>
      <c r="B249" s="519"/>
      <c r="D249" s="1290"/>
      <c r="E249" s="1290"/>
      <c r="F249" s="1290"/>
    </row>
    <row r="250" spans="1:9" ht="14.25">
      <c r="A250" s="519"/>
      <c r="B250" s="519"/>
      <c r="D250" s="1290"/>
      <c r="E250" s="1290"/>
      <c r="F250" s="1290"/>
    </row>
    <row r="251" spans="1:9" ht="14.25">
      <c r="A251" s="519"/>
      <c r="B251" s="519"/>
      <c r="D251" s="1290"/>
      <c r="E251" s="1290"/>
      <c r="F251" s="1290"/>
    </row>
    <row r="252" spans="1:9" ht="14.25">
      <c r="A252" s="519"/>
      <c r="B252" s="519"/>
      <c r="D252" s="1290"/>
      <c r="E252" s="1290"/>
      <c r="F252" s="1290"/>
    </row>
    <row r="253" spans="1:9" ht="14.25">
      <c r="A253" s="519"/>
      <c r="B253" s="519"/>
      <c r="D253" s="480"/>
      <c r="E253" s="480"/>
      <c r="F253" s="480"/>
    </row>
    <row r="254" spans="1:9" ht="14.25">
      <c r="A254" s="519"/>
      <c r="B254" s="520" t="s">
        <v>2718</v>
      </c>
      <c r="D254" s="424" t="s">
        <v>2452</v>
      </c>
      <c r="E254" s="480"/>
      <c r="F254" s="480"/>
      <c r="I254" s="436" t="s">
        <v>2198</v>
      </c>
    </row>
    <row r="255" spans="1:9" ht="14.25">
      <c r="A255" s="519"/>
      <c r="B255" s="519"/>
      <c r="E255" s="1079" t="s">
        <v>2276</v>
      </c>
    </row>
    <row r="256" spans="1:9">
      <c r="D256" s="481"/>
      <c r="E256" s="481"/>
      <c r="F256" s="481"/>
    </row>
    <row r="257" spans="1:9" ht="14.25">
      <c r="A257" s="519"/>
      <c r="B257" s="520" t="s">
        <v>2718</v>
      </c>
      <c r="D257" s="1290" t="s">
        <v>1236</v>
      </c>
      <c r="E257" s="1290"/>
      <c r="F257" s="1290"/>
    </row>
    <row r="258" spans="1:9" ht="14.25">
      <c r="A258" s="519"/>
      <c r="B258" s="519"/>
      <c r="D258" s="1290"/>
      <c r="E258" s="1290"/>
      <c r="F258" s="1290"/>
    </row>
    <row r="259" spans="1:9">
      <c r="D259" s="526"/>
    </row>
    <row r="260" spans="1:9">
      <c r="A260" s="1278" t="s">
        <v>1110</v>
      </c>
      <c r="B260" s="1278"/>
      <c r="C260" s="1278"/>
      <c r="D260" s="1278"/>
      <c r="E260" s="1278"/>
      <c r="F260" s="1278"/>
      <c r="G260" s="1278"/>
      <c r="H260" s="1070"/>
      <c r="I260" s="1071"/>
    </row>
    <row r="261" spans="1:9">
      <c r="D261" s="526"/>
    </row>
    <row r="262" spans="1:9">
      <c r="C262" s="521"/>
      <c r="D262" s="1289" t="s">
        <v>1239</v>
      </c>
      <c r="E262" s="1289"/>
      <c r="F262" s="1289"/>
    </row>
    <row r="263" spans="1:9">
      <c r="A263" s="517"/>
      <c r="B263" s="517"/>
      <c r="C263" s="517"/>
      <c r="D263" s="481"/>
      <c r="E263" s="481"/>
      <c r="F263" s="481"/>
    </row>
    <row r="264" spans="1:9">
      <c r="A264" s="518"/>
      <c r="B264" s="518"/>
      <c r="C264" s="518"/>
      <c r="D264" s="1289" t="s">
        <v>271</v>
      </c>
      <c r="E264" s="1289"/>
      <c r="F264" s="1289"/>
      <c r="I264" s="436" t="s">
        <v>2200</v>
      </c>
    </row>
    <row r="265" spans="1:9" ht="14.45" customHeight="1">
      <c r="A265" s="519"/>
      <c r="B265" s="520" t="s">
        <v>2718</v>
      </c>
      <c r="D265" s="1290" t="s">
        <v>1337</v>
      </c>
      <c r="E265" s="1290"/>
      <c r="F265" s="1290"/>
    </row>
    <row r="266" spans="1:9">
      <c r="D266" s="1290"/>
      <c r="E266" s="1290"/>
      <c r="F266" s="1290"/>
    </row>
    <row r="267" spans="1:9">
      <c r="E267" s="1079" t="s">
        <v>2277</v>
      </c>
    </row>
    <row r="268" spans="1:9">
      <c r="D268" s="481"/>
      <c r="E268" s="481"/>
      <c r="F268" s="481"/>
    </row>
    <row r="269" spans="1:9" ht="14.45" customHeight="1">
      <c r="A269" s="519"/>
      <c r="B269" s="520" t="s">
        <v>2719</v>
      </c>
      <c r="D269" s="1290" t="s">
        <v>2453</v>
      </c>
      <c r="E269" s="1290"/>
      <c r="F269" s="1290"/>
      <c r="I269" s="436" t="s">
        <v>2218</v>
      </c>
    </row>
    <row r="270" spans="1:9">
      <c r="D270" s="1290"/>
      <c r="E270" s="1290"/>
      <c r="F270" s="1290"/>
    </row>
    <row r="271" spans="1:9">
      <c r="D271" s="1290"/>
      <c r="E271" s="1290"/>
      <c r="F271" s="1290"/>
    </row>
    <row r="272" spans="1:9">
      <c r="D272" s="1290"/>
      <c r="E272" s="1290"/>
      <c r="F272" s="1290"/>
    </row>
    <row r="273" spans="1:9">
      <c r="D273" s="1290"/>
      <c r="E273" s="1290"/>
      <c r="F273" s="1290"/>
    </row>
    <row r="274" spans="1:9">
      <c r="D274" s="1290"/>
      <c r="E274" s="1290"/>
      <c r="F274" s="1290"/>
    </row>
    <row r="275" spans="1:9">
      <c r="D275" s="481"/>
      <c r="E275" s="481"/>
      <c r="F275" s="481"/>
    </row>
    <row r="276" spans="1:9" ht="14.25">
      <c r="A276" s="519"/>
      <c r="B276" s="520" t="s">
        <v>2719</v>
      </c>
      <c r="D276" s="1290" t="s">
        <v>1242</v>
      </c>
      <c r="E276" s="1290"/>
      <c r="F276" s="1290"/>
    </row>
    <row r="277" spans="1:9">
      <c r="D277" s="1290"/>
      <c r="E277" s="1290"/>
      <c r="F277" s="1290"/>
    </row>
    <row r="278" spans="1:9">
      <c r="D278" s="1290"/>
      <c r="E278" s="1290"/>
      <c r="F278" s="1290"/>
    </row>
    <row r="279" spans="1:9">
      <c r="D279" s="527"/>
      <c r="E279" s="481"/>
      <c r="F279" s="481"/>
    </row>
    <row r="280" spans="1:9">
      <c r="A280" s="1278" t="s">
        <v>1111</v>
      </c>
      <c r="B280" s="1278"/>
      <c r="C280" s="1278"/>
      <c r="D280" s="1278"/>
      <c r="E280" s="1278"/>
      <c r="F280" s="1278"/>
      <c r="G280" s="1278"/>
      <c r="H280" s="1070"/>
      <c r="I280" s="1071"/>
    </row>
    <row r="281" spans="1:9">
      <c r="D281" s="527"/>
      <c r="E281" s="481"/>
      <c r="F281" s="481"/>
    </row>
    <row r="282" spans="1:9">
      <c r="C282" s="517"/>
      <c r="D282" s="1292" t="s">
        <v>1244</v>
      </c>
      <c r="E282" s="1292"/>
      <c r="F282" s="1292"/>
    </row>
    <row r="283" spans="1:9">
      <c r="C283" s="517"/>
      <c r="D283" s="1292"/>
      <c r="E283" s="1292"/>
      <c r="F283" s="1292"/>
    </row>
    <row r="284" spans="1:9">
      <c r="A284" s="518"/>
      <c r="B284" s="518"/>
      <c r="C284" s="518"/>
      <c r="D284" s="436"/>
    </row>
    <row r="285" spans="1:9">
      <c r="C285" s="518"/>
      <c r="D285" s="1289" t="s">
        <v>211</v>
      </c>
      <c r="E285" s="1289"/>
      <c r="F285" s="1289"/>
    </row>
    <row r="286" spans="1:9" ht="15.75" customHeight="1">
      <c r="A286" s="519"/>
      <c r="B286" s="519"/>
      <c r="D286" s="1341" t="s">
        <v>1245</v>
      </c>
      <c r="E286" s="1341"/>
      <c r="F286" s="1341"/>
    </row>
    <row r="287" spans="1:9">
      <c r="E287" s="481"/>
      <c r="F287" s="481"/>
    </row>
    <row r="288" spans="1:9" ht="14.25">
      <c r="A288" s="519"/>
      <c r="B288" s="520" t="s">
        <v>2719</v>
      </c>
      <c r="D288" s="1290" t="s">
        <v>1246</v>
      </c>
      <c r="E288" s="1290"/>
      <c r="F288" s="1290"/>
      <c r="I288" s="436" t="s">
        <v>2162</v>
      </c>
    </row>
    <row r="289" spans="1:9" ht="14.25">
      <c r="A289" s="519"/>
      <c r="B289" s="519"/>
      <c r="D289" s="1290"/>
      <c r="E289" s="1290"/>
      <c r="F289" s="1290"/>
    </row>
    <row r="290" spans="1:9">
      <c r="D290" s="481"/>
      <c r="E290" s="481"/>
      <c r="F290" s="481"/>
    </row>
    <row r="291" spans="1:9" ht="14.25">
      <c r="A291" s="519"/>
      <c r="B291" s="520" t="s">
        <v>2719</v>
      </c>
      <c r="D291" s="1290" t="s">
        <v>1247</v>
      </c>
      <c r="E291" s="1290"/>
      <c r="F291" s="1290"/>
      <c r="I291" s="436" t="s">
        <v>2162</v>
      </c>
    </row>
    <row r="292" spans="1:9" ht="14.25">
      <c r="A292" s="519"/>
      <c r="B292" s="519"/>
      <c r="D292" s="1290"/>
      <c r="E292" s="1290"/>
      <c r="F292" s="1290"/>
    </row>
    <row r="293" spans="1:9" ht="14.25">
      <c r="A293" s="519"/>
      <c r="B293" s="519"/>
      <c r="D293" s="1290"/>
      <c r="E293" s="1290"/>
      <c r="F293" s="1290"/>
    </row>
    <row r="294" spans="1:9">
      <c r="D294" s="481"/>
      <c r="E294" s="481"/>
      <c r="F294" s="481"/>
    </row>
    <row r="295" spans="1:9" ht="14.25">
      <c r="A295" s="519"/>
      <c r="B295" s="520" t="s">
        <v>2719</v>
      </c>
      <c r="D295" s="1290" t="s">
        <v>1248</v>
      </c>
      <c r="E295" s="1290"/>
      <c r="F295" s="1290"/>
      <c r="I295" s="436" t="s">
        <v>2162</v>
      </c>
    </row>
    <row r="296" spans="1:9" ht="14.25">
      <c r="A296" s="519"/>
      <c r="B296" s="519"/>
      <c r="D296" s="1290"/>
      <c r="E296" s="1290"/>
      <c r="F296" s="1290"/>
    </row>
    <row r="297" spans="1:9">
      <c r="A297" s="525"/>
      <c r="B297" s="525"/>
      <c r="E297" s="481"/>
      <c r="F297" s="481"/>
    </row>
    <row r="298" spans="1:9">
      <c r="A298" s="1278" t="s">
        <v>1112</v>
      </c>
      <c r="B298" s="1278"/>
      <c r="C298" s="1278"/>
      <c r="D298" s="1278"/>
      <c r="E298" s="1278"/>
      <c r="F298" s="1278"/>
      <c r="G298" s="1278"/>
      <c r="H298" s="1070"/>
      <c r="I298" s="1071"/>
    </row>
    <row r="299" spans="1:9">
      <c r="A299" s="525"/>
      <c r="B299" s="525"/>
      <c r="D299" s="481"/>
      <c r="E299" s="481"/>
      <c r="F299" s="481"/>
    </row>
    <row r="300" spans="1:9">
      <c r="C300" s="525"/>
      <c r="D300" s="1289" t="s">
        <v>691</v>
      </c>
      <c r="E300" s="1289"/>
      <c r="F300" s="1289"/>
    </row>
    <row r="301" spans="1:9">
      <c r="C301" s="525"/>
      <c r="D301" s="1291" t="s">
        <v>1249</v>
      </c>
      <c r="E301" s="1291"/>
      <c r="F301" s="1291"/>
    </row>
    <row r="302" spans="1:9">
      <c r="C302" s="525"/>
      <c r="D302" s="528"/>
    </row>
    <row r="303" spans="1:9">
      <c r="B303" s="520" t="s">
        <v>2719</v>
      </c>
      <c r="D303" s="1291" t="s">
        <v>1250</v>
      </c>
      <c r="E303" s="1291"/>
      <c r="F303" s="1291"/>
      <c r="I303" s="436" t="s">
        <v>2163</v>
      </c>
    </row>
    <row r="304" spans="1:9" ht="14.25">
      <c r="A304" s="519"/>
      <c r="B304" s="519"/>
      <c r="D304" s="529"/>
      <c r="E304" s="530"/>
      <c r="F304" s="530"/>
    </row>
    <row r="305" spans="1:9" ht="13.7" customHeight="1">
      <c r="B305" s="520" t="s">
        <v>2719</v>
      </c>
      <c r="D305" s="1344" t="s">
        <v>1361</v>
      </c>
      <c r="E305" s="1344"/>
      <c r="F305" s="1344"/>
      <c r="I305" s="436" t="s">
        <v>2163</v>
      </c>
    </row>
    <row r="306" spans="1:9" ht="14.25">
      <c r="A306" s="519"/>
      <c r="B306" s="519"/>
      <c r="D306" s="1344"/>
      <c r="E306" s="1344"/>
      <c r="F306" s="1344"/>
    </row>
    <row r="307" spans="1:9" ht="14.25">
      <c r="A307" s="519"/>
      <c r="B307" s="519"/>
      <c r="D307" s="1344"/>
      <c r="E307" s="1344"/>
      <c r="F307" s="1344"/>
    </row>
    <row r="308" spans="1:9" ht="14.25">
      <c r="A308" s="519"/>
      <c r="B308" s="519"/>
      <c r="D308" s="1344"/>
      <c r="E308" s="1344"/>
      <c r="F308" s="1344"/>
    </row>
    <row r="309" spans="1:9" ht="14.25">
      <c r="A309" s="519"/>
      <c r="B309" s="519"/>
      <c r="D309" s="1344"/>
      <c r="E309" s="1344"/>
      <c r="F309" s="1344"/>
    </row>
    <row r="310" spans="1:9" ht="14.25">
      <c r="A310" s="519"/>
      <c r="B310" s="519"/>
      <c r="D310" s="529"/>
      <c r="E310" s="530"/>
      <c r="F310" s="530"/>
    </row>
    <row r="311" spans="1:9" ht="13.7" customHeight="1">
      <c r="B311" s="520" t="s">
        <v>2719</v>
      </c>
      <c r="D311" s="1344" t="s">
        <v>1252</v>
      </c>
      <c r="E311" s="1344"/>
      <c r="F311" s="1344"/>
      <c r="I311" s="436" t="s">
        <v>2163</v>
      </c>
    </row>
    <row r="312" spans="1:9">
      <c r="D312" s="1344"/>
      <c r="E312" s="1344"/>
      <c r="F312" s="1344"/>
    </row>
    <row r="313" spans="1:9" ht="14.25">
      <c r="A313" s="519"/>
      <c r="B313" s="519"/>
      <c r="D313" s="529"/>
      <c r="E313" s="530"/>
      <c r="F313" s="530"/>
    </row>
    <row r="314" spans="1:9">
      <c r="B314" s="520" t="s">
        <v>2719</v>
      </c>
      <c r="D314" s="1291" t="s">
        <v>1253</v>
      </c>
      <c r="E314" s="1291"/>
      <c r="F314" s="1291"/>
      <c r="I314" s="436" t="s">
        <v>2149</v>
      </c>
    </row>
    <row r="315" spans="1:9">
      <c r="E315" s="481"/>
      <c r="F315" s="481"/>
    </row>
    <row r="316" spans="1:9" ht="14.25">
      <c r="A316" s="519"/>
      <c r="B316" s="520" t="s">
        <v>2719</v>
      </c>
      <c r="D316" s="1290" t="s">
        <v>2473</v>
      </c>
      <c r="E316" s="1290"/>
      <c r="F316" s="1290"/>
      <c r="I316" s="436" t="s">
        <v>2164</v>
      </c>
    </row>
    <row r="317" spans="1:9" ht="14.25">
      <c r="A317" s="519"/>
      <c r="B317" s="519"/>
      <c r="D317" s="1290"/>
      <c r="E317" s="1290"/>
      <c r="F317" s="1290"/>
    </row>
    <row r="318" spans="1:9" ht="14.25">
      <c r="A318" s="519"/>
      <c r="B318" s="519"/>
      <c r="D318" s="1290"/>
      <c r="E318" s="1290"/>
      <c r="F318" s="1290"/>
    </row>
    <row r="319" spans="1:9" ht="14.25">
      <c r="A319" s="519"/>
      <c r="B319" s="519"/>
      <c r="D319" s="1290"/>
      <c r="E319" s="1290"/>
      <c r="F319" s="1290"/>
    </row>
    <row r="320" spans="1:9" ht="14.25">
      <c r="A320" s="519"/>
      <c r="B320" s="519"/>
      <c r="D320" s="1290"/>
      <c r="E320" s="1290"/>
      <c r="F320" s="1290"/>
    </row>
    <row r="321" spans="1:9" ht="14.25">
      <c r="A321" s="519"/>
      <c r="B321" s="519"/>
      <c r="D321" s="1290"/>
      <c r="E321" s="1290"/>
      <c r="F321" s="1290"/>
    </row>
    <row r="322" spans="1:9" ht="14.25">
      <c r="A322" s="519"/>
      <c r="B322" s="519"/>
      <c r="D322" s="1290"/>
      <c r="E322" s="1290"/>
      <c r="F322" s="1290"/>
    </row>
    <row r="323" spans="1:9" ht="14.25">
      <c r="A323" s="519"/>
      <c r="B323" s="519"/>
      <c r="D323" s="1290"/>
      <c r="E323" s="1290"/>
      <c r="F323" s="1290"/>
    </row>
    <row r="324" spans="1:9" ht="14.25">
      <c r="A324" s="519"/>
      <c r="B324" s="519"/>
      <c r="D324" s="1290"/>
      <c r="E324" s="1290"/>
      <c r="F324" s="1290"/>
    </row>
    <row r="325" spans="1:9" ht="14.25">
      <c r="A325" s="519"/>
      <c r="B325" s="519"/>
      <c r="D325" s="1290"/>
      <c r="E325" s="1290"/>
      <c r="F325" s="1290"/>
    </row>
    <row r="326" spans="1:9" ht="14.25">
      <c r="A326" s="519"/>
      <c r="B326" s="519"/>
      <c r="D326" s="1290"/>
      <c r="E326" s="1290"/>
      <c r="F326" s="1290"/>
    </row>
    <row r="327" spans="1:9" ht="14.25">
      <c r="A327" s="519"/>
      <c r="B327" s="519"/>
      <c r="D327" s="1290"/>
      <c r="E327" s="1290"/>
      <c r="F327" s="1290"/>
    </row>
    <row r="328" spans="1:9" ht="14.25">
      <c r="A328" s="519"/>
      <c r="B328" s="519"/>
      <c r="D328" s="1290"/>
      <c r="E328" s="1290"/>
      <c r="F328" s="1290"/>
    </row>
    <row r="329" spans="1:9" ht="14.25">
      <c r="A329" s="519"/>
      <c r="B329" s="519"/>
      <c r="D329" s="1290"/>
      <c r="E329" s="1290"/>
      <c r="F329" s="1290"/>
    </row>
    <row r="330" spans="1:9" ht="14.25">
      <c r="A330" s="519"/>
      <c r="B330" s="519"/>
      <c r="D330" s="1290"/>
      <c r="E330" s="1290"/>
      <c r="F330" s="1290"/>
    </row>
    <row r="331" spans="1:9">
      <c r="D331" s="481"/>
      <c r="E331" s="481"/>
      <c r="F331" s="481"/>
    </row>
    <row r="332" spans="1:9" ht="14.25">
      <c r="A332" s="519"/>
      <c r="B332" s="520" t="s">
        <v>2719</v>
      </c>
      <c r="D332" s="1290" t="s">
        <v>1255</v>
      </c>
      <c r="E332" s="1290"/>
      <c r="F332" s="1290"/>
      <c r="I332" s="436" t="s">
        <v>2164</v>
      </c>
    </row>
    <row r="333" spans="1:9">
      <c r="D333" s="1290"/>
      <c r="E333" s="1290"/>
      <c r="F333" s="1290"/>
    </row>
    <row r="334" spans="1:9">
      <c r="D334" s="1290"/>
      <c r="E334" s="1290"/>
      <c r="F334" s="1290"/>
    </row>
    <row r="335" spans="1:9">
      <c r="D335" s="1290"/>
      <c r="E335" s="1290"/>
      <c r="F335" s="1290"/>
    </row>
    <row r="336" spans="1:9">
      <c r="D336" s="1290"/>
      <c r="E336" s="1290"/>
      <c r="F336" s="1290"/>
    </row>
    <row r="337" spans="1:9">
      <c r="D337" s="1290"/>
      <c r="E337" s="1290"/>
      <c r="F337" s="1290"/>
    </row>
    <row r="338" spans="1:9">
      <c r="D338" s="1290"/>
      <c r="E338" s="1290"/>
      <c r="F338" s="1290"/>
    </row>
    <row r="339" spans="1:9">
      <c r="D339" s="1290"/>
      <c r="E339" s="1290"/>
      <c r="F339" s="1290"/>
    </row>
    <row r="340" spans="1:9">
      <c r="D340" s="1290"/>
      <c r="E340" s="1290"/>
      <c r="F340" s="1290"/>
    </row>
    <row r="341" spans="1:9">
      <c r="D341" s="481"/>
      <c r="E341" s="481"/>
      <c r="F341" s="481"/>
    </row>
    <row r="342" spans="1:9" ht="14.25" customHeight="1">
      <c r="A342" s="519"/>
      <c r="B342" s="520" t="s">
        <v>2719</v>
      </c>
      <c r="D342" s="1290" t="s">
        <v>2282</v>
      </c>
      <c r="E342" s="1290"/>
      <c r="F342" s="1290"/>
      <c r="I342" s="436" t="s">
        <v>2201</v>
      </c>
    </row>
    <row r="343" spans="1:9">
      <c r="D343" s="1290"/>
      <c r="E343" s="1290"/>
      <c r="F343" s="1290"/>
    </row>
    <row r="344" spans="1:9">
      <c r="D344" s="1290"/>
      <c r="E344" s="1290"/>
      <c r="F344" s="1290"/>
    </row>
    <row r="345" spans="1:9">
      <c r="D345" s="1290"/>
      <c r="E345" s="1290"/>
      <c r="F345" s="1290"/>
    </row>
    <row r="346" spans="1:9">
      <c r="D346" s="418" t="s">
        <v>2281</v>
      </c>
      <c r="E346" s="417"/>
      <c r="F346" s="417"/>
    </row>
    <row r="347" spans="1:9">
      <c r="D347" s="417"/>
      <c r="E347" s="96" t="s">
        <v>2278</v>
      </c>
      <c r="G347" s="96"/>
    </row>
    <row r="348" spans="1:9">
      <c r="D348" s="480"/>
      <c r="E348" s="480"/>
      <c r="F348" s="480"/>
    </row>
    <row r="349" spans="1:9" ht="13.5" thickBot="1">
      <c r="A349" s="1058"/>
      <c r="B349" s="1058"/>
      <c r="C349" s="1058"/>
      <c r="D349" s="1333" t="s">
        <v>1017</v>
      </c>
      <c r="E349" s="1333"/>
      <c r="F349" s="1333"/>
      <c r="G349" s="1068"/>
      <c r="H349" s="1068"/>
      <c r="I349" s="1069"/>
    </row>
    <row r="350" spans="1:9" ht="13.5" thickTop="1">
      <c r="D350" s="1345" t="s">
        <v>1257</v>
      </c>
      <c r="E350" s="1345"/>
      <c r="F350" s="1345"/>
    </row>
    <row r="351" spans="1:9">
      <c r="D351" s="481"/>
      <c r="E351" s="481"/>
      <c r="F351" s="481"/>
    </row>
    <row r="352" spans="1:9">
      <c r="A352" s="511"/>
      <c r="B352" s="511"/>
      <c r="C352" s="511"/>
      <c r="D352" s="482"/>
      <c r="E352" s="482"/>
      <c r="F352" s="481"/>
      <c r="I352" s="436" t="s">
        <v>2165</v>
      </c>
    </row>
    <row r="353" spans="1:9" ht="14.25">
      <c r="A353" s="519"/>
      <c r="B353" s="520" t="s">
        <v>2719</v>
      </c>
      <c r="C353" s="522"/>
      <c r="D353" s="1291" t="s">
        <v>2280</v>
      </c>
      <c r="E353" s="1291"/>
      <c r="F353" s="1291"/>
      <c r="I353" s="1347" t="s">
        <v>2215</v>
      </c>
    </row>
    <row r="354" spans="1:9" ht="12.75" customHeight="1">
      <c r="D354" s="1080"/>
      <c r="E354" s="96" t="s">
        <v>2279</v>
      </c>
      <c r="F354" s="1080"/>
      <c r="I354" s="1348"/>
    </row>
    <row r="355" spans="1:9">
      <c r="D355" s="1290" t="s">
        <v>1384</v>
      </c>
      <c r="E355" s="1290"/>
      <c r="F355" s="1290"/>
      <c r="I355" s="1348"/>
    </row>
    <row r="356" spans="1:9">
      <c r="D356" s="1290"/>
      <c r="E356" s="1290"/>
      <c r="F356" s="1290"/>
      <c r="I356" s="1348"/>
    </row>
    <row r="357" spans="1:9">
      <c r="D357" s="1290"/>
      <c r="E357" s="1290"/>
      <c r="F357" s="1290"/>
      <c r="I357" s="1349"/>
    </row>
    <row r="358" spans="1:9" ht="14.25">
      <c r="A358" s="519"/>
      <c r="B358" s="520" t="s">
        <v>2719</v>
      </c>
      <c r="C358" s="511"/>
      <c r="D358" s="1276" t="s">
        <v>2454</v>
      </c>
      <c r="E358" s="1276"/>
      <c r="F358" s="1276"/>
      <c r="I358" s="434"/>
    </row>
    <row r="359" spans="1:9">
      <c r="A359" s="511"/>
      <c r="B359" s="511"/>
      <c r="C359" s="511"/>
      <c r="D359" s="482"/>
      <c r="E359" s="482"/>
      <c r="F359" s="481"/>
    </row>
    <row r="360" spans="1:9">
      <c r="A360" s="511"/>
      <c r="B360" s="520" t="s">
        <v>2719</v>
      </c>
      <c r="C360" s="511"/>
      <c r="D360" s="1272" t="s">
        <v>2455</v>
      </c>
      <c r="E360" s="1272"/>
      <c r="F360" s="1272"/>
    </row>
    <row r="361" spans="1:9">
      <c r="A361" s="511"/>
      <c r="B361" s="511"/>
      <c r="C361" s="511"/>
      <c r="D361" s="1272"/>
      <c r="E361" s="1272"/>
      <c r="F361" s="1272"/>
    </row>
    <row r="362" spans="1:9">
      <c r="A362" s="511"/>
      <c r="B362" s="511"/>
      <c r="C362" s="511"/>
      <c r="D362" s="1272"/>
      <c r="E362" s="1272"/>
      <c r="F362" s="1272"/>
    </row>
    <row r="363" spans="1:9">
      <c r="A363" s="511"/>
      <c r="B363" s="511"/>
      <c r="C363" s="511"/>
      <c r="D363" s="1272"/>
      <c r="E363" s="1272"/>
      <c r="F363" s="1272"/>
    </row>
    <row r="364" spans="1:9">
      <c r="A364" s="511"/>
      <c r="B364" s="511"/>
      <c r="C364" s="511"/>
      <c r="D364" s="1272"/>
      <c r="E364" s="1272"/>
      <c r="F364" s="1272"/>
    </row>
    <row r="365" spans="1:9">
      <c r="A365" s="511"/>
      <c r="B365" s="511"/>
      <c r="C365" s="511"/>
      <c r="D365" s="1272"/>
      <c r="E365" s="1272"/>
      <c r="F365" s="1272"/>
    </row>
    <row r="366" spans="1:9">
      <c r="A366" s="511"/>
      <c r="B366" s="511"/>
      <c r="C366" s="511"/>
      <c r="D366" s="1272"/>
      <c r="E366" s="1272"/>
      <c r="F366" s="1272"/>
    </row>
    <row r="367" spans="1:9">
      <c r="A367" s="511"/>
      <c r="B367" s="511"/>
      <c r="C367" s="511"/>
      <c r="D367" s="1272"/>
      <c r="E367" s="1272"/>
      <c r="F367" s="1272"/>
    </row>
    <row r="368" spans="1:9">
      <c r="A368" s="511"/>
      <c r="B368" s="511"/>
      <c r="C368" s="511"/>
      <c r="D368" s="1272"/>
      <c r="E368" s="1272"/>
      <c r="F368" s="1272"/>
    </row>
    <row r="369" spans="1:6">
      <c r="A369" s="511"/>
      <c r="B369" s="511"/>
      <c r="C369" s="511"/>
      <c r="D369" s="1272"/>
      <c r="E369" s="1272"/>
      <c r="F369" s="1272"/>
    </row>
    <row r="370" spans="1:6">
      <c r="A370" s="511"/>
      <c r="B370" s="511"/>
      <c r="C370" s="511"/>
      <c r="D370" s="1272"/>
      <c r="E370" s="1272"/>
      <c r="F370" s="1272"/>
    </row>
    <row r="371" spans="1:6">
      <c r="A371" s="511"/>
      <c r="B371" s="511"/>
      <c r="C371" s="511"/>
      <c r="D371" s="1272"/>
      <c r="E371" s="1272"/>
      <c r="F371" s="1272"/>
    </row>
    <row r="372" spans="1:6">
      <c r="A372" s="511"/>
      <c r="B372" s="511"/>
      <c r="C372" s="511"/>
      <c r="D372" s="486"/>
      <c r="E372" s="486"/>
      <c r="F372" s="486"/>
    </row>
    <row r="373" spans="1:6" ht="12.4" customHeight="1">
      <c r="A373" s="511"/>
      <c r="B373" s="520" t="s">
        <v>2719</v>
      </c>
      <c r="C373" s="511"/>
      <c r="D373" s="1320" t="s">
        <v>1364</v>
      </c>
      <c r="E373" s="1320"/>
      <c r="F373" s="1320"/>
    </row>
    <row r="374" spans="1:6">
      <c r="A374" s="511"/>
      <c r="B374" s="511"/>
      <c r="C374" s="511"/>
      <c r="D374" s="1320"/>
      <c r="E374" s="1320"/>
      <c r="F374" s="1320"/>
    </row>
    <row r="375" spans="1:6">
      <c r="A375" s="511"/>
      <c r="B375" s="511"/>
      <c r="C375" s="511"/>
      <c r="D375" s="1320"/>
      <c r="E375" s="1320"/>
      <c r="F375" s="1320"/>
    </row>
    <row r="376" spans="1:6">
      <c r="A376" s="511"/>
      <c r="B376" s="511"/>
      <c r="C376" s="511"/>
      <c r="D376" s="1320"/>
      <c r="E376" s="1320"/>
      <c r="F376" s="1320"/>
    </row>
    <row r="377" spans="1:6">
      <c r="A377" s="511"/>
      <c r="B377" s="511"/>
      <c r="C377" s="511"/>
      <c r="D377" s="559"/>
      <c r="E377" s="559"/>
      <c r="F377" s="559"/>
    </row>
    <row r="378" spans="1:6">
      <c r="A378" s="511"/>
      <c r="B378" s="520" t="s">
        <v>2719</v>
      </c>
      <c r="C378" s="511"/>
      <c r="D378" s="434" t="s">
        <v>2094</v>
      </c>
      <c r="E378" s="559"/>
      <c r="F378" s="559"/>
    </row>
    <row r="379" spans="1:6">
      <c r="A379" s="511"/>
      <c r="B379" s="511"/>
      <c r="C379" s="511"/>
      <c r="D379" s="434" t="s">
        <v>2095</v>
      </c>
      <c r="E379" s="559"/>
      <c r="F379" s="559"/>
    </row>
    <row r="380" spans="1:6">
      <c r="A380" s="511"/>
      <c r="B380" s="511"/>
      <c r="C380" s="511"/>
      <c r="D380" s="434" t="s">
        <v>2096</v>
      </c>
      <c r="E380" s="559"/>
      <c r="F380" s="559"/>
    </row>
    <row r="381" spans="1:6">
      <c r="A381" s="511"/>
      <c r="B381" s="511"/>
      <c r="C381" s="511"/>
      <c r="D381" s="434" t="s">
        <v>2097</v>
      </c>
      <c r="E381" s="559"/>
      <c r="F381" s="559"/>
    </row>
    <row r="382" spans="1:6">
      <c r="A382" s="511"/>
      <c r="B382" s="511"/>
      <c r="C382" s="511"/>
      <c r="D382" s="434" t="s">
        <v>2098</v>
      </c>
      <c r="E382" s="559"/>
      <c r="F382" s="559"/>
    </row>
    <row r="383" spans="1:6">
      <c r="A383" s="511"/>
      <c r="B383" s="511"/>
      <c r="C383" s="511"/>
      <c r="D383" s="434" t="s">
        <v>2099</v>
      </c>
      <c r="E383" s="559"/>
      <c r="F383" s="559"/>
    </row>
    <row r="384" spans="1:6">
      <c r="A384" s="511"/>
      <c r="B384" s="511"/>
      <c r="C384" s="511"/>
      <c r="E384" s="482"/>
      <c r="F384" s="481"/>
    </row>
    <row r="385" spans="1:6" ht="14.25">
      <c r="A385" s="519"/>
      <c r="B385" s="520" t="s">
        <v>2719</v>
      </c>
      <c r="C385" s="511"/>
      <c r="D385" s="1272" t="s">
        <v>1260</v>
      </c>
      <c r="E385" s="1272"/>
      <c r="F385" s="1272"/>
    </row>
    <row r="386" spans="1:6">
      <c r="A386" s="511"/>
      <c r="B386" s="511"/>
      <c r="C386" s="511"/>
      <c r="D386" s="1272"/>
      <c r="E386" s="1272"/>
      <c r="F386" s="1272"/>
    </row>
    <row r="387" spans="1:6">
      <c r="A387" s="511"/>
      <c r="B387" s="511"/>
      <c r="C387" s="511"/>
      <c r="D387" s="1272"/>
      <c r="E387" s="1272"/>
      <c r="F387" s="1272"/>
    </row>
    <row r="388" spans="1:6">
      <c r="A388" s="511"/>
      <c r="B388" s="511"/>
      <c r="C388" s="511"/>
      <c r="D388" s="1272"/>
      <c r="E388" s="1272"/>
      <c r="F388" s="1272"/>
    </row>
    <row r="389" spans="1:6">
      <c r="A389" s="511"/>
      <c r="B389" s="511"/>
      <c r="C389" s="511"/>
      <c r="D389" s="482"/>
      <c r="E389" s="482"/>
      <c r="F389" s="481"/>
    </row>
    <row r="390" spans="1:6">
      <c r="A390" s="511"/>
      <c r="B390" s="511"/>
      <c r="C390" s="511"/>
      <c r="D390" s="1272" t="s">
        <v>1261</v>
      </c>
      <c r="E390" s="1272"/>
      <c r="F390" s="1272"/>
    </row>
    <row r="391" spans="1:6">
      <c r="A391" s="511"/>
      <c r="B391" s="511"/>
      <c r="C391" s="511"/>
      <c r="D391" s="1272"/>
      <c r="E391" s="1272"/>
      <c r="F391" s="1272"/>
    </row>
    <row r="392" spans="1:6">
      <c r="A392" s="511"/>
      <c r="B392" s="511"/>
      <c r="C392" s="511"/>
      <c r="D392" s="1272"/>
      <c r="E392" s="1272"/>
      <c r="F392" s="1272"/>
    </row>
    <row r="393" spans="1:6">
      <c r="A393" s="511"/>
      <c r="B393" s="511"/>
      <c r="C393" s="511"/>
      <c r="D393" s="1272"/>
      <c r="E393" s="1272"/>
      <c r="F393" s="1272"/>
    </row>
    <row r="394" spans="1:6" ht="18" customHeight="1">
      <c r="A394" s="511"/>
      <c r="B394" s="511"/>
      <c r="C394" s="511"/>
      <c r="D394" s="1272"/>
      <c r="E394" s="1272"/>
      <c r="F394" s="1272"/>
    </row>
    <row r="395" spans="1:6">
      <c r="A395" s="511"/>
      <c r="B395" s="511"/>
      <c r="C395" s="511"/>
      <c r="D395" s="1272"/>
      <c r="E395" s="1272"/>
      <c r="F395" s="1272"/>
    </row>
    <row r="396" spans="1:6">
      <c r="A396" s="511"/>
      <c r="B396" s="511"/>
      <c r="C396" s="511"/>
      <c r="D396" s="1272"/>
      <c r="E396" s="1272"/>
      <c r="F396" s="1272"/>
    </row>
    <row r="397" spans="1:6">
      <c r="A397" s="511"/>
      <c r="B397" s="511"/>
      <c r="C397" s="511"/>
      <c r="D397" s="1272"/>
      <c r="E397" s="1272"/>
      <c r="F397" s="1272"/>
    </row>
    <row r="398" spans="1:6" ht="8.25" customHeight="1">
      <c r="A398" s="511"/>
      <c r="B398" s="511"/>
      <c r="C398" s="511"/>
      <c r="D398" s="1272"/>
      <c r="E398" s="1272"/>
      <c r="F398" s="1272"/>
    </row>
    <row r="399" spans="1:6" ht="13.7" customHeight="1">
      <c r="A399" s="511"/>
      <c r="B399" s="511"/>
      <c r="C399" s="511"/>
      <c r="D399" s="1272" t="s">
        <v>1262</v>
      </c>
      <c r="E399" s="1272"/>
      <c r="F399" s="1272"/>
    </row>
    <row r="400" spans="1:6">
      <c r="A400" s="511"/>
      <c r="B400" s="511"/>
      <c r="C400" s="511"/>
      <c r="D400" s="1272"/>
      <c r="E400" s="1272"/>
      <c r="F400" s="1272"/>
    </row>
    <row r="401" spans="1:6">
      <c r="A401" s="511"/>
      <c r="B401" s="511"/>
      <c r="C401" s="511"/>
      <c r="D401" s="1272"/>
      <c r="E401" s="1272"/>
      <c r="F401" s="1272"/>
    </row>
    <row r="402" spans="1:6">
      <c r="A402" s="511"/>
      <c r="B402" s="511"/>
      <c r="C402" s="511"/>
      <c r="D402" s="1272"/>
      <c r="E402" s="1272"/>
      <c r="F402" s="1272"/>
    </row>
    <row r="403" spans="1:6">
      <c r="A403" s="511"/>
      <c r="B403" s="511"/>
      <c r="C403" s="511"/>
      <c r="D403" s="1272"/>
      <c r="E403" s="1272"/>
      <c r="F403" s="1272"/>
    </row>
    <row r="404" spans="1:6">
      <c r="A404" s="511"/>
      <c r="B404" s="511"/>
      <c r="C404" s="511"/>
      <c r="D404" s="1272"/>
      <c r="E404" s="1272"/>
      <c r="F404" s="1272"/>
    </row>
    <row r="405" spans="1:6">
      <c r="A405" s="511"/>
      <c r="B405" s="511"/>
      <c r="C405" s="511"/>
      <c r="D405" s="1272"/>
      <c r="E405" s="1272"/>
      <c r="F405" s="1272"/>
    </row>
    <row r="406" spans="1:6">
      <c r="A406" s="511"/>
      <c r="B406" s="511"/>
      <c r="C406" s="511"/>
      <c r="D406" s="1272"/>
      <c r="E406" s="1272"/>
      <c r="F406" s="1272"/>
    </row>
    <row r="407" spans="1:6">
      <c r="A407" s="511"/>
      <c r="B407" s="511"/>
      <c r="C407" s="511"/>
      <c r="D407" s="1272"/>
      <c r="E407" s="1272"/>
      <c r="F407" s="1272"/>
    </row>
    <row r="408" spans="1:6">
      <c r="A408" s="511"/>
      <c r="B408" s="511"/>
      <c r="C408" s="511"/>
      <c r="D408" s="1272"/>
      <c r="E408" s="1272"/>
      <c r="F408" s="1272"/>
    </row>
    <row r="409" spans="1:6">
      <c r="A409" s="511"/>
      <c r="B409" s="511"/>
      <c r="C409" s="511"/>
      <c r="D409" s="1272"/>
      <c r="E409" s="1272"/>
      <c r="F409" s="1272"/>
    </row>
    <row r="410" spans="1:6">
      <c r="A410" s="511"/>
      <c r="B410" s="511"/>
      <c r="C410" s="511"/>
      <c r="D410" s="1272"/>
      <c r="E410" s="1272"/>
      <c r="F410" s="1272"/>
    </row>
    <row r="411" spans="1:6">
      <c r="A411" s="511"/>
      <c r="B411" s="511"/>
      <c r="C411" s="531"/>
      <c r="D411" s="1272"/>
      <c r="E411" s="1272"/>
      <c r="F411" s="1272"/>
    </row>
    <row r="412" spans="1:6">
      <c r="A412" s="511"/>
      <c r="B412" s="511"/>
      <c r="C412" s="531"/>
      <c r="D412" s="1272"/>
      <c r="E412" s="1272"/>
      <c r="F412" s="1272"/>
    </row>
    <row r="413" spans="1:6">
      <c r="A413" s="511"/>
      <c r="B413" s="511"/>
      <c r="C413" s="511"/>
      <c r="D413" s="1272"/>
      <c r="E413" s="1272"/>
      <c r="F413" s="1272"/>
    </row>
    <row r="414" spans="1:6">
      <c r="A414" s="511"/>
      <c r="B414" s="511"/>
      <c r="C414" s="531"/>
      <c r="D414" s="1272"/>
      <c r="E414" s="1272"/>
      <c r="F414" s="1272"/>
    </row>
    <row r="415" spans="1:6">
      <c r="A415" s="511"/>
      <c r="B415" s="511"/>
      <c r="C415" s="531"/>
      <c r="D415" s="1272"/>
      <c r="E415" s="1272"/>
      <c r="F415" s="1272"/>
    </row>
    <row r="416" spans="1:6">
      <c r="A416" s="511"/>
      <c r="B416" s="511"/>
      <c r="C416" s="531"/>
      <c r="D416" s="1272"/>
      <c r="E416" s="1272"/>
      <c r="F416" s="1272"/>
    </row>
    <row r="417" spans="1:6">
      <c r="A417" s="511"/>
      <c r="B417" s="511"/>
      <c r="C417" s="511"/>
      <c r="D417" s="482"/>
      <c r="E417" s="482"/>
      <c r="F417" s="481"/>
    </row>
    <row r="418" spans="1:6">
      <c r="A418" s="511"/>
      <c r="B418" s="520" t="s">
        <v>2719</v>
      </c>
      <c r="C418" s="511"/>
      <c r="D418" s="1272" t="s">
        <v>1263</v>
      </c>
      <c r="E418" s="1272"/>
      <c r="F418" s="1272"/>
    </row>
    <row r="419" spans="1:6">
      <c r="A419" s="511"/>
      <c r="B419" s="511"/>
      <c r="C419" s="511"/>
      <c r="D419" s="1272"/>
      <c r="E419" s="1272"/>
      <c r="F419" s="1272"/>
    </row>
    <row r="420" spans="1:6">
      <c r="A420" s="511"/>
      <c r="B420" s="511"/>
      <c r="C420" s="511"/>
      <c r="D420" s="486"/>
      <c r="E420" s="486"/>
      <c r="F420" s="486"/>
    </row>
    <row r="421" spans="1:6" ht="14.45" customHeight="1">
      <c r="A421" s="519"/>
      <c r="B421" s="520" t="s">
        <v>2719</v>
      </c>
      <c r="D421" s="1272" t="s">
        <v>2202</v>
      </c>
      <c r="E421" s="1272"/>
      <c r="F421" s="1272"/>
    </row>
    <row r="422" spans="1:6" ht="14.45" customHeight="1">
      <c r="A422" s="519"/>
      <c r="D422" s="1272"/>
      <c r="E422" s="1272"/>
      <c r="F422" s="1272"/>
    </row>
    <row r="423" spans="1:6" ht="14.45" customHeight="1">
      <c r="A423" s="519"/>
      <c r="D423" s="1272"/>
      <c r="E423" s="1272"/>
      <c r="F423" s="1272"/>
    </row>
    <row r="424" spans="1:6" ht="14.45" customHeight="1">
      <c r="A424" s="519"/>
      <c r="D424" s="1272"/>
      <c r="E424" s="1272"/>
      <c r="F424" s="1272"/>
    </row>
    <row r="425" spans="1:6" ht="14.45" customHeight="1">
      <c r="A425" s="519"/>
      <c r="D425" s="1272"/>
      <c r="E425" s="1272"/>
      <c r="F425" s="1272"/>
    </row>
    <row r="426" spans="1:6" ht="14.45" customHeight="1">
      <c r="A426" s="519"/>
      <c r="D426" s="417"/>
      <c r="E426" s="417"/>
      <c r="F426" s="417"/>
    </row>
    <row r="427" spans="1:6" ht="13.7" customHeight="1">
      <c r="A427" s="519"/>
      <c r="B427" s="520" t="s">
        <v>2719</v>
      </c>
      <c r="C427" s="511"/>
      <c r="D427" s="1272" t="s">
        <v>1386</v>
      </c>
      <c r="E427" s="1272"/>
      <c r="F427" s="1272"/>
    </row>
    <row r="428" spans="1:6" ht="14.25">
      <c r="A428" s="532"/>
      <c r="B428" s="532"/>
      <c r="C428" s="511"/>
      <c r="D428" s="1272"/>
      <c r="E428" s="1272"/>
      <c r="F428" s="1272"/>
    </row>
    <row r="429" spans="1:6" ht="14.25">
      <c r="A429" s="532"/>
      <c r="B429" s="532"/>
      <c r="C429" s="511"/>
      <c r="D429" s="1272"/>
      <c r="E429" s="1272"/>
      <c r="F429" s="1272"/>
    </row>
    <row r="430" spans="1:6" ht="14.25">
      <c r="A430" s="532"/>
      <c r="B430" s="532"/>
      <c r="C430" s="511"/>
      <c r="D430" s="1272"/>
      <c r="E430" s="1272"/>
      <c r="F430" s="1272"/>
    </row>
    <row r="431" spans="1:6" ht="15.75" customHeight="1">
      <c r="A431" s="532"/>
      <c r="B431" s="532"/>
      <c r="C431" s="511"/>
      <c r="D431" s="1346" t="s">
        <v>2474</v>
      </c>
      <c r="E431" s="1272"/>
      <c r="F431" s="1272"/>
    </row>
    <row r="432" spans="1:6">
      <c r="D432" s="481"/>
      <c r="E432" s="481"/>
      <c r="F432" s="481"/>
    </row>
    <row r="433" spans="1:6" ht="14.25">
      <c r="A433" s="519"/>
      <c r="B433" s="520" t="s">
        <v>2719</v>
      </c>
      <c r="C433" s="522"/>
      <c r="D433" s="1290" t="s">
        <v>2456</v>
      </c>
      <c r="E433" s="1290"/>
      <c r="F433" s="1290"/>
    </row>
    <row r="434" spans="1:6" ht="14.25">
      <c r="A434" s="519"/>
      <c r="B434" s="519"/>
      <c r="D434" s="1290"/>
      <c r="E434" s="1290"/>
      <c r="F434" s="1290"/>
    </row>
    <row r="435" spans="1:6">
      <c r="D435" s="1290"/>
      <c r="E435" s="1290"/>
      <c r="F435" s="1290"/>
    </row>
    <row r="436" spans="1:6">
      <c r="D436" s="1290"/>
      <c r="E436" s="1290"/>
      <c r="F436" s="1290"/>
    </row>
    <row r="437" spans="1:6">
      <c r="D437" s="1290"/>
      <c r="E437" s="1290"/>
      <c r="F437" s="1290"/>
    </row>
    <row r="438" spans="1:6">
      <c r="D438" s="1290"/>
      <c r="E438" s="1290"/>
      <c r="F438" s="1290"/>
    </row>
    <row r="439" spans="1:6">
      <c r="D439" s="1290"/>
      <c r="E439" s="1290"/>
      <c r="F439" s="1290"/>
    </row>
    <row r="440" spans="1:6">
      <c r="D440" s="1290"/>
      <c r="E440" s="1290"/>
      <c r="F440" s="1290"/>
    </row>
    <row r="441" spans="1:6">
      <c r="D441" s="1290"/>
      <c r="E441" s="1290"/>
      <c r="F441" s="1290"/>
    </row>
    <row r="442" spans="1:6">
      <c r="D442" s="1290"/>
      <c r="E442" s="1290"/>
      <c r="F442" s="1290"/>
    </row>
    <row r="443" spans="1:6">
      <c r="D443" s="1290"/>
      <c r="E443" s="1290"/>
      <c r="F443" s="1290"/>
    </row>
    <row r="444" spans="1:6">
      <c r="D444" s="1290"/>
      <c r="E444" s="1290"/>
      <c r="F444" s="1290"/>
    </row>
    <row r="445" spans="1:6">
      <c r="D445" s="1290"/>
      <c r="E445" s="1290"/>
      <c r="F445" s="1290"/>
    </row>
    <row r="446" spans="1:6">
      <c r="A446" s="434"/>
      <c r="B446" s="434"/>
      <c r="C446" s="434"/>
      <c r="D446" s="1290"/>
      <c r="E446" s="1290"/>
      <c r="F446" s="1290"/>
    </row>
    <row r="447" spans="1:6">
      <c r="A447" s="434"/>
      <c r="B447" s="434"/>
      <c r="C447" s="434"/>
      <c r="D447" s="1290"/>
      <c r="E447" s="1290"/>
      <c r="F447" s="1290"/>
    </row>
    <row r="448" spans="1:6">
      <c r="A448" s="434"/>
      <c r="B448" s="434"/>
      <c r="C448" s="434"/>
      <c r="D448" s="1290"/>
      <c r="E448" s="1290"/>
      <c r="F448" s="1290"/>
    </row>
    <row r="449" spans="1:6">
      <c r="A449" s="434"/>
      <c r="B449" s="434"/>
      <c r="C449" s="434"/>
      <c r="D449" s="1290"/>
      <c r="E449" s="1290"/>
      <c r="F449" s="1290"/>
    </row>
    <row r="450" spans="1:6">
      <c r="A450" s="434"/>
      <c r="B450" s="434"/>
      <c r="C450" s="434"/>
      <c r="D450" s="1290"/>
      <c r="E450" s="1290"/>
      <c r="F450" s="1290"/>
    </row>
    <row r="451" spans="1:6">
      <c r="A451" s="434"/>
      <c r="B451" s="434"/>
      <c r="C451" s="434"/>
      <c r="D451" s="1290"/>
      <c r="E451" s="1290"/>
      <c r="F451" s="1290"/>
    </row>
    <row r="452" spans="1:6">
      <c r="A452" s="434"/>
      <c r="B452" s="434"/>
      <c r="C452" s="434"/>
      <c r="D452" s="1290"/>
      <c r="E452" s="1290"/>
      <c r="F452" s="1290"/>
    </row>
    <row r="453" spans="1:6">
      <c r="A453" s="434"/>
      <c r="B453" s="434"/>
      <c r="C453" s="434"/>
      <c r="D453" s="1290"/>
      <c r="E453" s="1290"/>
      <c r="F453" s="1290"/>
    </row>
    <row r="454" spans="1:6">
      <c r="A454" s="434"/>
      <c r="B454" s="434"/>
      <c r="C454" s="434"/>
      <c r="D454" s="1290"/>
      <c r="E454" s="1290"/>
      <c r="F454" s="1290"/>
    </row>
    <row r="455" spans="1:6">
      <c r="A455" s="434"/>
      <c r="B455" s="434"/>
      <c r="C455" s="434"/>
      <c r="D455" s="1290"/>
      <c r="E455" s="1290"/>
      <c r="F455" s="1290"/>
    </row>
    <row r="456" spans="1:6">
      <c r="A456" s="434"/>
      <c r="B456" s="434"/>
      <c r="C456" s="434"/>
      <c r="D456" s="1290"/>
      <c r="E456" s="1290"/>
      <c r="F456" s="1290"/>
    </row>
    <row r="457" spans="1:6">
      <c r="A457" s="434"/>
      <c r="B457" s="434"/>
      <c r="C457" s="434"/>
      <c r="D457" s="1290"/>
      <c r="E457" s="1290"/>
      <c r="F457" s="1290"/>
    </row>
    <row r="458" spans="1:6">
      <c r="A458" s="434"/>
      <c r="B458" s="434"/>
      <c r="C458" s="434"/>
      <c r="D458" s="1290"/>
      <c r="E458" s="1290"/>
      <c r="F458" s="1290"/>
    </row>
    <row r="459" spans="1:6">
      <c r="A459" s="434"/>
      <c r="B459" s="434"/>
      <c r="C459" s="434"/>
      <c r="D459" s="1290"/>
      <c r="E459" s="1290"/>
      <c r="F459" s="1290"/>
    </row>
    <row r="460" spans="1:6">
      <c r="A460" s="434"/>
      <c r="B460" s="434"/>
      <c r="C460" s="434"/>
      <c r="D460" s="1290"/>
      <c r="E460" s="1290"/>
      <c r="F460" s="1290"/>
    </row>
    <row r="461" spans="1:6">
      <c r="A461" s="434"/>
      <c r="B461" s="434"/>
      <c r="C461" s="434"/>
      <c r="D461" s="1290"/>
      <c r="E461" s="1290"/>
      <c r="F461" s="1290"/>
    </row>
    <row r="462" spans="1:6">
      <c r="D462" s="1290"/>
      <c r="E462" s="1290"/>
      <c r="F462" s="1290"/>
    </row>
    <row r="463" spans="1:6" ht="40.700000000000003" customHeight="1">
      <c r="D463" s="1290"/>
      <c r="E463" s="1290"/>
      <c r="F463" s="1290"/>
    </row>
    <row r="464" spans="1:6">
      <c r="D464" s="481"/>
      <c r="E464" s="481"/>
      <c r="F464" s="481"/>
    </row>
    <row r="465" spans="1:6" ht="14.25">
      <c r="A465" s="519"/>
      <c r="B465" s="520" t="s">
        <v>2719</v>
      </c>
      <c r="C465" s="522"/>
      <c r="D465" s="1290" t="s">
        <v>1268</v>
      </c>
      <c r="E465" s="1290"/>
      <c r="F465" s="1290"/>
    </row>
    <row r="466" spans="1:6">
      <c r="D466" s="1290"/>
      <c r="E466" s="1290"/>
      <c r="F466" s="1290"/>
    </row>
    <row r="467" spans="1:6">
      <c r="D467" s="1290"/>
      <c r="E467" s="1290"/>
      <c r="F467" s="1290"/>
    </row>
    <row r="468" spans="1:6">
      <c r="D468" s="480"/>
      <c r="E468" s="480"/>
      <c r="F468" s="480"/>
    </row>
    <row r="469" spans="1:6" ht="14.25">
      <c r="B469" s="520" t="s">
        <v>2719</v>
      </c>
      <c r="C469" s="519"/>
      <c r="D469" s="1290" t="s">
        <v>1338</v>
      </c>
      <c r="E469" s="1290"/>
      <c r="F469" s="1290"/>
    </row>
    <row r="470" spans="1:6">
      <c r="D470" s="1290"/>
      <c r="E470" s="1290"/>
      <c r="F470" s="1290"/>
    </row>
    <row r="471" spans="1:6">
      <c r="D471" s="481"/>
      <c r="E471" s="481"/>
      <c r="F471" s="481"/>
    </row>
    <row r="472" spans="1:6" ht="14.25">
      <c r="B472" s="520" t="s">
        <v>2719</v>
      </c>
      <c r="C472" s="519"/>
      <c r="D472" s="1290" t="s">
        <v>1270</v>
      </c>
      <c r="E472" s="1290"/>
      <c r="F472" s="1290"/>
    </row>
    <row r="473" spans="1:6">
      <c r="D473" s="1290"/>
      <c r="E473" s="1290"/>
      <c r="F473" s="1290"/>
    </row>
    <row r="474" spans="1:6">
      <c r="D474" s="1290"/>
      <c r="E474" s="1290"/>
      <c r="F474" s="1290"/>
    </row>
    <row r="475" spans="1:6">
      <c r="D475" s="1290"/>
      <c r="E475" s="1290"/>
      <c r="F475" s="1290"/>
    </row>
    <row r="476" spans="1:6">
      <c r="B476" s="520" t="s">
        <v>2719</v>
      </c>
      <c r="D476" s="1290"/>
      <c r="E476" s="1290"/>
      <c r="F476" s="1290"/>
    </row>
    <row r="477" spans="1:6">
      <c r="A477" s="434"/>
      <c r="B477" s="434"/>
      <c r="C477" s="434"/>
      <c r="D477" s="1290"/>
      <c r="E477" s="1290"/>
      <c r="F477" s="1290"/>
    </row>
    <row r="478" spans="1:6">
      <c r="A478" s="434"/>
      <c r="C478" s="434"/>
      <c r="D478" s="1290"/>
      <c r="E478" s="1290"/>
      <c r="F478" s="1290"/>
    </row>
    <row r="479" spans="1:6">
      <c r="A479" s="434"/>
      <c r="B479" s="520" t="s">
        <v>2719</v>
      </c>
      <c r="C479" s="434"/>
      <c r="D479" s="1290"/>
      <c r="E479" s="1290"/>
      <c r="F479" s="1290"/>
    </row>
    <row r="480" spans="1:6">
      <c r="A480" s="434"/>
      <c r="B480" s="434"/>
      <c r="C480" s="434"/>
      <c r="D480" s="1290"/>
      <c r="E480" s="1290"/>
      <c r="F480" s="1290"/>
    </row>
    <row r="481" spans="1:9">
      <c r="A481" s="434"/>
      <c r="C481" s="434"/>
      <c r="D481" s="1290"/>
      <c r="E481" s="1290"/>
      <c r="F481" s="1290"/>
    </row>
    <row r="482" spans="1:9">
      <c r="A482" s="434"/>
      <c r="C482" s="434"/>
      <c r="D482" s="1290"/>
      <c r="E482" s="1290"/>
      <c r="F482" s="1290"/>
    </row>
    <row r="483" spans="1:9">
      <c r="A483" s="434"/>
      <c r="C483" s="434"/>
      <c r="D483" s="1290"/>
      <c r="E483" s="1290"/>
      <c r="F483" s="1290"/>
    </row>
    <row r="484" spans="1:9">
      <c r="A484" s="434"/>
      <c r="B484" s="520" t="s">
        <v>2719</v>
      </c>
      <c r="C484" s="434"/>
      <c r="D484" s="1290"/>
      <c r="E484" s="1290"/>
      <c r="F484" s="1290"/>
    </row>
    <row r="485" spans="1:9">
      <c r="A485" s="434"/>
      <c r="C485" s="434"/>
      <c r="D485" s="1290"/>
      <c r="E485" s="1290"/>
      <c r="F485" s="1290"/>
    </row>
    <row r="486" spans="1:9">
      <c r="A486" s="434"/>
      <c r="B486" s="520" t="s">
        <v>2719</v>
      </c>
      <c r="C486" s="434"/>
      <c r="D486" s="1290" t="s">
        <v>1271</v>
      </c>
      <c r="E486" s="1290"/>
      <c r="F486" s="1290"/>
    </row>
    <row r="487" spans="1:9">
      <c r="A487" s="434"/>
      <c r="B487" s="434"/>
      <c r="C487" s="434"/>
      <c r="D487" s="1290"/>
      <c r="E487" s="1290"/>
      <c r="F487" s="1290"/>
    </row>
    <row r="488" spans="1:9">
      <c r="A488" s="434"/>
      <c r="B488" s="434"/>
      <c r="C488" s="434"/>
      <c r="D488" s="1290"/>
      <c r="E488" s="1290"/>
      <c r="F488" s="1290"/>
    </row>
    <row r="489" spans="1:9">
      <c r="A489" s="434"/>
      <c r="B489" s="434"/>
      <c r="C489" s="434"/>
      <c r="D489" s="1290"/>
      <c r="E489" s="1290"/>
      <c r="F489" s="1290"/>
    </row>
    <row r="490" spans="1:9">
      <c r="D490" s="1290"/>
      <c r="E490" s="1290"/>
      <c r="F490" s="1290"/>
    </row>
    <row r="491" spans="1:9">
      <c r="D491" s="481"/>
      <c r="E491" s="481"/>
      <c r="F491" s="481"/>
    </row>
    <row r="492" spans="1:9">
      <c r="B492" s="520" t="s">
        <v>2719</v>
      </c>
      <c r="D492" s="1291" t="s">
        <v>1272</v>
      </c>
      <c r="E492" s="1291"/>
      <c r="F492" s="1291"/>
    </row>
    <row r="493" spans="1:9">
      <c r="A493" s="481"/>
      <c r="B493" s="481"/>
    </row>
    <row r="494" spans="1:9">
      <c r="A494" s="1278" t="s">
        <v>1113</v>
      </c>
      <c r="B494" s="1278"/>
      <c r="C494" s="1278"/>
      <c r="D494" s="1278"/>
      <c r="E494" s="1278"/>
      <c r="F494" s="1278"/>
      <c r="G494" s="1278"/>
      <c r="H494" s="1070"/>
      <c r="I494" s="1071"/>
    </row>
    <row r="495" spans="1:9">
      <c r="A495" s="481"/>
      <c r="B495" s="481"/>
    </row>
    <row r="496" spans="1:9">
      <c r="D496" s="1275" t="s">
        <v>912</v>
      </c>
      <c r="E496" s="1275"/>
      <c r="F496" s="1275"/>
    </row>
    <row r="497" spans="1:9" ht="14.25">
      <c r="A497" s="519"/>
      <c r="B497" s="519"/>
      <c r="D497" s="1276" t="s">
        <v>1273</v>
      </c>
      <c r="E497" s="1276"/>
      <c r="F497" s="1276"/>
    </row>
    <row r="498" spans="1:9" ht="14.25">
      <c r="A498" s="519"/>
      <c r="B498" s="519"/>
      <c r="D498" s="482"/>
    </row>
    <row r="499" spans="1:9" ht="14.25">
      <c r="A499" s="519"/>
      <c r="B499" s="520" t="s">
        <v>2719</v>
      </c>
      <c r="D499" s="1272" t="s">
        <v>1274</v>
      </c>
      <c r="E499" s="1272"/>
      <c r="F499" s="1272"/>
      <c r="I499" s="436" t="s">
        <v>2166</v>
      </c>
    </row>
    <row r="500" spans="1:9" ht="14.25">
      <c r="A500" s="519"/>
      <c r="B500" s="519"/>
      <c r="D500" s="1272"/>
      <c r="E500" s="1272"/>
      <c r="F500" s="1272"/>
    </row>
    <row r="501" spans="1:9" ht="14.25">
      <c r="A501" s="519"/>
      <c r="B501" s="519"/>
      <c r="D501" s="481"/>
    </row>
    <row r="502" spans="1:9" ht="12.75" customHeight="1">
      <c r="B502" s="520" t="s">
        <v>2719</v>
      </c>
      <c r="D502" s="1277" t="s">
        <v>1429</v>
      </c>
      <c r="E502" s="1277"/>
      <c r="F502" s="1277"/>
      <c r="I502" s="436" t="s">
        <v>2167</v>
      </c>
    </row>
    <row r="503" spans="1:9" ht="14.25">
      <c r="A503" s="519"/>
      <c r="D503" s="1277"/>
      <c r="E503" s="1277"/>
      <c r="F503" s="1277"/>
    </row>
    <row r="504" spans="1:9" ht="14.25">
      <c r="A504" s="519"/>
      <c r="B504" s="519"/>
      <c r="D504" s="1277"/>
      <c r="E504" s="1277"/>
      <c r="F504" s="1277"/>
    </row>
    <row r="505" spans="1:9" ht="14.25">
      <c r="A505" s="519"/>
      <c r="B505" s="519"/>
      <c r="D505" s="1277"/>
      <c r="E505" s="1277"/>
      <c r="F505" s="1277"/>
    </row>
    <row r="506" spans="1:9" ht="14.25">
      <c r="A506" s="519"/>
      <c r="D506" s="555"/>
      <c r="E506" s="555"/>
      <c r="F506" s="555"/>
    </row>
    <row r="507" spans="1:9" ht="14.25">
      <c r="A507" s="519"/>
      <c r="B507" s="520" t="s">
        <v>2719</v>
      </c>
      <c r="D507" s="1291" t="s">
        <v>1277</v>
      </c>
      <c r="E507" s="1291"/>
      <c r="F507" s="1291"/>
      <c r="I507" s="436" t="s">
        <v>2168</v>
      </c>
    </row>
    <row r="508" spans="1:9" ht="14.25">
      <c r="A508" s="519"/>
      <c r="B508" s="519"/>
      <c r="D508" s="481"/>
    </row>
    <row r="509" spans="1:9" ht="14.25">
      <c r="A509" s="519"/>
      <c r="B509" s="520" t="s">
        <v>2719</v>
      </c>
      <c r="D509" s="1290" t="s">
        <v>1278</v>
      </c>
      <c r="E509" s="1290"/>
      <c r="F509" s="1290"/>
      <c r="I509" s="436" t="s">
        <v>2168</v>
      </c>
    </row>
    <row r="510" spans="1:9" ht="14.25">
      <c r="A510" s="519"/>
      <c r="D510" s="1290"/>
      <c r="E510" s="1290"/>
      <c r="F510" s="1290"/>
    </row>
    <row r="511" spans="1:9">
      <c r="A511" s="525"/>
      <c r="B511" s="525"/>
      <c r="D511" s="482"/>
    </row>
    <row r="512" spans="1:9">
      <c r="A512" s="525"/>
      <c r="B512" s="520" t="s">
        <v>2719</v>
      </c>
      <c r="D512" s="1291" t="s">
        <v>1279</v>
      </c>
      <c r="E512" s="1291"/>
      <c r="F512" s="1291"/>
      <c r="I512" s="436" t="s">
        <v>2221</v>
      </c>
    </row>
    <row r="513" spans="1:9" ht="14.25">
      <c r="A513" s="519"/>
      <c r="B513" s="519"/>
      <c r="D513" s="481"/>
    </row>
    <row r="514" spans="1:9">
      <c r="A514" s="1278" t="s">
        <v>1114</v>
      </c>
      <c r="B514" s="1278"/>
      <c r="C514" s="1278"/>
      <c r="D514" s="1278"/>
      <c r="E514" s="1278"/>
      <c r="F514" s="1278"/>
      <c r="G514" s="1278"/>
      <c r="H514" s="1070"/>
      <c r="I514" s="1071"/>
    </row>
    <row r="515" spans="1:9" ht="12" customHeight="1">
      <c r="A515" s="519"/>
      <c r="B515" s="519"/>
      <c r="D515" s="481"/>
    </row>
    <row r="516" spans="1:9">
      <c r="C516" s="517"/>
      <c r="D516" s="1289" t="s">
        <v>817</v>
      </c>
      <c r="E516" s="1289"/>
      <c r="F516" s="1289"/>
    </row>
    <row r="517" spans="1:9">
      <c r="C517" s="517"/>
      <c r="D517" s="541" t="s">
        <v>1340</v>
      </c>
      <c r="E517" s="541"/>
      <c r="F517" s="541"/>
    </row>
    <row r="518" spans="1:9">
      <c r="C518" s="517"/>
      <c r="D518" s="541" t="s">
        <v>1341</v>
      </c>
      <c r="E518" s="541"/>
      <c r="F518" s="541"/>
    </row>
    <row r="519" spans="1:9">
      <c r="C519" s="517"/>
      <c r="D519" s="516"/>
      <c r="E519" s="516"/>
      <c r="F519" s="516"/>
    </row>
    <row r="520" spans="1:9" ht="13.7" customHeight="1">
      <c r="A520" s="518"/>
      <c r="B520" s="520" t="s">
        <v>2718</v>
      </c>
      <c r="C520" s="518"/>
      <c r="D520" s="1272" t="s">
        <v>2457</v>
      </c>
      <c r="E520" s="1272"/>
      <c r="F520" s="1272"/>
      <c r="I520" s="436" t="s">
        <v>2203</v>
      </c>
    </row>
    <row r="521" spans="1:9">
      <c r="A521" s="518"/>
      <c r="B521" s="518"/>
      <c r="C521" s="518"/>
      <c r="D521" s="1272"/>
      <c r="E521" s="1272"/>
      <c r="F521" s="1272"/>
    </row>
    <row r="522" spans="1:9">
      <c r="A522" s="518"/>
      <c r="B522" s="518"/>
      <c r="C522" s="518"/>
      <c r="D522" s="486"/>
      <c r="E522" s="486"/>
      <c r="F522" s="486"/>
      <c r="I522" s="434"/>
    </row>
    <row r="523" spans="1:9" ht="12.75" customHeight="1">
      <c r="A523" s="518"/>
      <c r="B523" s="520" t="s">
        <v>2719</v>
      </c>
      <c r="D523" s="418" t="s">
        <v>2283</v>
      </c>
      <c r="E523" s="417"/>
      <c r="F523" s="417"/>
      <c r="I523" s="436" t="s">
        <v>2169</v>
      </c>
    </row>
    <row r="524" spans="1:9">
      <c r="A524" s="518"/>
      <c r="B524" s="518"/>
      <c r="C524" s="518"/>
      <c r="D524" s="417"/>
      <c r="E524" s="96" t="s">
        <v>2284</v>
      </c>
    </row>
    <row r="525" spans="1:9">
      <c r="A525" s="518"/>
      <c r="B525" s="518"/>
      <c r="D525" s="1320" t="s">
        <v>2458</v>
      </c>
      <c r="E525" s="1320"/>
      <c r="F525" s="1320"/>
    </row>
    <row r="526" spans="1:9">
      <c r="A526" s="518"/>
      <c r="B526" s="518"/>
      <c r="D526" s="1320"/>
      <c r="E526" s="1320"/>
      <c r="F526" s="1320"/>
    </row>
    <row r="527" spans="1:9">
      <c r="A527" s="518"/>
      <c r="B527" s="518"/>
      <c r="C527" s="518"/>
      <c r="D527" s="1320"/>
      <c r="E527" s="1320"/>
      <c r="F527" s="1320"/>
    </row>
    <row r="528" spans="1:9">
      <c r="A528" s="518"/>
      <c r="B528" s="518"/>
      <c r="C528" s="518"/>
      <c r="D528" s="533"/>
      <c r="F528" s="481"/>
    </row>
    <row r="529" spans="1:9" ht="13.15" customHeight="1">
      <c r="A529" s="518"/>
      <c r="B529" s="520" t="s">
        <v>2719</v>
      </c>
      <c r="C529" s="518"/>
      <c r="D529" s="1290" t="s">
        <v>2459</v>
      </c>
      <c r="E529" s="1290"/>
      <c r="F529" s="1290"/>
      <c r="I529" s="436" t="s">
        <v>2169</v>
      </c>
    </row>
    <row r="530" spans="1:9">
      <c r="A530" s="518"/>
      <c r="B530" s="518"/>
      <c r="C530" s="518"/>
      <c r="D530" s="1290"/>
      <c r="E530" s="1290"/>
      <c r="F530" s="1290"/>
    </row>
    <row r="531" spans="1:9" ht="12" customHeight="1">
      <c r="A531" s="481"/>
      <c r="B531" s="481"/>
      <c r="C531" s="522"/>
      <c r="D531" s="481"/>
      <c r="F531" s="483"/>
    </row>
    <row r="532" spans="1:9">
      <c r="A532" s="1278" t="s">
        <v>1115</v>
      </c>
      <c r="B532" s="1278"/>
      <c r="C532" s="1278"/>
      <c r="D532" s="1278"/>
      <c r="E532" s="1278"/>
      <c r="F532" s="1278"/>
      <c r="G532" s="1278"/>
      <c r="H532" s="1070"/>
      <c r="I532" s="1071"/>
    </row>
    <row r="533" spans="1:9">
      <c r="A533" s="481"/>
      <c r="B533" s="481"/>
      <c r="C533" s="522"/>
      <c r="F533" s="483"/>
    </row>
    <row r="534" spans="1:9">
      <c r="B534" s="1293" t="s">
        <v>449</v>
      </c>
      <c r="C534" s="1293"/>
      <c r="D534" s="1293"/>
      <c r="E534" s="1293"/>
      <c r="F534" s="1293"/>
    </row>
    <row r="535" spans="1:9">
      <c r="A535" s="481"/>
      <c r="B535" s="481"/>
      <c r="C535" s="522"/>
      <c r="D535" s="481"/>
      <c r="F535" s="481"/>
    </row>
    <row r="536" spans="1:9">
      <c r="A536" s="1309" t="s">
        <v>1116</v>
      </c>
      <c r="B536" s="1309"/>
      <c r="C536" s="1309"/>
      <c r="D536" s="1309"/>
      <c r="E536" s="1309"/>
      <c r="F536" s="1309"/>
      <c r="G536" s="1309"/>
      <c r="H536" s="1070"/>
      <c r="I536" s="1071"/>
    </row>
    <row r="537" spans="1:9">
      <c r="A537" s="481"/>
      <c r="B537" s="481"/>
      <c r="C537" s="522"/>
      <c r="D537" s="481"/>
      <c r="F537" s="481"/>
    </row>
    <row r="538" spans="1:9">
      <c r="C538" s="522"/>
      <c r="D538" s="1289" t="s">
        <v>692</v>
      </c>
      <c r="E538" s="1289"/>
      <c r="F538" s="1289"/>
    </row>
    <row r="539" spans="1:9">
      <c r="C539" s="522"/>
      <c r="D539" s="1291" t="s">
        <v>1173</v>
      </c>
      <c r="E539" s="1291"/>
      <c r="F539" s="1291"/>
    </row>
    <row r="540" spans="1:9">
      <c r="C540" s="522"/>
      <c r="D540" s="481"/>
      <c r="E540" s="481"/>
      <c r="F540" s="481"/>
    </row>
    <row r="541" spans="1:9" ht="13.7" customHeight="1">
      <c r="A541" s="519"/>
      <c r="B541" s="520" t="s">
        <v>2718</v>
      </c>
      <c r="C541" s="522"/>
      <c r="D541" s="1291" t="s">
        <v>913</v>
      </c>
      <c r="E541" s="1291"/>
      <c r="F541" s="1291"/>
      <c r="I541" s="436" t="s">
        <v>2219</v>
      </c>
    </row>
    <row r="542" spans="1:9" ht="13.7" customHeight="1">
      <c r="A542" s="522"/>
      <c r="B542" s="522"/>
      <c r="C542" s="522"/>
      <c r="D542" s="481"/>
    </row>
    <row r="543" spans="1:9" ht="14.25">
      <c r="A543" s="519"/>
      <c r="B543" s="520" t="s">
        <v>2718</v>
      </c>
      <c r="C543" s="522"/>
      <c r="D543" s="1290" t="s">
        <v>1174</v>
      </c>
      <c r="E543" s="1290"/>
      <c r="F543" s="1290"/>
      <c r="I543" s="436" t="s">
        <v>2219</v>
      </c>
    </row>
    <row r="544" spans="1:9">
      <c r="A544" s="522"/>
      <c r="B544" s="522"/>
      <c r="C544" s="522"/>
      <c r="D544" s="1290"/>
      <c r="E544" s="1290"/>
      <c r="F544" s="1290"/>
    </row>
    <row r="545" spans="1:9">
      <c r="A545" s="522"/>
      <c r="B545" s="522"/>
      <c r="C545" s="522"/>
      <c r="D545" s="481"/>
      <c r="E545" s="481"/>
      <c r="F545" s="481"/>
    </row>
    <row r="546" spans="1:9" ht="14.25">
      <c r="A546" s="519"/>
      <c r="B546" s="520" t="s">
        <v>2718</v>
      </c>
      <c r="C546" s="522"/>
      <c r="D546" s="1290" t="s">
        <v>1175</v>
      </c>
      <c r="E546" s="1290"/>
      <c r="F546" s="1290"/>
      <c r="I546" s="436" t="s">
        <v>2170</v>
      </c>
    </row>
    <row r="547" spans="1:9">
      <c r="A547" s="522"/>
      <c r="B547" s="522"/>
      <c r="C547" s="522"/>
      <c r="D547" s="1290"/>
      <c r="E547" s="1290"/>
      <c r="F547" s="1290"/>
    </row>
    <row r="548" spans="1:9">
      <c r="A548" s="522"/>
      <c r="B548" s="522"/>
      <c r="C548" s="522"/>
      <c r="D548" s="481"/>
      <c r="E548" s="481"/>
      <c r="F548" s="481"/>
    </row>
    <row r="549" spans="1:9" ht="14.25">
      <c r="A549" s="519"/>
      <c r="B549" s="520" t="s">
        <v>2718</v>
      </c>
      <c r="C549" s="522"/>
      <c r="D549" s="1290" t="s">
        <v>1176</v>
      </c>
      <c r="E549" s="1290"/>
      <c r="F549" s="1290"/>
      <c r="I549" s="436" t="s">
        <v>2171</v>
      </c>
    </row>
    <row r="550" spans="1:9">
      <c r="A550" s="522"/>
      <c r="B550" s="522"/>
      <c r="C550" s="522"/>
      <c r="D550" s="1290"/>
      <c r="E550" s="1290"/>
      <c r="F550" s="1290"/>
    </row>
    <row r="551" spans="1:9">
      <c r="A551" s="522"/>
      <c r="B551" s="522"/>
      <c r="C551" s="522"/>
      <c r="D551" s="481"/>
      <c r="E551" s="481"/>
      <c r="F551" s="481"/>
    </row>
    <row r="552" spans="1:9" ht="14.25">
      <c r="A552" s="519"/>
      <c r="B552" s="520" t="s">
        <v>2718</v>
      </c>
      <c r="C552" s="522"/>
      <c r="D552" s="1290" t="s">
        <v>1177</v>
      </c>
      <c r="E552" s="1290"/>
      <c r="F552" s="1290"/>
      <c r="I552" s="436" t="s">
        <v>2220</v>
      </c>
    </row>
    <row r="553" spans="1:9">
      <c r="A553" s="522"/>
      <c r="B553" s="522"/>
      <c r="C553" s="522"/>
      <c r="D553" s="1290"/>
      <c r="E553" s="1290"/>
      <c r="F553" s="1290"/>
    </row>
    <row r="554" spans="1:9">
      <c r="A554" s="522"/>
      <c r="B554" s="522"/>
      <c r="C554" s="522"/>
      <c r="D554" s="1290"/>
      <c r="E554" s="1290"/>
      <c r="F554" s="1290"/>
    </row>
    <row r="555" spans="1:9">
      <c r="A555" s="522"/>
      <c r="B555" s="522"/>
      <c r="C555" s="522"/>
      <c r="D555" s="481"/>
      <c r="E555" s="481"/>
      <c r="F555" s="481"/>
    </row>
    <row r="556" spans="1:9" ht="14.25">
      <c r="A556" s="519"/>
      <c r="B556" s="520" t="s">
        <v>2719</v>
      </c>
      <c r="C556" s="522"/>
      <c r="D556" s="1290" t="s">
        <v>1295</v>
      </c>
      <c r="E556" s="1290"/>
      <c r="F556" s="1290"/>
      <c r="I556" s="436" t="s">
        <v>2219</v>
      </c>
    </row>
    <row r="557" spans="1:9">
      <c r="A557" s="522"/>
      <c r="B557" s="522"/>
      <c r="C557" s="522"/>
      <c r="D557" s="1290"/>
      <c r="E557" s="1290"/>
      <c r="F557" s="1290"/>
    </row>
    <row r="558" spans="1:9">
      <c r="A558" s="522"/>
      <c r="B558" s="522"/>
      <c r="C558" s="522"/>
      <c r="D558" s="481"/>
      <c r="E558" s="481"/>
      <c r="F558" s="481"/>
    </row>
    <row r="559" spans="1:9" ht="14.25">
      <c r="A559" s="519"/>
      <c r="B559" s="520" t="s">
        <v>2718</v>
      </c>
      <c r="C559" s="522"/>
      <c r="D559" s="1290" t="s">
        <v>1179</v>
      </c>
      <c r="E559" s="1290"/>
      <c r="F559" s="1290"/>
      <c r="I559" s="436" t="s">
        <v>2219</v>
      </c>
    </row>
    <row r="560" spans="1:9">
      <c r="A560" s="522"/>
      <c r="B560" s="522"/>
      <c r="C560" s="522"/>
      <c r="D560" s="1290"/>
      <c r="E560" s="1290"/>
      <c r="F560" s="1290"/>
    </row>
    <row r="561" spans="1:9">
      <c r="A561" s="522"/>
      <c r="B561" s="522"/>
      <c r="C561" s="522"/>
      <c r="D561" s="481"/>
      <c r="E561" s="481"/>
      <c r="F561" s="481"/>
    </row>
    <row r="562" spans="1:9" ht="14.25">
      <c r="A562" s="519"/>
      <c r="B562" s="520" t="s">
        <v>2718</v>
      </c>
      <c r="C562" s="522"/>
      <c r="D562" s="1291" t="s">
        <v>1180</v>
      </c>
      <c r="E562" s="1291"/>
      <c r="F562" s="1291"/>
      <c r="I562" s="436" t="s">
        <v>2222</v>
      </c>
    </row>
    <row r="563" spans="1:9">
      <c r="A563" s="525"/>
      <c r="B563" s="525"/>
      <c r="C563" s="522"/>
      <c r="D563" s="1291" t="s">
        <v>2286</v>
      </c>
      <c r="E563" s="1291"/>
      <c r="F563" s="1291"/>
    </row>
    <row r="564" spans="1:9">
      <c r="A564" s="525"/>
      <c r="B564" s="525"/>
      <c r="C564" s="522"/>
      <c r="E564" s="96" t="s">
        <v>2285</v>
      </c>
      <c r="F564" s="436"/>
    </row>
    <row r="565" spans="1:9" ht="14.25">
      <c r="A565" s="519"/>
      <c r="B565" s="519"/>
      <c r="C565" s="522"/>
      <c r="E565" s="481"/>
      <c r="F565" s="481"/>
    </row>
    <row r="566" spans="1:9" ht="14.25">
      <c r="A566" s="519"/>
      <c r="B566" s="520" t="s">
        <v>2718</v>
      </c>
      <c r="C566" s="522"/>
      <c r="D566" s="1291" t="s">
        <v>1182</v>
      </c>
      <c r="E566" s="1291"/>
      <c r="F566" s="1291"/>
      <c r="I566" s="436" t="s">
        <v>2172</v>
      </c>
    </row>
    <row r="567" spans="1:9">
      <c r="C567" s="522"/>
      <c r="D567" s="1290" t="s">
        <v>1183</v>
      </c>
      <c r="E567" s="1290"/>
      <c r="F567" s="1290"/>
    </row>
    <row r="568" spans="1:9">
      <c r="A568" s="522"/>
      <c r="B568" s="522"/>
      <c r="C568" s="522"/>
      <c r="D568" s="1290"/>
      <c r="E568" s="1290"/>
      <c r="F568" s="1290"/>
    </row>
    <row r="569" spans="1:9">
      <c r="A569" s="522"/>
      <c r="B569" s="522"/>
      <c r="C569" s="522"/>
      <c r="D569" s="1290"/>
      <c r="E569" s="1290"/>
      <c r="F569" s="1290"/>
    </row>
    <row r="570" spans="1:9">
      <c r="A570" s="522"/>
      <c r="B570" s="522"/>
      <c r="C570" s="522"/>
      <c r="D570" s="481"/>
      <c r="E570" s="481"/>
      <c r="F570" s="481"/>
    </row>
    <row r="571" spans="1:9" ht="14.25">
      <c r="A571" s="519"/>
      <c r="B571" s="520" t="s">
        <v>2718</v>
      </c>
      <c r="C571" s="522"/>
      <c r="D571" s="1290" t="s">
        <v>2460</v>
      </c>
      <c r="E571" s="1290"/>
      <c r="F571" s="1290"/>
      <c r="I571" s="436" t="s">
        <v>2173</v>
      </c>
    </row>
    <row r="572" spans="1:9" ht="14.25">
      <c r="A572" s="519"/>
      <c r="B572" s="519"/>
      <c r="C572" s="522"/>
      <c r="D572" s="1290"/>
      <c r="E572" s="1290"/>
      <c r="F572" s="1290"/>
    </row>
    <row r="573" spans="1:9" ht="14.25">
      <c r="A573" s="519"/>
      <c r="B573" s="519"/>
      <c r="C573" s="522"/>
      <c r="D573" s="1290"/>
      <c r="E573" s="1290"/>
      <c r="F573" s="1290"/>
    </row>
    <row r="574" spans="1:9" ht="14.25">
      <c r="A574" s="519"/>
      <c r="B574" s="519"/>
      <c r="C574" s="522"/>
      <c r="D574" s="1290"/>
      <c r="E574" s="1290"/>
      <c r="F574" s="1290"/>
    </row>
    <row r="575" spans="1:9" ht="14.25">
      <c r="A575" s="519"/>
      <c r="B575" s="519"/>
      <c r="C575" s="522"/>
      <c r="D575" s="481"/>
      <c r="E575" s="481"/>
      <c r="F575" s="481"/>
    </row>
    <row r="576" spans="1:9">
      <c r="A576" s="1278" t="s">
        <v>1117</v>
      </c>
      <c r="B576" s="1278"/>
      <c r="C576" s="1278"/>
      <c r="D576" s="1278"/>
      <c r="E576" s="1278"/>
      <c r="F576" s="1278"/>
      <c r="G576" s="1278"/>
      <c r="H576" s="1070"/>
      <c r="I576" s="1071"/>
    </row>
    <row r="577" spans="1:9">
      <c r="A577" s="522"/>
      <c r="B577" s="522"/>
      <c r="C577" s="522"/>
      <c r="E577" s="481"/>
      <c r="F577" s="481"/>
    </row>
    <row r="578" spans="1:9" ht="12.75" customHeight="1">
      <c r="C578" s="517"/>
      <c r="D578" s="1292" t="s">
        <v>212</v>
      </c>
      <c r="E578" s="1292"/>
      <c r="F578" s="1292"/>
    </row>
    <row r="579" spans="1:9">
      <c r="A579" s="518"/>
      <c r="B579" s="518"/>
      <c r="C579" s="518"/>
      <c r="D579" s="1277" t="s">
        <v>1133</v>
      </c>
      <c r="E579" s="1277"/>
      <c r="F579" s="1277"/>
    </row>
    <row r="580" spans="1:9">
      <c r="A580" s="434"/>
      <c r="B580" s="434"/>
      <c r="C580" s="518"/>
      <c r="D580" s="534"/>
      <c r="I580" s="436" t="s">
        <v>2174</v>
      </c>
    </row>
    <row r="581" spans="1:9">
      <c r="A581" s="518"/>
      <c r="B581" s="520" t="s">
        <v>2718</v>
      </c>
      <c r="D581" s="1277" t="s">
        <v>919</v>
      </c>
      <c r="E581" s="1277"/>
      <c r="F581" s="1277"/>
    </row>
    <row r="582" spans="1:9">
      <c r="A582" s="525"/>
      <c r="B582" s="525"/>
      <c r="D582" s="511"/>
    </row>
    <row r="583" spans="1:9">
      <c r="A583" s="525"/>
      <c r="B583" s="520" t="s">
        <v>2718</v>
      </c>
      <c r="D583" s="1277" t="s">
        <v>2461</v>
      </c>
      <c r="E583" s="1277"/>
      <c r="F583" s="1277"/>
      <c r="I583" s="436" t="s">
        <v>2176</v>
      </c>
    </row>
    <row r="584" spans="1:9">
      <c r="A584" s="525"/>
      <c r="B584" s="525"/>
      <c r="D584" s="1277"/>
      <c r="E584" s="1277"/>
      <c r="F584" s="1277"/>
      <c r="I584" s="436" t="s">
        <v>2175</v>
      </c>
    </row>
    <row r="585" spans="1:9">
      <c r="A585" s="525"/>
      <c r="B585" s="525"/>
      <c r="D585" s="1277"/>
      <c r="E585" s="1277"/>
      <c r="F585" s="1277"/>
    </row>
    <row r="586" spans="1:9">
      <c r="A586" s="525"/>
      <c r="B586" s="525"/>
      <c r="D586" s="1277"/>
      <c r="E586" s="1277"/>
      <c r="F586" s="1277"/>
    </row>
    <row r="587" spans="1:9">
      <c r="A587" s="525"/>
      <c r="B587" s="520" t="s">
        <v>2719</v>
      </c>
      <c r="D587" s="1277" t="s">
        <v>1135</v>
      </c>
      <c r="E587" s="1277"/>
      <c r="F587" s="1277"/>
    </row>
    <row r="588" spans="1:9">
      <c r="A588" s="525"/>
      <c r="B588" s="525"/>
      <c r="D588" s="1277"/>
      <c r="E588" s="1277"/>
      <c r="F588" s="1277"/>
    </row>
    <row r="589" spans="1:9">
      <c r="A589" s="525"/>
      <c r="B589" s="525"/>
      <c r="D589" s="1277"/>
      <c r="E589" s="1277"/>
      <c r="F589" s="1277"/>
    </row>
    <row r="590" spans="1:9">
      <c r="A590" s="525"/>
      <c r="B590" s="525"/>
      <c r="D590" s="1277"/>
      <c r="E590" s="1277"/>
      <c r="F590" s="1277"/>
    </row>
    <row r="591" spans="1:9">
      <c r="A591" s="525"/>
      <c r="B591" s="525"/>
      <c r="D591" s="474"/>
      <c r="E591" s="474"/>
      <c r="F591" s="474"/>
    </row>
    <row r="592" spans="1:9">
      <c r="A592" s="525"/>
      <c r="B592" s="520" t="s">
        <v>2718</v>
      </c>
      <c r="D592" s="1277" t="s">
        <v>2462</v>
      </c>
      <c r="E592" s="1277"/>
      <c r="F592" s="1277"/>
    </row>
    <row r="593" spans="1:9">
      <c r="A593" s="525"/>
      <c r="B593" s="525"/>
      <c r="D593" s="1277"/>
      <c r="E593" s="1277"/>
      <c r="F593" s="1277"/>
    </row>
    <row r="594" spans="1:9">
      <c r="A594" s="525"/>
      <c r="B594" s="525"/>
      <c r="D594" s="534"/>
    </row>
    <row r="595" spans="1:9">
      <c r="A595" s="525"/>
      <c r="B595" s="520" t="s">
        <v>2719</v>
      </c>
      <c r="D595" s="1277" t="s">
        <v>1137</v>
      </c>
      <c r="E595" s="1277"/>
      <c r="F595" s="1277"/>
      <c r="I595" s="436" t="s">
        <v>2223</v>
      </c>
    </row>
    <row r="596" spans="1:9">
      <c r="A596" s="525"/>
      <c r="B596" s="525"/>
      <c r="D596" s="1277"/>
      <c r="E596" s="1277"/>
      <c r="F596" s="1277"/>
    </row>
    <row r="597" spans="1:9" ht="14.25">
      <c r="A597" s="519"/>
      <c r="B597" s="519"/>
      <c r="D597" s="534"/>
    </row>
    <row r="598" spans="1:9">
      <c r="A598" s="1278" t="s">
        <v>1118</v>
      </c>
      <c r="B598" s="1278"/>
      <c r="C598" s="1278"/>
      <c r="D598" s="1278"/>
      <c r="E598" s="1278"/>
      <c r="F598" s="1278"/>
      <c r="G598" s="1278"/>
      <c r="H598" s="1070"/>
      <c r="I598" s="1071"/>
    </row>
    <row r="599" spans="1:9"/>
    <row r="600" spans="1:9">
      <c r="D600" s="1289" t="s">
        <v>1218</v>
      </c>
      <c r="E600" s="1289"/>
      <c r="F600" s="1289"/>
    </row>
    <row r="601" spans="1:9">
      <c r="D601" s="1312" t="s">
        <v>1219</v>
      </c>
      <c r="E601" s="1312"/>
      <c r="F601" s="1312"/>
    </row>
    <row r="602" spans="1:9">
      <c r="D602" s="479"/>
    </row>
    <row r="603" spans="1:9" ht="14.25" customHeight="1">
      <c r="A603" s="519"/>
      <c r="B603" s="520" t="s">
        <v>2718</v>
      </c>
      <c r="D603" s="1332" t="s">
        <v>2287</v>
      </c>
      <c r="E603" s="1332"/>
      <c r="F603" s="1332"/>
      <c r="I603" s="436" t="s">
        <v>2204</v>
      </c>
    </row>
    <row r="604" spans="1:9">
      <c r="D604" s="1332"/>
      <c r="E604" s="1332"/>
      <c r="F604" s="1332"/>
    </row>
    <row r="605" spans="1:9">
      <c r="D605" s="417"/>
      <c r="E605" s="1079" t="s">
        <v>2288</v>
      </c>
      <c r="F605" s="417"/>
    </row>
    <row r="606" spans="1:9"/>
    <row r="607" spans="1:9">
      <c r="A607" s="1278" t="s">
        <v>1119</v>
      </c>
      <c r="B607" s="1278"/>
      <c r="C607" s="1278"/>
      <c r="D607" s="1278"/>
      <c r="E607" s="1278"/>
      <c r="F607" s="1278"/>
      <c r="G607" s="1278"/>
      <c r="H607" s="1070"/>
      <c r="I607" s="1071"/>
    </row>
    <row r="608" spans="1:9">
      <c r="A608" s="481"/>
      <c r="B608" s="481"/>
    </row>
    <row r="609" spans="1:9">
      <c r="A609" s="517"/>
      <c r="B609" s="517"/>
      <c r="C609" s="517"/>
      <c r="D609" s="1313" t="s">
        <v>1221</v>
      </c>
      <c r="E609" s="1313"/>
      <c r="F609" s="1313"/>
    </row>
    <row r="610" spans="1:9">
      <c r="A610" s="517"/>
      <c r="B610" s="517"/>
      <c r="C610" s="517"/>
      <c r="D610" s="1313"/>
      <c r="E610" s="1313"/>
      <c r="F610" s="1313"/>
    </row>
    <row r="611" spans="1:9">
      <c r="C611" s="518"/>
      <c r="D611" s="1312" t="s">
        <v>1222</v>
      </c>
      <c r="E611" s="1312"/>
      <c r="F611" s="1312"/>
    </row>
    <row r="612" spans="1:9">
      <c r="C612" s="518"/>
      <c r="D612" s="479"/>
      <c r="E612" s="479"/>
      <c r="F612" s="479"/>
    </row>
    <row r="613" spans="1:9" ht="12.75" customHeight="1">
      <c r="A613" s="525"/>
      <c r="B613" s="520" t="s">
        <v>2718</v>
      </c>
      <c r="D613" s="1288" t="s">
        <v>1223</v>
      </c>
      <c r="E613" s="1288"/>
      <c r="F613" s="1288"/>
      <c r="I613" s="436" t="s">
        <v>2224</v>
      </c>
    </row>
    <row r="614" spans="1:9">
      <c r="D614" s="1288"/>
      <c r="E614" s="1288"/>
      <c r="F614" s="1288"/>
    </row>
    <row r="615" spans="1:9"/>
    <row r="616" spans="1:9">
      <c r="B616" s="520" t="s">
        <v>2718</v>
      </c>
      <c r="D616" s="1288" t="s">
        <v>1224</v>
      </c>
      <c r="E616" s="1288"/>
      <c r="F616" s="1288"/>
      <c r="I616" s="436" t="s">
        <v>2177</v>
      </c>
    </row>
    <row r="617" spans="1:9">
      <c r="C617" s="535"/>
      <c r="D617" s="1288"/>
      <c r="E617" s="1288"/>
      <c r="F617" s="1288"/>
    </row>
    <row r="618" spans="1:9">
      <c r="C618" s="535"/>
    </row>
    <row r="619" spans="1:9">
      <c r="B619" s="520" t="s">
        <v>2719</v>
      </c>
      <c r="C619" s="535"/>
      <c r="D619" s="1288" t="s">
        <v>1225</v>
      </c>
      <c r="E619" s="1288"/>
      <c r="F619" s="1288"/>
      <c r="I619" s="436" t="s">
        <v>2225</v>
      </c>
    </row>
    <row r="620" spans="1:9">
      <c r="C620" s="535"/>
      <c r="D620" s="1288"/>
      <c r="E620" s="1288"/>
      <c r="F620" s="1288"/>
      <c r="I620" s="1067" t="s">
        <v>2226</v>
      </c>
    </row>
    <row r="621" spans="1:9">
      <c r="C621" s="535"/>
    </row>
    <row r="622" spans="1:9">
      <c r="A622" s="1278" t="s">
        <v>1120</v>
      </c>
      <c r="B622" s="1278"/>
      <c r="C622" s="1278"/>
      <c r="D622" s="1278"/>
      <c r="E622" s="1278"/>
      <c r="F622" s="1278"/>
      <c r="G622" s="1278"/>
      <c r="H622" s="1070"/>
      <c r="I622" s="1071"/>
    </row>
    <row r="623" spans="1:9">
      <c r="A623" s="517"/>
      <c r="B623" s="517"/>
      <c r="C623" s="517"/>
    </row>
    <row r="624" spans="1:9">
      <c r="C624" s="525"/>
      <c r="D624" s="1289" t="s">
        <v>1226</v>
      </c>
      <c r="E624" s="1289"/>
      <c r="F624" s="1289"/>
    </row>
    <row r="625" spans="1:9">
      <c r="A625" s="525"/>
      <c r="B625" s="525"/>
      <c r="D625" s="436"/>
    </row>
    <row r="626" spans="1:9" ht="14.25" customHeight="1">
      <c r="A626" s="519"/>
      <c r="B626" s="520" t="s">
        <v>2718</v>
      </c>
      <c r="D626" s="1332" t="s">
        <v>2463</v>
      </c>
      <c r="E626" s="1332"/>
      <c r="F626" s="1332"/>
      <c r="I626" s="436" t="s">
        <v>2205</v>
      </c>
    </row>
    <row r="627" spans="1:9">
      <c r="D627" s="1332"/>
      <c r="E627" s="1332"/>
      <c r="F627" s="1332"/>
    </row>
    <row r="628" spans="1:9">
      <c r="D628" s="417"/>
      <c r="E628" s="1079" t="s">
        <v>2290</v>
      </c>
      <c r="F628" s="417"/>
    </row>
    <row r="629" spans="1:9">
      <c r="D629" s="1290" t="s">
        <v>2289</v>
      </c>
      <c r="E629" s="1290"/>
      <c r="F629" s="1290"/>
    </row>
    <row r="630" spans="1:9">
      <c r="D630" s="1290"/>
      <c r="E630" s="1290"/>
      <c r="F630" s="1290"/>
    </row>
    <row r="631" spans="1:9">
      <c r="D631" s="1290"/>
      <c r="E631" s="1290"/>
      <c r="F631" s="1290"/>
    </row>
    <row r="632" spans="1:9">
      <c r="D632" s="480"/>
      <c r="E632" s="480"/>
      <c r="F632" s="480"/>
    </row>
    <row r="633" spans="1:9" ht="14.25">
      <c r="A633" s="519"/>
      <c r="B633" s="520" t="s">
        <v>2719</v>
      </c>
      <c r="D633" s="1290" t="s">
        <v>1228</v>
      </c>
      <c r="E633" s="1290"/>
      <c r="F633" s="1290"/>
      <c r="I633" s="436" t="s">
        <v>2227</v>
      </c>
    </row>
    <row r="634" spans="1:9">
      <c r="A634" s="522"/>
      <c r="B634" s="522"/>
      <c r="C634" s="522"/>
      <c r="D634" s="1290"/>
      <c r="E634" s="1290"/>
      <c r="F634" s="1290"/>
    </row>
    <row r="635" spans="1:9">
      <c r="A635" s="522"/>
      <c r="B635" s="522"/>
      <c r="C635" s="522"/>
      <c r="D635" s="481"/>
      <c r="E635" s="481"/>
      <c r="F635" s="481"/>
    </row>
    <row r="636" spans="1:9" ht="14.25">
      <c r="A636" s="519"/>
      <c r="B636" s="520" t="s">
        <v>2719</v>
      </c>
      <c r="C636" s="522"/>
      <c r="D636" s="1290" t="s">
        <v>1370</v>
      </c>
      <c r="E636" s="1290"/>
      <c r="F636" s="1290"/>
      <c r="I636" s="436" t="s">
        <v>2178</v>
      </c>
    </row>
    <row r="637" spans="1:9" ht="14.25">
      <c r="A637" s="519"/>
      <c r="B637" s="519"/>
      <c r="C637" s="522"/>
      <c r="D637" s="1290"/>
      <c r="E637" s="1290"/>
      <c r="F637" s="1290"/>
    </row>
    <row r="638" spans="1:9" ht="14.25">
      <c r="A638" s="519"/>
      <c r="B638" s="519"/>
      <c r="C638" s="522"/>
      <c r="D638" s="1290"/>
      <c r="E638" s="1290"/>
      <c r="F638" s="1290"/>
    </row>
    <row r="639" spans="1:9">
      <c r="A639" s="522"/>
      <c r="B639" s="520" t="s">
        <v>2719</v>
      </c>
      <c r="C639" s="522"/>
      <c r="D639" s="1291" t="s">
        <v>1230</v>
      </c>
      <c r="E639" s="1291"/>
      <c r="F639" s="1291"/>
      <c r="I639" s="436" t="s">
        <v>2178</v>
      </c>
    </row>
    <row r="640" spans="1:9">
      <c r="A640" s="522"/>
      <c r="B640" s="522"/>
      <c r="C640" s="522"/>
      <c r="D640" s="481"/>
      <c r="E640" s="481"/>
      <c r="F640" s="481"/>
    </row>
    <row r="641" spans="1:9">
      <c r="A641" s="1278" t="s">
        <v>1121</v>
      </c>
      <c r="B641" s="1278"/>
      <c r="C641" s="1278"/>
      <c r="D641" s="1278"/>
      <c r="E641" s="1278"/>
      <c r="F641" s="1278"/>
      <c r="G641" s="1278"/>
      <c r="H641" s="1070"/>
      <c r="I641" s="1071"/>
    </row>
    <row r="642" spans="1:9">
      <c r="A642" s="481"/>
      <c r="B642" s="481"/>
      <c r="C642" s="522"/>
      <c r="D642" s="481"/>
      <c r="E642" s="481"/>
      <c r="F642" s="481"/>
    </row>
    <row r="643" spans="1:9">
      <c r="C643" s="517"/>
      <c r="D643" s="1289" t="s">
        <v>1280</v>
      </c>
      <c r="E643" s="1289"/>
      <c r="F643" s="1289"/>
    </row>
    <row r="644" spans="1:9">
      <c r="A644" s="518"/>
      <c r="B644" s="518"/>
      <c r="C644" s="518"/>
      <c r="D644" s="1291" t="s">
        <v>1281</v>
      </c>
      <c r="E644" s="1291"/>
      <c r="F644" s="1291"/>
    </row>
    <row r="645" spans="1:9">
      <c r="A645" s="518"/>
      <c r="B645" s="518"/>
      <c r="C645" s="518"/>
      <c r="D645" s="481"/>
      <c r="E645" s="481"/>
      <c r="F645" s="481"/>
    </row>
    <row r="646" spans="1:9" ht="12.75" customHeight="1">
      <c r="B646" s="520" t="s">
        <v>2719</v>
      </c>
      <c r="C646" s="522"/>
      <c r="D646" s="1290" t="s">
        <v>1443</v>
      </c>
      <c r="E646" s="1290"/>
      <c r="F646" s="1290"/>
      <c r="I646" s="436" t="s">
        <v>2230</v>
      </c>
    </row>
    <row r="647" spans="1:9">
      <c r="D647" s="1290"/>
      <c r="E647" s="1290"/>
      <c r="F647" s="1290"/>
    </row>
    <row r="648" spans="1:9">
      <c r="D648" s="1290"/>
      <c r="E648" s="1290"/>
      <c r="F648" s="1290"/>
    </row>
    <row r="649" spans="1:9">
      <c r="D649" s="1290"/>
      <c r="E649" s="1290"/>
      <c r="F649" s="1290"/>
    </row>
    <row r="650" spans="1:9" ht="14.45" customHeight="1">
      <c r="A650" s="519"/>
      <c r="B650" s="519"/>
      <c r="C650" s="522"/>
      <c r="D650" s="417"/>
      <c r="E650" s="417"/>
      <c r="F650" s="417"/>
    </row>
    <row r="651" spans="1:9" ht="12.75" customHeight="1">
      <c r="A651" s="518"/>
      <c r="B651" s="520" t="s">
        <v>2719</v>
      </c>
      <c r="C651" s="522"/>
      <c r="D651" s="1290" t="s">
        <v>1445</v>
      </c>
      <c r="E651" s="1290"/>
      <c r="F651" s="1290"/>
      <c r="I651" s="436" t="s">
        <v>2230</v>
      </c>
    </row>
    <row r="652" spans="1:9" ht="14.25">
      <c r="A652" s="518"/>
      <c r="B652" s="519"/>
      <c r="C652" s="522"/>
      <c r="D652" s="1290"/>
      <c r="E652" s="1290"/>
      <c r="F652" s="1290"/>
    </row>
    <row r="653" spans="1:9" ht="14.25">
      <c r="A653" s="518"/>
      <c r="B653" s="519"/>
      <c r="C653" s="522"/>
      <c r="D653" s="1290"/>
      <c r="E653" s="1290"/>
      <c r="F653" s="1290"/>
    </row>
    <row r="654" spans="1:9" ht="14.25">
      <c r="A654" s="518"/>
      <c r="B654" s="519"/>
      <c r="C654" s="522"/>
      <c r="D654" s="1290"/>
      <c r="E654" s="1290"/>
      <c r="F654" s="1290"/>
    </row>
    <row r="655" spans="1:9" ht="14.25">
      <c r="A655" s="518"/>
      <c r="B655" s="519"/>
      <c r="C655" s="522"/>
      <c r="D655" s="1290"/>
      <c r="E655" s="1290"/>
      <c r="F655" s="1290"/>
    </row>
    <row r="656" spans="1:9" ht="14.25" customHeight="1">
      <c r="A656" s="518"/>
      <c r="B656" s="519"/>
      <c r="C656" s="522"/>
      <c r="F656" s="418"/>
    </row>
    <row r="657" spans="1:11" ht="12.75" customHeight="1">
      <c r="A657" s="518"/>
      <c r="B657" s="520" t="s">
        <v>2719</v>
      </c>
      <c r="C657" s="522"/>
      <c r="D657" s="1290" t="s">
        <v>1444</v>
      </c>
      <c r="E657" s="1290"/>
      <c r="F657" s="1290"/>
      <c r="I657" s="436" t="s">
        <v>2230</v>
      </c>
    </row>
    <row r="658" spans="1:11" ht="14.25">
      <c r="A658" s="518"/>
      <c r="B658" s="519"/>
      <c r="C658" s="522"/>
      <c r="D658" s="1290"/>
      <c r="E658" s="1290"/>
      <c r="F658" s="1290"/>
    </row>
    <row r="659" spans="1:11" ht="14.25">
      <c r="A659" s="519"/>
      <c r="B659" s="519"/>
      <c r="C659" s="522"/>
      <c r="D659" s="1290"/>
      <c r="E659" s="1290"/>
      <c r="F659" s="1290"/>
    </row>
    <row r="660" spans="1:11" ht="14.25">
      <c r="A660" s="519"/>
      <c r="B660" s="519"/>
      <c r="C660" s="522"/>
      <c r="D660" s="1290"/>
      <c r="E660" s="1290"/>
      <c r="F660" s="1290"/>
    </row>
    <row r="661" spans="1:11" ht="14.25">
      <c r="A661" s="519"/>
      <c r="B661" s="519"/>
      <c r="C661" s="522"/>
      <c r="D661" s="480"/>
      <c r="E661" s="480"/>
      <c r="F661" s="480"/>
    </row>
    <row r="662" spans="1:11" ht="12.75" customHeight="1">
      <c r="A662" s="518"/>
      <c r="B662" s="520" t="s">
        <v>2719</v>
      </c>
      <c r="C662" s="522"/>
      <c r="D662" s="1290" t="s">
        <v>2464</v>
      </c>
      <c r="E662" s="1290"/>
      <c r="F662" s="1290"/>
      <c r="I662" s="436" t="s">
        <v>2230</v>
      </c>
    </row>
    <row r="663" spans="1:11" ht="12.75" customHeight="1">
      <c r="A663" s="518"/>
      <c r="B663" s="519"/>
      <c r="C663" s="522"/>
      <c r="D663" s="1290"/>
      <c r="E663" s="1290"/>
      <c r="F663" s="1290"/>
    </row>
    <row r="664" spans="1:11" ht="12.75" customHeight="1">
      <c r="A664" s="518"/>
      <c r="B664" s="519"/>
      <c r="C664" s="522"/>
      <c r="D664" s="1290"/>
      <c r="E664" s="1290"/>
      <c r="F664" s="1290"/>
    </row>
    <row r="665" spans="1:11" ht="12.75" customHeight="1">
      <c r="A665" s="518"/>
      <c r="B665" s="519"/>
      <c r="C665" s="522"/>
      <c r="D665" s="1290"/>
      <c r="E665" s="1290"/>
      <c r="F665" s="1290"/>
    </row>
    <row r="666" spans="1:11" ht="12.75" customHeight="1">
      <c r="A666" s="518"/>
      <c r="B666" s="519"/>
      <c r="C666" s="522"/>
      <c r="D666" s="1290"/>
      <c r="E666" s="1290"/>
      <c r="F666" s="1290"/>
    </row>
    <row r="667" spans="1:11" ht="12.75" customHeight="1">
      <c r="A667" s="518"/>
      <c r="B667" s="519"/>
      <c r="C667" s="522"/>
      <c r="D667" s="1290"/>
      <c r="E667" s="1290"/>
      <c r="F667" s="1290"/>
    </row>
    <row r="668" spans="1:11" ht="12.75" customHeight="1">
      <c r="A668" s="518"/>
      <c r="B668" s="519"/>
      <c r="C668" s="522"/>
      <c r="D668" s="1290"/>
      <c r="E668" s="1290"/>
      <c r="F668" s="1290"/>
    </row>
    <row r="669" spans="1:11" ht="12.75" customHeight="1">
      <c r="A669" s="518"/>
      <c r="B669" s="519"/>
      <c r="C669" s="522"/>
      <c r="D669" s="1290"/>
      <c r="E669" s="1290"/>
      <c r="F669" s="1290"/>
    </row>
    <row r="670" spans="1:11" ht="12.75" customHeight="1">
      <c r="A670" s="518"/>
      <c r="B670" s="519"/>
      <c r="C670" s="522"/>
      <c r="D670" s="1290"/>
      <c r="E670" s="1290"/>
      <c r="F670" s="1290"/>
    </row>
    <row r="671" spans="1:11">
      <c r="A671" s="522"/>
      <c r="B671" s="522"/>
      <c r="C671" s="522"/>
      <c r="D671" s="481"/>
      <c r="E671" s="481"/>
      <c r="F671" s="481"/>
    </row>
    <row r="672" spans="1:11">
      <c r="A672" s="1278" t="s">
        <v>1122</v>
      </c>
      <c r="B672" s="1278"/>
      <c r="C672" s="1278"/>
      <c r="D672" s="1278"/>
      <c r="E672" s="1278"/>
      <c r="F672" s="1278"/>
      <c r="G672" s="1278"/>
      <c r="H672" s="1072"/>
      <c r="I672" s="1073"/>
      <c r="J672" s="536"/>
      <c r="K672" s="536"/>
    </row>
    <row r="673" spans="1:11">
      <c r="A673" s="483"/>
      <c r="B673" s="483"/>
      <c r="C673" s="483"/>
      <c r="D673" s="483"/>
      <c r="E673" s="483"/>
      <c r="F673" s="483"/>
      <c r="G673" s="483"/>
      <c r="H673" s="536"/>
      <c r="I673" s="1064"/>
      <c r="J673" s="536"/>
      <c r="K673" s="536"/>
    </row>
    <row r="674" spans="1:11">
      <c r="C674" s="517"/>
      <c r="D674" s="1289" t="s">
        <v>100</v>
      </c>
      <c r="E674" s="1289"/>
      <c r="F674" s="1289"/>
      <c r="H674" s="536"/>
      <c r="I674" s="1064"/>
      <c r="J674" s="536"/>
      <c r="K674" s="536"/>
    </row>
    <row r="675" spans="1:11">
      <c r="A675" s="517"/>
      <c r="B675" s="517"/>
      <c r="C675" s="517"/>
      <c r="D675" s="1289" t="s">
        <v>124</v>
      </c>
      <c r="E675" s="1289"/>
      <c r="F675" s="1289"/>
      <c r="H675" s="536"/>
      <c r="I675" s="1064"/>
      <c r="J675" s="536"/>
      <c r="K675" s="536"/>
    </row>
    <row r="676" spans="1:11">
      <c r="A676" s="518"/>
      <c r="B676" s="518"/>
      <c r="C676" s="518"/>
      <c r="D676" s="1291" t="s">
        <v>1158</v>
      </c>
      <c r="E676" s="1291"/>
      <c r="F676" s="1291"/>
      <c r="H676" s="536"/>
      <c r="I676" s="1064"/>
      <c r="J676" s="536"/>
      <c r="K676" s="536"/>
    </row>
    <row r="677" spans="1:11">
      <c r="A677" s="518"/>
      <c r="B677" s="518"/>
      <c r="C677" s="518"/>
      <c r="H677" s="536"/>
      <c r="I677" s="1064"/>
      <c r="J677" s="536"/>
      <c r="K677" s="536"/>
    </row>
    <row r="678" spans="1:11" ht="14.25">
      <c r="A678" s="519"/>
      <c r="B678" s="520" t="s">
        <v>2719</v>
      </c>
      <c r="C678" s="518"/>
      <c r="D678" s="1291" t="s">
        <v>915</v>
      </c>
      <c r="E678" s="1291"/>
      <c r="F678" s="1291"/>
      <c r="H678" s="536"/>
      <c r="I678" s="1064" t="s">
        <v>2206</v>
      </c>
      <c r="J678" s="536"/>
      <c r="K678" s="536"/>
    </row>
    <row r="679" spans="1:11">
      <c r="A679" s="518"/>
      <c r="B679" s="518"/>
      <c r="C679" s="518"/>
      <c r="D679" s="1291" t="s">
        <v>926</v>
      </c>
      <c r="E679" s="1291"/>
      <c r="F679" s="1291"/>
      <c r="H679" s="536"/>
      <c r="I679" s="1064"/>
      <c r="J679" s="536"/>
      <c r="K679" s="536"/>
    </row>
    <row r="680" spans="1:11" ht="12.75" customHeight="1">
      <c r="A680" s="518"/>
      <c r="B680" s="518"/>
      <c r="C680" s="518"/>
      <c r="E680" s="1079" t="s">
        <v>2292</v>
      </c>
      <c r="F680" s="452"/>
      <c r="H680" s="536"/>
      <c r="I680" s="1064"/>
      <c r="J680" s="536"/>
      <c r="K680" s="536"/>
    </row>
    <row r="681" spans="1:11">
      <c r="A681" s="518"/>
      <c r="B681" s="518"/>
      <c r="C681" s="518"/>
      <c r="E681" s="536" t="s">
        <v>2291</v>
      </c>
      <c r="F681" s="452"/>
      <c r="I681" s="1064"/>
      <c r="J681" s="536"/>
      <c r="K681" s="536"/>
    </row>
    <row r="682" spans="1:11">
      <c r="A682" s="518"/>
      <c r="B682" s="518"/>
      <c r="C682" s="518"/>
      <c r="D682" s="537"/>
      <c r="E682" s="481"/>
      <c r="H682" s="536"/>
      <c r="I682" s="1064"/>
      <c r="J682" s="536"/>
      <c r="K682" s="536"/>
    </row>
    <row r="683" spans="1:11" ht="14.25">
      <c r="A683" s="519"/>
      <c r="B683" s="520" t="s">
        <v>2719</v>
      </c>
      <c r="C683" s="518"/>
      <c r="D683" s="1290" t="s">
        <v>2465</v>
      </c>
      <c r="E683" s="1290"/>
      <c r="F683" s="1290"/>
      <c r="H683" s="536"/>
      <c r="I683" s="1064" t="s">
        <v>2228</v>
      </c>
      <c r="J683" s="536"/>
      <c r="K683" s="536"/>
    </row>
    <row r="684" spans="1:11">
      <c r="A684" s="525"/>
      <c r="B684" s="525"/>
      <c r="C684" s="518"/>
      <c r="D684" s="1290"/>
      <c r="E684" s="1290"/>
      <c r="F684" s="1290"/>
      <c r="H684" s="536"/>
      <c r="I684" s="1064"/>
      <c r="J684" s="536"/>
      <c r="K684" s="536"/>
    </row>
    <row r="685" spans="1:11">
      <c r="A685" s="518"/>
      <c r="B685" s="518"/>
      <c r="C685" s="518"/>
      <c r="D685" s="1290"/>
      <c r="E685" s="1290"/>
      <c r="F685" s="1290"/>
      <c r="H685" s="536"/>
      <c r="I685" s="1064"/>
      <c r="J685" s="536"/>
      <c r="K685" s="536"/>
    </row>
    <row r="686" spans="1:11">
      <c r="A686" s="518"/>
      <c r="B686" s="518"/>
      <c r="C686" s="518"/>
      <c r="H686" s="536"/>
      <c r="I686" s="1064" t="s">
        <v>2207</v>
      </c>
      <c r="J686" s="536"/>
      <c r="K686" s="536"/>
    </row>
    <row r="687" spans="1:11" ht="14.25">
      <c r="A687" s="519"/>
      <c r="B687" s="520" t="s">
        <v>2718</v>
      </c>
      <c r="C687" s="518"/>
      <c r="D687" s="1291" t="s">
        <v>954</v>
      </c>
      <c r="E687" s="1291"/>
      <c r="F687" s="1291"/>
      <c r="H687" s="536"/>
      <c r="I687" s="1064"/>
      <c r="J687" s="536"/>
      <c r="K687" s="536"/>
    </row>
    <row r="688" spans="1:11" ht="14.25">
      <c r="A688" s="519"/>
      <c r="B688" s="519"/>
      <c r="C688" s="518"/>
      <c r="D688" s="1291" t="s">
        <v>926</v>
      </c>
      <c r="E688" s="1291"/>
      <c r="F688" s="1291"/>
      <c r="H688" s="536"/>
      <c r="I688" s="1064"/>
      <c r="J688" s="536"/>
      <c r="K688" s="536"/>
    </row>
    <row r="689" spans="1:11">
      <c r="A689" s="518"/>
      <c r="B689" s="518"/>
      <c r="C689" s="518"/>
      <c r="E689" s="1079" t="s">
        <v>2293</v>
      </c>
      <c r="F689" s="436"/>
      <c r="H689" s="536"/>
      <c r="I689" s="1064"/>
      <c r="J689" s="536"/>
      <c r="K689" s="536"/>
    </row>
    <row r="690" spans="1:11">
      <c r="A690" s="518"/>
      <c r="B690" s="518"/>
      <c r="C690" s="518"/>
      <c r="D690" s="436"/>
      <c r="H690" s="536"/>
      <c r="I690" s="1064"/>
      <c r="J690" s="536"/>
      <c r="K690" s="536"/>
    </row>
    <row r="691" spans="1:11" ht="14.25">
      <c r="A691" s="519"/>
      <c r="B691" s="520" t="s">
        <v>2719</v>
      </c>
      <c r="C691" s="518"/>
      <c r="D691" s="1290" t="s">
        <v>1171</v>
      </c>
      <c r="E691" s="1290"/>
      <c r="F691" s="1290"/>
      <c r="H691" s="536"/>
      <c r="I691" s="1064" t="s">
        <v>2179</v>
      </c>
      <c r="J691" s="536"/>
      <c r="K691" s="536"/>
    </row>
    <row r="692" spans="1:11">
      <c r="A692" s="518"/>
      <c r="B692" s="518"/>
      <c r="C692" s="518"/>
      <c r="D692" s="1290"/>
      <c r="E692" s="1290"/>
      <c r="F692" s="1290"/>
      <c r="H692" s="536"/>
      <c r="I692" s="1064"/>
      <c r="J692" s="536"/>
      <c r="K692" s="536"/>
    </row>
    <row r="693" spans="1:11">
      <c r="A693" s="518"/>
      <c r="B693" s="518"/>
      <c r="C693" s="518"/>
      <c r="D693" s="1290"/>
      <c r="E693" s="1290"/>
      <c r="F693" s="1290"/>
      <c r="H693" s="536"/>
      <c r="I693" s="1064"/>
      <c r="J693" s="536"/>
      <c r="K693" s="536"/>
    </row>
    <row r="694" spans="1:11">
      <c r="A694" s="518"/>
      <c r="B694" s="518"/>
      <c r="C694" s="518"/>
      <c r="D694" s="1290"/>
      <c r="E694" s="1290"/>
      <c r="F694" s="1290"/>
      <c r="H694" s="536"/>
      <c r="I694" s="1064"/>
      <c r="J694" s="536"/>
      <c r="K694" s="536"/>
    </row>
    <row r="695" spans="1:11">
      <c r="A695" s="518"/>
      <c r="B695" s="518"/>
      <c r="C695" s="518"/>
      <c r="D695" s="1290"/>
      <c r="E695" s="1290"/>
      <c r="F695" s="1290"/>
      <c r="H695" s="536"/>
      <c r="I695" s="1064"/>
      <c r="J695" s="536"/>
      <c r="K695" s="536"/>
    </row>
    <row r="696" spans="1:11">
      <c r="A696" s="518"/>
      <c r="B696" s="518"/>
      <c r="C696" s="518"/>
      <c r="D696" s="1290"/>
      <c r="E696" s="1290"/>
      <c r="F696" s="1290"/>
      <c r="H696" s="536"/>
      <c r="I696" s="1064"/>
      <c r="J696" s="536"/>
      <c r="K696" s="536"/>
    </row>
    <row r="697" spans="1:11">
      <c r="A697" s="518"/>
      <c r="B697" s="518"/>
      <c r="C697" s="518"/>
      <c r="D697" s="480"/>
      <c r="E697" s="480"/>
      <c r="F697" s="480"/>
      <c r="H697" s="536"/>
      <c r="I697" s="1064"/>
      <c r="J697" s="536"/>
      <c r="K697" s="536"/>
    </row>
    <row r="698" spans="1:11">
      <c r="A698" s="518"/>
      <c r="B698" s="520" t="s">
        <v>2719</v>
      </c>
      <c r="C698" s="518"/>
      <c r="D698" s="1290" t="s">
        <v>1342</v>
      </c>
      <c r="E698" s="1290"/>
      <c r="F698" s="1290"/>
      <c r="H698" s="536"/>
      <c r="I698" s="1064" t="s">
        <v>2179</v>
      </c>
      <c r="J698" s="536"/>
      <c r="K698" s="536"/>
    </row>
    <row r="699" spans="1:11">
      <c r="A699" s="518"/>
      <c r="B699" s="518"/>
      <c r="C699" s="518"/>
      <c r="D699" s="1290"/>
      <c r="E699" s="1290"/>
      <c r="F699" s="1290"/>
      <c r="H699" s="536"/>
      <c r="I699" s="1064"/>
      <c r="J699" s="536"/>
      <c r="K699" s="536"/>
    </row>
    <row r="700" spans="1:11">
      <c r="A700" s="518"/>
      <c r="B700" s="518"/>
      <c r="C700" s="518"/>
      <c r="D700" s="480"/>
      <c r="E700" s="480"/>
      <c r="F700" s="480"/>
      <c r="H700" s="536"/>
      <c r="I700" s="1064"/>
      <c r="J700" s="536"/>
      <c r="K700" s="536"/>
    </row>
    <row r="701" spans="1:11" ht="14.25">
      <c r="A701" s="519"/>
      <c r="B701" s="520" t="s">
        <v>2719</v>
      </c>
      <c r="C701" s="518"/>
      <c r="D701" s="1290" t="s">
        <v>1162</v>
      </c>
      <c r="E701" s="1290"/>
      <c r="F701" s="1290"/>
      <c r="H701" s="536"/>
      <c r="I701" s="1064" t="s">
        <v>2179</v>
      </c>
      <c r="J701" s="536"/>
      <c r="K701" s="536"/>
    </row>
    <row r="702" spans="1:11">
      <c r="A702" s="518"/>
      <c r="B702" s="518"/>
      <c r="C702" s="518"/>
      <c r="D702" s="1290"/>
      <c r="E702" s="1290"/>
      <c r="F702" s="1290"/>
      <c r="H702" s="536"/>
      <c r="I702" s="1064"/>
      <c r="J702" s="536"/>
      <c r="K702" s="536"/>
    </row>
    <row r="703" spans="1:11">
      <c r="A703" s="518"/>
      <c r="B703" s="518"/>
      <c r="C703" s="518"/>
      <c r="D703" s="1290"/>
      <c r="E703" s="1290"/>
      <c r="F703" s="1290"/>
      <c r="H703" s="536"/>
      <c r="I703" s="1064"/>
      <c r="J703" s="536"/>
      <c r="K703" s="536"/>
    </row>
    <row r="704" spans="1:11" ht="15" customHeight="1">
      <c r="A704" s="518"/>
      <c r="B704" s="518"/>
      <c r="C704" s="518"/>
      <c r="D704" s="1290"/>
      <c r="E704" s="1290"/>
      <c r="F704" s="1290"/>
      <c r="H704" s="536"/>
      <c r="I704" s="1064"/>
      <c r="J704" s="536"/>
      <c r="K704" s="536"/>
    </row>
    <row r="705" spans="1:11" ht="15" customHeight="1">
      <c r="A705" s="518"/>
      <c r="B705" s="518"/>
      <c r="C705" s="518"/>
      <c r="D705" s="1290"/>
      <c r="E705" s="1290"/>
      <c r="F705" s="1290"/>
      <c r="H705" s="536"/>
      <c r="I705" s="1064"/>
      <c r="J705" s="536"/>
      <c r="K705" s="536"/>
    </row>
    <row r="706" spans="1:11">
      <c r="A706" s="518"/>
      <c r="B706" s="518"/>
      <c r="C706" s="518"/>
      <c r="D706" s="1290"/>
      <c r="E706" s="1290"/>
      <c r="F706" s="1290"/>
      <c r="H706" s="536"/>
      <c r="I706" s="1064"/>
      <c r="J706" s="536"/>
      <c r="K706" s="536"/>
    </row>
    <row r="707" spans="1:11">
      <c r="A707" s="518"/>
      <c r="B707" s="518"/>
      <c r="C707" s="518"/>
      <c r="D707" s="1290"/>
      <c r="E707" s="1290"/>
      <c r="F707" s="1290"/>
      <c r="H707" s="536"/>
      <c r="I707" s="1064"/>
      <c r="J707" s="536"/>
      <c r="K707" s="536"/>
    </row>
    <row r="708" spans="1:11">
      <c r="A708" s="518"/>
      <c r="B708" s="518"/>
      <c r="C708" s="518"/>
      <c r="D708" s="1290"/>
      <c r="E708" s="1290"/>
      <c r="F708" s="1290"/>
      <c r="H708" s="536"/>
      <c r="I708" s="1064"/>
      <c r="J708" s="536"/>
      <c r="K708" s="536"/>
    </row>
    <row r="709" spans="1:11" ht="15" customHeight="1">
      <c r="A709" s="518"/>
      <c r="B709" s="518"/>
      <c r="C709" s="518"/>
      <c r="D709" s="1290"/>
      <c r="E709" s="1290"/>
      <c r="F709" s="1290"/>
      <c r="H709" s="536"/>
      <c r="I709" s="1064"/>
      <c r="J709" s="536"/>
      <c r="K709" s="536"/>
    </row>
    <row r="710" spans="1:11">
      <c r="A710" s="518"/>
      <c r="B710" s="518"/>
      <c r="C710" s="518"/>
      <c r="D710" s="1290"/>
      <c r="E710" s="1290"/>
      <c r="F710" s="1290"/>
      <c r="H710" s="536"/>
      <c r="I710" s="1064"/>
      <c r="J710" s="536"/>
      <c r="K710" s="536"/>
    </row>
    <row r="711" spans="1:11">
      <c r="A711" s="518"/>
      <c r="B711" s="518"/>
      <c r="C711" s="518"/>
      <c r="D711" s="1290"/>
      <c r="E711" s="1290"/>
      <c r="F711" s="1290"/>
      <c r="H711" s="536"/>
      <c r="I711" s="1064"/>
      <c r="J711" s="536"/>
      <c r="K711" s="536"/>
    </row>
    <row r="712" spans="1:11">
      <c r="A712" s="518"/>
      <c r="B712" s="518"/>
      <c r="C712" s="518"/>
      <c r="D712" s="1290"/>
      <c r="E712" s="1290"/>
      <c r="F712" s="1290"/>
      <c r="H712" s="536"/>
      <c r="I712" s="1064"/>
      <c r="J712" s="536"/>
      <c r="K712" s="536"/>
    </row>
    <row r="713" spans="1:11">
      <c r="A713" s="518"/>
      <c r="B713" s="518"/>
      <c r="C713" s="518"/>
      <c r="D713" s="1290"/>
      <c r="E713" s="1290"/>
      <c r="F713" s="1290"/>
      <c r="H713" s="536"/>
      <c r="I713" s="1064"/>
      <c r="J713" s="536"/>
      <c r="K713" s="536"/>
    </row>
    <row r="714" spans="1:11">
      <c r="A714" s="518"/>
      <c r="B714" s="520" t="s">
        <v>2719</v>
      </c>
      <c r="C714" s="518"/>
      <c r="D714" s="1290" t="s">
        <v>1169</v>
      </c>
      <c r="E714" s="1290"/>
      <c r="F714" s="1290"/>
      <c r="H714" s="536"/>
      <c r="I714" s="1064" t="s">
        <v>2229</v>
      </c>
      <c r="J714" s="536"/>
      <c r="K714" s="536"/>
    </row>
    <row r="715" spans="1:11">
      <c r="A715" s="518"/>
      <c r="B715" s="518"/>
      <c r="C715" s="518"/>
      <c r="D715" s="1290"/>
      <c r="E715" s="1290"/>
      <c r="F715" s="1290"/>
      <c r="H715" s="536"/>
      <c r="I715" s="1064"/>
      <c r="J715" s="536"/>
      <c r="K715" s="536"/>
    </row>
    <row r="716" spans="1:11">
      <c r="A716" s="518"/>
      <c r="B716" s="518"/>
      <c r="C716" s="518"/>
      <c r="D716" s="480"/>
      <c r="E716" s="480"/>
      <c r="F716" s="480"/>
      <c r="H716" s="536"/>
      <c r="I716" s="1064"/>
      <c r="J716" s="536"/>
      <c r="K716" s="536"/>
    </row>
    <row r="717" spans="1:11">
      <c r="A717" s="518"/>
      <c r="B717" s="520" t="s">
        <v>2719</v>
      </c>
      <c r="C717" s="518"/>
      <c r="D717" s="1290" t="s">
        <v>1163</v>
      </c>
      <c r="E717" s="1290"/>
      <c r="F717" s="1290"/>
      <c r="H717" s="536"/>
      <c r="I717" s="1064" t="s">
        <v>2229</v>
      </c>
      <c r="J717" s="536"/>
      <c r="K717" s="536"/>
    </row>
    <row r="718" spans="1:11">
      <c r="A718" s="518"/>
      <c r="B718" s="518"/>
      <c r="C718" s="518"/>
      <c r="D718" s="1290"/>
      <c r="E718" s="1290"/>
      <c r="F718" s="1290"/>
      <c r="H718" s="536"/>
      <c r="I718" s="1064"/>
      <c r="J718" s="536"/>
      <c r="K718" s="536"/>
    </row>
    <row r="719" spans="1:11">
      <c r="A719" s="518"/>
      <c r="B719" s="518"/>
      <c r="C719" s="518"/>
      <c r="D719" s="1290"/>
      <c r="E719" s="1290"/>
      <c r="F719" s="1290"/>
      <c r="H719" s="536"/>
      <c r="I719" s="1064"/>
      <c r="J719" s="536"/>
      <c r="K719" s="536"/>
    </row>
    <row r="720" spans="1:11">
      <c r="A720" s="518"/>
      <c r="B720" s="518"/>
      <c r="C720" s="518"/>
      <c r="H720" s="536"/>
      <c r="I720" s="1064"/>
      <c r="J720" s="536"/>
      <c r="K720" s="536"/>
    </row>
    <row r="721" spans="1:11">
      <c r="A721" s="518"/>
      <c r="B721" s="520" t="s">
        <v>2719</v>
      </c>
      <c r="C721" s="518"/>
      <c r="D721" s="1290" t="s">
        <v>1164</v>
      </c>
      <c r="E721" s="1290"/>
      <c r="F721" s="1290"/>
      <c r="H721" s="536"/>
      <c r="I721" s="1064" t="s">
        <v>2229</v>
      </c>
      <c r="J721" s="536"/>
      <c r="K721" s="536"/>
    </row>
    <row r="722" spans="1:11">
      <c r="A722" s="518"/>
      <c r="B722" s="518"/>
      <c r="C722" s="518"/>
      <c r="D722" s="1290"/>
      <c r="E722" s="1290"/>
      <c r="F722" s="1290"/>
      <c r="H722" s="536"/>
      <c r="I722" s="1064"/>
      <c r="J722" s="536"/>
      <c r="K722" s="536"/>
    </row>
    <row r="723" spans="1:11">
      <c r="A723" s="518"/>
      <c r="B723" s="518"/>
      <c r="C723" s="518"/>
      <c r="D723" s="1290"/>
      <c r="E723" s="1290"/>
      <c r="F723" s="1290"/>
      <c r="H723" s="536"/>
      <c r="I723" s="1064"/>
      <c r="J723" s="536"/>
      <c r="K723" s="536"/>
    </row>
    <row r="724" spans="1:11">
      <c r="A724" s="518"/>
      <c r="B724" s="518"/>
      <c r="C724" s="518"/>
      <c r="H724" s="536"/>
      <c r="I724" s="1064"/>
      <c r="J724" s="536"/>
      <c r="K724" s="536"/>
    </row>
    <row r="725" spans="1:11" ht="14.25">
      <c r="A725" s="519"/>
      <c r="B725" s="520" t="s">
        <v>2719</v>
      </c>
      <c r="C725" s="518"/>
      <c r="D725" s="1290" t="s">
        <v>1165</v>
      </c>
      <c r="E725" s="1290"/>
      <c r="F725" s="1290"/>
      <c r="H725" s="536"/>
      <c r="I725" s="1064" t="s">
        <v>2180</v>
      </c>
      <c r="J725" s="536"/>
      <c r="K725" s="536"/>
    </row>
    <row r="726" spans="1:11">
      <c r="A726" s="518"/>
      <c r="B726" s="518"/>
      <c r="C726" s="518"/>
      <c r="D726" s="1290"/>
      <c r="E726" s="1290"/>
      <c r="F726" s="1290"/>
      <c r="H726" s="536"/>
      <c r="I726" s="1064"/>
      <c r="J726" s="536"/>
      <c r="K726" s="536"/>
    </row>
    <row r="727" spans="1:11">
      <c r="A727" s="518"/>
      <c r="B727" s="518"/>
      <c r="C727" s="518"/>
      <c r="D727" s="1290"/>
      <c r="E727" s="1290"/>
      <c r="F727" s="1290"/>
      <c r="H727" s="536"/>
      <c r="I727" s="1064"/>
      <c r="J727" s="536"/>
      <c r="K727" s="536"/>
    </row>
    <row r="728" spans="1:11">
      <c r="A728" s="518"/>
      <c r="B728" s="518"/>
      <c r="C728" s="518"/>
      <c r="D728" s="1290"/>
      <c r="E728" s="1290"/>
      <c r="F728" s="1290"/>
      <c r="H728" s="536"/>
      <c r="I728" s="1064"/>
      <c r="J728" s="536"/>
      <c r="K728" s="536"/>
    </row>
    <row r="729" spans="1:11">
      <c r="A729" s="518"/>
      <c r="B729" s="518"/>
      <c r="C729" s="518"/>
      <c r="D729" s="527"/>
      <c r="H729" s="536"/>
      <c r="I729" s="1064"/>
      <c r="J729" s="536"/>
      <c r="K729" s="536"/>
    </row>
    <row r="730" spans="1:11" ht="14.25">
      <c r="A730" s="519"/>
      <c r="B730" s="520" t="s">
        <v>2719</v>
      </c>
      <c r="C730" s="518"/>
      <c r="D730" s="1290" t="s">
        <v>2466</v>
      </c>
      <c r="E730" s="1290"/>
      <c r="F730" s="1290"/>
      <c r="H730" s="536"/>
      <c r="I730" s="1064" t="s">
        <v>2196</v>
      </c>
      <c r="J730" s="536"/>
      <c r="K730" s="536"/>
    </row>
    <row r="731" spans="1:11">
      <c r="A731" s="518"/>
      <c r="B731" s="518"/>
      <c r="C731" s="518"/>
      <c r="D731" s="1290"/>
      <c r="E731" s="1290"/>
      <c r="F731" s="1290"/>
      <c r="H731" s="536"/>
      <c r="I731" s="1064"/>
      <c r="J731" s="536"/>
      <c r="K731" s="536"/>
    </row>
    <row r="732" spans="1:11">
      <c r="A732" s="518"/>
      <c r="B732" s="518"/>
      <c r="C732" s="518"/>
      <c r="D732" s="1290"/>
      <c r="E732" s="1290"/>
      <c r="F732" s="1290"/>
      <c r="H732" s="536"/>
      <c r="I732" s="1064"/>
      <c r="J732" s="536"/>
      <c r="K732" s="536"/>
    </row>
    <row r="733" spans="1:11">
      <c r="A733" s="518"/>
      <c r="B733" s="518"/>
      <c r="C733" s="518"/>
      <c r="D733" s="1290"/>
      <c r="E733" s="1290"/>
      <c r="F733" s="1290"/>
      <c r="H733" s="536"/>
      <c r="I733" s="1064"/>
      <c r="J733" s="536"/>
      <c r="K733" s="536"/>
    </row>
    <row r="734" spans="1:11">
      <c r="A734" s="518"/>
      <c r="B734" s="518"/>
      <c r="C734" s="518"/>
      <c r="D734" s="1290"/>
      <c r="E734" s="1290"/>
      <c r="F734" s="1290"/>
      <c r="H734" s="536"/>
      <c r="I734" s="1064"/>
      <c r="J734" s="536"/>
      <c r="K734" s="536"/>
    </row>
    <row r="735" spans="1:11">
      <c r="A735" s="518"/>
      <c r="B735" s="518"/>
      <c r="C735" s="518"/>
      <c r="D735" s="1290"/>
      <c r="E735" s="1290"/>
      <c r="F735" s="1290"/>
      <c r="H735" s="536"/>
      <c r="I735" s="1064"/>
      <c r="J735" s="536"/>
      <c r="K735" s="536"/>
    </row>
    <row r="736" spans="1:11">
      <c r="A736" s="518"/>
      <c r="B736" s="518"/>
      <c r="C736" s="518"/>
      <c r="D736" s="1290"/>
      <c r="E736" s="1290"/>
      <c r="F736" s="1290"/>
      <c r="H736" s="536"/>
      <c r="I736" s="1064"/>
      <c r="J736" s="536"/>
      <c r="K736" s="536"/>
    </row>
    <row r="737" spans="1:11">
      <c r="A737" s="518"/>
      <c r="B737" s="518"/>
      <c r="C737" s="518"/>
      <c r="D737" s="1307" t="s">
        <v>2475</v>
      </c>
      <c r="E737" s="1307"/>
      <c r="F737" s="1307"/>
      <c r="H737" s="536"/>
      <c r="I737" s="1064"/>
      <c r="J737" s="536"/>
      <c r="K737" s="536"/>
    </row>
    <row r="738" spans="1:11">
      <c r="A738" s="518"/>
      <c r="B738" s="518"/>
      <c r="C738" s="518"/>
      <c r="D738" s="370"/>
      <c r="H738" s="536"/>
      <c r="I738" s="1064"/>
      <c r="J738" s="536"/>
      <c r="K738" s="536"/>
    </row>
    <row r="739" spans="1:11">
      <c r="A739" s="1309" t="s">
        <v>1123</v>
      </c>
      <c r="B739" s="1309"/>
      <c r="C739" s="1309"/>
      <c r="D739" s="1309"/>
      <c r="E739" s="1309"/>
      <c r="F739" s="1309"/>
      <c r="G739" s="1309"/>
      <c r="H739" s="1072"/>
      <c r="I739" s="1073"/>
      <c r="J739" s="536"/>
      <c r="K739" s="536"/>
    </row>
    <row r="740" spans="1:11">
      <c r="A740" s="518"/>
      <c r="B740" s="518"/>
      <c r="C740" s="518"/>
      <c r="D740" s="527"/>
      <c r="G740" s="536"/>
      <c r="H740" s="536"/>
      <c r="I740" s="1064"/>
      <c r="J740" s="536"/>
      <c r="K740" s="536"/>
    </row>
    <row r="741" spans="1:11" ht="13.7" customHeight="1">
      <c r="C741" s="518"/>
      <c r="D741" s="1292" t="s">
        <v>1139</v>
      </c>
      <c r="E741" s="1292"/>
      <c r="F741" s="1292"/>
      <c r="G741" s="536"/>
      <c r="H741" s="536"/>
      <c r="I741" s="1064"/>
      <c r="J741" s="536"/>
      <c r="K741" s="536"/>
    </row>
    <row r="742" spans="1:11">
      <c r="A742" s="518"/>
      <c r="B742" s="518"/>
      <c r="C742" s="518"/>
      <c r="D742" s="1293" t="s">
        <v>1140</v>
      </c>
      <c r="E742" s="1293"/>
      <c r="F742" s="1293"/>
      <c r="G742" s="536"/>
      <c r="H742" s="536"/>
      <c r="I742" s="1064"/>
      <c r="J742" s="536"/>
      <c r="K742" s="536"/>
    </row>
    <row r="743" spans="1:11">
      <c r="A743" s="518"/>
      <c r="B743" s="518"/>
      <c r="C743" s="518"/>
      <c r="G743" s="536"/>
      <c r="H743" s="536"/>
      <c r="I743" s="1064"/>
      <c r="J743" s="536"/>
      <c r="K743" s="536"/>
    </row>
    <row r="744" spans="1:11" ht="14.25">
      <c r="A744" s="519"/>
      <c r="B744" s="520" t="s">
        <v>2718</v>
      </c>
      <c r="D744" s="1290" t="s">
        <v>1141</v>
      </c>
      <c r="E744" s="1290"/>
      <c r="F744" s="1290"/>
      <c r="G744" s="536"/>
      <c r="H744" s="536"/>
      <c r="I744" s="1064" t="s">
        <v>2181</v>
      </c>
      <c r="J744" s="536"/>
      <c r="K744" s="536"/>
    </row>
    <row r="745" spans="1:11" ht="10.5" customHeight="1">
      <c r="D745" s="1290"/>
      <c r="E745" s="1290"/>
      <c r="F745" s="1290"/>
      <c r="G745" s="536"/>
      <c r="H745" s="536"/>
      <c r="I745" s="1064"/>
      <c r="J745" s="536"/>
      <c r="K745" s="536"/>
    </row>
    <row r="746" spans="1:11">
      <c r="D746" s="1290"/>
      <c r="E746" s="1290"/>
      <c r="F746" s="1290"/>
      <c r="G746" s="536"/>
      <c r="H746" s="536"/>
      <c r="I746" s="1064"/>
      <c r="J746" s="536"/>
      <c r="K746" s="536"/>
    </row>
    <row r="747" spans="1:11">
      <c r="D747" s="1290"/>
      <c r="E747" s="1290"/>
      <c r="F747" s="1290"/>
      <c r="G747" s="536"/>
      <c r="H747" s="536"/>
      <c r="I747" s="1064"/>
      <c r="J747" s="536"/>
      <c r="K747" s="536"/>
    </row>
    <row r="748" spans="1:11">
      <c r="D748" s="1290"/>
      <c r="E748" s="1290"/>
      <c r="F748" s="1290"/>
      <c r="G748" s="536"/>
      <c r="H748" s="536"/>
      <c r="I748" s="1064"/>
      <c r="J748" s="536"/>
      <c r="K748" s="536"/>
    </row>
    <row r="749" spans="1:11" ht="15.6" customHeight="1">
      <c r="D749" s="1290"/>
      <c r="E749" s="1290"/>
      <c r="F749" s="1290"/>
      <c r="G749" s="536"/>
      <c r="H749" s="536"/>
      <c r="I749" s="1064"/>
      <c r="J749" s="536"/>
      <c r="K749" s="536"/>
    </row>
    <row r="750" spans="1:11">
      <c r="D750" s="534"/>
      <c r="E750" s="481"/>
      <c r="F750" s="481"/>
      <c r="G750" s="536"/>
      <c r="H750" s="536"/>
      <c r="I750" s="1064"/>
      <c r="J750" s="536"/>
      <c r="K750" s="536"/>
    </row>
    <row r="751" spans="1:11" s="540" customFormat="1" ht="14.25">
      <c r="A751" s="538"/>
      <c r="B751" s="520" t="s">
        <v>2718</v>
      </c>
      <c r="C751" s="539"/>
      <c r="D751" s="1290" t="s">
        <v>1387</v>
      </c>
      <c r="E751" s="1290"/>
      <c r="F751" s="1290"/>
      <c r="I751" s="1065" t="s">
        <v>2181</v>
      </c>
    </row>
    <row r="752" spans="1:11" s="540" customFormat="1">
      <c r="A752" s="539"/>
      <c r="B752" s="539"/>
      <c r="C752" s="539"/>
      <c r="D752" s="1290"/>
      <c r="E752" s="1290"/>
      <c r="F752" s="1290"/>
      <c r="I752" s="1065"/>
    </row>
    <row r="753" spans="1:11" s="540" customFormat="1">
      <c r="A753" s="539"/>
      <c r="B753" s="539"/>
      <c r="C753" s="539"/>
      <c r="D753" s="1290"/>
      <c r="E753" s="1290"/>
      <c r="F753" s="1290"/>
      <c r="I753" s="1065"/>
    </row>
    <row r="754" spans="1:11" s="540" customFormat="1">
      <c r="A754" s="539"/>
      <c r="B754" s="539"/>
      <c r="C754" s="539"/>
      <c r="D754" s="1290"/>
      <c r="E754" s="1290"/>
      <c r="F754" s="1290"/>
      <c r="I754" s="1065"/>
    </row>
    <row r="755" spans="1:11" s="540" customFormat="1">
      <c r="A755" s="539"/>
      <c r="B755" s="539"/>
      <c r="C755" s="539"/>
      <c r="D755" s="534"/>
      <c r="I755" s="1065"/>
    </row>
    <row r="756" spans="1:11" s="540" customFormat="1" ht="14.25">
      <c r="A756" s="519"/>
      <c r="B756" s="520" t="s">
        <v>2718</v>
      </c>
      <c r="C756" s="539"/>
      <c r="D756" s="1288" t="s">
        <v>1388</v>
      </c>
      <c r="E756" s="1288"/>
      <c r="F756" s="1288"/>
      <c r="I756" s="1065" t="s">
        <v>2182</v>
      </c>
    </row>
    <row r="757" spans="1:11" s="540" customFormat="1">
      <c r="A757" s="539"/>
      <c r="B757" s="539"/>
      <c r="C757" s="539"/>
      <c r="D757" s="1288"/>
      <c r="E757" s="1288"/>
      <c r="F757" s="1288"/>
      <c r="I757" s="1065"/>
    </row>
    <row r="758" spans="1:11" s="540" customFormat="1">
      <c r="A758" s="539"/>
      <c r="B758" s="539"/>
      <c r="C758" s="539"/>
      <c r="D758" s="1288"/>
      <c r="E758" s="1288"/>
      <c r="F758" s="1288"/>
      <c r="I758" s="1065"/>
    </row>
    <row r="759" spans="1:11">
      <c r="D759" s="534"/>
      <c r="E759" s="481"/>
      <c r="F759" s="481"/>
      <c r="G759" s="536"/>
      <c r="H759" s="536"/>
      <c r="I759" s="1064"/>
      <c r="J759" s="536"/>
      <c r="K759" s="536"/>
    </row>
    <row r="760" spans="1:11" ht="14.25">
      <c r="A760" s="519"/>
      <c r="B760" s="520" t="s">
        <v>2719</v>
      </c>
      <c r="D760" s="1290" t="s">
        <v>1339</v>
      </c>
      <c r="E760" s="1290"/>
      <c r="F760" s="1290"/>
      <c r="G760" s="536"/>
      <c r="H760" s="536"/>
      <c r="I760" s="1064" t="s">
        <v>2181</v>
      </c>
      <c r="J760" s="536"/>
      <c r="K760" s="536"/>
    </row>
    <row r="761" spans="1:11">
      <c r="D761" s="1290"/>
      <c r="E761" s="1290"/>
      <c r="F761" s="1290"/>
      <c r="G761" s="536"/>
      <c r="H761" s="536"/>
      <c r="I761" s="1064"/>
      <c r="J761" s="536"/>
      <c r="K761" s="536"/>
    </row>
    <row r="762" spans="1:11">
      <c r="D762" s="480"/>
      <c r="E762" s="480"/>
      <c r="F762" s="480"/>
      <c r="G762" s="536"/>
      <c r="H762" s="536"/>
      <c r="I762" s="1064"/>
      <c r="J762" s="536"/>
      <c r="K762" s="536"/>
    </row>
    <row r="763" spans="1:11">
      <c r="B763" s="520" t="s">
        <v>2719</v>
      </c>
      <c r="D763" s="1290" t="s">
        <v>1356</v>
      </c>
      <c r="E763" s="1290"/>
      <c r="F763" s="1290"/>
      <c r="G763" s="536"/>
      <c r="H763" s="536"/>
      <c r="I763" s="1064" t="s">
        <v>2181</v>
      </c>
      <c r="J763" s="536"/>
      <c r="K763" s="536"/>
    </row>
    <row r="764" spans="1:11">
      <c r="D764" s="1290"/>
      <c r="E764" s="1290"/>
      <c r="F764" s="1290"/>
      <c r="G764" s="536"/>
      <c r="H764" s="536"/>
      <c r="I764" s="1064"/>
      <c r="J764" s="536"/>
      <c r="K764" s="536"/>
    </row>
    <row r="765" spans="1:11">
      <c r="D765" s="1290"/>
      <c r="E765" s="1290"/>
      <c r="F765" s="1290"/>
      <c r="G765" s="536"/>
      <c r="H765" s="536"/>
      <c r="I765" s="1064"/>
      <c r="J765" s="536"/>
      <c r="K765" s="536"/>
    </row>
    <row r="766" spans="1:11">
      <c r="D766" s="480"/>
      <c r="E766" s="480"/>
      <c r="F766" s="480"/>
      <c r="G766" s="536"/>
      <c r="H766" s="536"/>
      <c r="I766" s="1064"/>
      <c r="J766" s="536"/>
      <c r="K766" s="536"/>
    </row>
    <row r="767" spans="1:11">
      <c r="A767" s="1342" t="s">
        <v>2061</v>
      </c>
      <c r="B767" s="1342"/>
      <c r="C767" s="1342"/>
      <c r="D767" s="1342"/>
      <c r="E767" s="1342"/>
      <c r="F767" s="1342"/>
      <c r="G767" s="1342"/>
      <c r="H767" s="1070"/>
      <c r="I767" s="1071"/>
    </row>
    <row r="768" spans="1:11">
      <c r="A768" s="57"/>
      <c r="B768" s="57"/>
      <c r="C768" s="386"/>
      <c r="D768" s="3"/>
      <c r="E768" s="3"/>
      <c r="F768" s="3"/>
      <c r="G768" s="3"/>
    </row>
    <row r="769" spans="1:9">
      <c r="A769" s="57"/>
      <c r="B769" s="57"/>
      <c r="C769" s="386"/>
      <c r="D769" s="1343" t="s">
        <v>2115</v>
      </c>
      <c r="E769" s="1343"/>
      <c r="F769" s="1343"/>
      <c r="G769" s="3"/>
    </row>
    <row r="770" spans="1:9">
      <c r="A770" s="57"/>
      <c r="B770" s="57"/>
      <c r="C770" s="386"/>
      <c r="D770" s="1276" t="s">
        <v>2014</v>
      </c>
      <c r="E770" s="1276"/>
      <c r="F770" s="1276"/>
      <c r="G770" s="3"/>
    </row>
    <row r="771" spans="1:9">
      <c r="A771" s="57"/>
      <c r="B771" s="57"/>
      <c r="C771" s="386"/>
      <c r="D771" s="482"/>
      <c r="E771" s="482"/>
      <c r="F771" s="482"/>
      <c r="G771" s="3"/>
    </row>
    <row r="772" spans="1:9">
      <c r="A772" s="57"/>
      <c r="B772" s="520" t="s">
        <v>2718</v>
      </c>
      <c r="C772" s="386"/>
      <c r="D772" s="1303" t="s">
        <v>2015</v>
      </c>
      <c r="E772" s="1303"/>
      <c r="F772" s="1303"/>
      <c r="G772" s="3"/>
      <c r="I772" s="1064" t="s">
        <v>2231</v>
      </c>
    </row>
    <row r="773" spans="1:9">
      <c r="A773" s="57"/>
      <c r="B773" s="57"/>
      <c r="C773" s="386"/>
      <c r="D773" s="1303"/>
      <c r="E773" s="1303"/>
      <c r="F773" s="1303"/>
      <c r="G773" s="3"/>
    </row>
    <row r="774" spans="1:9">
      <c r="A774" s="175"/>
      <c r="B774" s="175"/>
      <c r="C774" s="175"/>
      <c r="D774" s="1303"/>
      <c r="E774" s="1303"/>
      <c r="F774" s="1303"/>
      <c r="G774" s="118"/>
    </row>
    <row r="775" spans="1:9">
      <c r="A775" s="386"/>
      <c r="B775" s="386"/>
      <c r="C775" s="386"/>
      <c r="D775" s="174"/>
      <c r="E775" s="3"/>
      <c r="F775" s="3"/>
      <c r="G775" s="3"/>
    </row>
    <row r="776" spans="1:9">
      <c r="A776" s="172"/>
      <c r="B776" s="520" t="s">
        <v>2719</v>
      </c>
      <c r="C776" s="172"/>
      <c r="D776" s="1303" t="s">
        <v>2016</v>
      </c>
      <c r="E776" s="1303"/>
      <c r="F776" s="1303"/>
      <c r="G776" s="3"/>
      <c r="I776" s="1064" t="s">
        <v>2231</v>
      </c>
    </row>
    <row r="777" spans="1:9">
      <c r="A777" s="172"/>
      <c r="B777" s="172"/>
      <c r="C777" s="172"/>
      <c r="D777" s="1303"/>
      <c r="E777" s="1303"/>
      <c r="F777" s="1303"/>
      <c r="G777" s="3"/>
    </row>
    <row r="778" spans="1:9">
      <c r="A778" s="172"/>
      <c r="B778" s="172"/>
      <c r="C778" s="172"/>
      <c r="D778" s="1303"/>
      <c r="E778" s="1303"/>
      <c r="F778" s="1303"/>
      <c r="G778" s="3"/>
    </row>
    <row r="779" spans="1:9">
      <c r="A779" s="175"/>
      <c r="B779" s="175"/>
      <c r="C779" s="175"/>
      <c r="D779" s="3"/>
      <c r="E779" s="1024"/>
      <c r="F779" s="1024"/>
      <c r="G779" s="1024"/>
    </row>
    <row r="780" spans="1:9" ht="14.25">
      <c r="A780" s="176"/>
      <c r="B780" s="520" t="s">
        <v>2719</v>
      </c>
      <c r="C780" s="1025"/>
      <c r="D780" s="1303" t="s">
        <v>2017</v>
      </c>
      <c r="E780" s="1303"/>
      <c r="F780" s="1303"/>
      <c r="G780" s="1024"/>
      <c r="I780" s="1064" t="s">
        <v>2231</v>
      </c>
    </row>
    <row r="781" spans="1:9" ht="14.25">
      <c r="A781" s="176"/>
      <c r="B781" s="176"/>
      <c r="C781" s="1025"/>
      <c r="D781" s="1303"/>
      <c r="E781" s="1303"/>
      <c r="F781" s="1303"/>
      <c r="G781" s="1024"/>
    </row>
    <row r="782" spans="1:9" ht="14.25">
      <c r="A782" s="176"/>
      <c r="B782" s="176"/>
      <c r="C782" s="1025"/>
      <c r="D782" s="1303"/>
      <c r="E782" s="1303"/>
      <c r="F782" s="1303"/>
      <c r="G782" s="1024"/>
    </row>
    <row r="783" spans="1:9" ht="14.25">
      <c r="A783" s="176"/>
      <c r="B783" s="176"/>
      <c r="C783" s="1025"/>
      <c r="D783" s="118"/>
      <c r="E783" s="3"/>
      <c r="F783" s="3"/>
      <c r="G783" s="1024"/>
    </row>
    <row r="784" spans="1:9" ht="14.25">
      <c r="A784" s="176"/>
      <c r="B784" s="520" t="s">
        <v>2719</v>
      </c>
      <c r="C784" s="1025"/>
      <c r="D784" s="1303" t="s">
        <v>2018</v>
      </c>
      <c r="E784" s="1303"/>
      <c r="F784" s="1303"/>
      <c r="G784" s="1024"/>
      <c r="I784" s="1064" t="s">
        <v>2231</v>
      </c>
    </row>
    <row r="785" spans="1:9" ht="14.25">
      <c r="A785" s="176"/>
      <c r="B785" s="176"/>
      <c r="C785" s="1025"/>
      <c r="D785" s="1303"/>
      <c r="E785" s="1303"/>
      <c r="F785" s="1303"/>
      <c r="G785" s="1024"/>
    </row>
    <row r="786" spans="1:9" ht="14.25">
      <c r="A786" s="176"/>
      <c r="B786" s="176"/>
      <c r="C786" s="1025"/>
      <c r="D786" s="1303"/>
      <c r="E786" s="1303"/>
      <c r="F786" s="1303"/>
      <c r="G786" s="1024"/>
    </row>
    <row r="787" spans="1:9" ht="14.25">
      <c r="A787" s="176"/>
      <c r="B787" s="176"/>
      <c r="C787" s="1025"/>
      <c r="D787" s="1303"/>
      <c r="E787" s="1303"/>
      <c r="F787" s="1303"/>
      <c r="G787" s="1024"/>
    </row>
    <row r="788" spans="1:9" ht="14.25">
      <c r="A788" s="176"/>
      <c r="B788" s="176"/>
      <c r="C788" s="1025"/>
      <c r="D788" s="1303"/>
      <c r="E788" s="1303"/>
      <c r="F788" s="1303"/>
      <c r="G788" s="1024"/>
    </row>
    <row r="789" spans="1:9" ht="14.25">
      <c r="A789" s="176"/>
      <c r="B789" s="176"/>
      <c r="C789" s="1025"/>
      <c r="D789" s="1303"/>
      <c r="E789" s="1303"/>
      <c r="F789" s="1303"/>
      <c r="G789" s="1024"/>
    </row>
    <row r="790" spans="1:9" ht="14.25">
      <c r="A790" s="176"/>
      <c r="B790" s="176"/>
      <c r="C790" s="1025"/>
      <c r="D790" s="1303" t="s">
        <v>2062</v>
      </c>
      <c r="E790" s="1303"/>
      <c r="F790" s="1303"/>
      <c r="G790" s="1024"/>
    </row>
    <row r="791" spans="1:9" ht="14.25">
      <c r="A791" s="176"/>
      <c r="B791" s="176"/>
      <c r="C791" s="1025"/>
      <c r="D791" s="1303"/>
      <c r="E791" s="1303"/>
      <c r="F791" s="1303"/>
      <c r="G791" s="1024"/>
    </row>
    <row r="792" spans="1:9" ht="14.25">
      <c r="A792" s="176"/>
      <c r="B792" s="176"/>
      <c r="C792" s="1025"/>
      <c r="D792" s="1303"/>
      <c r="E792" s="1303"/>
      <c r="F792" s="1303"/>
      <c r="G792" s="1024"/>
    </row>
    <row r="793" spans="1:9" ht="14.25">
      <c r="A793" s="176"/>
      <c r="B793" s="386"/>
      <c r="C793" s="1025"/>
      <c r="D793" s="1026"/>
      <c r="E793" s="1026"/>
      <c r="F793" s="1026"/>
      <c r="G793" s="1024"/>
    </row>
    <row r="794" spans="1:9" ht="14.25">
      <c r="A794" s="176"/>
      <c r="B794" s="520" t="s">
        <v>2719</v>
      </c>
      <c r="C794" s="1025"/>
      <c r="D794" s="1303" t="s">
        <v>2019</v>
      </c>
      <c r="E794" s="1303"/>
      <c r="F794" s="1303"/>
      <c r="G794" s="1024"/>
      <c r="I794" s="1064" t="s">
        <v>2231</v>
      </c>
    </row>
    <row r="795" spans="1:9" ht="14.25">
      <c r="A795" s="176"/>
      <c r="B795" s="176"/>
      <c r="C795" s="1025"/>
      <c r="D795" s="1303"/>
      <c r="E795" s="1303"/>
      <c r="F795" s="1303"/>
      <c r="G795" s="1024"/>
    </row>
    <row r="796" spans="1:9" ht="14.25">
      <c r="A796" s="176"/>
      <c r="B796" s="176"/>
      <c r="C796" s="1025"/>
      <c r="D796" s="1303"/>
      <c r="E796" s="1303"/>
      <c r="F796" s="1303"/>
      <c r="G796" s="1024"/>
    </row>
    <row r="797" spans="1:9" ht="14.25">
      <c r="A797" s="176"/>
      <c r="B797" s="176"/>
      <c r="C797" s="1025"/>
      <c r="D797" s="1303"/>
      <c r="E797" s="1303"/>
      <c r="F797" s="1303"/>
      <c r="G797" s="1024"/>
    </row>
    <row r="798" spans="1:9" ht="14.25">
      <c r="A798" s="176"/>
      <c r="B798" s="176"/>
      <c r="C798" s="1025"/>
      <c r="D798" s="1303"/>
      <c r="E798" s="1303"/>
      <c r="F798" s="1303"/>
      <c r="G798" s="1024"/>
    </row>
    <row r="799" spans="1:9" ht="14.25">
      <c r="A799" s="176"/>
      <c r="B799" s="176"/>
      <c r="C799" s="1025"/>
      <c r="D799" s="1303"/>
      <c r="E799" s="1303"/>
      <c r="F799" s="1303"/>
      <c r="G799" s="1024"/>
    </row>
    <row r="800" spans="1:9" ht="14.25">
      <c r="A800" s="176"/>
      <c r="B800" s="176"/>
      <c r="C800" s="1025"/>
      <c r="D800" s="1018"/>
      <c r="E800" s="1018"/>
      <c r="F800" s="1018"/>
      <c r="G800" s="1024"/>
    </row>
    <row r="801" spans="1:9" ht="14.25">
      <c r="A801" s="176"/>
      <c r="B801" s="520" t="s">
        <v>2719</v>
      </c>
      <c r="C801" s="1025"/>
      <c r="D801" s="1303" t="s">
        <v>2020</v>
      </c>
      <c r="E801" s="1303"/>
      <c r="F801" s="1303"/>
      <c r="G801" s="1024"/>
      <c r="I801" s="1064" t="s">
        <v>2231</v>
      </c>
    </row>
    <row r="802" spans="1:9" ht="14.25">
      <c r="A802" s="176"/>
      <c r="B802" s="176"/>
      <c r="C802" s="1025"/>
      <c r="D802" s="1303"/>
      <c r="E802" s="1303"/>
      <c r="F802" s="1303"/>
      <c r="G802" s="1024"/>
    </row>
    <row r="803" spans="1:9" ht="14.25">
      <c r="A803" s="176"/>
      <c r="B803" s="176"/>
      <c r="C803" s="1025"/>
      <c r="D803" s="1303"/>
      <c r="E803" s="1303"/>
      <c r="F803" s="1303"/>
      <c r="G803" s="1024"/>
    </row>
    <row r="804" spans="1:9" ht="14.25">
      <c r="A804" s="176"/>
      <c r="B804" s="176"/>
      <c r="C804" s="1025"/>
      <c r="D804" s="1303"/>
      <c r="E804" s="1303"/>
      <c r="F804" s="1303"/>
      <c r="G804" s="1024"/>
    </row>
    <row r="805" spans="1:9" ht="14.25">
      <c r="A805" s="176"/>
      <c r="B805" s="176"/>
      <c r="C805" s="1025"/>
      <c r="D805" s="1303"/>
      <c r="E805" s="1303"/>
      <c r="F805" s="1303"/>
      <c r="G805" s="1024"/>
    </row>
    <row r="806" spans="1:9" ht="14.25">
      <c r="A806" s="176"/>
      <c r="B806" s="176"/>
      <c r="C806" s="1025"/>
      <c r="D806" s="1303"/>
      <c r="E806" s="1303"/>
      <c r="F806" s="1303"/>
      <c r="G806" s="1024"/>
    </row>
    <row r="807" spans="1:9" ht="14.25">
      <c r="A807" s="176"/>
      <c r="B807" s="176"/>
      <c r="C807" s="1025"/>
      <c r="D807" s="1018"/>
      <c r="E807" s="1018"/>
      <c r="F807" s="1018"/>
      <c r="G807" s="1024"/>
    </row>
    <row r="808" spans="1:9" ht="14.25">
      <c r="A808" s="176"/>
      <c r="B808" s="520" t="s">
        <v>2719</v>
      </c>
      <c r="C808" s="1025"/>
      <c r="D808" s="1300" t="s">
        <v>2021</v>
      </c>
      <c r="E808" s="1300"/>
      <c r="F808" s="1300"/>
      <c r="G808" s="1024"/>
      <c r="I808" s="1064" t="s">
        <v>2231</v>
      </c>
    </row>
    <row r="809" spans="1:9" ht="14.25">
      <c r="A809" s="176"/>
      <c r="B809" s="176"/>
      <c r="C809" s="1025"/>
      <c r="D809" s="1300"/>
      <c r="E809" s="1300"/>
      <c r="F809" s="1300"/>
      <c r="G809" s="1024"/>
    </row>
    <row r="810" spans="1:9">
      <c r="A810" s="13"/>
      <c r="B810" s="13"/>
      <c r="C810" s="1025"/>
      <c r="D810" s="1300"/>
      <c r="E810" s="1300"/>
      <c r="F810" s="1300"/>
      <c r="G810" s="1024"/>
    </row>
    <row r="811" spans="1:9" ht="14.25">
      <c r="A811" s="176"/>
      <c r="B811" s="13"/>
      <c r="C811" s="1025"/>
      <c r="D811" s="1300"/>
      <c r="E811" s="1300"/>
      <c r="F811" s="1300"/>
      <c r="G811" s="1024"/>
    </row>
    <row r="812" spans="1:9" ht="12.75" customHeight="1">
      <c r="A812" s="176"/>
      <c r="B812" s="13"/>
      <c r="C812" s="1025"/>
      <c r="D812" s="1300"/>
      <c r="E812" s="1300"/>
      <c r="F812" s="1300"/>
      <c r="G812" s="1024"/>
    </row>
    <row r="813" spans="1:9" ht="12.75" customHeight="1">
      <c r="A813" s="176"/>
      <c r="B813" s="13"/>
      <c r="C813" s="1025"/>
      <c r="D813" s="1300"/>
      <c r="E813" s="1300"/>
      <c r="F813" s="1300"/>
      <c r="G813" s="1024"/>
    </row>
    <row r="814" spans="1:9" ht="12.75" customHeight="1">
      <c r="A814" s="13"/>
      <c r="B814" s="13"/>
      <c r="C814" s="1025"/>
      <c r="D814" s="1024"/>
      <c r="E814" s="3"/>
      <c r="F814" s="3"/>
      <c r="G814" s="1024"/>
    </row>
    <row r="815" spans="1:9" ht="12.75" customHeight="1">
      <c r="A815" s="1308" t="s">
        <v>2022</v>
      </c>
      <c r="B815" s="1308"/>
      <c r="C815" s="1308"/>
      <c r="D815" s="1308"/>
      <c r="E815" s="1308"/>
      <c r="F815" s="1308"/>
      <c r="G815" s="1308"/>
      <c r="H815" s="1070"/>
      <c r="I815" s="1071"/>
    </row>
    <row r="816" spans="1:9" ht="12.75" customHeight="1">
      <c r="A816" s="172"/>
      <c r="B816" s="172"/>
      <c r="C816" s="1025"/>
      <c r="D816" s="1024"/>
      <c r="E816" s="1024"/>
      <c r="F816" s="1024"/>
      <c r="G816" s="1024"/>
    </row>
    <row r="817" spans="1:9" ht="12.75" customHeight="1">
      <c r="A817" s="176"/>
      <c r="B817" s="176"/>
      <c r="C817" s="386"/>
      <c r="D817" s="1296" t="s">
        <v>2063</v>
      </c>
      <c r="E817" s="1296"/>
      <c r="F817" s="1296"/>
      <c r="G817" s="3"/>
    </row>
    <row r="818" spans="1:9" ht="14.25" customHeight="1">
      <c r="A818" s="176"/>
      <c r="B818" s="176"/>
      <c r="C818" s="386"/>
      <c r="D818" s="1263" t="s">
        <v>2023</v>
      </c>
      <c r="E818" s="1263"/>
      <c r="F818" s="1263"/>
      <c r="G818" s="3"/>
    </row>
    <row r="819" spans="1:9" ht="12.75" customHeight="1">
      <c r="A819" s="176"/>
      <c r="B819" s="176"/>
      <c r="C819" s="386"/>
      <c r="D819" s="475"/>
      <c r="E819" s="475"/>
      <c r="F819" s="475"/>
      <c r="G819" s="3"/>
    </row>
    <row r="820" spans="1:9" ht="12.75" customHeight="1">
      <c r="A820" s="386"/>
      <c r="B820" s="520" t="s">
        <v>2718</v>
      </c>
      <c r="C820" s="1025"/>
      <c r="D820" s="1263" t="s">
        <v>2024</v>
      </c>
      <c r="E820" s="1263"/>
      <c r="F820" s="1263"/>
      <c r="G820" s="3"/>
      <c r="I820" s="436" t="s">
        <v>2199</v>
      </c>
    </row>
    <row r="821" spans="1:9" ht="14.25" customHeight="1">
      <c r="A821" s="13"/>
      <c r="B821" s="13"/>
      <c r="C821" s="1025"/>
      <c r="E821" s="1079" t="s">
        <v>2275</v>
      </c>
      <c r="F821" s="1081"/>
      <c r="G821" s="3"/>
    </row>
    <row r="822" spans="1:9" ht="12.75" customHeight="1">
      <c r="A822" s="13"/>
      <c r="B822" s="13"/>
      <c r="C822" s="1025"/>
      <c r="D822" s="1027"/>
      <c r="E822" s="3"/>
      <c r="F822" s="3"/>
      <c r="G822" s="3"/>
    </row>
    <row r="823" spans="1:9" ht="14.25" hidden="1" customHeight="1">
      <c r="A823" s="13"/>
      <c r="B823" s="520" t="s">
        <v>309</v>
      </c>
      <c r="C823" s="1025"/>
      <c r="D823" s="1331" t="s">
        <v>2476</v>
      </c>
      <c r="E823" s="1331"/>
      <c r="F823" s="1331"/>
      <c r="G823" s="3"/>
    </row>
    <row r="824" spans="1:9" ht="12.75" hidden="1" customHeight="1">
      <c r="A824" s="13"/>
      <c r="B824" s="13"/>
      <c r="C824" s="1025"/>
      <c r="D824" s="1331"/>
      <c r="E824" s="1331"/>
      <c r="F824" s="1331"/>
      <c r="G824" s="3"/>
    </row>
    <row r="825" spans="1:9" ht="12.75" hidden="1" customHeight="1">
      <c r="A825" s="13"/>
      <c r="B825" s="13"/>
      <c r="C825" s="1025"/>
      <c r="D825" s="1331"/>
      <c r="E825" s="1331"/>
      <c r="F825" s="1331"/>
      <c r="G825" s="3"/>
    </row>
    <row r="826" spans="1:9" ht="12.75" hidden="1" customHeight="1">
      <c r="A826" s="13"/>
      <c r="B826" s="13"/>
      <c r="C826" s="1025"/>
      <c r="D826" s="1331"/>
      <c r="E826" s="1331"/>
      <c r="F826" s="1331"/>
      <c r="G826" s="3"/>
    </row>
    <row r="827" spans="1:9" ht="12.75" hidden="1" customHeight="1">
      <c r="A827" s="13"/>
      <c r="B827" s="13"/>
      <c r="C827" s="1025"/>
      <c r="D827" s="1331"/>
      <c r="E827" s="1331"/>
      <c r="F827" s="1331"/>
      <c r="G827" s="3"/>
    </row>
    <row r="828" spans="1:9" ht="12.75" hidden="1" customHeight="1">
      <c r="A828" s="13"/>
      <c r="B828" s="13"/>
      <c r="C828" s="1025"/>
      <c r="D828" s="1331"/>
      <c r="E828" s="1331"/>
      <c r="F828" s="1331"/>
      <c r="G828" s="3"/>
    </row>
    <row r="829" spans="1:9" ht="12.75" hidden="1" customHeight="1">
      <c r="A829" s="13"/>
      <c r="B829" s="13"/>
      <c r="C829" s="1025"/>
      <c r="D829" s="1331"/>
      <c r="E829" s="1331"/>
      <c r="F829" s="1331"/>
      <c r="G829" s="3"/>
    </row>
    <row r="830" spans="1:9" ht="12.75" hidden="1" customHeight="1">
      <c r="A830" s="13"/>
      <c r="B830" s="13"/>
      <c r="C830" s="1025"/>
      <c r="D830" s="1331"/>
      <c r="E830" s="1331"/>
      <c r="F830" s="1331"/>
      <c r="G830" s="3"/>
    </row>
    <row r="831" spans="1:9" ht="12.75" hidden="1" customHeight="1">
      <c r="A831" s="13"/>
      <c r="B831" s="13"/>
      <c r="C831" s="1025"/>
      <c r="D831" s="1331"/>
      <c r="E831" s="1331"/>
      <c r="F831" s="1331"/>
      <c r="G831" s="3"/>
    </row>
    <row r="832" spans="1:9" ht="12.75" hidden="1" customHeight="1">
      <c r="A832" s="13"/>
      <c r="B832" s="13"/>
      <c r="C832" s="1025"/>
      <c r="D832" s="1331"/>
      <c r="E832" s="1331"/>
      <c r="F832" s="1331"/>
      <c r="G832" s="3"/>
    </row>
    <row r="833" spans="1:9" ht="12.75" hidden="1" customHeight="1">
      <c r="A833" s="13"/>
      <c r="B833" s="13"/>
      <c r="C833" s="1025"/>
      <c r="D833" s="1027"/>
      <c r="E833" s="3"/>
      <c r="F833" s="3"/>
      <c r="G833" s="3"/>
    </row>
    <row r="834" spans="1:9" ht="12.75" customHeight="1">
      <c r="A834" s="176"/>
      <c r="B834" s="520" t="s">
        <v>2718</v>
      </c>
      <c r="C834" s="1025"/>
      <c r="D834" s="1263" t="s">
        <v>2025</v>
      </c>
      <c r="E834" s="1263"/>
      <c r="F834" s="1263"/>
      <c r="G834" s="3"/>
      <c r="I834" s="436" t="s">
        <v>2217</v>
      </c>
    </row>
    <row r="835" spans="1:9" ht="12.75" customHeight="1">
      <c r="A835" s="176"/>
      <c r="B835" s="176"/>
      <c r="C835" s="1025"/>
      <c r="D835" s="1263"/>
      <c r="E835" s="1263"/>
      <c r="F835" s="1263"/>
      <c r="G835" s="3"/>
    </row>
    <row r="836" spans="1:9" ht="12.75" customHeight="1">
      <c r="A836" s="176"/>
      <c r="B836" s="176"/>
      <c r="C836" s="1025"/>
      <c r="D836" s="1263"/>
      <c r="E836" s="1263"/>
      <c r="F836" s="1263"/>
      <c r="G836" s="3"/>
    </row>
    <row r="837" spans="1:9" ht="12.75" customHeight="1">
      <c r="A837" s="176"/>
      <c r="B837" s="176"/>
      <c r="C837" s="1025"/>
      <c r="D837" s="118"/>
      <c r="E837" s="3"/>
      <c r="F837" s="3"/>
      <c r="G837" s="3"/>
    </row>
    <row r="838" spans="1:9" ht="12.75" customHeight="1">
      <c r="A838" s="1028"/>
      <c r="B838" s="520" t="s">
        <v>2719</v>
      </c>
      <c r="C838" s="1025"/>
      <c r="D838" s="1296" t="s">
        <v>2026</v>
      </c>
      <c r="E838" s="1296"/>
      <c r="F838" s="1296"/>
      <c r="G838" s="3"/>
    </row>
    <row r="839" spans="1:9" ht="12.75" customHeight="1">
      <c r="A839" s="386"/>
      <c r="B839" s="1028"/>
      <c r="C839" s="1025"/>
      <c r="D839" s="1296"/>
      <c r="E839" s="1296"/>
      <c r="F839" s="1296"/>
      <c r="G839" s="3"/>
    </row>
    <row r="840" spans="1:9" ht="12.75" customHeight="1">
      <c r="A840" s="176"/>
      <c r="B840" s="386"/>
      <c r="C840" s="1025"/>
      <c r="D840" s="1263" t="s">
        <v>2467</v>
      </c>
      <c r="E840" s="1263"/>
      <c r="F840" s="1263"/>
      <c r="G840" s="3"/>
    </row>
    <row r="841" spans="1:9" ht="12.75" customHeight="1">
      <c r="A841" s="176"/>
      <c r="B841" s="176"/>
      <c r="C841" s="1025"/>
      <c r="D841" s="1263"/>
      <c r="E841" s="1263"/>
      <c r="F841" s="1263"/>
      <c r="G841" s="3"/>
    </row>
    <row r="842" spans="1:9" ht="12.75" customHeight="1">
      <c r="A842" s="176"/>
      <c r="B842" s="176"/>
      <c r="C842" s="1025"/>
      <c r="D842" s="1263"/>
      <c r="E842" s="1263"/>
      <c r="F842" s="1263"/>
      <c r="G842" s="3"/>
    </row>
    <row r="843" spans="1:9" ht="12.75" customHeight="1">
      <c r="A843" s="176"/>
      <c r="B843" s="176"/>
      <c r="C843" s="1025"/>
      <c r="D843" s="1263"/>
      <c r="E843" s="1263"/>
      <c r="F843" s="1263"/>
      <c r="G843" s="3"/>
    </row>
    <row r="844" spans="1:9" ht="12.75" customHeight="1">
      <c r="A844" s="176"/>
      <c r="B844" s="176"/>
      <c r="C844" s="1025"/>
      <c r="D844" s="1263"/>
      <c r="E844" s="1263"/>
      <c r="F844" s="1263"/>
      <c r="G844" s="3"/>
    </row>
    <row r="845" spans="1:9" ht="12.75" customHeight="1">
      <c r="A845" s="176"/>
      <c r="B845" s="176"/>
      <c r="C845" s="1025"/>
      <c r="D845" s="1263"/>
      <c r="E845" s="1263"/>
      <c r="F845" s="1263"/>
      <c r="G845" s="3"/>
    </row>
    <row r="846" spans="1:9" ht="12.75" customHeight="1">
      <c r="A846" s="176"/>
      <c r="B846" s="176"/>
      <c r="C846" s="1025"/>
      <c r="D846" s="118"/>
      <c r="E846" s="3"/>
      <c r="F846" s="3"/>
      <c r="G846" s="3"/>
    </row>
    <row r="847" spans="1:9" ht="12.75" customHeight="1">
      <c r="A847" s="176"/>
      <c r="B847" s="520" t="s">
        <v>2719</v>
      </c>
      <c r="C847" s="1025"/>
      <c r="D847" s="1263" t="s">
        <v>2027</v>
      </c>
      <c r="E847" s="1263"/>
      <c r="F847" s="1263"/>
      <c r="G847" s="3"/>
      <c r="I847" s="436" t="s">
        <v>2200</v>
      </c>
    </row>
    <row r="848" spans="1:9" ht="12.75" customHeight="1">
      <c r="A848" s="176"/>
      <c r="B848" s="176"/>
      <c r="C848" s="1025"/>
      <c r="D848" s="1263" t="s">
        <v>2028</v>
      </c>
      <c r="E848" s="1263"/>
      <c r="F848" s="1263"/>
      <c r="G848" s="3"/>
    </row>
    <row r="849" spans="1:9" ht="12.75" customHeight="1">
      <c r="A849" s="176"/>
      <c r="B849" s="176"/>
      <c r="C849" s="1025"/>
      <c r="E849" s="1079" t="s">
        <v>2277</v>
      </c>
      <c r="F849" s="1081"/>
      <c r="G849" s="3"/>
    </row>
    <row r="850" spans="1:9" ht="12.75" customHeight="1">
      <c r="A850" s="176"/>
      <c r="B850" s="176"/>
      <c r="C850" s="1025"/>
      <c r="D850" s="118"/>
      <c r="E850" s="3"/>
      <c r="F850" s="3"/>
      <c r="G850" s="3"/>
    </row>
    <row r="851" spans="1:9" ht="12.75" customHeight="1">
      <c r="A851" s="176"/>
      <c r="B851" s="520" t="s">
        <v>2719</v>
      </c>
      <c r="C851" s="1025"/>
      <c r="D851" s="1263" t="s">
        <v>2029</v>
      </c>
      <c r="E851" s="1263"/>
      <c r="F851" s="1263"/>
      <c r="G851" s="3"/>
      <c r="I851" s="436" t="s">
        <v>2218</v>
      </c>
    </row>
    <row r="852" spans="1:9" ht="12.75" customHeight="1">
      <c r="A852" s="176"/>
      <c r="B852" s="176"/>
      <c r="C852" s="1025"/>
      <c r="D852" s="1263"/>
      <c r="E852" s="1263"/>
      <c r="F852" s="1263"/>
      <c r="G852" s="3"/>
    </row>
    <row r="853" spans="1:9" ht="12.75" customHeight="1">
      <c r="A853" s="176"/>
      <c r="B853" s="176"/>
      <c r="C853" s="1025"/>
      <c r="D853" s="1263"/>
      <c r="E853" s="1263"/>
      <c r="F853" s="1263"/>
      <c r="G853" s="3"/>
    </row>
    <row r="854" spans="1:9" ht="12.75" customHeight="1">
      <c r="A854" s="176"/>
      <c r="B854" s="176"/>
      <c r="C854" s="1025"/>
      <c r="D854" s="1263"/>
      <c r="E854" s="1263"/>
      <c r="F854" s="1263"/>
      <c r="G854" s="3"/>
    </row>
    <row r="855" spans="1:9" ht="12.75" customHeight="1">
      <c r="A855" s="172"/>
      <c r="B855" s="172"/>
      <c r="C855" s="172"/>
      <c r="D855" s="118"/>
      <c r="E855" s="3"/>
      <c r="F855" s="3"/>
      <c r="G855" s="3"/>
    </row>
    <row r="856" spans="1:9" ht="12.75" customHeight="1">
      <c r="A856" s="1019" t="s">
        <v>2030</v>
      </c>
      <c r="B856" s="1019"/>
      <c r="C856" s="1029"/>
      <c r="D856" s="1029"/>
      <c r="E856" s="1029"/>
      <c r="F856" s="1029"/>
      <c r="G856" s="1029"/>
      <c r="H856" s="1070"/>
      <c r="I856" s="1071"/>
    </row>
    <row r="857" spans="1:9" ht="12.75" customHeight="1">
      <c r="A857" s="172"/>
      <c r="B857" s="172"/>
      <c r="C857" s="172"/>
      <c r="D857" s="1030"/>
      <c r="E857" s="3"/>
      <c r="F857" s="3"/>
      <c r="G857" s="3"/>
    </row>
    <row r="858" spans="1:9" ht="12.75" customHeight="1">
      <c r="A858" s="386"/>
      <c r="B858" s="386"/>
      <c r="C858" s="175"/>
      <c r="D858" s="1279" t="s">
        <v>2064</v>
      </c>
      <c r="E858" s="1279"/>
      <c r="F858" s="1279"/>
      <c r="G858" s="1024"/>
    </row>
    <row r="859" spans="1:9" ht="12.75" customHeight="1">
      <c r="A859" s="386"/>
      <c r="B859" s="386"/>
      <c r="C859" s="175"/>
      <c r="D859" s="1330" t="s">
        <v>2031</v>
      </c>
      <c r="E859" s="1330"/>
      <c r="F859" s="1330"/>
      <c r="G859" s="1024"/>
    </row>
    <row r="860" spans="1:9" ht="12.75" customHeight="1">
      <c r="A860" s="386"/>
      <c r="B860" s="386"/>
      <c r="C860" s="175"/>
      <c r="D860" s="1031"/>
      <c r="E860" s="1031"/>
      <c r="F860" s="1031"/>
      <c r="G860" s="1024"/>
    </row>
    <row r="861" spans="1:9" ht="12.75" customHeight="1">
      <c r="A861" s="176"/>
      <c r="B861" s="520" t="s">
        <v>2718</v>
      </c>
      <c r="C861" s="386"/>
      <c r="D861" s="1274" t="s">
        <v>2032</v>
      </c>
      <c r="E861" s="1274"/>
      <c r="F861" s="1274"/>
      <c r="G861" s="1024"/>
      <c r="I861" s="436" t="s">
        <v>2200</v>
      </c>
    </row>
    <row r="862" spans="1:9" ht="12.75" customHeight="1">
      <c r="A862" s="386"/>
      <c r="B862" s="386"/>
      <c r="C862" s="386"/>
      <c r="D862" s="2" t="s">
        <v>2007</v>
      </c>
      <c r="E862" s="1079" t="s">
        <v>2277</v>
      </c>
      <c r="F862" s="1082"/>
      <c r="G862" s="1024"/>
    </row>
    <row r="863" spans="1:9" ht="12.75" customHeight="1">
      <c r="A863" s="386"/>
      <c r="B863" s="386"/>
      <c r="C863" s="386"/>
      <c r="D863" s="118"/>
      <c r="E863" s="1024"/>
      <c r="F863" s="1024"/>
      <c r="G863" s="1024"/>
    </row>
    <row r="864" spans="1:9" ht="12.75" customHeight="1">
      <c r="A864" s="176"/>
      <c r="B864" s="520" t="s">
        <v>2718</v>
      </c>
      <c r="C864" s="386"/>
      <c r="D864" s="1263" t="s">
        <v>2033</v>
      </c>
      <c r="E864" s="1281"/>
      <c r="F864" s="1281"/>
      <c r="G864" s="3"/>
      <c r="I864" s="436" t="s">
        <v>2218</v>
      </c>
    </row>
    <row r="865" spans="1:9" ht="12.75" customHeight="1">
      <c r="A865" s="386"/>
      <c r="B865" s="386"/>
      <c r="C865" s="386"/>
      <c r="D865" s="1281"/>
      <c r="E865" s="1281"/>
      <c r="F865" s="1281"/>
      <c r="G865" s="3"/>
    </row>
    <row r="866" spans="1:9" ht="12.75" customHeight="1">
      <c r="A866" s="386"/>
      <c r="B866" s="386"/>
      <c r="C866" s="386"/>
      <c r="D866" s="118"/>
      <c r="E866" s="3"/>
      <c r="F866" s="3"/>
      <c r="G866" s="3"/>
    </row>
    <row r="867" spans="1:9" ht="12.75" customHeight="1">
      <c r="A867" s="386"/>
      <c r="B867" s="520" t="s">
        <v>2719</v>
      </c>
      <c r="C867" s="386"/>
      <c r="D867" s="1328" t="s">
        <v>2034</v>
      </c>
      <c r="E867" s="1328"/>
      <c r="F867" s="1328"/>
      <c r="G867" s="1024"/>
    </row>
    <row r="868" spans="1:9" ht="12.75" customHeight="1">
      <c r="A868" s="386"/>
      <c r="B868" s="1032"/>
      <c r="C868" s="386"/>
      <c r="D868" s="1328"/>
      <c r="E868" s="1328"/>
      <c r="F868" s="1328"/>
      <c r="G868" s="1024"/>
    </row>
    <row r="869" spans="1:9" ht="12.75" customHeight="1">
      <c r="A869" s="176"/>
      <c r="B869"/>
      <c r="C869" s="386"/>
      <c r="D869" s="1263" t="s">
        <v>2467</v>
      </c>
      <c r="E869" s="1263"/>
      <c r="F869" s="1263"/>
      <c r="G869" s="1024"/>
    </row>
    <row r="870" spans="1:9" ht="12.75" customHeight="1">
      <c r="A870" s="176"/>
      <c r="B870" s="176"/>
      <c r="C870" s="386"/>
      <c r="D870" s="1263"/>
      <c r="E870" s="1263"/>
      <c r="F870" s="1263"/>
      <c r="G870" s="1024"/>
    </row>
    <row r="871" spans="1:9" ht="12.75" customHeight="1">
      <c r="A871" s="176"/>
      <c r="B871" s="176"/>
      <c r="C871" s="386"/>
      <c r="D871" s="1263"/>
      <c r="E871" s="1263"/>
      <c r="F871" s="1263"/>
      <c r="G871" s="1024"/>
    </row>
    <row r="872" spans="1:9" ht="12.75" customHeight="1">
      <c r="A872" s="176"/>
      <c r="B872" s="176"/>
      <c r="C872" s="386"/>
      <c r="D872" s="1263"/>
      <c r="E872" s="1263"/>
      <c r="F872" s="1263"/>
      <c r="G872" s="1024"/>
    </row>
    <row r="873" spans="1:9" ht="12.75" customHeight="1">
      <c r="A873" s="176"/>
      <c r="B873" s="176"/>
      <c r="C873" s="386"/>
      <c r="D873" s="1263"/>
      <c r="E873" s="1263"/>
      <c r="F873" s="1263"/>
      <c r="G873" s="1024"/>
    </row>
    <row r="874" spans="1:9" ht="12.75" customHeight="1">
      <c r="A874" s="176"/>
      <c r="B874" s="176"/>
      <c r="C874" s="386"/>
      <c r="D874" s="1263"/>
      <c r="E874" s="1263"/>
      <c r="F874" s="1263"/>
      <c r="G874" s="1024"/>
    </row>
    <row r="875" spans="1:9" ht="12.75" customHeight="1">
      <c r="A875" s="176"/>
      <c r="B875" s="176"/>
      <c r="C875" s="386"/>
      <c r="D875" s="118"/>
      <c r="E875" s="1024"/>
      <c r="F875" s="1024"/>
      <c r="G875" s="1024"/>
    </row>
    <row r="876" spans="1:9" ht="12.75" customHeight="1">
      <c r="A876" s="176"/>
      <c r="B876" s="520" t="s">
        <v>2719</v>
      </c>
      <c r="C876" s="386"/>
      <c r="D876" s="1306" t="s">
        <v>2027</v>
      </c>
      <c r="E876" s="1306"/>
      <c r="F876" s="1306"/>
      <c r="G876" s="1024"/>
      <c r="I876" s="436" t="s">
        <v>2200</v>
      </c>
    </row>
    <row r="877" spans="1:9" ht="12.75" customHeight="1">
      <c r="A877" s="176"/>
      <c r="B877" s="176"/>
      <c r="C877" s="386"/>
      <c r="D877" s="1306" t="s">
        <v>2028</v>
      </c>
      <c r="E877" s="1306"/>
      <c r="F877" s="1306"/>
      <c r="G877" s="1024"/>
    </row>
    <row r="878" spans="1:9" ht="12.75" customHeight="1">
      <c r="A878" s="176"/>
      <c r="B878" s="176"/>
      <c r="C878" s="386"/>
      <c r="D878" s="2" t="s">
        <v>1426</v>
      </c>
      <c r="E878" s="1079" t="s">
        <v>2277</v>
      </c>
      <c r="F878" s="1083"/>
      <c r="G878" s="1024"/>
    </row>
    <row r="879" spans="1:9" ht="12.75" customHeight="1">
      <c r="A879" s="176"/>
      <c r="B879" s="176"/>
      <c r="C879" s="386"/>
      <c r="D879" s="118"/>
      <c r="E879" s="1024"/>
      <c r="F879" s="1024"/>
      <c r="G879" s="1024"/>
    </row>
    <row r="880" spans="1:9" ht="12.75" customHeight="1">
      <c r="A880" s="176"/>
      <c r="B880" s="520" t="s">
        <v>2719</v>
      </c>
      <c r="C880" s="386"/>
      <c r="D880" s="1263" t="s">
        <v>2029</v>
      </c>
      <c r="E880" s="1263"/>
      <c r="F880" s="1263"/>
      <c r="G880" s="1024"/>
      <c r="I880" s="436" t="s">
        <v>2218</v>
      </c>
    </row>
    <row r="881" spans="1:9" ht="12.75" customHeight="1">
      <c r="A881" s="176"/>
      <c r="B881" s="176"/>
      <c r="C881" s="386"/>
      <c r="D881" s="1263"/>
      <c r="E881" s="1263"/>
      <c r="F881" s="1263"/>
      <c r="G881" s="1024"/>
    </row>
    <row r="882" spans="1:9" ht="12.75" customHeight="1">
      <c r="A882" s="176"/>
      <c r="B882" s="176"/>
      <c r="C882" s="386"/>
      <c r="D882" s="1263"/>
      <c r="E882" s="1263"/>
      <c r="F882" s="1263"/>
      <c r="G882" s="1024"/>
    </row>
    <row r="883" spans="1:9" ht="12.75" customHeight="1">
      <c r="A883" s="176"/>
      <c r="B883" s="176"/>
      <c r="C883" s="386"/>
      <c r="D883" s="1263"/>
      <c r="E883" s="1263"/>
      <c r="F883" s="1263"/>
      <c r="G883" s="1024"/>
    </row>
    <row r="884" spans="1:9" ht="12.75" customHeight="1">
      <c r="A884" s="118"/>
      <c r="B884" s="118"/>
      <c r="C884" s="1025"/>
      <c r="D884" s="1024"/>
      <c r="E884" s="1024"/>
      <c r="F884" s="1024"/>
      <c r="G884" s="1024"/>
    </row>
    <row r="885" spans="1:9" ht="12.75" customHeight="1">
      <c r="A885" s="1308" t="s">
        <v>2065</v>
      </c>
      <c r="B885" s="1308"/>
      <c r="C885" s="1308"/>
      <c r="D885" s="1308"/>
      <c r="E885" s="1308"/>
      <c r="F885" s="1308"/>
      <c r="G885" s="1308"/>
      <c r="H885" s="1070"/>
      <c r="I885" s="1071"/>
    </row>
    <row r="886" spans="1:9" ht="12.75" customHeight="1">
      <c r="A886" s="57"/>
      <c r="B886" s="57"/>
      <c r="C886" s="57"/>
      <c r="D886" s="57"/>
      <c r="E886" s="57"/>
      <c r="F886" s="57"/>
      <c r="G886" s="57"/>
    </row>
    <row r="887" spans="1:9" ht="12.75" customHeight="1">
      <c r="A887" s="57"/>
      <c r="B887" s="57"/>
      <c r="C887" s="57"/>
      <c r="D887" s="1302" t="s">
        <v>2071</v>
      </c>
      <c r="E887" s="1302"/>
      <c r="F887" s="1302"/>
      <c r="G887" s="57"/>
    </row>
    <row r="888" spans="1:9" ht="12.75" customHeight="1">
      <c r="A888" s="57"/>
      <c r="B888" s="57"/>
      <c r="C888" s="57"/>
      <c r="D888" s="1017"/>
      <c r="E888" s="1017"/>
      <c r="F888" s="1017"/>
      <c r="G888" s="57"/>
    </row>
    <row r="889" spans="1:9" ht="12.75" customHeight="1">
      <c r="A889" s="57"/>
      <c r="B889" s="520" t="s">
        <v>2718</v>
      </c>
      <c r="C889" s="57"/>
      <c r="D889" s="1020" t="s">
        <v>2072</v>
      </c>
      <c r="E889" s="1017"/>
      <c r="F889" s="1017"/>
      <c r="G889" s="57"/>
      <c r="I889" s="436" t="s">
        <v>2232</v>
      </c>
    </row>
    <row r="890" spans="1:9" ht="12.75" customHeight="1">
      <c r="A890" s="57"/>
      <c r="B890" s="57"/>
      <c r="C890" s="57"/>
      <c r="D890" s="1017"/>
      <c r="E890" s="1017"/>
      <c r="F890" s="1017"/>
      <c r="G890" s="57"/>
    </row>
    <row r="891" spans="1:9" ht="12.75" customHeight="1">
      <c r="A891" s="386"/>
      <c r="B891" s="386"/>
      <c r="C891" s="1025"/>
      <c r="D891" s="1302" t="s">
        <v>2066</v>
      </c>
      <c r="E891" s="1302"/>
      <c r="F891" s="1302"/>
      <c r="G891" s="1024"/>
    </row>
    <row r="892" spans="1:9" ht="12.75" customHeight="1">
      <c r="A892" s="172"/>
      <c r="B892" s="172"/>
      <c r="C892" s="172"/>
      <c r="D892" s="1274" t="s">
        <v>2035</v>
      </c>
      <c r="E892" s="1274"/>
      <c r="F892" s="1274"/>
      <c r="G892" s="1024"/>
    </row>
    <row r="893" spans="1:9" ht="12.75" customHeight="1">
      <c r="A893" s="1025"/>
      <c r="B893" s="1025"/>
      <c r="C893" s="1025"/>
      <c r="D893" s="2"/>
      <c r="E893" s="1024"/>
      <c r="F893" s="1024"/>
      <c r="G893" s="1024"/>
    </row>
    <row r="894" spans="1:9" ht="12.75" customHeight="1">
      <c r="A894" s="176"/>
      <c r="B894" s="520" t="s">
        <v>2718</v>
      </c>
      <c r="C894" s="386"/>
      <c r="D894" s="1263" t="s">
        <v>2039</v>
      </c>
      <c r="E894" s="1263"/>
      <c r="F894" s="1263"/>
      <c r="G894" s="3"/>
      <c r="I894" s="436" t="s">
        <v>2184</v>
      </c>
    </row>
    <row r="895" spans="1:9" ht="12.75" customHeight="1">
      <c r="A895" s="386"/>
      <c r="B895" s="386"/>
      <c r="C895" s="386"/>
      <c r="D895" s="1263"/>
      <c r="E895" s="1263"/>
      <c r="F895" s="1263"/>
      <c r="G895" s="3"/>
    </row>
    <row r="896" spans="1:9" ht="12.75" customHeight="1">
      <c r="A896" s="172"/>
      <c r="B896" s="172"/>
      <c r="C896" s="172"/>
      <c r="D896" s="1263" t="s">
        <v>2038</v>
      </c>
      <c r="E896" s="1263"/>
      <c r="F896" s="1263"/>
      <c r="G896" s="1024"/>
    </row>
    <row r="897" spans="1:9" ht="12.75" customHeight="1">
      <c r="A897" s="172"/>
      <c r="B897" s="172"/>
      <c r="C897" s="172"/>
      <c r="D897" s="1263"/>
      <c r="E897" s="1263"/>
      <c r="F897" s="1263"/>
      <c r="G897" s="1024"/>
    </row>
    <row r="898" spans="1:9" ht="12.75" customHeight="1">
      <c r="A898" s="172"/>
      <c r="B898" s="172"/>
      <c r="C898" s="172"/>
      <c r="D898" s="3"/>
      <c r="E898" s="3"/>
      <c r="F898" s="1024"/>
      <c r="G898" s="1024"/>
    </row>
    <row r="899" spans="1:9" ht="12.75" customHeight="1">
      <c r="A899" s="176"/>
      <c r="B899" s="520" t="s">
        <v>2718</v>
      </c>
      <c r="C899" s="175"/>
      <c r="D899" s="1273" t="s">
        <v>2036</v>
      </c>
      <c r="E899" s="1273"/>
      <c r="F899" s="1273"/>
      <c r="G899" s="1024"/>
      <c r="I899" s="436" t="s">
        <v>2183</v>
      </c>
    </row>
    <row r="900" spans="1:9" ht="12.75" customHeight="1">
      <c r="A900" s="176"/>
      <c r="B900" s="176"/>
      <c r="C900" s="175"/>
      <c r="D900" s="1273"/>
      <c r="E900" s="1273"/>
      <c r="F900" s="1273"/>
      <c r="G900" s="1024"/>
    </row>
    <row r="901" spans="1:9" ht="12.75" customHeight="1">
      <c r="A901" s="176"/>
      <c r="B901" s="176"/>
      <c r="C901" s="175"/>
      <c r="D901" s="1273"/>
      <c r="E901" s="1273"/>
      <c r="F901" s="1273"/>
      <c r="G901" s="1024"/>
    </row>
    <row r="902" spans="1:9" ht="12.75" customHeight="1">
      <c r="A902" s="176"/>
      <c r="B902" s="176"/>
      <c r="C902" s="175"/>
      <c r="D902" s="1273"/>
      <c r="E902" s="1273"/>
      <c r="F902" s="1273"/>
      <c r="G902" s="1024"/>
    </row>
    <row r="903" spans="1:9" ht="12.75" customHeight="1">
      <c r="A903" s="176"/>
      <c r="B903" s="176"/>
      <c r="C903" s="175"/>
      <c r="D903" s="1273"/>
      <c r="E903" s="1273"/>
      <c r="F903" s="1273"/>
      <c r="G903" s="1024"/>
    </row>
    <row r="904" spans="1:9" ht="12.75" customHeight="1">
      <c r="A904" s="175"/>
      <c r="B904" s="175"/>
      <c r="C904" s="175"/>
      <c r="D904" s="1273"/>
      <c r="E904" s="1273"/>
      <c r="F904" s="1273"/>
      <c r="G904" s="1024"/>
    </row>
    <row r="905" spans="1:9" ht="12.75" customHeight="1">
      <c r="A905" s="175"/>
      <c r="B905" s="175"/>
      <c r="C905" s="175"/>
      <c r="D905" s="1273"/>
      <c r="E905" s="1273"/>
      <c r="F905" s="1273"/>
      <c r="G905" s="1024"/>
    </row>
    <row r="906" spans="1:9" ht="12.75" customHeight="1">
      <c r="A906" s="175"/>
      <c r="B906" s="175"/>
      <c r="C906" s="175"/>
      <c r="D906" s="1273"/>
      <c r="E906" s="1273"/>
      <c r="F906" s="1273"/>
      <c r="G906" s="1024"/>
    </row>
    <row r="907" spans="1:9" ht="12.75" customHeight="1">
      <c r="A907" s="175"/>
      <c r="B907" s="175"/>
      <c r="C907" s="175"/>
      <c r="D907" s="364"/>
      <c r="E907" s="364"/>
      <c r="F907" s="364"/>
      <c r="G907" s="1024"/>
    </row>
    <row r="908" spans="1:9" ht="12.75" customHeight="1">
      <c r="A908" s="1025"/>
      <c r="B908" s="520" t="s">
        <v>2719</v>
      </c>
      <c r="C908" s="1025"/>
      <c r="D908" s="1263" t="s">
        <v>2040</v>
      </c>
      <c r="E908" s="1263"/>
      <c r="F908" s="1263"/>
      <c r="G908" s="1024"/>
    </row>
    <row r="909" spans="1:9" ht="12.75" customHeight="1">
      <c r="A909" s="1025"/>
      <c r="B909" s="1025"/>
      <c r="C909" s="1025"/>
      <c r="D909" s="1263"/>
      <c r="E909" s="1263"/>
      <c r="F909" s="1263"/>
      <c r="G909" s="1024"/>
    </row>
    <row r="910" spans="1:9" ht="12.75" customHeight="1">
      <c r="A910" s="1025"/>
      <c r="B910" s="1025"/>
      <c r="C910" s="1025"/>
      <c r="D910" s="1024"/>
      <c r="E910" s="1024"/>
      <c r="F910" s="1024"/>
      <c r="G910" s="1024"/>
    </row>
    <row r="911" spans="1:9" ht="12.75" customHeight="1">
      <c r="A911" s="1025"/>
      <c r="B911" s="520" t="s">
        <v>2719</v>
      </c>
      <c r="C911" s="1025"/>
      <c r="D911" s="1300" t="s">
        <v>2041</v>
      </c>
      <c r="E911" s="1300"/>
      <c r="F911" s="1300"/>
      <c r="G911" s="1024"/>
    </row>
    <row r="912" spans="1:9" ht="12.75" customHeight="1">
      <c r="A912" s="1025"/>
      <c r="B912" s="1025"/>
      <c r="C912" s="1025"/>
      <c r="D912" s="1300"/>
      <c r="E912" s="1300"/>
      <c r="F912" s="1300"/>
      <c r="G912" s="1024"/>
    </row>
    <row r="913" spans="1:9" ht="12.75" customHeight="1">
      <c r="A913" s="1025"/>
      <c r="B913" s="1025"/>
      <c r="C913" s="1025"/>
      <c r="D913" s="1300"/>
      <c r="E913" s="1300"/>
      <c r="F913" s="1300"/>
      <c r="G913" s="1024"/>
    </row>
    <row r="914" spans="1:9" ht="12.75" customHeight="1">
      <c r="A914" s="1025"/>
      <c r="B914" s="1025"/>
      <c r="C914" s="1025"/>
      <c r="D914" s="1300"/>
      <c r="E914" s="1300"/>
      <c r="F914" s="1300"/>
      <c r="G914" s="1024"/>
    </row>
    <row r="915" spans="1:9" ht="12.75" customHeight="1">
      <c r="A915" s="1025"/>
      <c r="B915" s="1025"/>
      <c r="C915" s="1025"/>
      <c r="D915" s="118"/>
      <c r="E915" s="1024"/>
      <c r="F915" s="1024"/>
      <c r="G915" s="1024"/>
    </row>
    <row r="916" spans="1:9" ht="12.75" customHeight="1">
      <c r="A916" s="1025"/>
      <c r="B916" s="520" t="s">
        <v>2719</v>
      </c>
      <c r="C916" s="1025"/>
      <c r="D916" s="1274" t="s">
        <v>2468</v>
      </c>
      <c r="E916" s="1274"/>
      <c r="F916" s="1274"/>
      <c r="G916" s="1024"/>
    </row>
    <row r="917" spans="1:9" ht="12.75" customHeight="1">
      <c r="A917" s="1025"/>
      <c r="B917" s="1025"/>
      <c r="C917" s="1025"/>
      <c r="D917" s="118"/>
      <c r="E917" s="1024"/>
      <c r="F917" s="1024"/>
      <c r="G917" s="1024"/>
    </row>
    <row r="918" spans="1:9" ht="12.75" customHeight="1">
      <c r="A918" s="1025"/>
      <c r="B918" s="520" t="s">
        <v>2719</v>
      </c>
      <c r="C918" s="1025"/>
      <c r="D918" s="1274" t="s">
        <v>2469</v>
      </c>
      <c r="E918" s="1274"/>
      <c r="F918" s="1274"/>
      <c r="G918" s="1024"/>
    </row>
    <row r="919" spans="1:9" ht="12.75" customHeight="1">
      <c r="A919" s="175"/>
      <c r="B919" s="175"/>
      <c r="C919" s="175"/>
      <c r="D919" s="2"/>
      <c r="E919" s="3"/>
      <c r="F919" s="1024"/>
      <c r="G919" s="1024"/>
    </row>
    <row r="920" spans="1:9" ht="12.75" customHeight="1">
      <c r="A920" s="1033"/>
      <c r="B920" s="520" t="s">
        <v>2718</v>
      </c>
      <c r="C920" s="1034"/>
      <c r="D920" s="1273" t="s">
        <v>2037</v>
      </c>
      <c r="E920" s="1273"/>
      <c r="F920" s="1273"/>
      <c r="G920" s="1035"/>
      <c r="I920" s="436" t="s">
        <v>2233</v>
      </c>
    </row>
    <row r="921" spans="1:9" ht="12.75" customHeight="1">
      <c r="A921" s="1033"/>
      <c r="B921" s="1033"/>
      <c r="C921" s="1034"/>
      <c r="D921" s="1273"/>
      <c r="E921" s="1273"/>
      <c r="F921" s="1273"/>
      <c r="G921" s="1035"/>
    </row>
    <row r="922" spans="1:9" ht="12.75" customHeight="1">
      <c r="A922" s="1033"/>
      <c r="B922" s="1033"/>
      <c r="C922" s="1034"/>
      <c r="D922" s="1273"/>
      <c r="E922" s="1273"/>
      <c r="F922" s="1273"/>
      <c r="G922" s="1035"/>
    </row>
    <row r="923" spans="1:9" ht="12.75" customHeight="1">
      <c r="A923" s="1033"/>
      <c r="B923" s="1033"/>
      <c r="C923" s="1034"/>
      <c r="D923" s="1273"/>
      <c r="E923" s="1273"/>
      <c r="F923" s="1273"/>
      <c r="G923" s="1035"/>
    </row>
    <row r="924" spans="1:9" ht="12.75" customHeight="1">
      <c r="A924" s="1033"/>
      <c r="B924" s="1033"/>
      <c r="C924" s="1034"/>
      <c r="D924" s="1273"/>
      <c r="E924" s="1273"/>
      <c r="F924" s="1273"/>
      <c r="G924" s="1035"/>
    </row>
    <row r="925" spans="1:9" ht="12.75" customHeight="1">
      <c r="A925" s="1033"/>
      <c r="B925" s="1033"/>
      <c r="C925" s="1034"/>
      <c r="D925" s="1273"/>
      <c r="E925" s="1273"/>
      <c r="F925" s="1273"/>
      <c r="G925" s="1035"/>
    </row>
    <row r="926" spans="1:9" ht="12.75" customHeight="1">
      <c r="A926" s="1033"/>
      <c r="B926" s="1033"/>
      <c r="C926" s="1034"/>
      <c r="D926" s="1273"/>
      <c r="E926" s="1273"/>
      <c r="F926" s="1273"/>
      <c r="G926" s="1035"/>
    </row>
    <row r="927" spans="1:9" ht="12.75" customHeight="1">
      <c r="A927" s="1033"/>
      <c r="B927" s="1033"/>
      <c r="C927" s="1034"/>
      <c r="D927" s="1273"/>
      <c r="E927" s="1273"/>
      <c r="F927" s="1273"/>
      <c r="G927" s="1035"/>
    </row>
    <row r="928" spans="1:9" ht="12.75" customHeight="1">
      <c r="A928" s="1033"/>
      <c r="B928" s="1033"/>
      <c r="C928" s="1034"/>
      <c r="D928" s="1273"/>
      <c r="E928" s="1273"/>
      <c r="F928" s="1273"/>
      <c r="G928" s="1035"/>
    </row>
    <row r="929" spans="1:9" ht="12.75" customHeight="1">
      <c r="A929" s="175"/>
      <c r="B929" s="175"/>
      <c r="C929" s="175"/>
      <c r="D929" s="2"/>
      <c r="E929" s="3"/>
      <c r="F929" s="1024"/>
      <c r="G929" s="1024"/>
    </row>
    <row r="930" spans="1:9" ht="12.75" customHeight="1">
      <c r="A930" s="176"/>
      <c r="B930" s="520" t="s">
        <v>2718</v>
      </c>
      <c r="C930" s="175"/>
      <c r="D930" s="1329" t="s">
        <v>2235</v>
      </c>
      <c r="E930" s="1329"/>
      <c r="F930" s="1329"/>
      <c r="G930" s="1024"/>
      <c r="I930" s="436" t="s">
        <v>2233</v>
      </c>
    </row>
    <row r="931" spans="1:9" ht="12.75" customHeight="1">
      <c r="A931" s="176"/>
      <c r="B931" s="176"/>
      <c r="C931" s="175"/>
      <c r="D931" s="1329"/>
      <c r="E931" s="1329"/>
      <c r="F931" s="1329"/>
      <c r="G931" s="1024"/>
    </row>
    <row r="932" spans="1:9" ht="12.75" customHeight="1">
      <c r="A932" s="176"/>
      <c r="B932" s="176"/>
      <c r="C932" s="175"/>
      <c r="D932" s="1329"/>
      <c r="E932" s="1329"/>
      <c r="F932" s="1329"/>
      <c r="G932" s="1024"/>
    </row>
    <row r="933" spans="1:9" ht="12.75" customHeight="1">
      <c r="A933" s="176"/>
      <c r="B933" s="176"/>
      <c r="C933" s="175"/>
      <c r="D933" s="1329"/>
      <c r="E933" s="1329"/>
      <c r="F933" s="1329"/>
      <c r="G933" s="1024"/>
    </row>
    <row r="934" spans="1:9" ht="12.75" customHeight="1">
      <c r="A934" s="176"/>
      <c r="B934" s="176"/>
      <c r="C934" s="175"/>
      <c r="D934" s="1329"/>
      <c r="E934" s="1329"/>
      <c r="F934" s="1329"/>
      <c r="G934" s="1024"/>
    </row>
    <row r="935" spans="1:9" ht="12.75" customHeight="1">
      <c r="A935" s="176"/>
      <c r="B935" s="176"/>
      <c r="C935" s="175"/>
      <c r="D935" s="1329"/>
      <c r="E935" s="1329"/>
      <c r="F935" s="1329"/>
      <c r="G935" s="1024"/>
    </row>
    <row r="936" spans="1:9" ht="12.75" customHeight="1">
      <c r="A936" s="176"/>
      <c r="B936" s="176"/>
      <c r="C936" s="175"/>
      <c r="D936" s="1329"/>
      <c r="E936" s="1329"/>
      <c r="F936" s="1329"/>
      <c r="G936" s="1024"/>
    </row>
    <row r="937" spans="1:9" ht="12.75" customHeight="1">
      <c r="A937" s="176"/>
      <c r="B937" s="176"/>
      <c r="C937" s="175"/>
      <c r="D937" s="1066"/>
      <c r="E937" s="1066"/>
      <c r="F937" s="1066"/>
      <c r="G937" s="1024"/>
    </row>
    <row r="938" spans="1:9" ht="12.75" customHeight="1">
      <c r="A938" s="176"/>
      <c r="B938" s="520" t="s">
        <v>2718</v>
      </c>
      <c r="C938" s="175"/>
      <c r="D938" s="1272" t="s">
        <v>2563</v>
      </c>
      <c r="E938" s="1272"/>
      <c r="F938" s="1272"/>
      <c r="G938" s="1024"/>
    </row>
    <row r="939" spans="1:9" ht="12.75" customHeight="1">
      <c r="A939" s="176"/>
      <c r="B939" s="176"/>
      <c r="C939" s="175"/>
      <c r="D939" s="1272"/>
      <c r="E939" s="1272"/>
      <c r="F939" s="1272"/>
      <c r="G939" s="1024"/>
    </row>
    <row r="940" spans="1:9" ht="12.75" customHeight="1">
      <c r="A940" s="176"/>
      <c r="B940" s="176"/>
      <c r="C940" s="175"/>
      <c r="D940" s="1272"/>
      <c r="E940" s="1272"/>
      <c r="F940" s="1272"/>
      <c r="G940" s="1024"/>
    </row>
    <row r="941" spans="1:9" ht="12.75" customHeight="1">
      <c r="A941" s="176"/>
      <c r="B941" s="176"/>
      <c r="C941" s="175"/>
      <c r="D941" s="1272"/>
      <c r="E941" s="1272"/>
      <c r="F941" s="1272"/>
      <c r="G941" s="1024"/>
    </row>
    <row r="942" spans="1:9" ht="12.75" customHeight="1">
      <c r="A942" s="176"/>
      <c r="B942" s="176"/>
      <c r="C942" s="175"/>
      <c r="D942" s="1272"/>
      <c r="E942" s="1272"/>
      <c r="F942" s="1272"/>
      <c r="G942" s="1024"/>
    </row>
    <row r="943" spans="1:9" ht="12.75" customHeight="1">
      <c r="A943" s="176"/>
      <c r="B943" s="176"/>
      <c r="C943" s="175"/>
      <c r="D943" s="1272"/>
      <c r="E943" s="1272"/>
      <c r="F943" s="1272"/>
      <c r="G943" s="1024"/>
    </row>
    <row r="944" spans="1:9" ht="12.75" customHeight="1">
      <c r="A944" s="176"/>
      <c r="B944" s="176"/>
      <c r="C944" s="175"/>
      <c r="D944" s="1066"/>
      <c r="E944" s="1066"/>
      <c r="F944" s="1066"/>
      <c r="G944" s="1024"/>
    </row>
    <row r="945" spans="1:9" ht="12.75" customHeight="1">
      <c r="A945" s="1025"/>
      <c r="B945" s="520" t="s">
        <v>2719</v>
      </c>
      <c r="C945" s="1025"/>
      <c r="D945" s="1300" t="s">
        <v>2042</v>
      </c>
      <c r="E945" s="1300"/>
      <c r="F945" s="1300"/>
      <c r="G945" s="1024"/>
    </row>
    <row r="946" spans="1:9" ht="12.75" customHeight="1">
      <c r="A946" s="1025"/>
      <c r="B946" s="1025"/>
      <c r="C946" s="1025"/>
      <c r="D946" s="1300"/>
      <c r="E946" s="1300"/>
      <c r="F946" s="1300"/>
      <c r="G946" s="1024"/>
    </row>
    <row r="947" spans="1:9" ht="12.75" customHeight="1">
      <c r="A947" s="1025"/>
      <c r="B947" s="1025"/>
      <c r="C947" s="1025"/>
      <c r="D947" s="1300"/>
      <c r="E947" s="1300"/>
      <c r="F947" s="1300"/>
      <c r="G947" s="1024"/>
    </row>
    <row r="948" spans="1:9" ht="12.75" customHeight="1">
      <c r="A948" s="176"/>
      <c r="B948" s="176"/>
      <c r="C948" s="175"/>
      <c r="D948" s="1066"/>
      <c r="E948" s="1066"/>
      <c r="F948" s="1066"/>
      <c r="G948" s="1024"/>
    </row>
    <row r="949" spans="1:9" ht="12.75" customHeight="1">
      <c r="A949" s="176"/>
      <c r="B949" s="176"/>
      <c r="C949" s="175"/>
      <c r="D949" s="880"/>
      <c r="E949" s="3"/>
      <c r="F949" s="1024"/>
      <c r="G949" s="1024"/>
    </row>
    <row r="950" spans="1:9" ht="12.75" customHeight="1">
      <c r="A950" s="176"/>
      <c r="B950" s="520" t="s">
        <v>2719</v>
      </c>
      <c r="C950" s="175"/>
      <c r="D950" s="1273" t="s">
        <v>2234</v>
      </c>
      <c r="E950" s="1273"/>
      <c r="F950" s="1273"/>
      <c r="G950" s="1024"/>
      <c r="I950" s="436" t="s">
        <v>2233</v>
      </c>
    </row>
    <row r="951" spans="1:9" ht="12.75" customHeight="1">
      <c r="A951" s="176"/>
      <c r="B951" s="176"/>
      <c r="C951" s="175"/>
      <c r="D951" s="1273"/>
      <c r="E951" s="1273"/>
      <c r="F951" s="1273"/>
      <c r="G951" s="1024"/>
    </row>
    <row r="952" spans="1:9" ht="12.75" customHeight="1">
      <c r="A952" s="176"/>
      <c r="B952" s="176"/>
      <c r="C952" s="175"/>
      <c r="D952" s="1273"/>
      <c r="E952" s="1273"/>
      <c r="F952" s="1273"/>
      <c r="G952" s="1024"/>
    </row>
    <row r="953" spans="1:9" ht="12.75" customHeight="1">
      <c r="A953" s="176"/>
      <c r="B953" s="176"/>
      <c r="C953" s="175"/>
      <c r="D953" s="1273"/>
      <c r="E953" s="1273"/>
      <c r="F953" s="1273"/>
      <c r="G953" s="1024"/>
    </row>
    <row r="954" spans="1:9" ht="12.75" customHeight="1">
      <c r="A954" s="1025"/>
      <c r="B954" s="1025"/>
      <c r="C954" s="1025"/>
      <c r="D954" s="1016"/>
      <c r="E954" s="1016"/>
      <c r="F954" s="1016"/>
      <c r="G954" s="1016"/>
    </row>
    <row r="955" spans="1:9" ht="12.75" customHeight="1">
      <c r="A955" s="386"/>
      <c r="B955" s="386"/>
      <c r="C955" s="386"/>
      <c r="D955" s="1279" t="s">
        <v>2043</v>
      </c>
      <c r="E955" s="1279"/>
      <c r="F955" s="1279"/>
      <c r="G955" s="3"/>
    </row>
    <row r="956" spans="1:9" ht="12.75" customHeight="1">
      <c r="A956" s="176"/>
      <c r="B956" s="520" t="s">
        <v>2719</v>
      </c>
      <c r="C956" s="386"/>
      <c r="D956" s="1274" t="s">
        <v>2067</v>
      </c>
      <c r="E956" s="1274"/>
      <c r="F956" s="1274"/>
      <c r="G956" s="3"/>
      <c r="I956" s="436" t="s">
        <v>2233</v>
      </c>
    </row>
    <row r="957" spans="1:9" ht="12.75" customHeight="1">
      <c r="A957" s="386"/>
      <c r="B957" s="386"/>
      <c r="C957" s="386"/>
      <c r="D957" s="3"/>
      <c r="E957" s="3"/>
      <c r="F957" s="3"/>
      <c r="G957" s="3"/>
    </row>
    <row r="958" spans="1:9" ht="12.75" customHeight="1">
      <c r="A958" s="386"/>
      <c r="B958" s="386"/>
      <c r="C958" s="386"/>
      <c r="D958" s="1279" t="s">
        <v>2044</v>
      </c>
      <c r="E958" s="1279"/>
      <c r="F958" s="1279"/>
      <c r="G958"/>
    </row>
    <row r="959" spans="1:9" ht="12.75" customHeight="1">
      <c r="A959" s="176"/>
      <c r="B959" s="520" t="s">
        <v>2718</v>
      </c>
      <c r="C959" s="386"/>
      <c r="D959" s="1263" t="s">
        <v>2470</v>
      </c>
      <c r="E959" s="1263"/>
      <c r="F959" s="1263"/>
      <c r="G959"/>
      <c r="I959" s="436" t="s">
        <v>2233</v>
      </c>
    </row>
    <row r="960" spans="1:9" ht="12.75" customHeight="1">
      <c r="A960" s="176"/>
      <c r="B960" s="176"/>
      <c r="C960" s="386"/>
      <c r="D960" s="1263"/>
      <c r="E960" s="1263"/>
      <c r="F960" s="1263"/>
      <c r="G960"/>
    </row>
    <row r="961" spans="1:9" ht="12.75" customHeight="1">
      <c r="A961" s="176"/>
      <c r="B961" s="176"/>
      <c r="C961" s="386"/>
      <c r="D961" s="1263"/>
      <c r="E961" s="1263"/>
      <c r="F961" s="1263"/>
      <c r="G961"/>
    </row>
    <row r="962" spans="1:9" ht="12.75" customHeight="1">
      <c r="A962" s="176"/>
      <c r="B962" s="176"/>
      <c r="C962" s="386"/>
      <c r="D962" s="1263"/>
      <c r="E962" s="1263"/>
      <c r="F962" s="1263"/>
      <c r="G962"/>
    </row>
    <row r="963" spans="1:9" ht="12.75" customHeight="1">
      <c r="A963" s="176"/>
      <c r="B963" s="176"/>
      <c r="C963" s="386"/>
      <c r="D963" s="1263"/>
      <c r="E963" s="1263"/>
      <c r="F963" s="1263"/>
      <c r="G963"/>
    </row>
    <row r="964" spans="1:9" ht="12.75" customHeight="1">
      <c r="A964" s="176"/>
      <c r="B964" s="176"/>
      <c r="C964" s="386"/>
      <c r="D964" s="1263"/>
      <c r="E964" s="1263"/>
      <c r="F964" s="1263"/>
      <c r="G964"/>
    </row>
    <row r="965" spans="1:9" ht="12.75" customHeight="1">
      <c r="A965" s="176"/>
      <c r="B965" s="176"/>
      <c r="C965" s="386"/>
      <c r="D965" s="1263"/>
      <c r="E965" s="1263"/>
      <c r="F965" s="1263"/>
      <c r="G965"/>
    </row>
    <row r="966" spans="1:9" ht="12.75" customHeight="1">
      <c r="A966" s="176"/>
      <c r="B966" s="176"/>
      <c r="C966" s="386"/>
      <c r="D966" s="1263"/>
      <c r="E966" s="1263"/>
      <c r="F966" s="1263"/>
      <c r="G966"/>
    </row>
    <row r="967" spans="1:9" ht="12.75" customHeight="1">
      <c r="A967" s="176"/>
      <c r="B967" s="176"/>
      <c r="C967" s="386"/>
      <c r="D967" s="1263"/>
      <c r="E967" s="1263"/>
      <c r="F967" s="1263"/>
      <c r="G967"/>
    </row>
    <row r="968" spans="1:9" ht="12.75" customHeight="1">
      <c r="A968" s="176"/>
      <c r="B968" s="176"/>
      <c r="C968" s="386"/>
      <c r="D968" s="1263"/>
      <c r="E968" s="1263"/>
      <c r="F968" s="1263"/>
      <c r="G968"/>
    </row>
    <row r="969" spans="1:9" ht="12.75" customHeight="1">
      <c r="A969" s="176"/>
      <c r="B969" s="176"/>
      <c r="C969" s="386"/>
      <c r="D969" s="1263"/>
      <c r="E969" s="1263"/>
      <c r="F969" s="1263"/>
      <c r="G969"/>
    </row>
    <row r="970" spans="1:9" ht="12.75" customHeight="1">
      <c r="A970" s="176"/>
      <c r="B970" s="176"/>
      <c r="C970" s="386"/>
      <c r="D970" s="1263"/>
      <c r="E970" s="1263"/>
      <c r="F970" s="1263"/>
      <c r="G970"/>
    </row>
    <row r="971" spans="1:9" ht="12.75" customHeight="1">
      <c r="A971" s="176"/>
      <c r="B971" s="176"/>
      <c r="C971" s="386"/>
      <c r="D971" s="1263"/>
      <c r="E971" s="1263"/>
      <c r="F971" s="1263"/>
      <c r="G971"/>
    </row>
    <row r="972" spans="1:9" ht="12.75" customHeight="1">
      <c r="A972" s="176"/>
      <c r="B972" s="176"/>
      <c r="C972" s="386"/>
      <c r="D972" s="1263"/>
      <c r="E972" s="1263"/>
      <c r="F972" s="1263"/>
      <c r="G972"/>
    </row>
    <row r="973" spans="1:9" ht="12.75" customHeight="1">
      <c r="A973" s="176"/>
      <c r="B973" s="176"/>
      <c r="C973" s="386"/>
      <c r="D973" s="1263"/>
      <c r="E973" s="1263"/>
      <c r="F973" s="1263"/>
      <c r="G973" s="3"/>
    </row>
    <row r="974" spans="1:9" ht="12.75" customHeight="1">
      <c r="A974" s="386"/>
      <c r="B974" s="386"/>
      <c r="C974" s="386"/>
      <c r="D974" s="3"/>
      <c r="E974" s="3"/>
      <c r="F974" s="3"/>
      <c r="G974" s="3"/>
    </row>
    <row r="975" spans="1:9" ht="12.75" customHeight="1">
      <c r="A975" s="1308" t="s">
        <v>2045</v>
      </c>
      <c r="B975" s="1308"/>
      <c r="C975" s="1308"/>
      <c r="D975" s="1308"/>
      <c r="E975" s="1308"/>
      <c r="F975" s="1308"/>
      <c r="G975" s="1308"/>
      <c r="H975" s="1070"/>
      <c r="I975" s="1071"/>
    </row>
    <row r="976" spans="1:9" ht="12.75" customHeight="1">
      <c r="A976" s="118"/>
      <c r="B976" s="118"/>
      <c r="C976" s="386"/>
      <c r="D976" s="3"/>
      <c r="E976" s="3"/>
      <c r="F976" s="3"/>
      <c r="G976" s="3"/>
    </row>
    <row r="977" spans="1:9" ht="12.75" customHeight="1">
      <c r="A977" s="386"/>
      <c r="B977" s="386"/>
      <c r="C977" s="1025"/>
      <c r="D977" s="1279" t="s">
        <v>2068</v>
      </c>
      <c r="E977" s="1279"/>
      <c r="F977" s="1279"/>
      <c r="G977" s="3"/>
    </row>
    <row r="978" spans="1:9" ht="12.75" customHeight="1">
      <c r="A978" s="172"/>
      <c r="B978" s="172"/>
      <c r="C978" s="172"/>
      <c r="D978" s="1274" t="s">
        <v>2046</v>
      </c>
      <c r="E978" s="1274"/>
      <c r="F978" s="1274"/>
      <c r="G978" s="3"/>
    </row>
    <row r="979" spans="1:9" ht="12.75" customHeight="1">
      <c r="A979" s="172"/>
      <c r="B979" s="172"/>
      <c r="C979" s="172"/>
      <c r="D979" s="3"/>
      <c r="E979" s="3"/>
      <c r="F979" s="1024"/>
      <c r="G979"/>
    </row>
    <row r="980" spans="1:9" ht="12.75" customHeight="1">
      <c r="A980" s="386"/>
      <c r="B980" s="520" t="s">
        <v>2718</v>
      </c>
      <c r="C980" s="386"/>
      <c r="D980" s="1327" t="s">
        <v>2295</v>
      </c>
      <c r="E980" s="1327"/>
      <c r="F980" s="1327"/>
      <c r="G980"/>
      <c r="I980" s="436" t="s">
        <v>2213</v>
      </c>
    </row>
    <row r="981" spans="1:9" ht="12.75" customHeight="1">
      <c r="A981" s="386"/>
      <c r="B981" s="386"/>
      <c r="C981" s="386"/>
      <c r="D981" s="1327"/>
      <c r="E981" s="1327"/>
      <c r="F981" s="1327"/>
      <c r="G981"/>
    </row>
    <row r="982" spans="1:9" ht="12.75" customHeight="1">
      <c r="A982" s="386"/>
      <c r="B982" s="386"/>
      <c r="C982" s="386"/>
      <c r="D982" s="1081"/>
      <c r="E982" s="1079" t="s">
        <v>2296</v>
      </c>
      <c r="F982" s="1081"/>
      <c r="G982"/>
    </row>
    <row r="983" spans="1:9" ht="12.75" customHeight="1">
      <c r="A983" s="386"/>
      <c r="B983" s="386"/>
      <c r="C983" s="386"/>
      <c r="D983" s="1267" t="s">
        <v>2294</v>
      </c>
      <c r="E983" s="1267"/>
      <c r="F983" s="1267"/>
      <c r="G983"/>
    </row>
    <row r="984" spans="1:9" ht="12.75" customHeight="1">
      <c r="A984" s="386"/>
      <c r="B984" s="386"/>
      <c r="C984" s="386"/>
      <c r="D984" s="1267"/>
      <c r="E984" s="1267"/>
      <c r="F984" s="1267"/>
      <c r="G984"/>
    </row>
    <row r="985" spans="1:9" ht="12.75" customHeight="1">
      <c r="A985" s="175"/>
      <c r="B985" s="175"/>
      <c r="C985" s="175"/>
      <c r="D985" s="1267"/>
      <c r="E985" s="1267"/>
      <c r="F985" s="1267"/>
      <c r="G985"/>
    </row>
    <row r="986" spans="1:9" ht="12.75" customHeight="1">
      <c r="A986" s="175"/>
      <c r="B986" s="175"/>
      <c r="C986" s="175"/>
      <c r="D986" s="1267"/>
      <c r="E986" s="1267"/>
      <c r="F986" s="1267"/>
      <c r="G986"/>
    </row>
    <row r="987" spans="1:9" ht="12.75" customHeight="1">
      <c r="A987" s="175"/>
      <c r="B987" s="175"/>
      <c r="C987" s="175"/>
      <c r="D987" s="364"/>
      <c r="E987" s="364"/>
      <c r="F987" s="364"/>
      <c r="G987"/>
    </row>
    <row r="988" spans="1:9" ht="12.75" customHeight="1">
      <c r="A988" s="175"/>
      <c r="B988" s="520" t="s">
        <v>2719</v>
      </c>
      <c r="C988" s="175"/>
      <c r="D988" s="1263" t="s">
        <v>2047</v>
      </c>
      <c r="E988" s="1263"/>
      <c r="F988" s="1263"/>
      <c r="G988"/>
    </row>
    <row r="989" spans="1:9" ht="12.75" customHeight="1">
      <c r="A989" s="175"/>
      <c r="B989" s="175"/>
      <c r="C989" s="175"/>
      <c r="D989" s="1263"/>
      <c r="E989" s="1263"/>
      <c r="F989" s="1263"/>
      <c r="G989"/>
    </row>
    <row r="990" spans="1:9" ht="12.75" customHeight="1">
      <c r="A990" s="175"/>
      <c r="B990" s="175"/>
      <c r="C990" s="175"/>
      <c r="D990" s="1263"/>
      <c r="E990" s="1263"/>
      <c r="F990" s="1263"/>
      <c r="G990"/>
    </row>
    <row r="991" spans="1:9" ht="12.75" customHeight="1">
      <c r="A991" s="175"/>
      <c r="B991" s="175"/>
      <c r="C991" s="175"/>
      <c r="D991" s="1263"/>
      <c r="E991" s="1263"/>
      <c r="F991" s="1263"/>
      <c r="G991"/>
    </row>
    <row r="992" spans="1:9" ht="12.75" customHeight="1">
      <c r="A992" s="175"/>
      <c r="B992" s="175"/>
      <c r="C992" s="175"/>
      <c r="D992" s="475"/>
      <c r="E992" s="475"/>
      <c r="F992" s="475"/>
      <c r="G992"/>
    </row>
    <row r="993" spans="1:7" ht="12.75" customHeight="1">
      <c r="A993" s="175"/>
      <c r="B993" s="520" t="s">
        <v>2719</v>
      </c>
      <c r="C993" s="175"/>
      <c r="D993" s="1263" t="s">
        <v>2048</v>
      </c>
      <c r="E993" s="1263"/>
      <c r="F993" s="1263"/>
      <c r="G993"/>
    </row>
    <row r="994" spans="1:7" ht="12.75" customHeight="1">
      <c r="A994" s="175"/>
      <c r="B994" s="175"/>
      <c r="C994" s="175"/>
      <c r="D994" s="1263"/>
      <c r="E994" s="1263"/>
      <c r="F994" s="1263"/>
      <c r="G994"/>
    </row>
    <row r="995" spans="1:7" ht="12.75" customHeight="1">
      <c r="A995" s="175"/>
      <c r="B995" s="175"/>
      <c r="C995" s="175"/>
      <c r="D995" s="475"/>
      <c r="E995" s="475"/>
      <c r="F995" s="475"/>
      <c r="G995"/>
    </row>
    <row r="996" spans="1:7" ht="12.75" customHeight="1">
      <c r="A996" s="176"/>
      <c r="B996" s="520" t="s">
        <v>2719</v>
      </c>
      <c r="C996" s="386"/>
      <c r="D996" s="1274" t="s">
        <v>2049</v>
      </c>
      <c r="E996" s="1274"/>
      <c r="F996" s="1274"/>
      <c r="G996"/>
    </row>
    <row r="997" spans="1:7" ht="12.75" customHeight="1">
      <c r="A997" s="386"/>
      <c r="B997" s="386"/>
      <c r="C997" s="386"/>
      <c r="D997" s="3"/>
      <c r="E997" s="3"/>
      <c r="F997" s="3"/>
      <c r="G997"/>
    </row>
    <row r="998" spans="1:7" ht="12.75" customHeight="1">
      <c r="A998" s="176"/>
      <c r="B998" s="520" t="s">
        <v>2719</v>
      </c>
      <c r="C998" s="386"/>
      <c r="D998" s="1274" t="s">
        <v>2050</v>
      </c>
      <c r="E998" s="1274"/>
      <c r="F998" s="1274"/>
      <c r="G998"/>
    </row>
    <row r="999" spans="1:7" ht="12.75" customHeight="1">
      <c r="A999" s="386"/>
      <c r="B999" s="386"/>
      <c r="C999" s="386"/>
      <c r="D999" s="118"/>
      <c r="E999" s="3"/>
      <c r="F999" s="3"/>
      <c r="G999"/>
    </row>
    <row r="1000" spans="1:7" ht="12.75" customHeight="1">
      <c r="A1000" s="176"/>
      <c r="B1000" s="520" t="s">
        <v>2718</v>
      </c>
      <c r="C1000" s="386"/>
      <c r="D1000" s="1274" t="s">
        <v>2051</v>
      </c>
      <c r="E1000" s="1274"/>
      <c r="F1000" s="1274"/>
      <c r="G1000"/>
    </row>
    <row r="1001" spans="1:7" ht="12.75" customHeight="1">
      <c r="A1001" s="386"/>
      <c r="B1001" s="386"/>
      <c r="C1001" s="386"/>
      <c r="D1001" s="118"/>
      <c r="E1001" s="3"/>
      <c r="F1001" s="3"/>
      <c r="G1001"/>
    </row>
    <row r="1002" spans="1:7" ht="12.75" customHeight="1">
      <c r="A1002" s="176"/>
      <c r="B1002" s="520" t="s">
        <v>2718</v>
      </c>
      <c r="C1002" s="386"/>
      <c r="D1002" s="1263" t="s">
        <v>2052</v>
      </c>
      <c r="E1002" s="1263"/>
      <c r="F1002" s="1263"/>
      <c r="G1002"/>
    </row>
    <row r="1003" spans="1:7" ht="12.75" customHeight="1">
      <c r="A1003" s="176"/>
      <c r="B1003" s="176"/>
      <c r="C1003" s="386"/>
      <c r="D1003" s="1263"/>
      <c r="E1003" s="1263"/>
      <c r="F1003" s="1263"/>
      <c r="G1003"/>
    </row>
    <row r="1004" spans="1:7" ht="12.75" customHeight="1">
      <c r="A1004" s="176"/>
      <c r="B1004" s="176"/>
      <c r="C1004" s="386"/>
      <c r="D1004" s="118"/>
      <c r="E1004" s="3"/>
      <c r="F1004" s="3"/>
      <c r="G1004" s="3"/>
    </row>
    <row r="1005" spans="1:7" ht="12.75" customHeight="1">
      <c r="A1005" s="272"/>
      <c r="B1005" s="520" t="s">
        <v>2719</v>
      </c>
      <c r="C1005" s="1036"/>
      <c r="D1005" s="1303" t="s">
        <v>2053</v>
      </c>
      <c r="E1005" s="1303"/>
      <c r="F1005" s="1303"/>
      <c r="G1005" s="1037"/>
    </row>
    <row r="1006" spans="1:7" ht="12.75" customHeight="1">
      <c r="A1006" s="1036"/>
      <c r="B1006" s="1036"/>
      <c r="C1006" s="1036"/>
      <c r="D1006" s="1303"/>
      <c r="E1006" s="1303"/>
      <c r="F1006" s="1303"/>
      <c r="G1006" s="1037"/>
    </row>
    <row r="1007" spans="1:7" ht="12.75" customHeight="1">
      <c r="A1007" s="1036"/>
      <c r="B1007" s="1036"/>
      <c r="C1007" s="1036"/>
      <c r="D1007" s="1020"/>
      <c r="E1007" s="1037"/>
      <c r="F1007" s="1037"/>
      <c r="G1007" s="1037"/>
    </row>
    <row r="1008" spans="1:7" ht="12.75" customHeight="1">
      <c r="A1008" s="272"/>
      <c r="B1008" s="520" t="s">
        <v>2719</v>
      </c>
      <c r="C1008" s="1036"/>
      <c r="D1008" s="1321" t="s">
        <v>2054</v>
      </c>
      <c r="E1008" s="1321"/>
      <c r="F1008" s="1321"/>
      <c r="G1008" s="1037"/>
    </row>
    <row r="1009" spans="1:9" ht="12.75" customHeight="1">
      <c r="A1009" s="1036"/>
      <c r="B1009" s="1036"/>
      <c r="C1009" s="1036"/>
      <c r="D1009" s="1020"/>
      <c r="E1009" s="1037"/>
      <c r="F1009" s="1037"/>
      <c r="G1009" s="1037"/>
    </row>
    <row r="1010" spans="1:9" ht="12.75" customHeight="1">
      <c r="A1010" s="176"/>
      <c r="B1010" s="520" t="s">
        <v>2719</v>
      </c>
      <c r="C1010" s="386"/>
      <c r="D1010" s="1274" t="s">
        <v>2055</v>
      </c>
      <c r="E1010" s="1274"/>
      <c r="F1010" s="1274"/>
      <c r="G1010" s="3"/>
    </row>
    <row r="1011" spans="1:9" ht="12.75" customHeight="1">
      <c r="A1011" s="176"/>
      <c r="B1011" s="176"/>
      <c r="C1011" s="386"/>
      <c r="D1011" s="118"/>
      <c r="E1011" s="3"/>
      <c r="F1011" s="3"/>
      <c r="G1011" s="3"/>
    </row>
    <row r="1012" spans="1:9" ht="12.75" customHeight="1">
      <c r="A1012" s="176"/>
      <c r="B1012" s="520" t="s">
        <v>2719</v>
      </c>
      <c r="C1012" s="386"/>
      <c r="D1012" s="1263" t="s">
        <v>2056</v>
      </c>
      <c r="E1012" s="1263"/>
      <c r="F1012" s="1263"/>
      <c r="G1012" s="3"/>
    </row>
    <row r="1013" spans="1:9" ht="12.75" customHeight="1">
      <c r="A1013" s="176"/>
      <c r="B1013" s="176"/>
      <c r="C1013" s="386"/>
      <c r="D1013" s="1263"/>
      <c r="E1013" s="1263"/>
      <c r="F1013" s="1263"/>
      <c r="G1013" s="3"/>
    </row>
    <row r="1014" spans="1:9" ht="12.75" customHeight="1">
      <c r="A1014" s="386"/>
      <c r="B1014" s="386"/>
      <c r="C1014" s="386"/>
      <c r="D1014" s="3"/>
      <c r="E1014" s="3"/>
      <c r="F1014" s="3"/>
      <c r="G1014" s="3"/>
    </row>
    <row r="1015" spans="1:9" ht="12.75" customHeight="1">
      <c r="A1015" s="1308" t="s">
        <v>2057</v>
      </c>
      <c r="B1015" s="1308"/>
      <c r="C1015" s="1308"/>
      <c r="D1015" s="1308"/>
      <c r="E1015" s="1308"/>
      <c r="F1015" s="1308"/>
      <c r="G1015" s="1308"/>
      <c r="H1015" s="1070"/>
      <c r="I1015" s="1071"/>
    </row>
    <row r="1016" spans="1:9" ht="12.75" customHeight="1">
      <c r="A1016" s="386"/>
      <c r="B1016" s="386"/>
      <c r="C1016" s="386"/>
      <c r="D1016" s="3"/>
      <c r="E1016" s="3"/>
      <c r="F1016" s="3"/>
      <c r="G1016" s="3"/>
    </row>
    <row r="1017" spans="1:9" ht="12.75" customHeight="1">
      <c r="A1017" s="386"/>
      <c r="B1017" s="386"/>
      <c r="C1017" s="386"/>
      <c r="D1017" s="1302" t="s">
        <v>2058</v>
      </c>
      <c r="E1017" s="1302"/>
      <c r="F1017" s="1302"/>
      <c r="G1017" s="3"/>
    </row>
    <row r="1018" spans="1:9" ht="12.75" customHeight="1">
      <c r="A1018" s="386"/>
      <c r="B1018" s="386"/>
      <c r="C1018" s="386"/>
      <c r="D1018" s="1321" t="s">
        <v>2059</v>
      </c>
      <c r="E1018" s="1321"/>
      <c r="F1018" s="1321"/>
      <c r="G1018" s="3"/>
    </row>
    <row r="1019" spans="1:9" ht="12.75" customHeight="1">
      <c r="A1019" s="172"/>
      <c r="B1019" s="172"/>
      <c r="C1019" s="172"/>
      <c r="D1019" s="3"/>
      <c r="E1019" s="3"/>
      <c r="F1019" s="3"/>
      <c r="G1019" s="3"/>
    </row>
    <row r="1020" spans="1:9" ht="12.75" customHeight="1">
      <c r="A1020" s="176"/>
      <c r="B1020" s="176"/>
      <c r="C1020" s="175"/>
      <c r="D1020" s="1302" t="s">
        <v>2073</v>
      </c>
      <c r="E1020" s="1302"/>
      <c r="F1020" s="1302"/>
      <c r="G1020" s="3"/>
      <c r="I1020" s="436" t="s">
        <v>2185</v>
      </c>
    </row>
    <row r="1021" spans="1:9" ht="12.75" customHeight="1">
      <c r="A1021" s="386"/>
      <c r="B1021" s="520" t="s">
        <v>2718</v>
      </c>
      <c r="C1021" s="386"/>
      <c r="D1021" s="1321" t="s">
        <v>1427</v>
      </c>
      <c r="E1021" s="1321"/>
      <c r="F1021" s="1321"/>
      <c r="G1021" s="3"/>
    </row>
    <row r="1022" spans="1:9" ht="12.75" customHeight="1">
      <c r="A1022" s="386"/>
      <c r="B1022" s="176"/>
      <c r="C1022" s="386"/>
      <c r="D1022" s="1321" t="s">
        <v>2060</v>
      </c>
      <c r="E1022" s="1321"/>
      <c r="F1022" s="1321"/>
      <c r="G1022" s="3"/>
    </row>
    <row r="1023" spans="1:9" ht="12.75" customHeight="1">
      <c r="A1023" s="386"/>
      <c r="B1023" s="386"/>
      <c r="C1023" s="386"/>
      <c r="D1023" s="1321"/>
      <c r="E1023" s="1321"/>
      <c r="F1023" s="1321"/>
      <c r="G1023" s="3"/>
    </row>
    <row r="1024" spans="1:9" ht="12.75" customHeight="1">
      <c r="A1024" s="1308" t="s">
        <v>2069</v>
      </c>
      <c r="B1024" s="1308"/>
      <c r="C1024" s="1308"/>
      <c r="D1024" s="1308"/>
      <c r="E1024" s="1308"/>
      <c r="F1024" s="1308"/>
      <c r="G1024" s="1308"/>
      <c r="H1024" s="1070"/>
      <c r="I1024" s="1071"/>
    </row>
    <row r="1025" spans="1:9" ht="12.75" customHeight="1">
      <c r="A1025" s="118"/>
      <c r="B1025" s="118"/>
      <c r="C1025" s="386"/>
      <c r="D1025" s="3"/>
      <c r="E1025" s="3"/>
      <c r="F1025" s="3"/>
      <c r="G1025" s="3"/>
    </row>
    <row r="1026" spans="1:9" ht="12.75" customHeight="1">
      <c r="A1026" s="118"/>
      <c r="B1026" s="434"/>
      <c r="D1026" s="1310" t="s">
        <v>1428</v>
      </c>
      <c r="E1026" s="1310"/>
      <c r="F1026" s="1310"/>
      <c r="G1026" s="3"/>
    </row>
    <row r="1027" spans="1:9" ht="12.75" customHeight="1">
      <c r="A1027" s="118"/>
      <c r="B1027" s="520" t="s">
        <v>2718</v>
      </c>
      <c r="D1027" s="1312" t="s">
        <v>1427</v>
      </c>
      <c r="E1027" s="1312"/>
      <c r="F1027" s="1312"/>
      <c r="G1027" s="3"/>
    </row>
    <row r="1028" spans="1:9" ht="12.75" customHeight="1">
      <c r="A1028" s="118"/>
      <c r="B1028" s="434"/>
      <c r="D1028" s="1312" t="s">
        <v>2070</v>
      </c>
      <c r="E1028" s="1312"/>
      <c r="F1028" s="1312"/>
      <c r="G1028" s="3"/>
    </row>
    <row r="1029" spans="1:9" ht="12.75" customHeight="1">
      <c r="A1029" s="118"/>
      <c r="B1029" s="434"/>
      <c r="D1029" s="479"/>
      <c r="E1029" s="479"/>
      <c r="F1029" s="479"/>
      <c r="G1029" s="3"/>
    </row>
    <row r="1030" spans="1:9" ht="12.75" customHeight="1">
      <c r="A1030" s="118"/>
      <c r="B1030" s="118"/>
      <c r="C1030" s="386"/>
      <c r="D1030" s="1322" t="s">
        <v>1130</v>
      </c>
      <c r="E1030" s="1322"/>
      <c r="F1030" s="1322"/>
      <c r="G1030" s="3"/>
      <c r="I1030" s="436" t="s">
        <v>2214</v>
      </c>
    </row>
    <row r="1031" spans="1:9" ht="12.75" customHeight="1">
      <c r="A1031" s="346"/>
      <c r="B1031" s="346"/>
      <c r="C1031" s="346"/>
      <c r="D1031" s="1306" t="s">
        <v>1147</v>
      </c>
      <c r="E1031" s="1306"/>
      <c r="F1031" s="1306"/>
      <c r="G1031" s="98"/>
    </row>
    <row r="1032" spans="1:9" ht="12.75" customHeight="1">
      <c r="A1032" s="176"/>
      <c r="B1032" s="520" t="s">
        <v>2719</v>
      </c>
      <c r="C1032" s="386"/>
      <c r="D1032" s="1306" t="s">
        <v>1024</v>
      </c>
      <c r="E1032" s="1306"/>
      <c r="F1032" s="1306"/>
      <c r="G1032" s="3"/>
    </row>
    <row r="1033" spans="1:9" ht="12.75" customHeight="1">
      <c r="A1033" s="386"/>
      <c r="B1033" s="386"/>
      <c r="C1033" s="386"/>
      <c r="D1033" s="1079" t="s">
        <v>2297</v>
      </c>
      <c r="E1033" s="96"/>
      <c r="F1033" s="96"/>
      <c r="G1033" s="3"/>
    </row>
    <row r="1034" spans="1:9">
      <c r="A1034" s="434"/>
      <c r="B1034" s="434"/>
      <c r="C1034" s="434"/>
    </row>
    <row r="1035" spans="1:9">
      <c r="A1035" s="1308" t="s">
        <v>2090</v>
      </c>
      <c r="B1035" s="1308"/>
      <c r="C1035" s="1308"/>
      <c r="D1035" s="1308"/>
      <c r="E1035" s="1308"/>
      <c r="F1035" s="1308"/>
      <c r="G1035" s="1308"/>
      <c r="H1035" s="1070"/>
      <c r="I1035" s="1071"/>
    </row>
    <row r="1036" spans="1:9">
      <c r="A1036" s="434"/>
      <c r="B1036" s="434"/>
      <c r="C1036" s="434"/>
    </row>
    <row r="1037" spans="1:9">
      <c r="A1037" s="434"/>
      <c r="B1037" s="434"/>
      <c r="C1037" s="434"/>
      <c r="D1037" s="436" t="s">
        <v>2076</v>
      </c>
    </row>
    <row r="1038" spans="1:9">
      <c r="A1038" s="434"/>
      <c r="B1038" s="434"/>
      <c r="C1038" s="434"/>
      <c r="D1038" s="434" t="s">
        <v>2075</v>
      </c>
    </row>
    <row r="1039" spans="1:9">
      <c r="A1039" s="434"/>
      <c r="B1039" s="434"/>
      <c r="C1039" s="434"/>
      <c r="D1039" s="436"/>
    </row>
    <row r="1040" spans="1:9">
      <c r="A1040" s="434"/>
      <c r="B1040" s="520" t="s">
        <v>2719</v>
      </c>
      <c r="C1040" s="434"/>
      <c r="D1040" s="1324" t="s">
        <v>2074</v>
      </c>
      <c r="E1040" s="1324"/>
      <c r="F1040" s="1324"/>
      <c r="I1040" s="436" t="s">
        <v>2186</v>
      </c>
    </row>
    <row r="1041" spans="1:9">
      <c r="A1041" s="434"/>
      <c r="B1041" s="434"/>
      <c r="C1041" s="434"/>
      <c r="D1041" s="1324"/>
      <c r="E1041" s="1324"/>
      <c r="F1041" s="1324"/>
    </row>
    <row r="1042" spans="1:9">
      <c r="A1042" s="434"/>
      <c r="B1042" s="434"/>
      <c r="C1042" s="434"/>
      <c r="D1042" s="1324"/>
      <c r="E1042" s="1324"/>
      <c r="F1042" s="1324"/>
    </row>
    <row r="1043" spans="1:9">
      <c r="A1043" s="434"/>
      <c r="B1043" s="434"/>
      <c r="C1043" s="434"/>
      <c r="D1043" s="1324"/>
      <c r="E1043" s="1324"/>
      <c r="F1043" s="1324"/>
    </row>
    <row r="1044" spans="1:9">
      <c r="A1044" s="434"/>
      <c r="B1044" s="434"/>
      <c r="C1044" s="434"/>
    </row>
    <row r="1045" spans="1:9">
      <c r="A1045" s="434"/>
      <c r="B1045" s="434"/>
      <c r="C1045" s="434"/>
      <c r="D1045" s="436" t="s">
        <v>1483</v>
      </c>
    </row>
    <row r="1046" spans="1:9">
      <c r="A1046" s="434"/>
      <c r="B1046" s="434"/>
      <c r="C1046" s="434"/>
      <c r="D1046" s="434" t="s">
        <v>2077</v>
      </c>
    </row>
    <row r="1047" spans="1:9">
      <c r="A1047" s="434"/>
      <c r="B1047" s="434"/>
      <c r="C1047" s="434"/>
    </row>
    <row r="1048" spans="1:9">
      <c r="A1048" s="434"/>
      <c r="B1048" s="520" t="s">
        <v>2718</v>
      </c>
      <c r="C1048" s="434"/>
      <c r="D1048" s="434" t="s">
        <v>2072</v>
      </c>
      <c r="I1048" s="436" t="s">
        <v>2187</v>
      </c>
    </row>
    <row r="1049" spans="1:9">
      <c r="A1049" s="434"/>
      <c r="B1049" s="434"/>
      <c r="C1049" s="434"/>
    </row>
    <row r="1050" spans="1:9">
      <c r="A1050" s="434"/>
      <c r="B1050" s="520" t="s">
        <v>2719</v>
      </c>
      <c r="C1050" s="434"/>
      <c r="D1050" s="1324" t="s">
        <v>2078</v>
      </c>
      <c r="E1050" s="1324"/>
      <c r="F1050" s="1324"/>
      <c r="I1050" s="436" t="s">
        <v>2188</v>
      </c>
    </row>
    <row r="1051" spans="1:9">
      <c r="A1051" s="434"/>
      <c r="B1051" s="434"/>
      <c r="C1051" s="434"/>
      <c r="D1051" s="1324"/>
      <c r="E1051" s="1324"/>
      <c r="F1051" s="1324"/>
    </row>
    <row r="1052" spans="1:9">
      <c r="A1052" s="434"/>
      <c r="B1052" s="434"/>
      <c r="C1052" s="434"/>
      <c r="D1052" s="1324"/>
      <c r="E1052" s="1324"/>
      <c r="F1052" s="1324"/>
    </row>
    <row r="1053" spans="1:9">
      <c r="A1053" s="434"/>
      <c r="B1053" s="434"/>
      <c r="C1053" s="434"/>
      <c r="D1053" s="1324"/>
      <c r="E1053" s="1324"/>
      <c r="F1053" s="1324"/>
    </row>
    <row r="1054" spans="1:9">
      <c r="A1054" s="434"/>
      <c r="B1054" s="434"/>
      <c r="C1054" s="434"/>
      <c r="D1054" s="1324"/>
      <c r="E1054" s="1324"/>
      <c r="F1054" s="1324"/>
    </row>
    <row r="1055" spans="1:9">
      <c r="A1055" s="434"/>
      <c r="B1055" s="434"/>
      <c r="C1055" s="434"/>
    </row>
    <row r="1056" spans="1:9">
      <c r="A1056" s="1308" t="s">
        <v>2079</v>
      </c>
      <c r="B1056" s="1308"/>
      <c r="C1056" s="1308"/>
      <c r="D1056" s="1308"/>
      <c r="E1056" s="1308"/>
      <c r="F1056" s="1308"/>
      <c r="G1056" s="1308"/>
      <c r="H1056" s="1070"/>
      <c r="I1056" s="1071"/>
    </row>
    <row r="1057" spans="1:9">
      <c r="A1057" s="434"/>
      <c r="B1057" s="434"/>
      <c r="C1057" s="434"/>
    </row>
    <row r="1058" spans="1:9">
      <c r="A1058" s="434"/>
      <c r="B1058" s="434"/>
      <c r="C1058" s="434"/>
    </row>
    <row r="1059" spans="1:9">
      <c r="A1059" s="434"/>
      <c r="B1059" s="520" t="s">
        <v>2718</v>
      </c>
      <c r="C1059" s="434"/>
      <c r="D1059" s="562" t="s">
        <v>2082</v>
      </c>
      <c r="I1059" s="436" t="s">
        <v>2189</v>
      </c>
    </row>
    <row r="1060" spans="1:9">
      <c r="A1060" s="434"/>
      <c r="B1060" s="434"/>
      <c r="C1060" s="434"/>
      <c r="D1060" s="562" t="s">
        <v>2084</v>
      </c>
    </row>
    <row r="1061" spans="1:9">
      <c r="A1061" s="434"/>
      <c r="B1061" s="434"/>
      <c r="C1061" s="434"/>
      <c r="D1061" s="562"/>
    </row>
    <row r="1062" spans="1:9">
      <c r="A1062" s="434"/>
      <c r="B1062" s="520" t="s">
        <v>2719</v>
      </c>
      <c r="C1062" s="434"/>
      <c r="D1062" s="562" t="s">
        <v>2085</v>
      </c>
      <c r="I1062" s="436" t="s">
        <v>2190</v>
      </c>
    </row>
    <row r="1063" spans="1:9">
      <c r="A1063" s="434"/>
      <c r="B1063" s="434"/>
      <c r="C1063" s="434"/>
      <c r="D1063" s="562" t="s">
        <v>2083</v>
      </c>
    </row>
    <row r="1064" spans="1:9">
      <c r="A1064" s="434"/>
      <c r="B1064" s="434"/>
      <c r="C1064" s="434"/>
      <c r="D1064" s="562"/>
    </row>
    <row r="1065" spans="1:9">
      <c r="A1065" s="434"/>
      <c r="B1065" s="520" t="s">
        <v>2719</v>
      </c>
      <c r="C1065" s="434"/>
      <c r="D1065" s="119" t="s">
        <v>2088</v>
      </c>
      <c r="I1065" s="436" t="s">
        <v>2191</v>
      </c>
    </row>
    <row r="1066" spans="1:9">
      <c r="A1066" s="434"/>
      <c r="B1066" s="434"/>
      <c r="C1066" s="434"/>
      <c r="D1066" s="1263" t="s">
        <v>2089</v>
      </c>
      <c r="E1066" s="1263"/>
      <c r="F1066" s="1263"/>
    </row>
    <row r="1067" spans="1:9">
      <c r="A1067" s="434"/>
      <c r="B1067" s="434"/>
      <c r="C1067" s="434"/>
      <c r="D1067" s="1263"/>
      <c r="E1067" s="1263"/>
      <c r="F1067" s="1263"/>
    </row>
    <row r="1068" spans="1:9">
      <c r="A1068" s="434"/>
      <c r="B1068" s="434"/>
      <c r="C1068" s="434"/>
      <c r="D1068" s="1263"/>
      <c r="E1068" s="1263"/>
      <c r="F1068" s="1263"/>
    </row>
    <row r="1069" spans="1:9">
      <c r="A1069" s="434"/>
      <c r="B1069" s="434"/>
      <c r="C1069" s="434"/>
      <c r="D1069" s="1263"/>
      <c r="E1069" s="1263"/>
      <c r="F1069" s="1263"/>
    </row>
    <row r="1070" spans="1:9">
      <c r="A1070" s="434"/>
      <c r="B1070" s="434"/>
      <c r="C1070" s="434"/>
      <c r="D1070" s="119" t="s">
        <v>2087</v>
      </c>
    </row>
    <row r="1071" spans="1:9">
      <c r="A1071" s="434"/>
      <c r="B1071" s="434"/>
      <c r="C1071" s="434"/>
      <c r="D1071" s="119"/>
    </row>
    <row r="1072" spans="1:9">
      <c r="A1072" s="434"/>
      <c r="B1072" s="434"/>
      <c r="C1072" s="434"/>
      <c r="D1072" s="562" t="s">
        <v>2080</v>
      </c>
      <c r="I1072" s="436" t="s">
        <v>2192</v>
      </c>
    </row>
    <row r="1073" spans="1:9">
      <c r="A1073" s="434"/>
      <c r="B1073" s="520" t="s">
        <v>2719</v>
      </c>
      <c r="C1073" s="434"/>
      <c r="D1073" s="1323" t="s">
        <v>2081</v>
      </c>
      <c r="E1073" s="1323"/>
      <c r="F1073" s="1323"/>
    </row>
    <row r="1074" spans="1:9">
      <c r="A1074" s="434"/>
      <c r="B1074" s="434"/>
      <c r="C1074" s="434"/>
      <c r="D1074" s="1323"/>
      <c r="E1074" s="1323"/>
      <c r="F1074" s="1323"/>
    </row>
    <row r="1075" spans="1:9">
      <c r="A1075" s="434"/>
      <c r="B1075" s="434"/>
      <c r="C1075" s="434"/>
      <c r="D1075" s="1323"/>
      <c r="E1075" s="1323"/>
      <c r="F1075" s="1323"/>
    </row>
    <row r="1076" spans="1:9">
      <c r="A1076" s="434"/>
      <c r="B1076" s="434"/>
      <c r="C1076" s="434"/>
      <c r="D1076" s="1323"/>
      <c r="E1076" s="1323"/>
      <c r="F1076" s="1323"/>
    </row>
    <row r="1077" spans="1:9">
      <c r="A1077" s="434"/>
      <c r="B1077" s="434"/>
      <c r="C1077" s="434"/>
      <c r="D1077" s="1323"/>
      <c r="E1077" s="1323"/>
      <c r="F1077" s="1323"/>
    </row>
    <row r="1078" spans="1:9">
      <c r="A1078" s="434"/>
      <c r="B1078" s="434"/>
      <c r="C1078" s="434"/>
      <c r="D1078" s="562" t="s">
        <v>2086</v>
      </c>
    </row>
    <row r="1079" spans="1:9">
      <c r="A1079" s="434"/>
      <c r="B1079" s="434"/>
      <c r="C1079" s="434"/>
    </row>
    <row r="1080" spans="1:9">
      <c r="A1080" s="1308" t="s">
        <v>2091</v>
      </c>
      <c r="B1080" s="1308"/>
      <c r="C1080" s="1308"/>
      <c r="D1080" s="1308"/>
      <c r="E1080" s="1308"/>
      <c r="F1080" s="1308"/>
      <c r="G1080" s="1308"/>
      <c r="H1080" s="1070"/>
      <c r="I1080" s="1071"/>
    </row>
    <row r="1081" spans="1:9">
      <c r="A1081" s="434"/>
      <c r="B1081" s="434"/>
      <c r="C1081" s="434"/>
    </row>
    <row r="1082" spans="1:9">
      <c r="A1082" s="434"/>
      <c r="B1082" s="434"/>
      <c r="C1082" s="434"/>
    </row>
    <row r="1083" spans="1:9" ht="12.75" customHeight="1">
      <c r="A1083" s="434"/>
      <c r="B1083" s="520" t="s">
        <v>2719</v>
      </c>
      <c r="C1083" s="434"/>
      <c r="D1083" s="1325" t="s">
        <v>2309</v>
      </c>
      <c r="E1083" s="1325"/>
      <c r="F1083" s="1325"/>
      <c r="I1083" s="436" t="s">
        <v>2193</v>
      </c>
    </row>
    <row r="1084" spans="1:9">
      <c r="A1084" s="434"/>
      <c r="B1084" s="434"/>
      <c r="C1084" s="434"/>
      <c r="D1084" s="1325"/>
      <c r="E1084" s="1325"/>
      <c r="F1084" s="1325"/>
    </row>
    <row r="1085" spans="1:9">
      <c r="A1085" s="434"/>
      <c r="B1085" s="434"/>
      <c r="C1085" s="434"/>
      <c r="D1085" s="1326" t="s">
        <v>2621</v>
      </c>
      <c r="E1085" s="1263"/>
      <c r="F1085" s="1263"/>
    </row>
    <row r="1086" spans="1:9">
      <c r="A1086" s="434"/>
      <c r="B1086" s="434"/>
      <c r="C1086" s="434"/>
      <c r="D1086" s="562"/>
    </row>
    <row r="1087" spans="1:9">
      <c r="A1087" s="434"/>
      <c r="B1087" s="520" t="s">
        <v>2719</v>
      </c>
      <c r="C1087" s="434"/>
      <c r="D1087" s="1323" t="s">
        <v>2092</v>
      </c>
      <c r="E1087" s="1323"/>
      <c r="F1087" s="1323"/>
      <c r="I1087" s="436" t="s">
        <v>2194</v>
      </c>
    </row>
    <row r="1088" spans="1:9">
      <c r="A1088" s="434"/>
      <c r="B1088" s="434"/>
      <c r="C1088" s="434"/>
      <c r="D1088" s="1323"/>
      <c r="E1088" s="1323"/>
      <c r="F1088" s="1323"/>
    </row>
    <row r="1089" spans="1:9">
      <c r="A1089" s="434"/>
      <c r="B1089" s="434"/>
      <c r="C1089" s="434"/>
      <c r="D1089" s="562"/>
    </row>
    <row r="1090" spans="1:9">
      <c r="A1090" s="434"/>
      <c r="B1090" s="520" t="s">
        <v>2719</v>
      </c>
      <c r="C1090" s="434"/>
      <c r="D1090" s="1323" t="s">
        <v>2238</v>
      </c>
      <c r="E1090" s="1323"/>
      <c r="F1090" s="1323"/>
      <c r="I1090" s="436" t="s">
        <v>2236</v>
      </c>
    </row>
    <row r="1091" spans="1:9">
      <c r="A1091" s="434"/>
      <c r="B1091" s="434"/>
      <c r="C1091" s="434"/>
      <c r="D1091" s="1323"/>
      <c r="E1091" s="1323"/>
      <c r="F1091" s="1323"/>
    </row>
    <row r="1092" spans="1:9">
      <c r="A1092" s="434"/>
      <c r="B1092" s="434"/>
      <c r="C1092" s="434"/>
      <c r="D1092" s="1323"/>
      <c r="E1092" s="1323"/>
      <c r="F1092" s="1323"/>
    </row>
    <row r="1093" spans="1:9">
      <c r="A1093" s="434"/>
      <c r="B1093" s="434"/>
      <c r="C1093" s="434"/>
      <c r="D1093" s="1323"/>
      <c r="E1093" s="1323"/>
      <c r="F1093" s="1323"/>
    </row>
    <row r="1094" spans="1:9">
      <c r="A1094" s="434"/>
      <c r="B1094" s="434"/>
      <c r="C1094" s="434"/>
      <c r="D1094" s="1323"/>
      <c r="E1094" s="1323"/>
      <c r="F1094" s="1323"/>
    </row>
    <row r="1095" spans="1:9">
      <c r="A1095" s="434"/>
      <c r="B1095" s="434"/>
      <c r="C1095" s="434"/>
      <c r="D1095" s="1323"/>
      <c r="E1095" s="1323"/>
      <c r="F1095" s="1323"/>
    </row>
    <row r="1096" spans="1:9">
      <c r="A1096" s="434"/>
      <c r="B1096" s="434"/>
      <c r="C1096" s="434"/>
      <c r="D1096" s="562" t="s">
        <v>2237</v>
      </c>
      <c r="I1096" s="434"/>
    </row>
    <row r="1097" spans="1:9">
      <c r="A1097" s="434"/>
      <c r="B1097" s="520" t="s">
        <v>2719</v>
      </c>
      <c r="C1097" s="434"/>
      <c r="D1097" s="1323" t="s">
        <v>2093</v>
      </c>
      <c r="E1097" s="1323"/>
      <c r="F1097" s="1323"/>
      <c r="I1097" s="436" t="s">
        <v>2195</v>
      </c>
    </row>
    <row r="1098" spans="1:9">
      <c r="A1098" s="434"/>
      <c r="B1098" s="434"/>
      <c r="C1098" s="434"/>
      <c r="D1098" s="1323"/>
      <c r="E1098" s="1323"/>
      <c r="F1098" s="1323"/>
    </row>
    <row r="1099" spans="1:9">
      <c r="A1099" s="434"/>
      <c r="B1099" s="434"/>
      <c r="C1099" s="434"/>
      <c r="D1099" s="1323"/>
      <c r="E1099" s="1323"/>
      <c r="F1099" s="1323"/>
    </row>
    <row r="1100" spans="1:9">
      <c r="A1100" s="434"/>
      <c r="B1100" s="434"/>
      <c r="C1100" s="434"/>
      <c r="D1100" s="562"/>
    </row>
    <row r="1101" spans="1:9">
      <c r="A1101" s="434"/>
      <c r="B1101" s="520" t="s">
        <v>2718</v>
      </c>
      <c r="C1101" s="434"/>
      <c r="D1101" s="1267" t="s">
        <v>2239</v>
      </c>
      <c r="E1101" s="1267"/>
      <c r="F1101" s="1267"/>
      <c r="I1101" s="436" t="s">
        <v>2196</v>
      </c>
    </row>
    <row r="1102" spans="1:9">
      <c r="A1102" s="434"/>
      <c r="B1102" s="434"/>
      <c r="C1102" s="434"/>
      <c r="D1102" s="1267"/>
      <c r="E1102" s="1267"/>
      <c r="F1102" s="1267"/>
    </row>
    <row r="1103" spans="1:9">
      <c r="A1103" s="434"/>
      <c r="B1103" s="434"/>
      <c r="C1103" s="434"/>
      <c r="D1103" s="1267"/>
      <c r="E1103" s="1267"/>
      <c r="F1103" s="1267"/>
    </row>
    <row r="1104" spans="1:9">
      <c r="A1104" s="434"/>
      <c r="B1104" s="434"/>
      <c r="C1104" s="434"/>
      <c r="D1104" s="1016"/>
      <c r="E1104" s="1016"/>
      <c r="F1104" s="1016"/>
    </row>
    <row r="1105" spans="1:9" ht="15.75" customHeight="1">
      <c r="A1105" s="434"/>
      <c r="B1105" s="520" t="s">
        <v>2719</v>
      </c>
      <c r="C1105" s="434"/>
      <c r="D1105" s="1263" t="s">
        <v>2241</v>
      </c>
      <c r="E1105" s="1263"/>
      <c r="F1105" s="1263"/>
      <c r="I1105" s="436" t="s">
        <v>2240</v>
      </c>
    </row>
    <row r="1106" spans="1:9">
      <c r="A1106" s="434"/>
      <c r="B1106" s="434"/>
      <c r="C1106" s="434"/>
      <c r="D1106" s="1263"/>
      <c r="E1106" s="1263"/>
      <c r="F1106" s="1263"/>
    </row>
    <row r="1107" spans="1:9">
      <c r="A1107" s="434"/>
      <c r="B1107" s="434"/>
      <c r="C1107" s="434"/>
      <c r="D1107" s="1263"/>
      <c r="E1107" s="1263"/>
      <c r="F1107" s="1263"/>
    </row>
    <row r="1108" spans="1:9">
      <c r="A1108" s="434"/>
      <c r="B1108" s="434"/>
      <c r="C1108" s="434"/>
      <c r="D1108" s="1263"/>
      <c r="E1108" s="1263"/>
      <c r="F1108" s="1263"/>
    </row>
    <row r="1109" spans="1:9">
      <c r="A1109" s="434"/>
      <c r="B1109" s="434"/>
      <c r="C1109" s="434"/>
      <c r="D1109" s="1016"/>
      <c r="E1109" s="1016"/>
      <c r="F1109" s="1016"/>
    </row>
    <row r="1110" spans="1:9" ht="38.25">
      <c r="A1110" s="434"/>
      <c r="B1110" s="434"/>
      <c r="C1110" s="434"/>
      <c r="I1110" s="448" t="s">
        <v>2471</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9"/>
      <c r="H1523" s="1289"/>
      <c r="I1523" s="1289"/>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zoomScaleNormal="100" zoomScaleSheetLayoutView="80" workbookViewId="0">
      <selection activeCell="X724" sqref="X724:AB724"/>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4">
        <v>4</v>
      </c>
    </row>
    <row r="2" spans="1:51" ht="12.95" customHeight="1"/>
    <row r="3" spans="1:51" ht="12.95" customHeight="1"/>
    <row r="4" spans="1:51" ht="12.95" customHeight="1"/>
    <row r="5" spans="1:51" ht="12.95" customHeight="1"/>
    <row r="6" spans="1:51" ht="12.95" customHeight="1"/>
    <row r="7" spans="1:51" ht="12.95" customHeight="1"/>
    <row r="8" spans="1:51" ht="26.25" customHeight="1">
      <c r="A8" s="1595" t="s">
        <v>101</v>
      </c>
      <c r="B8" s="1595"/>
      <c r="C8" s="1595"/>
      <c r="D8" s="1595"/>
      <c r="E8" s="1595"/>
      <c r="F8" s="1595"/>
      <c r="G8" s="1595"/>
      <c r="H8" s="1595"/>
      <c r="I8" s="1595"/>
      <c r="J8" s="1595"/>
      <c r="K8" s="1595"/>
      <c r="L8" s="1595"/>
      <c r="M8" s="1595"/>
      <c r="N8" s="1595"/>
      <c r="O8" s="1595"/>
      <c r="P8" s="1595"/>
      <c r="Q8" s="1595"/>
      <c r="R8" s="1595"/>
      <c r="S8" s="1595"/>
      <c r="T8" s="1595"/>
      <c r="U8" s="1595"/>
      <c r="V8" s="1595"/>
      <c r="W8" s="1595"/>
      <c r="X8" s="1595"/>
      <c r="Y8" s="1595"/>
      <c r="Z8" s="1595"/>
      <c r="AA8" s="1595"/>
      <c r="AB8" s="1595"/>
      <c r="AC8" s="1595"/>
      <c r="AD8" s="1595"/>
      <c r="AE8" s="1595"/>
      <c r="AF8" s="1595"/>
      <c r="AG8" s="1595"/>
      <c r="AH8" s="1595"/>
      <c r="AI8" s="1595"/>
      <c r="AJ8" s="1595"/>
      <c r="AK8" s="1595"/>
      <c r="AL8" s="1595"/>
      <c r="AM8" s="935"/>
      <c r="AN8" s="935"/>
      <c r="AO8" s="935"/>
      <c r="AP8" s="935"/>
      <c r="AQ8" s="935"/>
      <c r="AR8" s="935"/>
      <c r="AS8" s="935"/>
      <c r="AT8" s="935"/>
      <c r="AU8" s="935"/>
      <c r="AV8" s="935"/>
      <c r="AW8" s="935"/>
      <c r="AX8" s="935"/>
      <c r="AY8" s="935"/>
    </row>
    <row r="9" spans="1:51" ht="12.95" customHeight="1">
      <c r="A9" s="1299" t="s">
        <v>2477</v>
      </c>
      <c r="B9" s="1299"/>
      <c r="C9" s="1299"/>
      <c r="D9" s="1299"/>
      <c r="E9" s="1299"/>
      <c r="F9" s="1299"/>
      <c r="G9" s="1299"/>
      <c r="H9" s="1299"/>
      <c r="I9" s="1299"/>
      <c r="J9" s="1299"/>
      <c r="K9" s="1299"/>
      <c r="L9" s="1299"/>
      <c r="M9" s="1299"/>
      <c r="N9" s="1299"/>
      <c r="O9" s="1299"/>
      <c r="P9" s="1299"/>
      <c r="Q9" s="1299"/>
      <c r="R9" s="1299"/>
      <c r="S9" s="1299"/>
      <c r="T9" s="1299"/>
      <c r="U9" s="1299"/>
      <c r="V9" s="1299"/>
      <c r="W9" s="1299"/>
      <c r="X9" s="1299"/>
      <c r="Y9" s="1299"/>
      <c r="Z9" s="1299"/>
      <c r="AA9" s="1299"/>
      <c r="AB9" s="1299"/>
      <c r="AC9" s="1299"/>
      <c r="AD9" s="1299"/>
      <c r="AE9" s="1299"/>
      <c r="AF9" s="1299"/>
      <c r="AG9" s="1299"/>
      <c r="AH9" s="1299"/>
      <c r="AI9" s="1299"/>
      <c r="AJ9" s="1299"/>
      <c r="AK9" s="1299"/>
      <c r="AL9" s="1299"/>
      <c r="AM9" s="13"/>
      <c r="AN9" s="13"/>
      <c r="AO9" s="13"/>
      <c r="AP9" s="13"/>
      <c r="AQ9" s="13"/>
      <c r="AR9" s="13"/>
      <c r="AS9" s="13"/>
      <c r="AT9" s="13"/>
      <c r="AU9" s="13"/>
      <c r="AV9" s="13"/>
      <c r="AW9" s="13"/>
      <c r="AX9" s="13"/>
      <c r="AY9" s="13"/>
    </row>
    <row r="10" spans="1:51" ht="12.95" customHeight="1">
      <c r="A10" s="1299" t="s">
        <v>2611</v>
      </c>
      <c r="B10" s="1299"/>
      <c r="C10" s="1299"/>
      <c r="D10" s="1299"/>
      <c r="E10" s="1299"/>
      <c r="F10" s="1299"/>
      <c r="G10" s="1299"/>
      <c r="H10" s="1299"/>
      <c r="I10" s="1299"/>
      <c r="J10" s="1299"/>
      <c r="K10" s="1299"/>
      <c r="L10" s="1299"/>
      <c r="M10" s="1299"/>
      <c r="N10" s="1299"/>
      <c r="O10" s="1299"/>
      <c r="P10" s="1299"/>
      <c r="Q10" s="1299"/>
      <c r="R10" s="1299"/>
      <c r="S10" s="1299"/>
      <c r="T10" s="1299"/>
      <c r="U10" s="1299"/>
      <c r="V10" s="1299"/>
      <c r="W10" s="1299"/>
      <c r="X10" s="1299"/>
      <c r="Y10" s="1299"/>
      <c r="Z10" s="1299"/>
      <c r="AA10" s="1299"/>
      <c r="AB10" s="1299"/>
      <c r="AC10" s="1299"/>
      <c r="AD10" s="1299"/>
      <c r="AE10" s="1299"/>
      <c r="AF10" s="1299"/>
      <c r="AG10" s="1299"/>
      <c r="AH10" s="1299"/>
      <c r="AI10" s="1299"/>
      <c r="AJ10" s="1299"/>
      <c r="AK10" s="1299"/>
      <c r="AL10" s="1299"/>
      <c r="AM10" s="13"/>
      <c r="AN10" s="13"/>
      <c r="AO10" s="13"/>
      <c r="AP10" s="13"/>
      <c r="AQ10" s="13"/>
      <c r="AR10" s="13"/>
      <c r="AS10" s="13"/>
      <c r="AT10" s="13"/>
      <c r="AU10" s="13"/>
      <c r="AV10" s="13"/>
      <c r="AW10" s="13"/>
      <c r="AX10" s="13"/>
      <c r="AY10" s="13"/>
    </row>
    <row r="11" spans="1:51" ht="12.95" customHeight="1">
      <c r="A11" s="1299" t="s">
        <v>1836</v>
      </c>
      <c r="B11" s="1299"/>
      <c r="C11" s="1299"/>
      <c r="D11" s="1299"/>
      <c r="E11" s="1299"/>
      <c r="F11" s="1299"/>
      <c r="G11" s="1299"/>
      <c r="H11" s="1299"/>
      <c r="I11" s="1299"/>
      <c r="J11" s="1299"/>
      <c r="K11" s="1299"/>
      <c r="L11" s="1299"/>
      <c r="M11" s="1299"/>
      <c r="N11" s="1299"/>
      <c r="O11" s="1299"/>
      <c r="P11" s="1299"/>
      <c r="Q11" s="1299"/>
      <c r="R11" s="1299"/>
      <c r="S11" s="1299"/>
      <c r="T11" s="1299"/>
      <c r="U11" s="1299"/>
      <c r="V11" s="1299"/>
      <c r="W11" s="1299"/>
      <c r="X11" s="1299"/>
      <c r="Y11" s="1299"/>
      <c r="Z11" s="1299"/>
      <c r="AA11" s="1299"/>
      <c r="AB11" s="1299"/>
      <c r="AC11" s="1299"/>
      <c r="AD11" s="1299"/>
      <c r="AE11" s="1299"/>
      <c r="AF11" s="1299"/>
      <c r="AG11" s="1299"/>
      <c r="AH11" s="1299"/>
      <c r="AI11" s="1299"/>
      <c r="AJ11" s="1299"/>
      <c r="AK11" s="1299"/>
      <c r="AL11" s="1299"/>
      <c r="AM11" s="13"/>
      <c r="AN11" s="13"/>
      <c r="AO11" s="13"/>
      <c r="AP11" s="13"/>
      <c r="AQ11" s="13"/>
      <c r="AR11" s="13"/>
      <c r="AS11" s="13"/>
      <c r="AT11" s="13"/>
      <c r="AU11" s="13"/>
      <c r="AV11" s="13"/>
      <c r="AW11" s="13"/>
      <c r="AX11" s="13"/>
      <c r="AY11" s="13"/>
    </row>
    <row r="12" spans="1:51" ht="12.95" customHeight="1">
      <c r="A12" s="1760" t="s">
        <v>2619</v>
      </c>
      <c r="B12" s="1761"/>
      <c r="C12" s="1761"/>
      <c r="D12" s="1761"/>
      <c r="E12" s="1761"/>
      <c r="F12" s="1761"/>
      <c r="G12" s="1761"/>
      <c r="H12" s="1761"/>
      <c r="I12" s="1761"/>
      <c r="J12" s="1761"/>
      <c r="K12" s="1761"/>
      <c r="L12" s="1761"/>
      <c r="M12" s="1761"/>
      <c r="N12" s="1761"/>
      <c r="O12" s="1761"/>
      <c r="P12" s="1761"/>
      <c r="Q12" s="1761"/>
      <c r="R12" s="1761"/>
      <c r="S12" s="1761"/>
      <c r="T12" s="1761"/>
      <c r="U12" s="1761"/>
      <c r="V12" s="1761"/>
      <c r="W12" s="1761"/>
      <c r="X12" s="1761"/>
      <c r="Y12" s="1761"/>
      <c r="Z12" s="1761"/>
      <c r="AA12" s="1761"/>
      <c r="AB12" s="1761"/>
      <c r="AC12" s="1761"/>
      <c r="AD12" s="1761"/>
      <c r="AE12" s="1761"/>
      <c r="AF12" s="1761"/>
      <c r="AG12" s="1761"/>
      <c r="AH12" s="1761"/>
      <c r="AI12" s="1761"/>
      <c r="AJ12" s="1761"/>
      <c r="AK12" s="1761"/>
      <c r="AL12" s="1761"/>
      <c r="AM12" s="6"/>
      <c r="AN12" s="6"/>
      <c r="AO12" s="6"/>
      <c r="AP12" s="6"/>
      <c r="AQ12" s="6"/>
      <c r="AR12" s="6"/>
      <c r="AS12" s="6"/>
      <c r="AT12" s="6"/>
      <c r="AU12" s="6"/>
      <c r="AV12" s="6"/>
      <c r="AW12" s="6"/>
      <c r="AX12" s="6"/>
      <c r="AY12" s="6"/>
    </row>
    <row r="13" spans="1:51" ht="12.95" customHeight="1">
      <c r="A13" s="1261" t="s">
        <v>2478</v>
      </c>
      <c r="B13" s="1261"/>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1261"/>
      <c r="AM13" s="936"/>
      <c r="AN13" s="936"/>
      <c r="AO13" s="936"/>
      <c r="AP13" s="936"/>
      <c r="AQ13" s="936"/>
      <c r="AR13" s="936"/>
      <c r="AS13" s="936"/>
      <c r="AT13" s="936"/>
      <c r="AU13" s="936"/>
      <c r="AV13" s="936"/>
      <c r="AW13" s="936"/>
      <c r="AX13" s="936"/>
      <c r="AY13" s="936"/>
    </row>
    <row r="14" spans="1:51" ht="12.95" customHeight="1" thickBot="1">
      <c r="A14" s="1262"/>
      <c r="B14" s="1262"/>
      <c r="C14" s="1262"/>
      <c r="D14" s="1262"/>
      <c r="E14" s="1262"/>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1262"/>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2479</v>
      </c>
      <c r="C16" s="4"/>
      <c r="D16" s="4"/>
      <c r="E16" s="4"/>
      <c r="F16" s="4"/>
      <c r="G16" s="4"/>
      <c r="H16" s="1764" t="s">
        <v>2672</v>
      </c>
      <c r="I16" s="1754"/>
      <c r="J16" s="1754"/>
      <c r="K16" s="1754"/>
      <c r="L16" s="1754"/>
      <c r="M16" s="1754"/>
      <c r="N16" s="1754"/>
      <c r="O16" s="1754"/>
      <c r="P16" s="1754"/>
      <c r="Q16" s="1754"/>
      <c r="R16" s="1754"/>
      <c r="S16" s="1754"/>
      <c r="T16" s="1754"/>
      <c r="U16" s="1754"/>
      <c r="V16" s="1754"/>
      <c r="W16" s="1754"/>
      <c r="X16" s="1754"/>
      <c r="Y16" s="1754"/>
      <c r="Z16" s="1754"/>
      <c r="AA16" s="1754"/>
      <c r="AB16" s="1754"/>
      <c r="AC16" s="1754"/>
      <c r="AD16" s="1754"/>
      <c r="AE16" s="1754"/>
      <c r="AF16" s="1754"/>
      <c r="AG16" s="1754"/>
      <c r="AH16" s="1754"/>
      <c r="AI16" s="1754"/>
      <c r="AJ16" s="1754"/>
    </row>
    <row r="17" spans="1:52" ht="12.95" customHeight="1"/>
    <row r="18" spans="1:52" ht="12.95" customHeight="1">
      <c r="A18" s="57" t="s">
        <v>102</v>
      </c>
      <c r="C18" s="4"/>
      <c r="D18" s="4"/>
      <c r="E18" s="4"/>
      <c r="F18" s="4"/>
      <c r="G18" s="4"/>
      <c r="H18" s="1353" t="s">
        <v>2622</v>
      </c>
      <c r="I18" s="1647"/>
      <c r="J18" s="1647"/>
      <c r="K18" s="1647"/>
      <c r="L18" s="1647"/>
      <c r="M18" s="1647"/>
      <c r="N18" s="1647"/>
      <c r="O18" s="1647"/>
      <c r="P18" s="1647"/>
      <c r="Q18" s="1647"/>
      <c r="R18" s="1647"/>
      <c r="S18" s="1647"/>
      <c r="T18" s="1647"/>
      <c r="U18" s="1647"/>
      <c r="V18" s="1647"/>
      <c r="W18" s="1647"/>
      <c r="X18" s="1647"/>
      <c r="Y18" s="1647"/>
      <c r="Z18" s="1647"/>
      <c r="AA18" s="1647"/>
      <c r="AB18" s="1647"/>
      <c r="AC18" s="1647"/>
      <c r="AD18" s="1647"/>
      <c r="AE18" s="1647"/>
      <c r="AF18" s="1647"/>
      <c r="AG18" s="1647"/>
      <c r="AH18" s="1647"/>
      <c r="AI18" s="1647"/>
      <c r="AJ18" s="1647"/>
    </row>
    <row r="19" spans="1:52" ht="12.95" customHeight="1"/>
    <row r="20" spans="1:52" ht="12.95" customHeight="1">
      <c r="A20" s="1775" t="s">
        <v>901</v>
      </c>
      <c r="B20" s="1775"/>
      <c r="C20" s="1775"/>
      <c r="D20" s="1775"/>
      <c r="E20" s="1775"/>
      <c r="F20" s="1775"/>
      <c r="G20" s="1775"/>
      <c r="H20" s="1775"/>
      <c r="I20" s="1775"/>
      <c r="J20" s="1775"/>
      <c r="K20" s="1775"/>
      <c r="L20" s="1775"/>
      <c r="M20" s="1775"/>
      <c r="N20" s="1775"/>
      <c r="O20" s="1775"/>
      <c r="P20" s="1775"/>
      <c r="Q20" s="1775"/>
      <c r="R20" s="1775"/>
      <c r="S20" s="1775"/>
      <c r="T20" s="1775"/>
      <c r="U20" s="1775"/>
      <c r="V20" s="1775"/>
      <c r="W20" s="1775"/>
      <c r="X20" s="1775"/>
      <c r="Y20" s="1775"/>
      <c r="Z20" s="1775"/>
      <c r="AA20" s="1775"/>
      <c r="AB20" s="1775"/>
      <c r="AC20" s="1775"/>
      <c r="AD20" s="1775"/>
      <c r="AE20" s="1775"/>
      <c r="AF20" s="1775"/>
      <c r="AG20" s="1775"/>
      <c r="AH20" s="1775"/>
      <c r="AI20" s="1775"/>
      <c r="AJ20" s="1775"/>
      <c r="AK20" s="1775"/>
      <c r="AL20" s="1775"/>
      <c r="AM20" s="937"/>
      <c r="AN20" s="937"/>
      <c r="AO20" s="937"/>
      <c r="AP20" s="937"/>
      <c r="AQ20" s="937"/>
      <c r="AR20" s="937"/>
      <c r="AS20" s="937"/>
      <c r="AT20" s="937"/>
      <c r="AU20" s="937"/>
      <c r="AV20" s="937"/>
      <c r="AW20" s="937"/>
      <c r="AX20" s="937"/>
      <c r="AY20" s="937"/>
    </row>
    <row r="21" spans="1:52" ht="12.95" customHeight="1">
      <c r="A21" s="1765" t="s">
        <v>1064</v>
      </c>
      <c r="B21" s="1765"/>
      <c r="C21" s="1765"/>
      <c r="D21" s="1765"/>
      <c r="E21" s="1765"/>
      <c r="F21" s="1765"/>
      <c r="G21" s="1765"/>
      <c r="H21" s="1765"/>
      <c r="I21" s="1765"/>
      <c r="J21" s="1765"/>
      <c r="K21" s="1765"/>
      <c r="L21" s="1765"/>
      <c r="M21" s="1765"/>
      <c r="N21" s="1765"/>
      <c r="O21" s="1765"/>
      <c r="P21" s="1765"/>
      <c r="Q21" s="1765"/>
      <c r="R21" s="1765"/>
      <c r="S21" s="1765"/>
      <c r="T21" s="1765"/>
      <c r="U21" s="1765"/>
      <c r="V21" s="1765"/>
      <c r="W21" s="1765"/>
      <c r="X21" s="1765"/>
      <c r="Y21" s="1765"/>
      <c r="Z21" s="1765"/>
      <c r="AA21" s="1765"/>
      <c r="AB21" s="1765"/>
      <c r="AC21" s="1765"/>
      <c r="AD21" s="1765"/>
      <c r="AE21" s="1765"/>
      <c r="AF21" s="1765"/>
      <c r="AG21" s="1765"/>
      <c r="AH21" s="1765"/>
      <c r="AI21" s="1765"/>
      <c r="AJ21" s="1765"/>
      <c r="AK21" s="1765"/>
      <c r="AL21" s="1765"/>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2480</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1025</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63">
        <f>'Basis &amp; Credits'!AB56</f>
        <v>4376721</v>
      </c>
      <c r="N26" s="1763"/>
      <c r="O26" s="1763"/>
      <c r="P26" s="1763"/>
      <c r="Q26" s="1763"/>
      <c r="R26" s="4" t="s">
        <v>783</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91">
        <f>'Basis &amp; Credits'!AB77</f>
        <v>24990312</v>
      </c>
      <c r="N27" s="1391"/>
      <c r="O27" s="1391"/>
      <c r="P27" s="1391"/>
      <c r="Q27" s="1391"/>
      <c r="R27" s="3" t="s">
        <v>1423</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2481</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1434</v>
      </c>
      <c r="C33" s="554"/>
      <c r="D33" s="554"/>
      <c r="E33" s="554"/>
      <c r="F33" s="554"/>
      <c r="G33" s="554"/>
      <c r="H33" s="554"/>
      <c r="I33" s="554"/>
      <c r="J33" s="554"/>
      <c r="K33" s="554"/>
      <c r="L33" s="554"/>
      <c r="M33" s="554"/>
      <c r="N33" s="554"/>
      <c r="O33" s="1375" t="s">
        <v>554</v>
      </c>
      <c r="P33" s="1375"/>
      <c r="Q33" s="554" t="s">
        <v>1435</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1437</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1436</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1438</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1439</v>
      </c>
      <c r="AZ37" s="20"/>
    </row>
    <row r="38" spans="1:52" ht="12.95" customHeight="1">
      <c r="A38" s="3" t="s">
        <v>1440</v>
      </c>
      <c r="AZ38" s="20"/>
    </row>
    <row r="39" spans="1:52" ht="12.95" customHeight="1">
      <c r="AZ39" s="20"/>
    </row>
    <row r="40" spans="1:52" ht="12.95" customHeight="1">
      <c r="A40" s="554" t="s">
        <v>2482</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2483</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1463</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2484</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1464</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2485</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1465</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1466</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1467</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2486</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1468</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1469</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1028</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1029</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1030</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1031</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2487</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1032</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2488</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2489</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2490</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1068</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2491</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1033</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1027</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1026</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2492</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2493</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1036</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1035</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1034</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2494</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2495</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1392</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1393</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1394</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1395</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1396</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1397</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1398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1076</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2496</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1078</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1077</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2497</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780</v>
      </c>
      <c r="B117" s="22"/>
      <c r="C117" s="22"/>
    </row>
    <row r="118" spans="1:51" ht="12.95" customHeight="1"/>
    <row r="119" spans="1:51" ht="12.95" customHeight="1">
      <c r="A119" s="91" t="s">
        <v>2498</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762">
        <v>20</v>
      </c>
      <c r="H122" s="1762"/>
      <c r="I122" s="3" t="s">
        <v>183</v>
      </c>
      <c r="L122" s="1762" t="s">
        <v>2716</v>
      </c>
      <c r="M122" s="1762"/>
      <c r="N122" s="1762"/>
      <c r="O122" s="1773" t="s">
        <v>2717</v>
      </c>
      <c r="P122" s="1773"/>
      <c r="Q122" s="1773"/>
      <c r="R122" s="1773"/>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821" t="s">
        <v>2624</v>
      </c>
      <c r="D124" s="1821"/>
      <c r="E124" s="1821"/>
      <c r="F124" s="1821"/>
      <c r="G124" s="1821"/>
      <c r="H124" s="1821"/>
      <c r="I124" s="1821"/>
      <c r="J124" s="1821"/>
      <c r="K124" s="1821"/>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637</v>
      </c>
      <c r="Y126" s="1762"/>
      <c r="Z126" s="1762"/>
      <c r="AA126" s="1762"/>
      <c r="AB126" s="1762"/>
      <c r="AC126" s="1762"/>
      <c r="AD126" s="1762"/>
      <c r="AE126" s="1762"/>
      <c r="AF126" s="1762"/>
      <c r="AG126" s="1762"/>
      <c r="AH126" s="1762"/>
      <c r="AI126" s="1762"/>
      <c r="AJ126" s="1762"/>
      <c r="AK126" s="1762"/>
    </row>
    <row r="127" spans="1:51" ht="12.95"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762" t="s">
        <v>2671</v>
      </c>
      <c r="Z129" s="1762"/>
      <c r="AA129" s="1762"/>
      <c r="AB129" s="1762"/>
      <c r="AC129" s="1762"/>
      <c r="AD129" s="1762"/>
      <c r="AE129" s="1762"/>
      <c r="AF129" s="1762"/>
      <c r="AG129" s="1762"/>
      <c r="AH129" s="1762"/>
      <c r="AI129" s="1762"/>
      <c r="AJ129" s="1762"/>
      <c r="AK129" s="1762"/>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762" t="s">
        <v>2686</v>
      </c>
      <c r="Z132" s="1762"/>
      <c r="AA132" s="1762"/>
      <c r="AB132" s="1762"/>
      <c r="AC132" s="1762"/>
      <c r="AD132" s="1762"/>
      <c r="AE132" s="1762"/>
      <c r="AF132" s="1762"/>
      <c r="AG132" s="1762"/>
      <c r="AH132" s="1762"/>
      <c r="AI132" s="1762"/>
      <c r="AJ132" s="1762"/>
      <c r="AK132" s="1762"/>
      <c r="AL132" s="3"/>
      <c r="AM132" s="3"/>
      <c r="AN132" s="3"/>
      <c r="AO132" s="3"/>
      <c r="AP132" s="3"/>
      <c r="AQ132" s="3"/>
      <c r="AR132" s="3"/>
      <c r="AS132" s="3"/>
      <c r="AT132" s="3"/>
      <c r="AU132" s="3"/>
      <c r="AV132" s="3"/>
      <c r="AW132" s="3"/>
      <c r="AX132" s="3"/>
      <c r="AY132" s="3"/>
    </row>
    <row r="133" spans="1:51" ht="12.95"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8"/>
      <c r="G150" s="1298"/>
      <c r="H150" s="1298"/>
      <c r="I150" s="1298"/>
      <c r="J150" s="1298"/>
      <c r="K150" s="1298"/>
      <c r="L150" s="1298"/>
      <c r="M150" s="1298"/>
      <c r="N150" s="1298"/>
      <c r="O150" s="1298"/>
      <c r="P150" s="1298"/>
      <c r="Q150" s="1298"/>
      <c r="R150" s="1298"/>
      <c r="S150" s="1298"/>
      <c r="T150" s="129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353" t="s">
        <v>904</v>
      </c>
      <c r="P153" s="1647"/>
      <c r="Q153" s="1647"/>
      <c r="R153" s="1647"/>
      <c r="S153" s="1647"/>
      <c r="T153" s="1647"/>
      <c r="U153" s="1647"/>
      <c r="V153" s="1647"/>
      <c r="W153" s="1647"/>
      <c r="X153" s="1647"/>
      <c r="Y153" s="1647"/>
      <c r="Z153" s="1647"/>
      <c r="AA153" s="1647"/>
      <c r="AB153" s="1647"/>
      <c r="AC153" s="1647"/>
      <c r="AD153" s="1647"/>
      <c r="AE153" s="1647"/>
      <c r="AF153" s="1647"/>
      <c r="AG153" s="1647"/>
      <c r="AH153" s="1647"/>
    </row>
    <row r="154" spans="1:72" ht="12.95" customHeight="1">
      <c r="D154" s="325" t="s">
        <v>443</v>
      </c>
      <c r="O154" s="1623" t="s">
        <v>2682</v>
      </c>
      <c r="P154" s="1351"/>
      <c r="Q154" s="1351"/>
      <c r="R154" s="1351"/>
      <c r="S154" s="1351"/>
      <c r="T154" s="1351"/>
      <c r="U154" s="1351"/>
      <c r="V154" s="1351"/>
      <c r="W154" s="1351"/>
      <c r="X154" s="1351"/>
      <c r="Y154" s="1351"/>
      <c r="Z154" s="1351"/>
      <c r="AA154" s="1351"/>
      <c r="AB154" s="1351"/>
      <c r="AC154" s="1351"/>
      <c r="AD154" s="1351"/>
      <c r="AE154" s="1351"/>
      <c r="AF154" s="1351"/>
      <c r="AG154" s="1351"/>
      <c r="AH154" s="1351"/>
    </row>
    <row r="155" spans="1:72" ht="12.95" customHeight="1">
      <c r="D155" s="8" t="s">
        <v>444</v>
      </c>
      <c r="F155" s="8"/>
      <c r="G155" s="8"/>
      <c r="H155" s="8"/>
      <c r="I155" s="8"/>
      <c r="J155" s="8"/>
      <c r="K155" s="8"/>
      <c r="L155" s="8"/>
      <c r="M155" s="8"/>
      <c r="N155" s="8"/>
      <c r="O155" s="1767" t="s">
        <v>2681</v>
      </c>
      <c r="P155" s="1768"/>
      <c r="Q155" s="1768"/>
      <c r="R155" s="1768"/>
      <c r="S155" s="1768"/>
      <c r="T155" s="1768"/>
      <c r="U155" s="1768"/>
      <c r="V155" s="1768"/>
      <c r="W155" s="1768"/>
      <c r="X155" s="1768"/>
      <c r="Y155" s="1768"/>
      <c r="Z155" s="1768"/>
      <c r="AA155" s="1768"/>
      <c r="AB155" s="1768"/>
      <c r="AC155" s="1768"/>
      <c r="AD155" s="1768"/>
      <c r="AE155" s="1768"/>
      <c r="AF155" s="1768"/>
      <c r="AG155" s="1768"/>
      <c r="AH155" s="1768"/>
    </row>
    <row r="156" spans="1:72" ht="12.95" customHeight="1">
      <c r="D156" t="s">
        <v>315</v>
      </c>
      <c r="O156" s="1353" t="s">
        <v>2632</v>
      </c>
      <c r="P156" s="1354"/>
      <c r="Q156" s="1354"/>
      <c r="R156" s="1354"/>
      <c r="S156" s="1354"/>
      <c r="T156" s="1354"/>
      <c r="U156" s="1354"/>
      <c r="V156" s="1354"/>
      <c r="W156" s="1354"/>
      <c r="X156" s="1354"/>
      <c r="Y156" s="1354"/>
      <c r="Z156" s="1354"/>
      <c r="AA156" s="1354"/>
      <c r="AB156" s="1354"/>
      <c r="AC156" s="1354"/>
      <c r="AD156" s="1354"/>
      <c r="AE156" s="1354"/>
      <c r="AF156" s="1354"/>
      <c r="AG156" s="1354"/>
      <c r="AH156" s="1354"/>
      <c r="BT156" t="s">
        <v>309</v>
      </c>
    </row>
    <row r="157" spans="1:72" ht="12.95" customHeight="1">
      <c r="D157" t="s">
        <v>316</v>
      </c>
      <c r="O157" s="1353" t="s">
        <v>503</v>
      </c>
      <c r="P157" s="1647"/>
      <c r="Q157" s="1647"/>
      <c r="R157" s="1647"/>
      <c r="S157" s="1647"/>
      <c r="T157" s="1647"/>
      <c r="U157" s="1647"/>
      <c r="V157" s="1647"/>
      <c r="W157" s="1647"/>
      <c r="X157" s="1647"/>
      <c r="Y157" s="8"/>
      <c r="Z157" s="8"/>
      <c r="AA157" s="8"/>
      <c r="AB157" s="8"/>
      <c r="AC157" s="8"/>
      <c r="AD157" s="8"/>
      <c r="AE157" s="8"/>
      <c r="AF157" s="8"/>
      <c r="BN157" s="23" t="s">
        <v>645</v>
      </c>
      <c r="BT157" t="s">
        <v>485</v>
      </c>
    </row>
    <row r="158" spans="1:72" ht="12.95" customHeight="1">
      <c r="D158" t="s">
        <v>317</v>
      </c>
      <c r="O158" s="1769">
        <v>90017</v>
      </c>
      <c r="P158" s="1769"/>
      <c r="Q158" s="1769"/>
      <c r="R158" s="1769"/>
      <c r="S158" s="9"/>
      <c r="T158" s="9"/>
      <c r="U158" s="9"/>
      <c r="V158" s="9"/>
      <c r="W158" s="9"/>
      <c r="X158" s="9"/>
      <c r="Y158" s="9"/>
      <c r="Z158" s="9"/>
      <c r="AA158" s="9"/>
      <c r="AB158" s="9"/>
      <c r="AC158" s="9"/>
      <c r="AD158" s="9"/>
      <c r="AE158" s="9"/>
      <c r="AF158" s="9"/>
      <c r="BN158" s="23" t="s">
        <v>646</v>
      </c>
      <c r="BT158" t="s">
        <v>486</v>
      </c>
    </row>
    <row r="159" spans="1:72" ht="12.95" customHeight="1">
      <c r="D159" t="s">
        <v>318</v>
      </c>
      <c r="O159" s="1659" t="s">
        <v>2683</v>
      </c>
      <c r="P159" s="1771"/>
      <c r="Q159" s="1771"/>
      <c r="R159" s="1771"/>
      <c r="S159" s="1771"/>
      <c r="T159" s="1771"/>
      <c r="V159" s="97" t="s">
        <v>273</v>
      </c>
      <c r="W159" s="1770"/>
      <c r="X159" s="1770"/>
      <c r="Y159" s="10"/>
      <c r="Z159" s="10"/>
      <c r="AA159" s="10"/>
      <c r="AB159" s="10"/>
      <c r="AC159" s="10"/>
      <c r="AD159" s="10"/>
      <c r="AE159" s="10"/>
      <c r="AF159" s="10"/>
      <c r="BN159" s="23" t="s">
        <v>341</v>
      </c>
      <c r="BT159" t="s">
        <v>487</v>
      </c>
    </row>
    <row r="160" spans="1:72" ht="12.95" customHeight="1">
      <c r="D160" t="s">
        <v>319</v>
      </c>
      <c r="O160" s="1659" t="s">
        <v>2685</v>
      </c>
      <c r="P160" s="1771"/>
      <c r="Q160" s="1771"/>
      <c r="R160" s="1771"/>
      <c r="S160" s="1771"/>
      <c r="T160" s="1771"/>
      <c r="U160" s="10"/>
      <c r="V160" s="10"/>
      <c r="W160" s="10"/>
      <c r="X160" s="10"/>
      <c r="Y160" s="10"/>
      <c r="Z160" s="10"/>
      <c r="AA160" s="10"/>
      <c r="AB160" s="10"/>
      <c r="AC160" s="10"/>
      <c r="AD160" s="10"/>
      <c r="AE160" s="10"/>
      <c r="AF160" s="10"/>
      <c r="BN160" s="23" t="s">
        <v>669</v>
      </c>
      <c r="BT160" t="s">
        <v>488</v>
      </c>
    </row>
    <row r="161" spans="1:72" ht="12.95" customHeight="1">
      <c r="D161" t="s">
        <v>320</v>
      </c>
      <c r="O161" s="1748" t="s">
        <v>2684</v>
      </c>
      <c r="P161" s="1748"/>
      <c r="Q161" s="1748"/>
      <c r="R161" s="1748"/>
      <c r="S161" s="1748"/>
      <c r="T161" s="1748"/>
      <c r="U161" s="1748"/>
      <c r="V161" s="1748"/>
      <c r="W161" s="1748"/>
      <c r="X161" s="1748"/>
      <c r="Y161" s="1748"/>
      <c r="Z161" s="1748"/>
      <c r="AA161" s="1748"/>
      <c r="AB161" s="1748"/>
      <c r="AC161" s="1748"/>
      <c r="AD161" s="1748"/>
      <c r="AE161" s="1748"/>
      <c r="AF161" s="1748"/>
      <c r="AG161" s="1748"/>
      <c r="AH161" s="1748"/>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83</v>
      </c>
      <c r="D163" s="3" t="s">
        <v>2521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822" t="s">
        <v>1385</v>
      </c>
      <c r="E164" s="1822"/>
      <c r="F164" s="1822"/>
      <c r="G164" s="1822"/>
      <c r="H164" s="1822"/>
      <c r="I164" s="1822"/>
      <c r="J164" s="1822"/>
      <c r="K164" s="1822"/>
      <c r="L164" s="1822"/>
      <c r="M164" s="1822"/>
      <c r="N164" s="1822"/>
      <c r="O164" s="1822"/>
      <c r="P164" s="1822"/>
      <c r="Q164" s="1822"/>
      <c r="R164" s="1822"/>
      <c r="S164" s="1822"/>
      <c r="T164" s="1822"/>
      <c r="U164" s="1822"/>
      <c r="V164" s="1822"/>
      <c r="W164" s="1822"/>
      <c r="X164" s="1822"/>
      <c r="Y164" s="1822"/>
      <c r="Z164" s="1822"/>
      <c r="AA164" s="1822"/>
      <c r="AB164" s="1822"/>
      <c r="AC164" s="1822"/>
      <c r="AD164" s="1822"/>
      <c r="AE164" s="1822"/>
      <c r="AF164" s="1822"/>
      <c r="AG164" s="1822"/>
      <c r="AH164" s="1822"/>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641" t="s">
        <v>548</v>
      </c>
      <c r="B169" s="1641"/>
      <c r="C169" s="1641"/>
      <c r="D169" s="1641"/>
      <c r="E169" s="1641"/>
      <c r="F169" s="1641"/>
      <c r="G169" s="1641"/>
      <c r="H169" s="1641"/>
      <c r="I169" s="1641"/>
      <c r="J169" s="1641"/>
      <c r="K169" s="1641"/>
      <c r="L169" s="1641"/>
      <c r="M169" s="1641"/>
      <c r="N169" s="1641"/>
      <c r="O169" s="1641"/>
      <c r="P169" s="1641"/>
      <c r="Q169" s="1641"/>
      <c r="R169" s="1641"/>
      <c r="S169" s="1641"/>
      <c r="T169" s="1641"/>
      <c r="U169" s="1641"/>
      <c r="V169" s="1641"/>
      <c r="W169" s="1641"/>
      <c r="X169" s="1641"/>
      <c r="Y169" s="1641"/>
      <c r="Z169" s="1641"/>
      <c r="AA169" s="1641"/>
      <c r="AB169" s="1641"/>
      <c r="AC169" s="1641"/>
      <c r="AD169" s="1641"/>
      <c r="AE169" s="1641"/>
      <c r="AF169" s="1641"/>
      <c r="AG169" s="1641"/>
      <c r="AH169" s="1641"/>
      <c r="AI169" s="1641"/>
      <c r="AJ169" s="1641"/>
      <c r="AK169" s="1641"/>
      <c r="AL169" s="1641"/>
      <c r="AM169" s="95"/>
      <c r="AN169" s="95"/>
      <c r="AO169" s="95"/>
      <c r="AP169" s="95"/>
      <c r="AQ169" s="95"/>
      <c r="AR169" s="95"/>
      <c r="AS169" s="95"/>
      <c r="AT169" s="95"/>
      <c r="AU169" s="95"/>
      <c r="AV169" s="95"/>
      <c r="AW169" s="95"/>
      <c r="AX169" s="95"/>
      <c r="AY169" s="95"/>
      <c r="BN169" s="23" t="s">
        <v>682</v>
      </c>
      <c r="BT169" t="s">
        <v>497</v>
      </c>
    </row>
    <row r="170" spans="1:72" ht="12.95" customHeight="1" thickBot="1">
      <c r="A170" s="1642"/>
      <c r="B170" s="1642"/>
      <c r="C170" s="1642"/>
      <c r="D170" s="1642"/>
      <c r="E170" s="1642"/>
      <c r="F170" s="1642"/>
      <c r="G170" s="1642"/>
      <c r="H170" s="1642"/>
      <c r="I170" s="1642"/>
      <c r="J170" s="1642"/>
      <c r="K170" s="1642"/>
      <c r="L170" s="1642"/>
      <c r="M170" s="1642"/>
      <c r="N170" s="1642"/>
      <c r="O170" s="1642"/>
      <c r="P170" s="1642"/>
      <c r="Q170" s="1642"/>
      <c r="R170" s="1642"/>
      <c r="S170" s="1642"/>
      <c r="T170" s="1642"/>
      <c r="U170" s="1642"/>
      <c r="V170" s="1642"/>
      <c r="W170" s="1642"/>
      <c r="X170" s="1642"/>
      <c r="Y170" s="1642"/>
      <c r="Z170" s="1642"/>
      <c r="AA170" s="1642"/>
      <c r="AB170" s="1642"/>
      <c r="AC170" s="1642"/>
      <c r="AD170" s="1642"/>
      <c r="AE170" s="1642"/>
      <c r="AF170" s="1642"/>
      <c r="AG170" s="1642"/>
      <c r="AH170" s="1642"/>
      <c r="AI170" s="1642"/>
      <c r="AJ170" s="1642"/>
      <c r="AK170" s="1642"/>
      <c r="AL170" s="1642"/>
      <c r="AM170" s="95"/>
      <c r="AN170" s="95"/>
      <c r="AO170" s="95"/>
      <c r="AP170" s="95"/>
      <c r="AQ170" s="95"/>
      <c r="AR170" s="95"/>
      <c r="AS170" s="95"/>
      <c r="AT170" s="95"/>
      <c r="AU170" s="95"/>
      <c r="AV170" s="95"/>
      <c r="AW170" s="95"/>
      <c r="AX170" s="95"/>
      <c r="AY170" s="95"/>
      <c r="BN170" s="23" t="s">
        <v>683</v>
      </c>
      <c r="BT170" t="s">
        <v>498</v>
      </c>
    </row>
    <row r="171" spans="1:72" ht="12.95" customHeight="1" thickTop="1">
      <c r="BN171" s="23" t="s">
        <v>213</v>
      </c>
      <c r="BT171" t="s">
        <v>499</v>
      </c>
    </row>
    <row r="172" spans="1:72" ht="12.95" customHeight="1">
      <c r="A172" s="2" t="s">
        <v>321</v>
      </c>
      <c r="C172" s="2" t="s">
        <v>322</v>
      </c>
      <c r="BN172" s="23" t="s">
        <v>215</v>
      </c>
      <c r="BT172" t="s">
        <v>500</v>
      </c>
    </row>
    <row r="173" spans="1:72" ht="12.95" customHeight="1">
      <c r="C173" s="24"/>
      <c r="D173" t="s">
        <v>323</v>
      </c>
      <c r="J173" s="1766" t="s">
        <v>373</v>
      </c>
      <c r="K173" s="1766"/>
      <c r="L173" s="1766"/>
      <c r="M173" s="1766"/>
      <c r="N173" s="1766"/>
      <c r="O173" s="1766"/>
      <c r="P173" s="1766"/>
      <c r="Q173" s="1766"/>
      <c r="R173" s="1766"/>
      <c r="S173" s="1766"/>
      <c r="U173" s="25"/>
      <c r="X173" s="25"/>
      <c r="BN173" s="23" t="s">
        <v>216</v>
      </c>
      <c r="BT173" t="s">
        <v>501</v>
      </c>
    </row>
    <row r="174" spans="1:72" ht="12.95" customHeight="1">
      <c r="C174" s="24"/>
      <c r="D174" s="3" t="s">
        <v>1343</v>
      </c>
      <c r="J174" s="1354" t="s">
        <v>2527</v>
      </c>
      <c r="K174" s="1354"/>
      <c r="L174" s="1354"/>
      <c r="M174" s="1354"/>
      <c r="N174" s="1354"/>
      <c r="O174" s="1354"/>
      <c r="P174" s="1354"/>
      <c r="Q174" s="1354"/>
      <c r="R174" s="1354"/>
      <c r="S174" s="1354"/>
      <c r="T174" s="1354"/>
      <c r="U174" s="1354"/>
      <c r="V174" s="1354"/>
      <c r="W174" s="1354"/>
      <c r="X174" s="1354"/>
      <c r="Y174" s="1354"/>
      <c r="Z174" s="1354"/>
      <c r="AA174" s="1354"/>
      <c r="AB174" s="1354"/>
      <c r="BN174" s="23" t="s">
        <v>218</v>
      </c>
      <c r="BT174" t="s">
        <v>502</v>
      </c>
    </row>
    <row r="175" spans="1:72" ht="12.95" customHeight="1">
      <c r="C175" s="8"/>
      <c r="D175" s="3" t="s">
        <v>324</v>
      </c>
      <c r="O175" s="27"/>
      <c r="U175" s="1375" t="s">
        <v>678</v>
      </c>
      <c r="V175" s="1375"/>
      <c r="BN175" s="23" t="s">
        <v>219</v>
      </c>
      <c r="BT175" t="s">
        <v>503</v>
      </c>
    </row>
    <row r="176" spans="1:72" ht="12.95" customHeight="1">
      <c r="C176" s="8"/>
      <c r="D176" s="26"/>
      <c r="E176" t="s">
        <v>306</v>
      </c>
      <c r="O176" s="27"/>
      <c r="P176" t="s">
        <v>2499</v>
      </c>
      <c r="T176" s="27" t="s">
        <v>307</v>
      </c>
      <c r="U176" s="1359"/>
      <c r="V176" s="1359"/>
      <c r="W176" s="1" t="s">
        <v>308</v>
      </c>
      <c r="X176" s="1749"/>
      <c r="Y176" s="1749"/>
      <c r="BN176" s="23" t="s">
        <v>221</v>
      </c>
      <c r="BT176" t="s">
        <v>504</v>
      </c>
    </row>
    <row r="177" spans="1:72" ht="12.95" customHeight="1">
      <c r="C177" s="24"/>
      <c r="D177" t="s">
        <v>251</v>
      </c>
      <c r="R177" s="1375" t="s">
        <v>678</v>
      </c>
      <c r="S177" s="1375"/>
      <c r="BN177" s="23" t="s">
        <v>222</v>
      </c>
      <c r="BT177" t="s">
        <v>505</v>
      </c>
    </row>
    <row r="178" spans="1:72" ht="12.95" customHeight="1">
      <c r="C178" s="24"/>
      <c r="D178" s="3" t="s">
        <v>1344</v>
      </c>
      <c r="AA178" t="s">
        <v>2499</v>
      </c>
      <c r="AE178" s="27" t="s">
        <v>307</v>
      </c>
      <c r="AF178" s="1602"/>
      <c r="AG178" s="1602"/>
      <c r="AH178" s="1" t="s">
        <v>308</v>
      </c>
      <c r="AI178" s="1652"/>
      <c r="AJ178" s="1652"/>
      <c r="AK178" s="1652"/>
      <c r="BN178" s="23" t="s">
        <v>223</v>
      </c>
      <c r="BT178" t="s">
        <v>53</v>
      </c>
    </row>
    <row r="179" spans="1:72" ht="12.95" customHeight="1">
      <c r="C179" s="24"/>
      <c r="BN179" s="23" t="s">
        <v>224</v>
      </c>
      <c r="BT179" t="s">
        <v>54</v>
      </c>
    </row>
    <row r="180" spans="1:72" ht="12.95" customHeight="1">
      <c r="C180" s="24"/>
      <c r="D180" t="s">
        <v>2500</v>
      </c>
      <c r="X180" s="1375" t="s">
        <v>678</v>
      </c>
      <c r="Y180" s="1375"/>
      <c r="BN180" s="23" t="s">
        <v>226</v>
      </c>
      <c r="BT180" t="s">
        <v>55</v>
      </c>
    </row>
    <row r="181" spans="1:72" ht="12.95" customHeight="1">
      <c r="C181" s="8"/>
      <c r="E181" s="4" t="s">
        <v>1014</v>
      </c>
      <c r="BN181" s="23" t="s">
        <v>227</v>
      </c>
      <c r="BT181" t="s">
        <v>56</v>
      </c>
    </row>
    <row r="182" spans="1:72" ht="12.95" customHeight="1">
      <c r="C182" s="565"/>
      <c r="BN182" s="23" t="s">
        <v>228</v>
      </c>
      <c r="BT182" t="s">
        <v>60</v>
      </c>
    </row>
    <row r="183" spans="1:72" ht="12.95" customHeight="1">
      <c r="A183" s="2" t="s">
        <v>585</v>
      </c>
      <c r="C183" s="2" t="s">
        <v>586</v>
      </c>
      <c r="BN183" s="23" t="s">
        <v>230</v>
      </c>
      <c r="BT183" t="s">
        <v>61</v>
      </c>
    </row>
    <row r="184" spans="1:72" ht="12.95" customHeight="1">
      <c r="C184" s="21"/>
      <c r="D184" t="s">
        <v>587</v>
      </c>
      <c r="I184" s="1352" t="str">
        <f>H18</f>
        <v>Warner Center I</v>
      </c>
      <c r="J184" s="1352"/>
      <c r="K184" s="1352"/>
      <c r="L184" s="1352"/>
      <c r="M184" s="1352"/>
      <c r="N184" s="1352"/>
      <c r="O184" s="1352"/>
      <c r="P184" s="1352"/>
      <c r="Q184" s="1352"/>
      <c r="R184" s="1352"/>
      <c r="S184" s="1352"/>
      <c r="T184" s="1352"/>
      <c r="U184" s="1352"/>
      <c r="V184" s="1352"/>
      <c r="W184" s="1352"/>
      <c r="X184" s="1352"/>
      <c r="Y184" s="1352"/>
      <c r="Z184" s="1352"/>
      <c r="AA184" s="1352"/>
      <c r="AB184" s="1352"/>
      <c r="AC184" s="1352"/>
      <c r="AD184" s="1352"/>
      <c r="AE184" s="1352"/>
      <c r="BC184" t="s">
        <v>596</v>
      </c>
      <c r="BN184" s="23" t="s">
        <v>232</v>
      </c>
      <c r="BT184" t="s">
        <v>62</v>
      </c>
    </row>
    <row r="185" spans="1:72" ht="12.95" customHeight="1">
      <c r="C185" s="21"/>
      <c r="D185" t="s">
        <v>588</v>
      </c>
      <c r="I185" s="1374" t="s">
        <v>2623</v>
      </c>
      <c r="J185" s="1374"/>
      <c r="K185" s="1374"/>
      <c r="L185" s="1374"/>
      <c r="M185" s="1374"/>
      <c r="N185" s="1374"/>
      <c r="O185" s="1374"/>
      <c r="P185" s="1374"/>
      <c r="Q185" s="1374"/>
      <c r="R185" s="1374"/>
      <c r="S185" s="1374"/>
      <c r="T185" s="1374"/>
      <c r="U185" s="1374"/>
      <c r="V185" s="1374"/>
      <c r="W185" s="1374"/>
      <c r="X185" s="1374"/>
      <c r="Y185" s="1374"/>
      <c r="Z185" s="1374"/>
      <c r="AA185" s="1374"/>
      <c r="AB185" s="1374"/>
      <c r="AC185" s="1374"/>
      <c r="AD185" s="1374"/>
      <c r="AE185" s="1374"/>
      <c r="BC185" t="s">
        <v>597</v>
      </c>
      <c r="BN185" s="23" t="s">
        <v>233</v>
      </c>
      <c r="BT185" t="s">
        <v>63</v>
      </c>
    </row>
    <row r="186" spans="1:72" ht="12.95" customHeight="1">
      <c r="C186" s="21"/>
      <c r="E186" t="s">
        <v>169</v>
      </c>
      <c r="BN186" s="23" t="s">
        <v>234</v>
      </c>
      <c r="BT186" t="s">
        <v>64</v>
      </c>
    </row>
    <row r="187" spans="1:72" ht="12.95" customHeight="1">
      <c r="C187" s="21"/>
      <c r="E187" s="1778"/>
      <c r="F187" s="1778"/>
      <c r="G187" s="1778"/>
      <c r="H187" s="1778"/>
      <c r="I187" s="1778"/>
      <c r="J187" s="1778"/>
      <c r="K187" s="1778"/>
      <c r="L187" s="1778"/>
      <c r="M187" s="1778"/>
      <c r="N187" s="1778"/>
      <c r="O187" s="1778"/>
      <c r="P187" s="1778"/>
      <c r="Q187" s="1778"/>
      <c r="R187" s="1778"/>
      <c r="S187" s="1778"/>
      <c r="T187" s="1778"/>
      <c r="U187" s="1778"/>
      <c r="V187" s="1778"/>
      <c r="W187" s="1778"/>
      <c r="X187" s="1778"/>
      <c r="Y187" s="1778"/>
      <c r="Z187" s="1778"/>
      <c r="AA187" s="1778"/>
      <c r="AB187" s="1778"/>
      <c r="AC187" s="1778"/>
      <c r="AD187" s="1778"/>
      <c r="AE187" s="1778"/>
      <c r="BN187" s="23" t="s">
        <v>235</v>
      </c>
      <c r="BT187" t="s">
        <v>65</v>
      </c>
    </row>
    <row r="188" spans="1:72" ht="12.95" customHeight="1">
      <c r="C188" s="21"/>
      <c r="E188" s="1600"/>
      <c r="F188" s="1600"/>
      <c r="G188" s="1600"/>
      <c r="H188" s="1600"/>
      <c r="I188" s="1600"/>
      <c r="J188" s="1600"/>
      <c r="K188" s="1600"/>
      <c r="L188" s="1600"/>
      <c r="M188" s="1600"/>
      <c r="N188" s="1600"/>
      <c r="O188" s="1600"/>
      <c r="P188" s="1600"/>
      <c r="Q188" s="1600"/>
      <c r="R188" s="1600"/>
      <c r="S188" s="1600"/>
      <c r="T188" s="1600"/>
      <c r="U188" s="1600"/>
      <c r="V188" s="1600"/>
      <c r="W188" s="1600"/>
      <c r="X188" s="1600"/>
      <c r="Y188" s="1600"/>
      <c r="Z188" s="1600"/>
      <c r="AA188" s="1600"/>
      <c r="AB188" s="1600"/>
      <c r="AC188" s="1600"/>
      <c r="AD188" s="1600"/>
      <c r="AE188" s="1600"/>
      <c r="BN188" s="23" t="s">
        <v>237</v>
      </c>
      <c r="BT188" t="s">
        <v>66</v>
      </c>
    </row>
    <row r="189" spans="1:72" ht="12.95" customHeight="1">
      <c r="C189" s="21"/>
      <c r="D189" t="s">
        <v>589</v>
      </c>
      <c r="I189" s="1354" t="s">
        <v>503</v>
      </c>
      <c r="J189" s="1354"/>
      <c r="K189" s="1354"/>
      <c r="L189" s="1354"/>
      <c r="M189" s="1354"/>
      <c r="N189" s="1354"/>
      <c r="O189" s="1354"/>
      <c r="P189" s="1354"/>
      <c r="Q189" t="s">
        <v>591</v>
      </c>
      <c r="T189" s="1354" t="s">
        <v>503</v>
      </c>
      <c r="U189" s="1354"/>
      <c r="V189" s="1354"/>
      <c r="W189" s="1354"/>
      <c r="X189" s="1354"/>
      <c r="Y189" s="1354"/>
      <c r="Z189" s="1354"/>
      <c r="AA189" s="1354"/>
      <c r="AB189" s="1354"/>
      <c r="AC189" s="1354"/>
      <c r="AD189" s="1354"/>
      <c r="AE189" s="1354"/>
      <c r="BC189" t="s">
        <v>309</v>
      </c>
      <c r="BH189" s="3" t="s">
        <v>600</v>
      </c>
      <c r="BN189" s="23" t="s">
        <v>238</v>
      </c>
      <c r="BT189" t="s">
        <v>67</v>
      </c>
    </row>
    <row r="190" spans="1:72" ht="12.95" customHeight="1">
      <c r="C190" s="21"/>
      <c r="D190" t="s">
        <v>592</v>
      </c>
      <c r="I190" s="1374">
        <v>91367</v>
      </c>
      <c r="J190" s="1374"/>
      <c r="K190" s="1374"/>
      <c r="L190" s="1374"/>
      <c r="M190" s="1374"/>
      <c r="N190" s="1374"/>
      <c r="O190" t="s">
        <v>594</v>
      </c>
      <c r="T190" s="1776">
        <v>1371.04</v>
      </c>
      <c r="U190" s="1776"/>
      <c r="V190" s="1776"/>
      <c r="W190" s="1776"/>
      <c r="X190" s="1776"/>
      <c r="Y190" s="1776"/>
      <c r="Z190" s="1776"/>
      <c r="AA190" s="1776"/>
      <c r="AB190" s="1776"/>
      <c r="AC190" s="1776"/>
      <c r="AD190" s="1776"/>
      <c r="AE190" s="1776"/>
      <c r="BC190" t="s">
        <v>1100</v>
      </c>
      <c r="BH190" t="s">
        <v>1100</v>
      </c>
      <c r="BN190" s="23" t="s">
        <v>644</v>
      </c>
      <c r="BT190" t="s">
        <v>68</v>
      </c>
    </row>
    <row r="191" spans="1:72" ht="12.95" customHeight="1">
      <c r="C191" s="21"/>
      <c r="D191" t="s">
        <v>471</v>
      </c>
      <c r="N191" s="1778">
        <v>2149002032</v>
      </c>
      <c r="O191" s="1778"/>
      <c r="P191" s="1778"/>
      <c r="Q191" s="1778"/>
      <c r="R191" s="1778"/>
      <c r="S191" s="1778"/>
      <c r="T191" s="1778"/>
      <c r="U191" s="1778"/>
      <c r="V191" s="1778"/>
      <c r="W191" s="1778"/>
      <c r="X191" s="1778"/>
      <c r="Y191" s="1778"/>
      <c r="Z191" s="1778"/>
      <c r="AA191" s="1778"/>
      <c r="AB191" s="1778"/>
      <c r="AC191" s="1778"/>
      <c r="AD191" s="1778"/>
      <c r="AE191" s="1778"/>
      <c r="BC191" t="s">
        <v>1099</v>
      </c>
      <c r="BH191" t="s">
        <v>1099</v>
      </c>
      <c r="BN191" s="23" t="s">
        <v>698</v>
      </c>
      <c r="BT191" t="s">
        <v>739</v>
      </c>
    </row>
    <row r="192" spans="1:72" ht="12.95" customHeight="1">
      <c r="C192" s="21"/>
      <c r="M192" s="40"/>
      <c r="N192" s="1600"/>
      <c r="O192" s="1600"/>
      <c r="P192" s="1600"/>
      <c r="Q192" s="1600"/>
      <c r="R192" s="1600"/>
      <c r="S192" s="1600"/>
      <c r="T192" s="1600"/>
      <c r="U192" s="1600"/>
      <c r="V192" s="1600"/>
      <c r="W192" s="1600"/>
      <c r="X192" s="1600"/>
      <c r="Y192" s="1600"/>
      <c r="Z192" s="1600"/>
      <c r="AA192" s="1600"/>
      <c r="AB192" s="1600"/>
      <c r="AC192" s="1600"/>
      <c r="AD192" s="1600"/>
      <c r="AE192" s="1600"/>
      <c r="BC192" t="s">
        <v>1102</v>
      </c>
      <c r="BH192" s="3" t="s">
        <v>1805</v>
      </c>
      <c r="BN192" s="23" t="s">
        <v>699</v>
      </c>
      <c r="BT192" t="s">
        <v>740</v>
      </c>
    </row>
    <row r="193" spans="1:74" ht="12.95" customHeight="1">
      <c r="C193" s="21"/>
      <c r="D193" t="s">
        <v>2501</v>
      </c>
      <c r="M193" s="40"/>
      <c r="N193" s="930"/>
      <c r="O193" s="930"/>
      <c r="P193" s="930"/>
      <c r="Q193" s="930"/>
      <c r="R193" s="930"/>
      <c r="S193" s="930"/>
      <c r="T193" s="1755" t="s">
        <v>2319</v>
      </c>
      <c r="U193" s="1755"/>
      <c r="V193" s="1755"/>
      <c r="W193" s="1755"/>
      <c r="X193" s="1755"/>
      <c r="Y193" s="1755"/>
      <c r="Z193" s="1755"/>
      <c r="AA193" s="1755"/>
      <c r="AB193" s="1755"/>
      <c r="AC193" s="1755"/>
      <c r="AD193" s="1755"/>
      <c r="AE193" s="1755"/>
      <c r="AF193" s="1755"/>
      <c r="AG193" s="1755"/>
      <c r="AH193" s="1755"/>
      <c r="AI193" s="1755"/>
      <c r="BC193" t="s">
        <v>1101</v>
      </c>
      <c r="BH193" s="3" t="s">
        <v>1806</v>
      </c>
      <c r="BN193" s="23" t="s">
        <v>700</v>
      </c>
      <c r="BT193" t="s">
        <v>741</v>
      </c>
    </row>
    <row r="194" spans="1:74" ht="12.95" customHeight="1">
      <c r="C194" s="21"/>
      <c r="D194" t="s">
        <v>333</v>
      </c>
      <c r="T194" s="1375" t="s">
        <v>554</v>
      </c>
      <c r="U194" s="1375"/>
      <c r="W194" t="s">
        <v>694</v>
      </c>
      <c r="AH194" s="1375">
        <v>32</v>
      </c>
      <c r="AI194" s="1375"/>
      <c r="BC194" t="s">
        <v>1534</v>
      </c>
      <c r="BN194" s="23" t="s">
        <v>701</v>
      </c>
      <c r="BT194" t="s">
        <v>742</v>
      </c>
    </row>
    <row r="195" spans="1:74" ht="12.95" customHeight="1">
      <c r="C195" s="21"/>
      <c r="D195" t="s">
        <v>388</v>
      </c>
      <c r="T195" s="1520" t="s">
        <v>678</v>
      </c>
      <c r="U195" s="1520"/>
      <c r="W195" t="s">
        <v>695</v>
      </c>
      <c r="AH195" s="1375">
        <v>46</v>
      </c>
      <c r="AI195" s="1375"/>
      <c r="BC195" t="s">
        <v>2117</v>
      </c>
      <c r="BN195" s="23" t="s">
        <v>244</v>
      </c>
      <c r="BT195" t="s">
        <v>743</v>
      </c>
    </row>
    <row r="196" spans="1:74" ht="12.95" customHeight="1">
      <c r="C196" s="21"/>
      <c r="D196" s="3" t="s">
        <v>170</v>
      </c>
      <c r="T196" s="1520" t="s">
        <v>678</v>
      </c>
      <c r="U196" s="1520"/>
      <c r="W196" t="s">
        <v>696</v>
      </c>
      <c r="AH196" s="1375">
        <v>27</v>
      </c>
      <c r="AI196" s="1375"/>
      <c r="BN196" s="23" t="s">
        <v>245</v>
      </c>
      <c r="BT196" t="s">
        <v>69</v>
      </c>
    </row>
    <row r="197" spans="1:74" ht="12.95" customHeight="1">
      <c r="C197" s="21"/>
      <c r="D197" s="3" t="s">
        <v>1830</v>
      </c>
      <c r="T197" s="1520"/>
      <c r="U197" s="1520"/>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5" t="s">
        <v>2502</v>
      </c>
      <c r="Y198" s="1375" t="s">
        <v>678</v>
      </c>
      <c r="Z198" s="1375"/>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193</v>
      </c>
      <c r="BU198"/>
      <c r="BV198" s="31"/>
    </row>
    <row r="199" spans="1:74" s="14" customFormat="1" ht="12.95"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194</v>
      </c>
      <c r="BU199"/>
      <c r="BV199" s="31"/>
    </row>
    <row r="200" spans="1:74" s="14" customFormat="1" ht="12.95"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1125</v>
      </c>
      <c r="BD200" s="470"/>
      <c r="BN200" s="23" t="s">
        <v>709</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196</v>
      </c>
      <c r="BU201"/>
    </row>
    <row r="202" spans="1:74" ht="12.95" customHeight="1">
      <c r="A202" s="2" t="s">
        <v>595</v>
      </c>
      <c r="C202" s="2" t="s">
        <v>137</v>
      </c>
      <c r="BC202" t="s">
        <v>1126</v>
      </c>
      <c r="BD202" s="470"/>
      <c r="BN202" s="23" t="s">
        <v>711</v>
      </c>
      <c r="BO202" s="14"/>
      <c r="BP202" s="32"/>
      <c r="BQ202" s="32"/>
      <c r="BR202" s="32"/>
      <c r="BS202" s="32"/>
      <c r="BT202" s="32" t="s">
        <v>197</v>
      </c>
    </row>
    <row r="203" spans="1:74" ht="12.95" customHeight="1">
      <c r="D203" s="1352" t="s">
        <v>387</v>
      </c>
      <c r="E203" s="1352"/>
      <c r="F203" s="1352"/>
      <c r="G203" s="1352"/>
      <c r="H203" s="1352"/>
      <c r="I203" s="1352"/>
      <c r="J203" s="1352"/>
      <c r="K203" s="1352"/>
      <c r="L203" s="1352"/>
      <c r="M203" s="1352"/>
      <c r="P203" s="1774">
        <f>M26</f>
        <v>4376721</v>
      </c>
      <c r="Q203" s="1759"/>
      <c r="R203" s="1759"/>
      <c r="S203" s="1759"/>
      <c r="T203" s="1759"/>
      <c r="U203" s="1759"/>
      <c r="Z203" s="1757" t="s">
        <v>2625</v>
      </c>
      <c r="AA203" s="1757"/>
      <c r="AB203" s="1757"/>
      <c r="AC203" s="1757"/>
      <c r="AD203" s="1757"/>
      <c r="AE203" s="1757"/>
      <c r="AF203" s="1757"/>
      <c r="BC203" t="s">
        <v>1127</v>
      </c>
      <c r="BN203" s="23" t="s">
        <v>712</v>
      </c>
      <c r="BO203" s="14"/>
      <c r="BP203" s="32"/>
      <c r="BQ203" s="32"/>
      <c r="BR203" s="32"/>
      <c r="BS203" s="32"/>
      <c r="BT203" s="32" t="s">
        <v>198</v>
      </c>
    </row>
    <row r="204" spans="1:74" ht="12.95" customHeight="1">
      <c r="C204" s="21"/>
      <c r="D204" s="1756" t="s">
        <v>1401</v>
      </c>
      <c r="E204" s="1352"/>
      <c r="F204" s="1352"/>
      <c r="G204" s="1352"/>
      <c r="H204" s="1352"/>
      <c r="I204" s="1352"/>
      <c r="J204" s="1352"/>
      <c r="K204" s="1352"/>
      <c r="L204" s="1352"/>
      <c r="M204" s="1352"/>
      <c r="P204" s="1759">
        <f>M27</f>
        <v>24990312</v>
      </c>
      <c r="Q204" s="1759"/>
      <c r="R204" s="1759"/>
      <c r="S204" s="1759"/>
      <c r="T204" s="1759"/>
      <c r="U204" s="1759"/>
      <c r="V204" s="28"/>
      <c r="W204" s="3" t="s">
        <v>1978</v>
      </c>
      <c r="Z204" s="1757"/>
      <c r="AA204" s="1757"/>
      <c r="AB204" s="1757"/>
      <c r="AC204" s="1757"/>
      <c r="AD204" s="1757"/>
      <c r="AE204" s="1757"/>
      <c r="AF204" s="1757"/>
      <c r="AG204" t="s">
        <v>1402</v>
      </c>
      <c r="AP204" s="1375" t="s">
        <v>678</v>
      </c>
      <c r="AQ204" s="1375"/>
      <c r="BC204" t="s">
        <v>619</v>
      </c>
      <c r="BN204" s="23" t="s">
        <v>713</v>
      </c>
      <c r="BT204" s="32" t="s">
        <v>199</v>
      </c>
      <c r="BU204" s="14"/>
    </row>
    <row r="205" spans="1:74" ht="12.95" customHeight="1">
      <c r="D205" s="29"/>
      <c r="E205" s="29"/>
      <c r="F205" s="29"/>
      <c r="G205" s="29"/>
      <c r="H205" s="29"/>
      <c r="I205" s="29"/>
      <c r="J205" s="29"/>
      <c r="K205" s="29"/>
      <c r="L205" s="29"/>
      <c r="M205" s="29"/>
      <c r="N205" s="29"/>
      <c r="O205" s="29"/>
      <c r="P205" s="29"/>
      <c r="Z205" s="1758"/>
      <c r="AA205" s="1758"/>
      <c r="AB205" s="1758"/>
      <c r="AC205" s="1758"/>
      <c r="AD205" s="1758"/>
      <c r="AE205" s="1758"/>
      <c r="AF205" s="1758"/>
      <c r="BC205" t="s">
        <v>1085</v>
      </c>
      <c r="BN205" s="23" t="s">
        <v>110</v>
      </c>
      <c r="BT205" s="32" t="s">
        <v>175</v>
      </c>
      <c r="BU205" s="14"/>
    </row>
    <row r="206" spans="1:74" ht="12.95" customHeight="1">
      <c r="A206" s="2" t="s">
        <v>598</v>
      </c>
      <c r="C206" s="2" t="s">
        <v>560</v>
      </c>
      <c r="BC206" s="471" t="s">
        <v>1128</v>
      </c>
      <c r="BN206" s="23" t="s">
        <v>111</v>
      </c>
      <c r="BT206" s="32" t="s">
        <v>200</v>
      </c>
      <c r="BU206" s="14"/>
    </row>
    <row r="207" spans="1:74" ht="12.95" customHeight="1">
      <c r="C207" s="21"/>
      <c r="D207" s="1647" t="s">
        <v>2678</v>
      </c>
      <c r="E207" s="1647"/>
      <c r="F207" s="1647"/>
      <c r="G207" s="1647"/>
      <c r="H207" s="1647"/>
      <c r="I207" s="1647"/>
      <c r="J207" s="1647"/>
      <c r="K207" s="1647"/>
      <c r="L207" s="1647"/>
      <c r="M207" s="1647"/>
      <c r="BC207" s="3" t="s">
        <v>1358</v>
      </c>
      <c r="BN207" s="23" t="s">
        <v>45</v>
      </c>
      <c r="BT207" s="32" t="s">
        <v>201</v>
      </c>
    </row>
    <row r="208" spans="1:74" ht="12.95" customHeight="1">
      <c r="BC208" t="s">
        <v>1129</v>
      </c>
      <c r="BN208" s="23" t="s">
        <v>46</v>
      </c>
      <c r="BT208" s="32" t="s">
        <v>202</v>
      </c>
    </row>
    <row r="209" spans="1:72" ht="12.95" customHeight="1">
      <c r="A209" s="2" t="s">
        <v>599</v>
      </c>
      <c r="C209" s="2" t="s">
        <v>390</v>
      </c>
      <c r="BC209" t="s">
        <v>668</v>
      </c>
      <c r="BN209" s="23" t="s">
        <v>47</v>
      </c>
      <c r="BT209" s="32" t="s">
        <v>203</v>
      </c>
    </row>
    <row r="210" spans="1:72" ht="12.95" customHeight="1">
      <c r="C210" s="21"/>
      <c r="D210" s="1647" t="s">
        <v>1100</v>
      </c>
      <c r="E210" s="1647"/>
      <c r="F210" s="1647"/>
      <c r="G210" s="1647"/>
      <c r="H210" s="1647"/>
      <c r="I210" s="1647"/>
      <c r="J210" s="1647"/>
      <c r="K210" s="1647"/>
      <c r="L210" s="1647"/>
      <c r="M210" s="1647"/>
      <c r="BN210" s="23" t="s">
        <v>48</v>
      </c>
      <c r="BT210" s="32" t="s">
        <v>204</v>
      </c>
    </row>
    <row r="211" spans="1:72" ht="12.95" customHeight="1">
      <c r="C211" s="21"/>
      <c r="D211" t="s">
        <v>1391</v>
      </c>
      <c r="Y211" s="1375"/>
      <c r="Z211" s="1375"/>
      <c r="AB211" s="1752">
        <f>IFERROR(Y211/AG439,"")</f>
        <v>0</v>
      </c>
      <c r="AC211" s="1753"/>
      <c r="BN211" s="23" t="s">
        <v>130</v>
      </c>
      <c r="BT211" s="32" t="s">
        <v>131</v>
      </c>
    </row>
    <row r="212" spans="1:72" ht="12.95" customHeight="1">
      <c r="D212" s="1197" t="s">
        <v>1804</v>
      </c>
      <c r="BC212" t="s">
        <v>309</v>
      </c>
      <c r="BN212" s="23" t="s">
        <v>49</v>
      </c>
      <c r="BT212" s="32" t="s">
        <v>205</v>
      </c>
    </row>
    <row r="213" spans="1:72" ht="12.95" customHeight="1">
      <c r="D213" s="1831" t="s">
        <v>600</v>
      </c>
      <c r="E213" s="1831"/>
      <c r="F213" s="1831"/>
      <c r="G213" s="1831"/>
      <c r="H213" s="1831"/>
      <c r="I213" s="1831"/>
      <c r="J213" s="1831"/>
      <c r="K213" s="1831"/>
      <c r="L213" s="1831"/>
      <c r="M213" s="1831"/>
      <c r="N213" s="1831"/>
      <c r="O213" s="1831"/>
      <c r="P213" s="1831"/>
      <c r="Q213" s="1831"/>
      <c r="R213" s="1831"/>
      <c r="S213" s="1831"/>
      <c r="T213" s="1831"/>
      <c r="U213" s="1831"/>
      <c r="V213" s="1831"/>
      <c r="W213" s="1831"/>
      <c r="X213" s="1831"/>
      <c r="Y213" s="1831"/>
      <c r="Z213" s="1831"/>
      <c r="BC213" t="s">
        <v>535</v>
      </c>
      <c r="BN213" s="23" t="s">
        <v>50</v>
      </c>
      <c r="BT213" s="32" t="s">
        <v>206</v>
      </c>
    </row>
    <row r="214" spans="1:72" ht="12.95" customHeight="1">
      <c r="D214" s="3" t="s">
        <v>1831</v>
      </c>
      <c r="Z214" s="40"/>
      <c r="AB214" s="1830"/>
      <c r="AC214" s="1830"/>
      <c r="AD214" s="1830"/>
      <c r="AE214" s="1830"/>
      <c r="AF214" s="1830"/>
      <c r="AG214" s="1830"/>
      <c r="AH214" s="1830"/>
      <c r="AI214" s="1830"/>
      <c r="AJ214" s="1830"/>
      <c r="AK214" s="1830"/>
      <c r="AL214" s="1830"/>
      <c r="AM214" s="21"/>
      <c r="AN214" s="21"/>
      <c r="AO214" s="21"/>
      <c r="AP214" s="21"/>
      <c r="AQ214" s="21"/>
      <c r="AR214" s="21"/>
      <c r="AS214" s="21"/>
      <c r="AT214" s="21"/>
      <c r="AU214" s="21"/>
      <c r="AV214" s="21"/>
      <c r="AW214" s="21"/>
      <c r="AX214" s="21"/>
      <c r="AY214" s="21"/>
      <c r="BC214" t="s">
        <v>539</v>
      </c>
      <c r="BN214" s="23" t="s">
        <v>328</v>
      </c>
      <c r="BT214" s="32" t="s">
        <v>207</v>
      </c>
    </row>
    <row r="215" spans="1:72" ht="12.95" customHeight="1">
      <c r="D215" s="3" t="s">
        <v>1829</v>
      </c>
      <c r="Z215" s="40"/>
      <c r="AB215" s="1830"/>
      <c r="AC215" s="1830"/>
      <c r="AD215" s="1830"/>
      <c r="AE215" s="1830"/>
      <c r="AF215" s="1830"/>
      <c r="AG215" s="1830"/>
      <c r="AH215" s="1830"/>
      <c r="AI215" s="1830"/>
      <c r="AJ215" s="1830"/>
      <c r="AK215" s="1830"/>
      <c r="AL215" s="1830"/>
      <c r="AM215" s="21"/>
      <c r="AN215" s="21"/>
      <c r="AO215" s="21"/>
      <c r="AP215" s="21"/>
      <c r="AQ215" s="21"/>
      <c r="AR215" s="21"/>
      <c r="AS215" s="21"/>
      <c r="AT215" s="21"/>
      <c r="AU215" s="21"/>
      <c r="AV215" s="21"/>
      <c r="AW215" s="21"/>
      <c r="AX215" s="21"/>
      <c r="AY215" s="21"/>
      <c r="BC215" t="s">
        <v>536</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2.95" customHeight="1">
      <c r="A217" s="2" t="s">
        <v>601</v>
      </c>
      <c r="C217" s="2" t="s">
        <v>1366</v>
      </c>
      <c r="D217" s="28"/>
      <c r="BC217" t="s">
        <v>537</v>
      </c>
    </row>
    <row r="218" spans="1:72" ht="12.95" customHeight="1">
      <c r="A218" s="2"/>
      <c r="C218" s="2"/>
      <c r="D218" s="4" t="s">
        <v>1039</v>
      </c>
      <c r="BC218" t="s">
        <v>538</v>
      </c>
    </row>
    <row r="219" spans="1:72" ht="12.95" customHeight="1">
      <c r="A219" s="2"/>
      <c r="C219" s="2"/>
      <c r="D219" s="1647" t="s">
        <v>904</v>
      </c>
      <c r="E219" s="1647"/>
      <c r="F219" s="1647"/>
      <c r="G219" s="1647"/>
      <c r="H219" s="1647"/>
      <c r="I219" s="1647"/>
      <c r="J219" s="1647"/>
      <c r="K219" s="1647"/>
      <c r="L219" s="1647"/>
      <c r="M219" s="1647"/>
      <c r="N219" s="1647"/>
      <c r="O219" s="1647"/>
      <c r="P219" s="1647"/>
      <c r="Q219" s="1647"/>
      <c r="R219" s="1647"/>
      <c r="S219" s="1647"/>
      <c r="T219" s="1647"/>
      <c r="U219" s="1647"/>
      <c r="V219" s="1647"/>
      <c r="W219" s="1647"/>
      <c r="X219" s="1647"/>
      <c r="Y219" s="1647"/>
      <c r="Z219" s="1647"/>
      <c r="AZ219" s="3"/>
      <c r="BA219" s="3"/>
      <c r="BC219" t="s">
        <v>379</v>
      </c>
    </row>
    <row r="220" spans="1:72" ht="12.95" customHeight="1">
      <c r="A220" s="2"/>
      <c r="B220" s="14"/>
      <c r="C220" s="2"/>
      <c r="BA220" s="3"/>
      <c r="BC220" t="s">
        <v>302</v>
      </c>
    </row>
    <row r="221" spans="1:72" ht="12.95" customHeight="1">
      <c r="A221" s="1641" t="s">
        <v>549</v>
      </c>
      <c r="B221" s="1641"/>
      <c r="C221" s="1641"/>
      <c r="D221" s="1641"/>
      <c r="E221" s="1641"/>
      <c r="F221" s="1641"/>
      <c r="G221" s="1641"/>
      <c r="H221" s="1641"/>
      <c r="I221" s="1641"/>
      <c r="J221" s="1641"/>
      <c r="K221" s="1641"/>
      <c r="L221" s="1641"/>
      <c r="M221" s="1641"/>
      <c r="N221" s="1641"/>
      <c r="O221" s="1641"/>
      <c r="P221" s="1641"/>
      <c r="Q221" s="1641"/>
      <c r="R221" s="1641"/>
      <c r="S221" s="1641"/>
      <c r="T221" s="1641"/>
      <c r="U221" s="1641"/>
      <c r="V221" s="1641"/>
      <c r="W221" s="1641"/>
      <c r="X221" s="1641"/>
      <c r="Y221" s="1641"/>
      <c r="Z221" s="1641"/>
      <c r="AA221" s="1641"/>
      <c r="AB221" s="1641"/>
      <c r="AC221" s="1641"/>
      <c r="AD221" s="1641"/>
      <c r="AE221" s="1641"/>
      <c r="AF221" s="1641"/>
      <c r="AG221" s="1641"/>
      <c r="AH221" s="1641"/>
      <c r="AI221" s="1641"/>
      <c r="AJ221" s="1641"/>
      <c r="AK221" s="1641"/>
      <c r="AL221" s="1641"/>
      <c r="AM221" s="95"/>
      <c r="AN221" s="95"/>
      <c r="AO221" s="95"/>
      <c r="AP221" s="95"/>
      <c r="AQ221" s="95"/>
      <c r="AR221" s="95"/>
      <c r="AS221" s="95"/>
      <c r="AT221" s="95"/>
      <c r="AU221" s="95"/>
      <c r="AV221" s="95"/>
      <c r="AW221" s="95"/>
      <c r="AX221" s="95"/>
      <c r="AY221" s="95"/>
      <c r="BA221" s="3"/>
    </row>
    <row r="222" spans="1:72" ht="12.95" customHeight="1" thickBot="1">
      <c r="A222" s="1642"/>
      <c r="B222" s="1642"/>
      <c r="C222" s="1642"/>
      <c r="D222" s="1642"/>
      <c r="E222" s="1642"/>
      <c r="F222" s="1642"/>
      <c r="G222" s="1642"/>
      <c r="H222" s="1642"/>
      <c r="I222" s="1642"/>
      <c r="J222" s="1642"/>
      <c r="K222" s="1642"/>
      <c r="L222" s="1642"/>
      <c r="M222" s="1642"/>
      <c r="N222" s="1642"/>
      <c r="O222" s="1642"/>
      <c r="P222" s="1642"/>
      <c r="Q222" s="1642"/>
      <c r="R222" s="1642"/>
      <c r="S222" s="1642"/>
      <c r="T222" s="1642"/>
      <c r="U222" s="1642"/>
      <c r="V222" s="1642"/>
      <c r="W222" s="1642"/>
      <c r="X222" s="1642"/>
      <c r="Y222" s="1642"/>
      <c r="Z222" s="1642"/>
      <c r="AA222" s="1642"/>
      <c r="AB222" s="1642"/>
      <c r="AC222" s="1642"/>
      <c r="AD222" s="1642"/>
      <c r="AE222" s="1642"/>
      <c r="AF222" s="1642"/>
      <c r="AG222" s="1642"/>
      <c r="AH222" s="1642"/>
      <c r="AI222" s="1642"/>
      <c r="AJ222" s="1642"/>
      <c r="AK222" s="1642"/>
      <c r="AL222" s="1642"/>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2503</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5" t="s">
        <v>600</v>
      </c>
      <c r="AJ225" s="1375"/>
      <c r="AL225" s="3"/>
      <c r="AM225" s="3"/>
      <c r="AN225" s="3"/>
      <c r="AO225" s="3"/>
      <c r="AP225" s="3"/>
      <c r="AQ225" s="3"/>
      <c r="AR225" s="3"/>
      <c r="AS225" s="3"/>
      <c r="AT225" s="3"/>
      <c r="AU225" s="3"/>
      <c r="AV225" s="3"/>
      <c r="AW225" s="3"/>
      <c r="AX225" s="3"/>
      <c r="AY225" s="3"/>
      <c r="BO225" s="34"/>
    </row>
    <row r="226" spans="1:69" ht="12.95"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5" t="s">
        <v>554</v>
      </c>
      <c r="AJ226" s="1375"/>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5" t="s">
        <v>600</v>
      </c>
      <c r="AJ227" s="1375"/>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5" t="s">
        <v>600</v>
      </c>
      <c r="AJ228" s="1375"/>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2</v>
      </c>
      <c r="BO229" s="34"/>
    </row>
    <row r="230" spans="1:69" ht="12.95" customHeight="1">
      <c r="A230" s="2" t="s">
        <v>585</v>
      </c>
      <c r="B230" s="4"/>
      <c r="C230" s="2" t="s">
        <v>2504</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2.95" customHeight="1">
      <c r="D231" s="4" t="s">
        <v>479</v>
      </c>
      <c r="E231" s="4"/>
      <c r="F231" s="4"/>
      <c r="G231" s="4"/>
      <c r="H231" s="4"/>
      <c r="I231" s="4"/>
      <c r="J231" s="4"/>
      <c r="K231" s="4"/>
      <c r="M231" s="1777" t="str">
        <f>H16</f>
        <v>Warner Center I, L.P.</v>
      </c>
      <c r="N231" s="1777"/>
      <c r="O231" s="1777"/>
      <c r="P231" s="1777"/>
      <c r="Q231" s="1777"/>
      <c r="R231" s="1777"/>
      <c r="S231" s="1777"/>
      <c r="T231" s="1777"/>
      <c r="U231" s="1777"/>
      <c r="V231" s="1777"/>
      <c r="W231" s="1777"/>
      <c r="X231" s="1777"/>
      <c r="Y231" s="1777"/>
      <c r="Z231" s="1777"/>
      <c r="AA231" s="1777"/>
      <c r="AB231" s="1777"/>
      <c r="AC231" s="1777"/>
      <c r="AD231" s="1777"/>
      <c r="AE231" s="1777"/>
      <c r="AF231" s="1777"/>
      <c r="AG231" s="1777"/>
      <c r="AH231" s="1777"/>
      <c r="AI231" s="1777"/>
      <c r="AJ231" s="1777"/>
      <c r="AK231" s="1777"/>
      <c r="BA231" s="3"/>
      <c r="BB231" s="218"/>
      <c r="BG231" s="218"/>
      <c r="BQ231" s="34"/>
    </row>
    <row r="232" spans="1:69" ht="12.95" customHeight="1">
      <c r="D232" s="4" t="s">
        <v>86</v>
      </c>
      <c r="E232" s="4"/>
      <c r="F232" s="4"/>
      <c r="G232" s="4"/>
      <c r="H232" s="4"/>
      <c r="I232" s="4"/>
      <c r="J232" s="4"/>
      <c r="K232" s="4"/>
      <c r="M232" s="1623" t="s">
        <v>2638</v>
      </c>
      <c r="N232" s="1351"/>
      <c r="O232" s="1351"/>
      <c r="P232" s="1351"/>
      <c r="Q232" s="1351"/>
      <c r="R232" s="1351"/>
      <c r="S232" s="1351"/>
      <c r="T232" s="1351"/>
      <c r="U232" s="1351"/>
      <c r="V232" s="1351"/>
      <c r="W232" s="1351"/>
      <c r="X232" s="1351"/>
      <c r="Y232" s="1351"/>
      <c r="Z232" s="1351"/>
      <c r="AA232" s="1351"/>
      <c r="AB232" s="1351"/>
      <c r="AC232" s="1351"/>
      <c r="AD232" s="1351"/>
      <c r="AE232" s="1351"/>
      <c r="AZ232" s="4"/>
      <c r="BA232" s="3"/>
      <c r="BB232" s="219" t="s">
        <v>547</v>
      </c>
      <c r="BG232" s="259">
        <f>IF(AND(AND($M$248="nonprofit",$M$256="nonprofit",$M$264="for profit")),2,0)</f>
        <v>0</v>
      </c>
      <c r="BQ232" s="34"/>
    </row>
    <row r="233" spans="1:69" ht="12.95" customHeight="1">
      <c r="D233" s="4" t="s">
        <v>589</v>
      </c>
      <c r="E233" s="4"/>
      <c r="M233" s="1353" t="s">
        <v>503</v>
      </c>
      <c r="N233" s="1647"/>
      <c r="O233" s="1647"/>
      <c r="P233" s="1647"/>
      <c r="Q233" s="1647"/>
      <c r="R233" s="1647"/>
      <c r="S233" s="1647"/>
      <c r="T233" s="1647"/>
      <c r="V233" s="33" t="s">
        <v>87</v>
      </c>
      <c r="W233" s="1623" t="s">
        <v>2627</v>
      </c>
      <c r="X233" s="1351"/>
      <c r="Y233" s="4" t="s">
        <v>592</v>
      </c>
      <c r="AC233" s="1647">
        <v>90064</v>
      </c>
      <c r="AD233" s="1647"/>
      <c r="AE233" s="1647"/>
      <c r="BB233" s="219" t="s">
        <v>547</v>
      </c>
      <c r="BG233" s="259">
        <f>IF(AND(AND($M$248="nonprofit",$M$256="for profit",$M$264="nonprofit")),2,0)</f>
        <v>0</v>
      </c>
    </row>
    <row r="234" spans="1:69" ht="12.95" customHeight="1">
      <c r="D234" s="4" t="s">
        <v>88</v>
      </c>
      <c r="E234" s="4"/>
      <c r="F234" s="4"/>
      <c r="G234" s="4"/>
      <c r="H234" s="4"/>
      <c r="I234" s="4"/>
      <c r="J234" s="4"/>
      <c r="K234" s="19"/>
      <c r="M234" s="1353" t="s">
        <v>2628</v>
      </c>
      <c r="N234" s="1647"/>
      <c r="O234" s="1647"/>
      <c r="P234" s="1647"/>
      <c r="Q234" s="1647"/>
      <c r="R234" s="1647"/>
      <c r="S234" s="1647"/>
      <c r="T234" s="1647"/>
      <c r="U234" s="1647"/>
      <c r="V234" s="1647"/>
      <c r="W234" s="1647"/>
      <c r="X234" s="1647"/>
      <c r="Y234" s="1647"/>
      <c r="Z234" s="1647"/>
      <c r="AA234" s="1647"/>
      <c r="AB234" s="1647"/>
      <c r="AC234" s="1647"/>
      <c r="AD234" s="1647"/>
      <c r="AE234" s="1647"/>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2.95" customHeight="1">
      <c r="D235" s="4" t="s">
        <v>89</v>
      </c>
      <c r="E235" s="4"/>
      <c r="F235" s="4"/>
      <c r="M235" s="1624" t="s">
        <v>2728</v>
      </c>
      <c r="N235" s="1380"/>
      <c r="O235" s="1380"/>
      <c r="P235" s="1380"/>
      <c r="Q235" s="1380"/>
      <c r="R235" s="1380"/>
      <c r="S235" s="4" t="s">
        <v>208</v>
      </c>
      <c r="T235" s="4"/>
      <c r="U235" s="1351">
        <v>126</v>
      </c>
      <c r="V235" s="1351"/>
      <c r="W235" s="1351"/>
      <c r="X235" s="4" t="s">
        <v>90</v>
      </c>
      <c r="Z235" s="1624" t="s">
        <v>2749</v>
      </c>
      <c r="AA235" s="1380"/>
      <c r="AB235" s="1380"/>
      <c r="AC235" s="1380"/>
      <c r="AD235" s="1380"/>
      <c r="AE235" s="1380"/>
      <c r="BB235" s="219"/>
      <c r="BG235" s="218"/>
    </row>
    <row r="236" spans="1:69" ht="12.95" customHeight="1">
      <c r="D236" s="4" t="s">
        <v>91</v>
      </c>
      <c r="E236" s="4"/>
      <c r="F236" s="4"/>
      <c r="M236" s="1748" t="s">
        <v>2640</v>
      </c>
      <c r="N236" s="1748"/>
      <c r="O236" s="1748"/>
      <c r="P236" s="1748"/>
      <c r="Q236" s="1748"/>
      <c r="R236" s="1748"/>
      <c r="S236" s="1748"/>
      <c r="T236" s="1748"/>
      <c r="U236" s="1748"/>
      <c r="V236" s="1748"/>
      <c r="W236" s="1748"/>
      <c r="X236" s="1748"/>
      <c r="Y236" s="1748"/>
      <c r="Z236" s="1748"/>
      <c r="AA236" s="1748"/>
      <c r="AB236" s="1748"/>
      <c r="AC236" s="1748"/>
      <c r="AD236" s="1748"/>
      <c r="AE236" s="1748"/>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2.95" customHeight="1">
      <c r="A237" s="2" t="s">
        <v>595</v>
      </c>
      <c r="C237" s="2" t="s">
        <v>534</v>
      </c>
      <c r="M237" s="1374" t="s">
        <v>537</v>
      </c>
      <c r="N237" s="1374"/>
      <c r="O237" s="1374"/>
      <c r="P237" s="1374"/>
      <c r="Q237" s="1374"/>
      <c r="R237" s="1374"/>
      <c r="S237" s="1374"/>
      <c r="T237" s="1374"/>
      <c r="U237" s="218" t="s">
        <v>939</v>
      </c>
      <c r="V237" s="218"/>
      <c r="W237" s="218"/>
      <c r="X237" s="218"/>
      <c r="Y237" s="218"/>
      <c r="Z237" s="218"/>
      <c r="AA237" s="1750" t="s">
        <v>2715</v>
      </c>
      <c r="AB237" s="1751"/>
      <c r="AC237" s="1751"/>
      <c r="AD237" s="1751"/>
      <c r="AE237" s="1751"/>
      <c r="AF237" s="1751"/>
      <c r="AG237" s="1751"/>
      <c r="AH237" s="1751"/>
      <c r="AI237" s="1751"/>
      <c r="AJ237" s="1751"/>
      <c r="AK237" s="1751"/>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2.95" customHeight="1">
      <c r="D238" t="s">
        <v>540</v>
      </c>
      <c r="M238" s="1354"/>
      <c r="N238" s="1354"/>
      <c r="O238" s="1354"/>
      <c r="P238" s="1354"/>
      <c r="Q238" s="1354"/>
      <c r="R238" s="1354"/>
      <c r="S238" s="1354"/>
      <c r="T238" s="1354"/>
      <c r="U238" s="1354"/>
      <c r="V238" s="1354"/>
      <c r="W238" s="1354"/>
      <c r="X238" s="1354"/>
      <c r="Y238" s="1354"/>
      <c r="Z238" s="1354"/>
      <c r="AA238" s="1354"/>
      <c r="AB238" s="1354"/>
      <c r="AC238" s="1354"/>
      <c r="AD238" s="1354"/>
      <c r="AE238" s="1354"/>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2.95" customHeight="1">
      <c r="D239" s="4"/>
      <c r="BB239" s="218" t="s">
        <v>906</v>
      </c>
      <c r="BG239" s="259">
        <f>IF(AND(AND($M$248="for profit",$M$256="for profit",$M$264="(select one)")),3,0)</f>
        <v>0</v>
      </c>
    </row>
    <row r="240" spans="1:69" ht="12.95" customHeight="1">
      <c r="A240" s="2" t="s">
        <v>598</v>
      </c>
      <c r="C240" s="2" t="s">
        <v>1324</v>
      </c>
      <c r="D240" s="4"/>
      <c r="L240" s="8"/>
      <c r="M240" s="8"/>
      <c r="N240" s="8"/>
      <c r="BB240" s="218" t="s">
        <v>906</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2.95" customHeight="1">
      <c r="A242" s="19"/>
      <c r="B242" s="4"/>
      <c r="C242" s="56" t="s">
        <v>482</v>
      </c>
      <c r="D242" s="4" t="s">
        <v>541</v>
      </c>
      <c r="E242" s="4"/>
      <c r="F242" s="4"/>
      <c r="G242" s="4"/>
      <c r="H242" s="4"/>
      <c r="I242" s="4"/>
      <c r="J242" s="4"/>
      <c r="K242" s="4"/>
      <c r="L242" s="4"/>
      <c r="M242" s="1764" t="s">
        <v>2633</v>
      </c>
      <c r="N242" s="1754"/>
      <c r="O242" s="1754"/>
      <c r="P242" s="1754"/>
      <c r="Q242" s="1754"/>
      <c r="R242" s="1754"/>
      <c r="S242" s="1754"/>
      <c r="T242" s="1754"/>
      <c r="U242" s="1754"/>
      <c r="V242" s="1754"/>
      <c r="W242" s="1754"/>
      <c r="X242" s="1754"/>
      <c r="Y242" s="1754"/>
      <c r="Z242" s="1754"/>
      <c r="AA242" s="1754"/>
      <c r="AB242" s="1754"/>
      <c r="AC242" s="1754"/>
      <c r="AD242" s="1754"/>
      <c r="AE242" s="1754"/>
      <c r="AF242" s="1754" t="s">
        <v>2673</v>
      </c>
      <c r="AG242" s="1754"/>
      <c r="AH242" s="1754"/>
      <c r="AI242" s="1754"/>
      <c r="AJ242" s="1754"/>
      <c r="AK242" s="1754"/>
      <c r="BO242" s="34"/>
      <c r="BP242" s="4"/>
      <c r="BQ242" s="4"/>
      <c r="BR242" s="4"/>
      <c r="BS242" s="4"/>
    </row>
    <row r="243" spans="1:71" ht="12.95" customHeight="1">
      <c r="A243" s="19"/>
      <c r="B243" s="4"/>
      <c r="C243" s="4"/>
      <c r="D243" s="4" t="s">
        <v>86</v>
      </c>
      <c r="E243" s="4"/>
      <c r="F243" s="4"/>
      <c r="G243" s="4"/>
      <c r="H243" s="4"/>
      <c r="I243" s="4"/>
      <c r="J243" s="4"/>
      <c r="K243" s="4"/>
      <c r="L243" s="4"/>
      <c r="M243" s="1353" t="s">
        <v>2638</v>
      </c>
      <c r="N243" s="1647"/>
      <c r="O243" s="1647"/>
      <c r="P243" s="1647"/>
      <c r="Q243" s="1647"/>
      <c r="R243" s="1647"/>
      <c r="S243" s="1647"/>
      <c r="T243" s="1647"/>
      <c r="U243" s="1647"/>
      <c r="V243" s="1647"/>
      <c r="W243" s="1647"/>
      <c r="X243" s="1647"/>
      <c r="Y243" s="1647"/>
      <c r="Z243" s="1647"/>
      <c r="AA243" s="1647"/>
      <c r="AB243" s="1647"/>
      <c r="AC243" s="1647"/>
      <c r="AD243" s="1647"/>
      <c r="AE243" s="1647"/>
      <c r="AF243" s="3" t="s">
        <v>1320</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589</v>
      </c>
      <c r="E244" s="4"/>
      <c r="M244" s="1353" t="s">
        <v>2624</v>
      </c>
      <c r="N244" s="1647"/>
      <c r="O244" s="1647"/>
      <c r="P244" s="1647"/>
      <c r="Q244" s="1647"/>
      <c r="R244" s="1647"/>
      <c r="S244" s="1647"/>
      <c r="T244" s="1647"/>
      <c r="V244" s="33" t="s">
        <v>87</v>
      </c>
      <c r="W244" s="1623" t="s">
        <v>2627</v>
      </c>
      <c r="X244" s="1351"/>
      <c r="Y244" s="4" t="s">
        <v>592</v>
      </c>
      <c r="AC244" s="1647">
        <v>90064</v>
      </c>
      <c r="AD244" s="1647"/>
      <c r="AE244" s="1647"/>
      <c r="AF244" s="3" t="s">
        <v>1321</v>
      </c>
      <c r="BB244" t="s">
        <v>309</v>
      </c>
      <c r="BG244">
        <v>1</v>
      </c>
      <c r="BH244" t="s">
        <v>543</v>
      </c>
    </row>
    <row r="245" spans="1:71" ht="12.95" customHeight="1">
      <c r="A245" s="19"/>
      <c r="B245" s="4"/>
      <c r="C245" s="4"/>
      <c r="D245" s="4" t="s">
        <v>88</v>
      </c>
      <c r="E245" s="4"/>
      <c r="F245" s="4"/>
      <c r="G245" s="4"/>
      <c r="H245" s="4"/>
      <c r="I245" s="4"/>
      <c r="J245" s="4"/>
      <c r="K245" s="4"/>
      <c r="L245" s="19"/>
      <c r="M245" s="1353" t="s">
        <v>2628</v>
      </c>
      <c r="N245" s="1647"/>
      <c r="O245" s="1647"/>
      <c r="P245" s="1647"/>
      <c r="Q245" s="1647"/>
      <c r="R245" s="1647"/>
      <c r="S245" s="1647"/>
      <c r="T245" s="1647"/>
      <c r="U245" s="1647"/>
      <c r="V245" s="1647"/>
      <c r="W245" s="1647"/>
      <c r="X245" s="1647"/>
      <c r="Y245" s="1647"/>
      <c r="Z245" s="1647"/>
      <c r="AA245" s="1647"/>
      <c r="AB245" s="1647"/>
      <c r="AC245" s="1647"/>
      <c r="AD245" s="1647"/>
      <c r="AE245" s="1647"/>
      <c r="AH245" s="1745">
        <v>5.1000000000000004E-3</v>
      </c>
      <c r="AI245" s="1745"/>
      <c r="AJ245" s="1745"/>
      <c r="AK245" s="1745"/>
      <c r="AL245" s="4"/>
      <c r="AM245" s="4"/>
      <c r="AN245" s="4"/>
      <c r="AO245" s="4"/>
      <c r="AP245" s="4"/>
      <c r="AQ245" s="4"/>
      <c r="AR245" s="4"/>
      <c r="AS245" s="4"/>
      <c r="AT245" s="4"/>
      <c r="AU245" s="4"/>
      <c r="AV245" s="4"/>
      <c r="AW245" s="4"/>
      <c r="AX245" s="4"/>
      <c r="AY245" s="4"/>
      <c r="BB245" s="4" t="s">
        <v>282</v>
      </c>
      <c r="BG245">
        <v>2</v>
      </c>
      <c r="BH245" t="s">
        <v>575</v>
      </c>
      <c r="BO245" s="257" t="str">
        <f>VLOOKUP(BG243,BG244:BH246,2,FALSE)</f>
        <v>Joint Venture</v>
      </c>
    </row>
    <row r="246" spans="1:71" ht="12.95" customHeight="1">
      <c r="A246" s="19"/>
      <c r="B246" s="4"/>
      <c r="C246" s="4"/>
      <c r="D246" s="4" t="s">
        <v>89</v>
      </c>
      <c r="E246" s="4"/>
      <c r="F246" s="4"/>
      <c r="M246" s="1624" t="s">
        <v>2728</v>
      </c>
      <c r="N246" s="1380"/>
      <c r="O246" s="1380"/>
      <c r="P246" s="1380"/>
      <c r="Q246" s="1380"/>
      <c r="R246" s="1380"/>
      <c r="S246" s="4" t="s">
        <v>208</v>
      </c>
      <c r="T246" s="4"/>
      <c r="U246" s="1351">
        <v>126</v>
      </c>
      <c r="V246" s="1351"/>
      <c r="W246" s="1351"/>
      <c r="X246" s="4" t="s">
        <v>90</v>
      </c>
      <c r="Z246" s="1624" t="s">
        <v>2749</v>
      </c>
      <c r="AA246" s="1380"/>
      <c r="AB246" s="1380"/>
      <c r="AC246" s="1380"/>
      <c r="AD246" s="1380"/>
      <c r="AE246" s="1380"/>
      <c r="BB246" s="4" t="s">
        <v>174</v>
      </c>
      <c r="BG246">
        <v>3</v>
      </c>
      <c r="BH246" t="s">
        <v>545</v>
      </c>
      <c r="BN246" s="34"/>
    </row>
    <row r="247" spans="1:71" ht="12.95" customHeight="1">
      <c r="A247" s="19"/>
      <c r="B247" s="4"/>
      <c r="C247" s="4"/>
      <c r="D247" s="4" t="s">
        <v>91</v>
      </c>
      <c r="E247" s="4"/>
      <c r="F247" s="4"/>
      <c r="M247" s="1748" t="s">
        <v>2640</v>
      </c>
      <c r="N247" s="1748"/>
      <c r="O247" s="1748"/>
      <c r="P247" s="1748"/>
      <c r="Q247" s="1748"/>
      <c r="R247" s="1748"/>
      <c r="S247" s="1748"/>
      <c r="T247" s="1748"/>
      <c r="U247" s="1748"/>
      <c r="V247" s="1748"/>
      <c r="W247" s="1748"/>
      <c r="X247" s="1748"/>
      <c r="Y247" s="1748"/>
      <c r="Z247" s="1748"/>
      <c r="AA247" s="1748"/>
      <c r="AB247" s="1748"/>
      <c r="AC247" s="1748"/>
      <c r="AD247" s="1748"/>
      <c r="AE247" s="1748"/>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544</v>
      </c>
      <c r="E248" s="4"/>
      <c r="F248" s="4"/>
      <c r="G248" s="4"/>
      <c r="H248" s="4"/>
      <c r="I248" s="4"/>
      <c r="J248" s="4"/>
      <c r="K248" s="4"/>
      <c r="L248" s="4"/>
      <c r="M248" s="1374" t="s">
        <v>545</v>
      </c>
      <c r="N248" s="1374"/>
      <c r="O248" s="1374"/>
      <c r="P248" s="1374"/>
      <c r="Q248" s="1374"/>
      <c r="R248" s="1374"/>
      <c r="S248" s="1374"/>
      <c r="T248" s="1374"/>
      <c r="U248" s="218" t="s">
        <v>939</v>
      </c>
      <c r="V248" s="218"/>
      <c r="W248" s="218"/>
      <c r="X248" s="218"/>
      <c r="Y248" s="218"/>
      <c r="Z248" s="218"/>
      <c r="AA248" s="1750" t="s">
        <v>2626</v>
      </c>
      <c r="AB248" s="1751"/>
      <c r="AC248" s="1751"/>
      <c r="AD248" s="1751"/>
      <c r="AE248" s="1751"/>
      <c r="AF248" s="1751"/>
      <c r="AG248" s="1751"/>
      <c r="AH248" s="1751"/>
      <c r="AI248" s="1751"/>
      <c r="AJ248" s="1751"/>
      <c r="AK248" s="1751"/>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995</v>
      </c>
      <c r="E250" s="4"/>
      <c r="F250" s="4"/>
      <c r="G250" s="4"/>
      <c r="H250" s="4"/>
      <c r="I250" s="4"/>
      <c r="J250" s="4"/>
      <c r="K250" s="4"/>
      <c r="L250" s="4"/>
      <c r="M250" s="1764" t="s">
        <v>2687</v>
      </c>
      <c r="N250" s="1754"/>
      <c r="O250" s="1754"/>
      <c r="P250" s="1754"/>
      <c r="Q250" s="1754"/>
      <c r="R250" s="1754"/>
      <c r="S250" s="1754"/>
      <c r="T250" s="1754"/>
      <c r="U250" s="1754"/>
      <c r="V250" s="1754"/>
      <c r="W250" s="1754"/>
      <c r="X250" s="1754"/>
      <c r="Y250" s="1754"/>
      <c r="Z250" s="1754"/>
      <c r="AA250" s="1754"/>
      <c r="AB250" s="1754"/>
      <c r="AC250" s="1754"/>
      <c r="AD250" s="1754"/>
      <c r="AE250" s="1754"/>
      <c r="AF250" s="1754" t="s">
        <v>2674</v>
      </c>
      <c r="AG250" s="1754"/>
      <c r="AH250" s="1754"/>
      <c r="AI250" s="1754"/>
      <c r="AJ250" s="1754"/>
      <c r="AK250" s="1754"/>
      <c r="BN250" s="34"/>
    </row>
    <row r="251" spans="1:71" ht="12.95" customHeight="1">
      <c r="A251" s="19"/>
      <c r="B251" s="4"/>
      <c r="C251" s="4"/>
      <c r="D251" s="4" t="s">
        <v>86</v>
      </c>
      <c r="E251" s="4"/>
      <c r="F251" s="4"/>
      <c r="G251" s="4"/>
      <c r="H251" s="4"/>
      <c r="I251" s="4"/>
      <c r="J251" s="4"/>
      <c r="K251" s="4"/>
      <c r="L251" s="4"/>
      <c r="M251" s="1353" t="s">
        <v>2634</v>
      </c>
      <c r="N251" s="1647"/>
      <c r="O251" s="1647"/>
      <c r="P251" s="1647"/>
      <c r="Q251" s="1647"/>
      <c r="R251" s="1647"/>
      <c r="S251" s="1647"/>
      <c r="T251" s="1647"/>
      <c r="U251" s="1647"/>
      <c r="V251" s="1647"/>
      <c r="W251" s="1647"/>
      <c r="X251" s="1647"/>
      <c r="Y251" s="1647"/>
      <c r="Z251" s="1647"/>
      <c r="AA251" s="1647"/>
      <c r="AB251" s="1647"/>
      <c r="AC251" s="1647"/>
      <c r="AD251" s="1647"/>
      <c r="AE251" s="1647"/>
      <c r="AF251" s="3" t="s">
        <v>1320</v>
      </c>
      <c r="AL251" s="4"/>
      <c r="AM251" s="4"/>
      <c r="AN251" s="4"/>
      <c r="AO251" s="4"/>
      <c r="AP251" s="4"/>
      <c r="AQ251" s="4"/>
      <c r="AR251" s="4"/>
      <c r="AS251" s="4"/>
      <c r="AT251" s="4"/>
      <c r="AU251" s="4"/>
      <c r="AV251" s="4"/>
      <c r="AW251" s="4"/>
      <c r="AX251" s="4"/>
      <c r="AY251" s="4"/>
      <c r="BN251" s="34"/>
    </row>
    <row r="252" spans="1:71" ht="12.95" customHeight="1">
      <c r="A252" s="19"/>
      <c r="B252" s="4"/>
      <c r="C252" s="4"/>
      <c r="D252" s="4" t="s">
        <v>589</v>
      </c>
      <c r="E252" s="4"/>
      <c r="M252" s="1353" t="s">
        <v>2635</v>
      </c>
      <c r="N252" s="1647"/>
      <c r="O252" s="1647"/>
      <c r="P252" s="1647"/>
      <c r="Q252" s="1647"/>
      <c r="R252" s="1647"/>
      <c r="S252" s="1647"/>
      <c r="T252" s="1647"/>
      <c r="V252" s="33" t="s">
        <v>87</v>
      </c>
      <c r="W252" s="1623" t="s">
        <v>2627</v>
      </c>
      <c r="X252" s="1351"/>
      <c r="Y252" s="4" t="s">
        <v>592</v>
      </c>
      <c r="AC252" s="1647">
        <v>97703</v>
      </c>
      <c r="AD252" s="1647"/>
      <c r="AE252" s="1647"/>
      <c r="AF252" s="3" t="s">
        <v>1321</v>
      </c>
      <c r="BN252" s="34"/>
    </row>
    <row r="253" spans="1:71" ht="12.95" customHeight="1">
      <c r="A253" s="19"/>
      <c r="B253" s="4"/>
      <c r="C253" s="4"/>
      <c r="D253" s="4" t="s">
        <v>88</v>
      </c>
      <c r="E253" s="4"/>
      <c r="F253" s="4"/>
      <c r="G253" s="4"/>
      <c r="H253" s="4"/>
      <c r="I253" s="4"/>
      <c r="J253" s="4"/>
      <c r="K253" s="4"/>
      <c r="L253" s="19"/>
      <c r="M253" s="1353" t="s">
        <v>2714</v>
      </c>
      <c r="N253" s="1647"/>
      <c r="O253" s="1647"/>
      <c r="P253" s="1647"/>
      <c r="Q253" s="1647"/>
      <c r="R253" s="1647"/>
      <c r="S253" s="1647"/>
      <c r="T253" s="1647"/>
      <c r="U253" s="1647"/>
      <c r="V253" s="1647"/>
      <c r="W253" s="1647"/>
      <c r="X253" s="1647"/>
      <c r="Y253" s="1647"/>
      <c r="Z253" s="1647"/>
      <c r="AA253" s="1647"/>
      <c r="AB253" s="1647"/>
      <c r="AC253" s="1647"/>
      <c r="AD253" s="1647"/>
      <c r="AE253" s="1647"/>
      <c r="AH253" s="1772">
        <v>4.8999999999999998E-3</v>
      </c>
      <c r="AI253" s="1745"/>
      <c r="AJ253" s="1745"/>
      <c r="AK253" s="1745"/>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624" t="s">
        <v>2636</v>
      </c>
      <c r="N254" s="1380"/>
      <c r="O254" s="1380"/>
      <c r="P254" s="1380"/>
      <c r="Q254" s="1380"/>
      <c r="R254" s="1380"/>
      <c r="S254" s="4" t="s">
        <v>208</v>
      </c>
      <c r="T254" s="4"/>
      <c r="U254" s="1351"/>
      <c r="V254" s="1351"/>
      <c r="W254" s="1351"/>
      <c r="X254" s="4" t="s">
        <v>90</v>
      </c>
      <c r="Z254" s="1380"/>
      <c r="AA254" s="1380"/>
      <c r="AB254" s="1380"/>
      <c r="AC254" s="1380"/>
      <c r="AD254" s="1380"/>
      <c r="AE254" s="1380"/>
    </row>
    <row r="255" spans="1:71" ht="12.95" customHeight="1">
      <c r="A255" s="19"/>
      <c r="B255" s="4"/>
      <c r="C255" s="4"/>
      <c r="D255" s="4" t="s">
        <v>91</v>
      </c>
      <c r="E255" s="4"/>
      <c r="F255" s="4"/>
      <c r="M255" s="1748" t="s">
        <v>2637</v>
      </c>
      <c r="N255" s="1748"/>
      <c r="O255" s="1748"/>
      <c r="P255" s="1748"/>
      <c r="Q255" s="1748"/>
      <c r="R255" s="1748"/>
      <c r="S255" s="1748"/>
      <c r="T255" s="1748"/>
      <c r="U255" s="1748"/>
      <c r="V255" s="1748"/>
      <c r="W255" s="1748"/>
      <c r="X255" s="1748"/>
      <c r="Y255" s="1748"/>
      <c r="Z255" s="1748"/>
      <c r="AA255" s="1748"/>
      <c r="AB255" s="1748"/>
      <c r="AC255" s="1748"/>
      <c r="AD255" s="1748"/>
      <c r="AE255" s="1748"/>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544</v>
      </c>
      <c r="E256" s="4"/>
      <c r="F256" s="4"/>
      <c r="G256" s="4"/>
      <c r="H256" s="4"/>
      <c r="I256" s="4"/>
      <c r="J256" s="4"/>
      <c r="K256" s="4"/>
      <c r="L256" s="4"/>
      <c r="M256" s="1374" t="s">
        <v>543</v>
      </c>
      <c r="N256" s="1374"/>
      <c r="O256" s="1374"/>
      <c r="P256" s="1374"/>
      <c r="Q256" s="1374"/>
      <c r="R256" s="1374"/>
      <c r="S256" s="1374"/>
      <c r="T256" s="1374"/>
      <c r="U256" s="218" t="s">
        <v>939</v>
      </c>
      <c r="V256" s="218"/>
      <c r="W256" s="218"/>
      <c r="X256" s="218"/>
      <c r="Y256" s="218"/>
      <c r="Z256" s="218"/>
      <c r="AA256" s="1750" t="s">
        <v>2745</v>
      </c>
      <c r="AB256" s="1751"/>
      <c r="AC256" s="1751"/>
      <c r="AD256" s="1751"/>
      <c r="AE256" s="1751"/>
      <c r="AF256" s="1751"/>
      <c r="AG256" s="1751"/>
      <c r="AH256" s="1751"/>
      <c r="AI256" s="1751"/>
      <c r="AJ256" s="1751"/>
      <c r="AK256" s="1751"/>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905</v>
      </c>
      <c r="D258" s="4" t="s">
        <v>541</v>
      </c>
      <c r="E258" s="4"/>
      <c r="F258" s="4"/>
      <c r="G258" s="4"/>
      <c r="H258" s="4"/>
      <c r="I258" s="4"/>
      <c r="J258" s="4"/>
      <c r="K258" s="4"/>
      <c r="L258" s="4"/>
      <c r="M258" s="1764"/>
      <c r="N258" s="1754"/>
      <c r="O258" s="1754"/>
      <c r="P258" s="1754"/>
      <c r="Q258" s="1754"/>
      <c r="R258" s="1754"/>
      <c r="S258" s="1754"/>
      <c r="T258" s="1754"/>
      <c r="U258" s="1754"/>
      <c r="V258" s="1754"/>
      <c r="W258" s="1754"/>
      <c r="X258" s="1754"/>
      <c r="Y258" s="1754"/>
      <c r="Z258" s="1754"/>
      <c r="AA258" s="1754"/>
      <c r="AB258" s="1754"/>
      <c r="AC258" s="1754"/>
      <c r="AD258" s="1754"/>
      <c r="AE258" s="1754"/>
      <c r="AF258" s="1754"/>
      <c r="AG258" s="1754"/>
      <c r="AH258" s="1754"/>
      <c r="AI258" s="1754"/>
      <c r="AJ258" s="1754"/>
      <c r="AK258" s="1754"/>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647"/>
      <c r="N259" s="1647"/>
      <c r="O259" s="1647"/>
      <c r="P259" s="1647"/>
      <c r="Q259" s="1647"/>
      <c r="R259" s="1647"/>
      <c r="S259" s="1647"/>
      <c r="T259" s="1647"/>
      <c r="U259" s="1647"/>
      <c r="V259" s="1647"/>
      <c r="W259" s="1647"/>
      <c r="X259" s="1647"/>
      <c r="Y259" s="1647"/>
      <c r="Z259" s="1647"/>
      <c r="AA259" s="1647"/>
      <c r="AB259" s="1647"/>
      <c r="AC259" s="1647"/>
      <c r="AD259" s="1647"/>
      <c r="AE259" s="1647"/>
      <c r="AF259" s="3" t="s">
        <v>1320</v>
      </c>
      <c r="AL259" s="3"/>
      <c r="AM259" s="3"/>
      <c r="AN259" s="3"/>
      <c r="AO259" s="3"/>
      <c r="AP259" s="3"/>
      <c r="AQ259" s="3"/>
      <c r="AR259" s="3"/>
      <c r="AS259" s="3"/>
      <c r="AT259" s="3"/>
      <c r="AU259" s="3"/>
      <c r="AV259" s="3"/>
      <c r="AW259" s="3"/>
      <c r="AX259" s="3"/>
      <c r="AY259" s="3"/>
      <c r="BN259" s="34"/>
    </row>
    <row r="260" spans="1:66" ht="12.95" customHeight="1">
      <c r="A260" s="13"/>
      <c r="B260" s="4"/>
      <c r="C260" s="4"/>
      <c r="D260" s="4" t="s">
        <v>589</v>
      </c>
      <c r="E260" s="4"/>
      <c r="M260" s="1647"/>
      <c r="N260" s="1647"/>
      <c r="O260" s="1647"/>
      <c r="P260" s="1647"/>
      <c r="Q260" s="1647"/>
      <c r="R260" s="1647"/>
      <c r="S260" s="1647"/>
      <c r="T260" s="1647"/>
      <c r="V260" s="33" t="s">
        <v>87</v>
      </c>
      <c r="W260" s="1351"/>
      <c r="X260" s="1351"/>
      <c r="Y260" s="4" t="s">
        <v>592</v>
      </c>
      <c r="AC260" s="1647"/>
      <c r="AD260" s="1647"/>
      <c r="AE260" s="1647"/>
      <c r="AF260" s="3" t="s">
        <v>1321</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647"/>
      <c r="N261" s="1647"/>
      <c r="O261" s="1647"/>
      <c r="P261" s="1647"/>
      <c r="Q261" s="1647"/>
      <c r="R261" s="1647"/>
      <c r="S261" s="1647"/>
      <c r="T261" s="1647"/>
      <c r="U261" s="1647"/>
      <c r="V261" s="1647"/>
      <c r="W261" s="1647"/>
      <c r="X261" s="1647"/>
      <c r="Y261" s="1647"/>
      <c r="Z261" s="1647"/>
      <c r="AA261" s="1647"/>
      <c r="AB261" s="1647"/>
      <c r="AC261" s="1647"/>
      <c r="AD261" s="1647"/>
      <c r="AE261" s="1647"/>
      <c r="AH261" s="1745"/>
      <c r="AI261" s="1745"/>
      <c r="AJ261" s="1745"/>
      <c r="AK261" s="1745"/>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380"/>
      <c r="N262" s="1380"/>
      <c r="O262" s="1380"/>
      <c r="P262" s="1380"/>
      <c r="Q262" s="1380"/>
      <c r="R262" s="1380"/>
      <c r="S262" s="4" t="s">
        <v>208</v>
      </c>
      <c r="T262" s="4"/>
      <c r="U262" s="1351"/>
      <c r="V262" s="1351"/>
      <c r="W262" s="1351"/>
      <c r="X262" s="4" t="s">
        <v>90</v>
      </c>
      <c r="Z262" s="1380"/>
      <c r="AA262" s="1380"/>
      <c r="AB262" s="1380"/>
      <c r="AC262" s="1380"/>
      <c r="AD262" s="1380"/>
      <c r="AE262" s="1380"/>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748"/>
      <c r="N263" s="1748"/>
      <c r="O263" s="1748"/>
      <c r="P263" s="1748"/>
      <c r="Q263" s="1748"/>
      <c r="R263" s="1748"/>
      <c r="S263" s="1748"/>
      <c r="T263" s="1748"/>
      <c r="U263" s="1748"/>
      <c r="V263" s="1748"/>
      <c r="W263" s="1748"/>
      <c r="X263" s="1748"/>
      <c r="Y263" s="1748"/>
      <c r="Z263" s="1748"/>
      <c r="AA263" s="1781"/>
      <c r="AB263" s="1781"/>
      <c r="AC263" s="1781"/>
      <c r="AD263" s="1781"/>
      <c r="AE263" s="1781"/>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544</v>
      </c>
      <c r="E264" s="4"/>
      <c r="F264" s="4"/>
      <c r="G264" s="4"/>
      <c r="H264" s="4"/>
      <c r="I264" s="4"/>
      <c r="J264" s="4"/>
      <c r="K264" s="4"/>
      <c r="L264" s="4"/>
      <c r="M264" s="1374" t="s">
        <v>309</v>
      </c>
      <c r="N264" s="1374"/>
      <c r="O264" s="1374"/>
      <c r="P264" s="1374"/>
      <c r="Q264" s="1374"/>
      <c r="R264" s="1374"/>
      <c r="S264" s="1374"/>
      <c r="T264" s="1374"/>
      <c r="U264" s="218" t="s">
        <v>939</v>
      </c>
      <c r="V264" s="218"/>
      <c r="W264" s="218"/>
      <c r="X264" s="218"/>
      <c r="Y264" s="218"/>
      <c r="Z264" s="218"/>
      <c r="AA264" s="1746"/>
      <c r="AB264" s="1747"/>
      <c r="AC264" s="1747"/>
      <c r="AD264" s="1747"/>
      <c r="AE264" s="1747"/>
      <c r="AF264" s="1747"/>
      <c r="AG264" s="1747"/>
      <c r="AH264" s="1747"/>
      <c r="AI264" s="1747"/>
      <c r="AJ264" s="1747"/>
      <c r="AK264" s="1747"/>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599</v>
      </c>
      <c r="B266" s="4"/>
      <c r="C266" s="2" t="s">
        <v>297</v>
      </c>
      <c r="D266" s="4"/>
      <c r="E266" s="4"/>
      <c r="F266" s="4"/>
      <c r="G266" s="4"/>
      <c r="H266" s="4"/>
      <c r="I266" s="4"/>
      <c r="J266" s="4"/>
      <c r="K266" s="4"/>
      <c r="L266" s="4"/>
      <c r="M266" s="35"/>
      <c r="N266" s="35"/>
      <c r="O266" s="35"/>
      <c r="P266" s="35"/>
      <c r="Q266" s="35"/>
      <c r="T266" s="1780" t="str">
        <f>BO245</f>
        <v>Joint Venture</v>
      </c>
      <c r="U266" s="1780"/>
      <c r="V266" s="1780"/>
      <c r="W266" s="1780"/>
      <c r="X266" s="1780"/>
      <c r="Z266" s="331" t="s">
        <v>994</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2.95" customHeight="1">
      <c r="A268" s="2" t="s">
        <v>601</v>
      </c>
      <c r="B268" s="4"/>
      <c r="C268" s="2" t="s">
        <v>173</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2.95" customHeight="1">
      <c r="A269" s="4"/>
      <c r="B269" s="36">
        <v>0</v>
      </c>
      <c r="D269" s="1647" t="s">
        <v>282</v>
      </c>
      <c r="E269" s="1647"/>
      <c r="F269" s="1647"/>
      <c r="G269" s="1647"/>
      <c r="H269" s="1647"/>
      <c r="J269" t="s">
        <v>281</v>
      </c>
      <c r="X269" s="1636"/>
      <c r="Y269" s="1636"/>
      <c r="Z269" s="1636"/>
      <c r="AA269" s="1636"/>
      <c r="AB269" s="1636"/>
      <c r="AC269" s="1636"/>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764" t="s">
        <v>2626</v>
      </c>
      <c r="M273" s="1754"/>
      <c r="N273" s="1754"/>
      <c r="O273" s="1754"/>
      <c r="P273" s="1754"/>
      <c r="Q273" s="1754"/>
      <c r="R273" s="1754"/>
      <c r="S273" s="1754"/>
      <c r="T273" s="1754"/>
      <c r="U273" s="1754"/>
      <c r="V273" s="1754"/>
      <c r="W273" s="1754"/>
      <c r="X273" s="1754"/>
      <c r="Y273" s="1754"/>
      <c r="Z273" s="1754"/>
      <c r="AA273" s="1754"/>
      <c r="AB273" s="1754"/>
      <c r="AC273" s="1754"/>
      <c r="AD273" s="1754"/>
      <c r="AE273" s="1754"/>
      <c r="AF273" s="1754"/>
      <c r="AG273" s="1754"/>
      <c r="AH273" s="1754"/>
      <c r="AI273" s="1754"/>
      <c r="AJ273" s="1754"/>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353" t="s">
        <v>2638</v>
      </c>
      <c r="M274" s="1647"/>
      <c r="N274" s="1647"/>
      <c r="O274" s="1647"/>
      <c r="P274" s="1647"/>
      <c r="Q274" s="1647"/>
      <c r="R274" s="1647"/>
      <c r="S274" s="1647"/>
      <c r="T274" s="1647"/>
      <c r="U274" s="1647"/>
      <c r="V274" s="1647"/>
      <c r="W274" s="1647"/>
      <c r="X274" s="1647"/>
      <c r="Y274" s="1647"/>
      <c r="Z274" s="1647"/>
      <c r="AA274" s="1647"/>
      <c r="AB274" s="1647"/>
      <c r="AC274" s="1647"/>
      <c r="AD274" s="1647"/>
      <c r="AK274" s="3"/>
      <c r="AL274" s="3"/>
      <c r="AM274" s="3"/>
      <c r="AN274" s="3"/>
      <c r="AO274" s="3"/>
      <c r="AP274" s="3"/>
      <c r="AQ274" s="3"/>
      <c r="AR274" s="3"/>
      <c r="AS274" s="3"/>
      <c r="AT274" s="3"/>
      <c r="AU274" s="3"/>
      <c r="AV274" s="3"/>
      <c r="AW274" s="3"/>
      <c r="AX274" s="3"/>
      <c r="AY274" s="3"/>
      <c r="BN274" s="34"/>
    </row>
    <row r="275" spans="1:66" ht="12.95" customHeight="1">
      <c r="D275" s="4" t="s">
        <v>589</v>
      </c>
      <c r="E275" s="4"/>
      <c r="L275" s="1353" t="s">
        <v>2624</v>
      </c>
      <c r="M275" s="1647"/>
      <c r="N275" s="1647"/>
      <c r="O275" s="1647"/>
      <c r="P275" s="1647"/>
      <c r="Q275" s="1647"/>
      <c r="R275" s="1647"/>
      <c r="S275" s="1647"/>
      <c r="U275" s="33" t="s">
        <v>87</v>
      </c>
      <c r="V275" s="1623" t="s">
        <v>2627</v>
      </c>
      <c r="W275" s="1351"/>
      <c r="X275" s="4" t="s">
        <v>592</v>
      </c>
      <c r="AB275" s="1647">
        <v>90064</v>
      </c>
      <c r="AC275" s="1647"/>
      <c r="AD275" s="1647"/>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353" t="s">
        <v>2679</v>
      </c>
      <c r="M276" s="1647"/>
      <c r="N276" s="1647"/>
      <c r="O276" s="1647"/>
      <c r="P276" s="1647"/>
      <c r="Q276" s="1647"/>
      <c r="R276" s="1647"/>
      <c r="S276" s="1647"/>
      <c r="T276" s="1647"/>
      <c r="U276" s="1647"/>
      <c r="V276" s="1647"/>
      <c r="W276" s="1647"/>
      <c r="X276" s="1647"/>
      <c r="Y276" s="1647"/>
      <c r="Z276" s="1647"/>
      <c r="AA276" s="1647"/>
      <c r="AB276" s="1647"/>
      <c r="AC276" s="1647"/>
      <c r="AD276" s="1647"/>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624" t="s">
        <v>2690</v>
      </c>
      <c r="M277" s="1380"/>
      <c r="N277" s="1380"/>
      <c r="O277" s="1380"/>
      <c r="P277" s="1380"/>
      <c r="Q277" s="1380"/>
      <c r="R277" s="4" t="s">
        <v>208</v>
      </c>
      <c r="S277" s="4"/>
      <c r="T277" s="1351">
        <v>109</v>
      </c>
      <c r="U277" s="1351"/>
      <c r="V277" s="1351"/>
      <c r="W277" s="4" t="s">
        <v>90</v>
      </c>
      <c r="Y277" s="1380"/>
      <c r="Z277" s="1380"/>
      <c r="AA277" s="1380"/>
      <c r="AB277" s="1380"/>
      <c r="AC277" s="1380"/>
      <c r="AD277" s="1380"/>
      <c r="BN277" s="34"/>
    </row>
    <row r="278" spans="1:66" ht="12.95" customHeight="1">
      <c r="D278" s="4" t="s">
        <v>91</v>
      </c>
      <c r="E278" s="4"/>
      <c r="F278" s="4"/>
      <c r="L278" s="1748" t="s">
        <v>2689</v>
      </c>
      <c r="M278" s="1748"/>
      <c r="N278" s="1748"/>
      <c r="O278" s="1748"/>
      <c r="P278" s="1748"/>
      <c r="Q278" s="1748"/>
      <c r="R278" s="1748"/>
      <c r="S278" s="1748"/>
      <c r="T278" s="1748"/>
      <c r="U278" s="1748"/>
      <c r="V278" s="1748"/>
      <c r="W278" s="1748"/>
      <c r="X278" s="1748"/>
      <c r="Y278" s="1748"/>
      <c r="Z278" s="1748"/>
      <c r="AA278" s="1748"/>
      <c r="AB278" s="1748"/>
      <c r="AC278" s="1748"/>
      <c r="AD278" s="1748"/>
      <c r="AF278" s="4"/>
      <c r="AG278" s="4"/>
      <c r="AH278" s="4"/>
      <c r="AI278" s="4"/>
      <c r="AJ278" s="4"/>
      <c r="BN278" s="34"/>
    </row>
    <row r="279" spans="1:66" ht="12.95" customHeight="1">
      <c r="D279" s="3" t="s">
        <v>632</v>
      </c>
      <c r="E279" s="3"/>
      <c r="F279" s="3"/>
      <c r="G279" s="3"/>
      <c r="H279" s="3"/>
      <c r="I279" s="3"/>
      <c r="L279" s="1623" t="s">
        <v>2688</v>
      </c>
      <c r="M279" s="1623"/>
      <c r="N279" s="1623"/>
      <c r="O279" s="1623"/>
      <c r="P279" s="1623"/>
      <c r="Q279" s="1623"/>
      <c r="R279" s="1623"/>
      <c r="S279" s="1623"/>
      <c r="T279" s="1623"/>
      <c r="U279" s="1623"/>
      <c r="V279" s="1623"/>
      <c r="W279" s="1623"/>
      <c r="X279" s="1623"/>
      <c r="Y279" s="1623"/>
      <c r="Z279" s="1623"/>
      <c r="AA279" s="1623"/>
      <c r="AB279" s="1623"/>
      <c r="AC279" s="1623"/>
      <c r="AD279" s="1623"/>
      <c r="AK279" s="3"/>
      <c r="AL279" s="3"/>
      <c r="AM279" s="3"/>
      <c r="AN279" s="3"/>
      <c r="AO279" s="3"/>
      <c r="AP279" s="3"/>
      <c r="AQ279" s="3"/>
      <c r="AR279" s="3"/>
      <c r="AS279" s="3"/>
      <c r="AT279" s="3"/>
      <c r="AU279" s="3"/>
      <c r="AV279" s="3"/>
      <c r="AW279" s="3"/>
      <c r="AX279" s="3"/>
      <c r="AY279" s="3"/>
      <c r="BN279" s="34"/>
    </row>
    <row r="280" spans="1:66" ht="12.95" customHeight="1">
      <c r="L280" s="22" t="s">
        <v>633</v>
      </c>
      <c r="BN280" s="34"/>
    </row>
    <row r="281" spans="1:66" ht="12.95" customHeight="1">
      <c r="A281" s="1641" t="s">
        <v>550</v>
      </c>
      <c r="B281" s="1641"/>
      <c r="C281" s="1641"/>
      <c r="D281" s="1641"/>
      <c r="E281" s="1641"/>
      <c r="F281" s="1641"/>
      <c r="G281" s="1641"/>
      <c r="H281" s="1641"/>
      <c r="I281" s="1641"/>
      <c r="J281" s="1641"/>
      <c r="K281" s="1641"/>
      <c r="L281" s="1641"/>
      <c r="M281" s="1641"/>
      <c r="N281" s="1641"/>
      <c r="O281" s="1641"/>
      <c r="P281" s="1641"/>
      <c r="Q281" s="1641"/>
      <c r="R281" s="1641"/>
      <c r="S281" s="1641"/>
      <c r="T281" s="1641"/>
      <c r="U281" s="1641"/>
      <c r="V281" s="1641"/>
      <c r="W281" s="1641"/>
      <c r="X281" s="1641"/>
      <c r="Y281" s="1641"/>
      <c r="Z281" s="1641"/>
      <c r="AA281" s="1641"/>
      <c r="AB281" s="1641"/>
      <c r="AC281" s="1641"/>
      <c r="AD281" s="1641"/>
      <c r="AE281" s="1641"/>
      <c r="AF281" s="1641"/>
      <c r="AG281" s="1641"/>
      <c r="AH281" s="1641"/>
      <c r="AI281" s="1641"/>
      <c r="AJ281" s="1641"/>
      <c r="AK281" s="1641"/>
      <c r="AL281" s="1641"/>
      <c r="AM281" s="95"/>
      <c r="AN281" s="95"/>
      <c r="AO281" s="95"/>
      <c r="AP281" s="95"/>
      <c r="AQ281" s="95"/>
      <c r="AR281" s="95"/>
      <c r="AS281" s="95"/>
      <c r="AT281" s="95"/>
      <c r="AU281" s="95"/>
      <c r="AV281" s="95"/>
      <c r="AW281" s="95"/>
      <c r="AX281" s="95"/>
      <c r="AY281" s="95"/>
      <c r="BN281" s="34"/>
    </row>
    <row r="282" spans="1:66" ht="12.95" customHeight="1" thickBot="1">
      <c r="A282" s="1642"/>
      <c r="B282" s="1642"/>
      <c r="C282" s="1642"/>
      <c r="D282" s="1642"/>
      <c r="E282" s="1642"/>
      <c r="F282" s="1642"/>
      <c r="G282" s="1642"/>
      <c r="H282" s="1642"/>
      <c r="I282" s="1642"/>
      <c r="J282" s="1642"/>
      <c r="K282" s="1642"/>
      <c r="L282" s="1642"/>
      <c r="M282" s="1642"/>
      <c r="N282" s="1642"/>
      <c r="O282" s="1642"/>
      <c r="P282" s="1642"/>
      <c r="Q282" s="1642"/>
      <c r="R282" s="1642"/>
      <c r="S282" s="1642"/>
      <c r="T282" s="1642"/>
      <c r="U282" s="1642"/>
      <c r="V282" s="1642"/>
      <c r="W282" s="1642"/>
      <c r="X282" s="1642"/>
      <c r="Y282" s="1642"/>
      <c r="Z282" s="1642"/>
      <c r="AA282" s="1642"/>
      <c r="AB282" s="1642"/>
      <c r="AC282" s="1642"/>
      <c r="AD282" s="1642"/>
      <c r="AE282" s="1642"/>
      <c r="AF282" s="1642"/>
      <c r="AG282" s="1642"/>
      <c r="AH282" s="1642"/>
      <c r="AI282" s="1642"/>
      <c r="AJ282" s="1642"/>
      <c r="AK282" s="1642"/>
      <c r="AL282" s="1642"/>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635</v>
      </c>
      <c r="C286" s="3"/>
      <c r="D286" s="3"/>
      <c r="E286" s="3"/>
      <c r="F286" s="3"/>
      <c r="H286" s="1353" t="s">
        <v>2626</v>
      </c>
      <c r="I286" s="1354"/>
      <c r="J286" s="1354"/>
      <c r="K286" s="1354"/>
      <c r="L286" s="1354"/>
      <c r="M286" s="1354"/>
      <c r="N286" s="1354"/>
      <c r="O286" s="1354"/>
      <c r="P286" s="1354"/>
      <c r="Q286" s="1354"/>
      <c r="R286" s="1354"/>
      <c r="T286" s="3" t="s">
        <v>576</v>
      </c>
      <c r="V286" s="3"/>
      <c r="W286" s="3"/>
      <c r="X286" s="3"/>
      <c r="Y286" s="3"/>
      <c r="AA286" s="1353" t="s">
        <v>2659</v>
      </c>
      <c r="AB286" s="1354"/>
      <c r="AC286" s="1354"/>
      <c r="AD286" s="1354"/>
      <c r="AE286" s="1354"/>
      <c r="AF286" s="1354"/>
      <c r="AG286" s="1354"/>
      <c r="AH286" s="1354"/>
      <c r="AI286" s="1354"/>
      <c r="AJ286" s="1354"/>
      <c r="AK286" s="1354"/>
      <c r="BN286" s="34"/>
    </row>
    <row r="287" spans="1:66" ht="12.95" customHeight="1">
      <c r="B287" s="3" t="s">
        <v>480</v>
      </c>
      <c r="C287" s="3"/>
      <c r="D287" s="3"/>
      <c r="E287" s="3"/>
      <c r="F287" s="3"/>
      <c r="H287" s="1623" t="s">
        <v>2638</v>
      </c>
      <c r="I287" s="1374"/>
      <c r="J287" s="1374"/>
      <c r="K287" s="1374"/>
      <c r="L287" s="1374"/>
      <c r="M287" s="1374"/>
      <c r="N287" s="1374"/>
      <c r="O287" s="1374"/>
      <c r="P287" s="1374"/>
      <c r="Q287" s="1374"/>
      <c r="R287" s="1374"/>
      <c r="T287" s="3" t="s">
        <v>480</v>
      </c>
      <c r="V287" s="3"/>
      <c r="W287" s="3"/>
      <c r="X287" s="3"/>
      <c r="Y287" s="3"/>
      <c r="AA287" s="1623" t="s">
        <v>2660</v>
      </c>
      <c r="AB287" s="1374"/>
      <c r="AC287" s="1374"/>
      <c r="AD287" s="1374"/>
      <c r="AE287" s="1374"/>
      <c r="AF287" s="1374"/>
      <c r="AG287" s="1374"/>
      <c r="AH287" s="1374"/>
      <c r="AI287" s="1374"/>
      <c r="AJ287" s="1374"/>
      <c r="AK287" s="1374"/>
      <c r="BN287" s="34"/>
    </row>
    <row r="288" spans="1:66" ht="12.95" customHeight="1">
      <c r="B288" s="3" t="s">
        <v>481</v>
      </c>
      <c r="C288" s="3"/>
      <c r="D288" s="3"/>
      <c r="E288" s="3"/>
      <c r="F288" s="3"/>
      <c r="H288" s="1623" t="s">
        <v>2639</v>
      </c>
      <c r="I288" s="1374"/>
      <c r="J288" s="1374"/>
      <c r="K288" s="1374"/>
      <c r="L288" s="1374"/>
      <c r="M288" s="1374"/>
      <c r="N288" s="1374"/>
      <c r="O288" s="1374"/>
      <c r="P288" s="1374"/>
      <c r="Q288" s="1374"/>
      <c r="R288" s="1374"/>
      <c r="T288" s="3" t="s">
        <v>76</v>
      </c>
      <c r="V288" s="3"/>
      <c r="W288" s="3"/>
      <c r="X288" s="3"/>
      <c r="Y288" s="3"/>
      <c r="AA288" s="1623" t="s">
        <v>2661</v>
      </c>
      <c r="AB288" s="1374"/>
      <c r="AC288" s="1374"/>
      <c r="AD288" s="1374"/>
      <c r="AE288" s="1374"/>
      <c r="AF288" s="1374"/>
      <c r="AG288" s="1374"/>
      <c r="AH288" s="1374"/>
      <c r="AI288" s="1374"/>
      <c r="AJ288" s="1374"/>
      <c r="AK288" s="1374"/>
      <c r="BN288" s="34"/>
    </row>
    <row r="289" spans="2:66" ht="12.95" customHeight="1">
      <c r="B289" s="3" t="s">
        <v>88</v>
      </c>
      <c r="C289" s="3"/>
      <c r="D289" s="3"/>
      <c r="E289" s="3"/>
      <c r="F289" s="3"/>
      <c r="H289" s="1623" t="s">
        <v>2691</v>
      </c>
      <c r="I289" s="1374"/>
      <c r="J289" s="1374"/>
      <c r="K289" s="1374"/>
      <c r="L289" s="1374"/>
      <c r="M289" s="1374"/>
      <c r="N289" s="1374"/>
      <c r="O289" s="1374"/>
      <c r="P289" s="1374"/>
      <c r="Q289" s="1374"/>
      <c r="R289" s="1374"/>
      <c r="T289" s="3" t="s">
        <v>88</v>
      </c>
      <c r="V289" s="3"/>
      <c r="W289" s="3"/>
      <c r="X289" s="3"/>
      <c r="Y289" s="3"/>
      <c r="AA289" s="1623" t="s">
        <v>2662</v>
      </c>
      <c r="AB289" s="1374"/>
      <c r="AC289" s="1374"/>
      <c r="AD289" s="1374"/>
      <c r="AE289" s="1374"/>
      <c r="AF289" s="1374"/>
      <c r="AG289" s="1374"/>
      <c r="AH289" s="1374"/>
      <c r="AI289" s="1374"/>
      <c r="AJ289" s="1374"/>
      <c r="AK289" s="1374"/>
      <c r="BN289" s="34"/>
    </row>
    <row r="290" spans="2:66" ht="12.95" customHeight="1">
      <c r="B290" s="3" t="s">
        <v>89</v>
      </c>
      <c r="C290" s="3"/>
      <c r="D290" s="3"/>
      <c r="E290" s="3"/>
      <c r="F290" s="3"/>
      <c r="G290" s="3"/>
      <c r="H290" s="1659" t="s">
        <v>2728</v>
      </c>
      <c r="I290" s="1648"/>
      <c r="J290" s="1648"/>
      <c r="K290" s="1648"/>
      <c r="L290" s="1648"/>
      <c r="M290" s="1648"/>
      <c r="N290" s="4" t="s">
        <v>208</v>
      </c>
      <c r="O290" s="4"/>
      <c r="P290" s="1647">
        <v>109</v>
      </c>
      <c r="Q290" s="1647"/>
      <c r="R290" s="1647"/>
      <c r="S290" s="3"/>
      <c r="T290" s="3" t="s">
        <v>89</v>
      </c>
      <c r="V290" s="3"/>
      <c r="W290" s="3"/>
      <c r="X290" s="3"/>
      <c r="Y290" s="3"/>
      <c r="AA290" s="1659" t="s">
        <v>2664</v>
      </c>
      <c r="AB290" s="1648"/>
      <c r="AC290" s="1648"/>
      <c r="AD290" s="1648"/>
      <c r="AE290" s="1648"/>
      <c r="AF290" s="1648"/>
      <c r="AG290" s="4" t="s">
        <v>208</v>
      </c>
      <c r="AH290" s="4"/>
      <c r="AI290" s="1647"/>
      <c r="AJ290" s="1647"/>
      <c r="AK290" s="1647"/>
      <c r="BN290" s="34"/>
    </row>
    <row r="291" spans="2:66" ht="12.95" customHeight="1">
      <c r="B291" s="3" t="s">
        <v>90</v>
      </c>
      <c r="C291" s="3"/>
      <c r="D291" s="3"/>
      <c r="E291" s="3"/>
      <c r="F291" s="3"/>
      <c r="G291" s="3"/>
      <c r="H291" s="1380" t="s">
        <v>2749</v>
      </c>
      <c r="I291" s="1380"/>
      <c r="J291" s="1380"/>
      <c r="K291" s="1380"/>
      <c r="L291" s="1380"/>
      <c r="M291" s="1380"/>
      <c r="N291" s="4"/>
      <c r="O291" s="4"/>
      <c r="P291" s="35"/>
      <c r="Q291" s="35"/>
      <c r="R291" s="35"/>
      <c r="S291" s="3"/>
      <c r="T291" s="3" t="s">
        <v>90</v>
      </c>
      <c r="V291" s="3"/>
      <c r="W291" s="3"/>
      <c r="X291" s="3"/>
      <c r="Y291" s="3"/>
      <c r="AA291" s="1380"/>
      <c r="AB291" s="1380"/>
      <c r="AC291" s="1380"/>
      <c r="AD291" s="1380"/>
      <c r="AE291" s="1380"/>
      <c r="AF291" s="1380"/>
      <c r="AG291" s="4"/>
      <c r="AH291" s="4"/>
      <c r="AI291" s="35"/>
      <c r="AJ291" s="35"/>
      <c r="AK291" s="35"/>
      <c r="BN291" s="34"/>
    </row>
    <row r="292" spans="2:66" ht="12.95" customHeight="1">
      <c r="B292" s="3" t="s">
        <v>77</v>
      </c>
      <c r="C292" s="3"/>
      <c r="D292" s="3"/>
      <c r="E292" s="3"/>
      <c r="F292" s="3"/>
      <c r="G292" s="3"/>
      <c r="H292" s="1623" t="s">
        <v>2689</v>
      </c>
      <c r="I292" s="1374"/>
      <c r="J292" s="1374"/>
      <c r="K292" s="1374"/>
      <c r="L292" s="1374"/>
      <c r="M292" s="1374"/>
      <c r="N292" s="1354"/>
      <c r="O292" s="1354"/>
      <c r="P292" s="1354"/>
      <c r="Q292" s="1354"/>
      <c r="R292" s="1354"/>
      <c r="S292" s="3"/>
      <c r="T292" s="3" t="s">
        <v>77</v>
      </c>
      <c r="V292" s="3"/>
      <c r="W292" s="3"/>
      <c r="X292" s="3"/>
      <c r="Y292" s="3"/>
      <c r="AA292" s="1623" t="s">
        <v>2663</v>
      </c>
      <c r="AB292" s="1374"/>
      <c r="AC292" s="1374"/>
      <c r="AD292" s="1374"/>
      <c r="AE292" s="1374"/>
      <c r="AF292" s="1374"/>
      <c r="AG292" s="1354"/>
      <c r="AH292" s="1354"/>
      <c r="AI292" s="1354"/>
      <c r="AJ292" s="1354"/>
      <c r="AK292" s="1354"/>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53" t="s">
        <v>2641</v>
      </c>
      <c r="I294" s="1354"/>
      <c r="J294" s="1354"/>
      <c r="K294" s="1354"/>
      <c r="L294" s="1354"/>
      <c r="M294" s="1354"/>
      <c r="N294" s="1354"/>
      <c r="O294" s="1354"/>
      <c r="P294" s="1354"/>
      <c r="Q294" s="1354"/>
      <c r="R294" s="1354"/>
      <c r="T294" s="3" t="s">
        <v>366</v>
      </c>
      <c r="V294" s="3"/>
      <c r="W294" s="3"/>
      <c r="X294" s="3"/>
      <c r="Y294" s="3"/>
      <c r="AA294" s="1353" t="s">
        <v>2720</v>
      </c>
      <c r="AB294" s="1354"/>
      <c r="AC294" s="1354"/>
      <c r="AD294" s="1354"/>
      <c r="AE294" s="1354"/>
      <c r="AF294" s="1354"/>
      <c r="AG294" s="1354"/>
      <c r="AH294" s="1354"/>
      <c r="AI294" s="1354"/>
      <c r="AJ294" s="1354"/>
      <c r="AK294" s="1354"/>
      <c r="BN294" s="34"/>
    </row>
    <row r="295" spans="2:66" ht="12.95" customHeight="1">
      <c r="B295" s="3" t="s">
        <v>480</v>
      </c>
      <c r="C295" s="3"/>
      <c r="D295" s="3"/>
      <c r="E295" s="3"/>
      <c r="F295" s="3"/>
      <c r="H295" s="1623" t="s">
        <v>2642</v>
      </c>
      <c r="I295" s="1374"/>
      <c r="J295" s="1374"/>
      <c r="K295" s="1374"/>
      <c r="L295" s="1374"/>
      <c r="M295" s="1374"/>
      <c r="N295" s="1374"/>
      <c r="O295" s="1374"/>
      <c r="P295" s="1374"/>
      <c r="Q295" s="1374"/>
      <c r="R295" s="1374"/>
      <c r="T295" s="3" t="s">
        <v>480</v>
      </c>
      <c r="V295" s="3"/>
      <c r="W295" s="3"/>
      <c r="X295" s="3"/>
      <c r="Y295" s="3"/>
      <c r="AA295" s="1374"/>
      <c r="AB295" s="1374"/>
      <c r="AC295" s="1374"/>
      <c r="AD295" s="1374"/>
      <c r="AE295" s="1374"/>
      <c r="AF295" s="1374"/>
      <c r="AG295" s="1374"/>
      <c r="AH295" s="1374"/>
      <c r="AI295" s="1374"/>
      <c r="AJ295" s="1374"/>
      <c r="AK295" s="1374"/>
      <c r="BN295" s="34"/>
    </row>
    <row r="296" spans="2:66" ht="12.95" customHeight="1">
      <c r="B296" s="3" t="s">
        <v>481</v>
      </c>
      <c r="C296" s="3"/>
      <c r="D296" s="3"/>
      <c r="E296" s="3"/>
      <c r="F296" s="3"/>
      <c r="H296" s="1623" t="s">
        <v>2643</v>
      </c>
      <c r="I296" s="1374"/>
      <c r="J296" s="1374"/>
      <c r="K296" s="1374"/>
      <c r="L296" s="1374"/>
      <c r="M296" s="1374"/>
      <c r="N296" s="1374"/>
      <c r="O296" s="1374"/>
      <c r="P296" s="1374"/>
      <c r="Q296" s="1374"/>
      <c r="R296" s="1374"/>
      <c r="T296" s="3" t="s">
        <v>76</v>
      </c>
      <c r="V296" s="3"/>
      <c r="W296" s="3"/>
      <c r="X296" s="3"/>
      <c r="Y296" s="3"/>
      <c r="AA296" s="1374"/>
      <c r="AB296" s="1374"/>
      <c r="AC296" s="1374"/>
      <c r="AD296" s="1374"/>
      <c r="AE296" s="1374"/>
      <c r="AF296" s="1374"/>
      <c r="AG296" s="1374"/>
      <c r="AH296" s="1374"/>
      <c r="AI296" s="1374"/>
      <c r="AJ296" s="1374"/>
      <c r="AK296" s="1374"/>
      <c r="BN296" s="34"/>
    </row>
    <row r="297" spans="2:66" ht="12.95" customHeight="1">
      <c r="B297" s="3" t="s">
        <v>88</v>
      </c>
      <c r="C297" s="3"/>
      <c r="D297" s="3"/>
      <c r="E297" s="3"/>
      <c r="F297" s="3"/>
      <c r="H297" s="1623" t="s">
        <v>2644</v>
      </c>
      <c r="I297" s="1374"/>
      <c r="J297" s="1374"/>
      <c r="K297" s="1374"/>
      <c r="L297" s="1374"/>
      <c r="M297" s="1374"/>
      <c r="N297" s="1374"/>
      <c r="O297" s="1374"/>
      <c r="P297" s="1374"/>
      <c r="Q297" s="1374"/>
      <c r="R297" s="1374"/>
      <c r="T297" s="3" t="s">
        <v>88</v>
      </c>
      <c r="V297" s="3"/>
      <c r="W297" s="3"/>
      <c r="X297" s="3"/>
      <c r="Y297" s="3"/>
      <c r="AA297" s="1374"/>
      <c r="AB297" s="1374"/>
      <c r="AC297" s="1374"/>
      <c r="AD297" s="1374"/>
      <c r="AE297" s="1374"/>
      <c r="AF297" s="1374"/>
      <c r="AG297" s="1374"/>
      <c r="AH297" s="1374"/>
      <c r="AI297" s="1374"/>
      <c r="AJ297" s="1374"/>
      <c r="AK297" s="1374"/>
      <c r="BN297" s="34"/>
    </row>
    <row r="298" spans="2:66" ht="12.95" customHeight="1">
      <c r="B298" s="3" t="s">
        <v>89</v>
      </c>
      <c r="C298" s="3"/>
      <c r="D298" s="3"/>
      <c r="E298" s="3"/>
      <c r="F298" s="3"/>
      <c r="G298" s="3"/>
      <c r="H298" s="1659" t="s">
        <v>2645</v>
      </c>
      <c r="I298" s="1648"/>
      <c r="J298" s="1648"/>
      <c r="K298" s="1648"/>
      <c r="L298" s="1648"/>
      <c r="M298" s="1648"/>
      <c r="N298" s="4" t="s">
        <v>208</v>
      </c>
      <c r="O298" s="4"/>
      <c r="P298" s="1647"/>
      <c r="Q298" s="1647"/>
      <c r="R298" s="1647"/>
      <c r="S298" s="3"/>
      <c r="T298" s="3" t="s">
        <v>89</v>
      </c>
      <c r="V298" s="3"/>
      <c r="W298" s="3"/>
      <c r="X298" s="3"/>
      <c r="Y298" s="3"/>
      <c r="AA298" s="1648"/>
      <c r="AB298" s="1648"/>
      <c r="AC298" s="1648"/>
      <c r="AD298" s="1648"/>
      <c r="AE298" s="1648"/>
      <c r="AF298" s="1648"/>
      <c r="AG298" s="4" t="s">
        <v>208</v>
      </c>
      <c r="AH298" s="4"/>
      <c r="AI298" s="1647"/>
      <c r="AJ298" s="1647"/>
      <c r="AK298" s="1647"/>
      <c r="BN298" s="34"/>
    </row>
    <row r="299" spans="2:66" ht="12.95" customHeight="1">
      <c r="B299" s="3" t="s">
        <v>90</v>
      </c>
      <c r="C299" s="3"/>
      <c r="D299" s="3"/>
      <c r="E299" s="3"/>
      <c r="F299" s="3"/>
      <c r="G299" s="3"/>
      <c r="H299" s="1624" t="s">
        <v>2646</v>
      </c>
      <c r="I299" s="1380"/>
      <c r="J299" s="1380"/>
      <c r="K299" s="1380"/>
      <c r="L299" s="1380"/>
      <c r="M299" s="1380"/>
      <c r="N299" s="4"/>
      <c r="O299" s="4"/>
      <c r="P299" s="35"/>
      <c r="Q299" s="35"/>
      <c r="R299" s="35"/>
      <c r="S299" s="3"/>
      <c r="T299" s="3" t="s">
        <v>90</v>
      </c>
      <c r="V299" s="3"/>
      <c r="W299" s="3"/>
      <c r="X299" s="3"/>
      <c r="Y299" s="3"/>
      <c r="AA299" s="1380"/>
      <c r="AB299" s="1380"/>
      <c r="AC299" s="1380"/>
      <c r="AD299" s="1380"/>
      <c r="AE299" s="1380"/>
      <c r="AF299" s="1380"/>
      <c r="AG299" s="4"/>
      <c r="AH299" s="4"/>
      <c r="AI299" s="35"/>
      <c r="AJ299" s="35"/>
      <c r="AK299" s="35"/>
      <c r="BN299" s="34"/>
    </row>
    <row r="300" spans="2:66" ht="12.95" customHeight="1">
      <c r="B300" s="3" t="s">
        <v>77</v>
      </c>
      <c r="C300" s="3"/>
      <c r="D300" s="3"/>
      <c r="E300" s="3"/>
      <c r="F300" s="3"/>
      <c r="G300" s="3"/>
      <c r="H300" s="1623" t="s">
        <v>2647</v>
      </c>
      <c r="I300" s="1374"/>
      <c r="J300" s="1374"/>
      <c r="K300" s="1374"/>
      <c r="L300" s="1374"/>
      <c r="M300" s="1374"/>
      <c r="N300" s="1354"/>
      <c r="O300" s="1354"/>
      <c r="P300" s="1354"/>
      <c r="Q300" s="1354"/>
      <c r="R300" s="1354"/>
      <c r="S300" s="3"/>
      <c r="T300" s="3" t="s">
        <v>77</v>
      </c>
      <c r="V300" s="3"/>
      <c r="W300" s="3"/>
      <c r="X300" s="3"/>
      <c r="Y300" s="3"/>
      <c r="AA300" s="1374"/>
      <c r="AB300" s="1374"/>
      <c r="AC300" s="1374"/>
      <c r="AD300" s="1374"/>
      <c r="AE300" s="1374"/>
      <c r="AF300" s="1374"/>
      <c r="AG300" s="1354"/>
      <c r="AH300" s="1354"/>
      <c r="AI300" s="1354"/>
      <c r="AJ300" s="1354"/>
      <c r="AK300" s="1354"/>
      <c r="BN300" s="34"/>
    </row>
    <row r="301" spans="2:66" ht="12.95" customHeight="1">
      <c r="BN301" s="34"/>
    </row>
    <row r="302" spans="2:66" ht="12.95" customHeight="1">
      <c r="B302" s="3" t="s">
        <v>78</v>
      </c>
      <c r="C302" s="3"/>
      <c r="D302" s="3"/>
      <c r="E302" s="3"/>
      <c r="F302" s="3"/>
      <c r="H302" s="1353" t="s">
        <v>2675</v>
      </c>
      <c r="I302" s="1354"/>
      <c r="J302" s="1354"/>
      <c r="K302" s="1354"/>
      <c r="L302" s="1354"/>
      <c r="M302" s="1354"/>
      <c r="N302" s="1354"/>
      <c r="O302" s="1354"/>
      <c r="P302" s="1354"/>
      <c r="Q302" s="1354"/>
      <c r="R302" s="1354"/>
      <c r="T302" s="4" t="s">
        <v>907</v>
      </c>
      <c r="V302" s="3"/>
      <c r="W302" s="3"/>
      <c r="X302" s="3"/>
      <c r="Y302" s="3"/>
      <c r="AA302" s="1354"/>
      <c r="AB302" s="1354"/>
      <c r="AC302" s="1354"/>
      <c r="AD302" s="1354"/>
      <c r="AE302" s="1354"/>
      <c r="AF302" s="1354"/>
      <c r="AG302" s="1354"/>
      <c r="AH302" s="1354"/>
      <c r="AI302" s="1354"/>
      <c r="AJ302" s="1354"/>
      <c r="AK302" s="1354"/>
      <c r="BN302" s="34"/>
    </row>
    <row r="303" spans="2:66" ht="12.95" customHeight="1">
      <c r="B303" s="3" t="s">
        <v>480</v>
      </c>
      <c r="C303" s="3"/>
      <c r="D303" s="3"/>
      <c r="E303" s="3"/>
      <c r="F303" s="3"/>
      <c r="H303" s="1623" t="s">
        <v>2648</v>
      </c>
      <c r="I303" s="1374"/>
      <c r="J303" s="1374"/>
      <c r="K303" s="1374"/>
      <c r="L303" s="1374"/>
      <c r="M303" s="1374"/>
      <c r="N303" s="1374"/>
      <c r="O303" s="1374"/>
      <c r="P303" s="1374"/>
      <c r="Q303" s="1374"/>
      <c r="R303" s="1374"/>
      <c r="T303" s="3" t="s">
        <v>480</v>
      </c>
      <c r="V303" s="3"/>
      <c r="W303" s="3"/>
      <c r="X303" s="3"/>
      <c r="Y303" s="3"/>
      <c r="AA303" s="1374"/>
      <c r="AB303" s="1374"/>
      <c r="AC303" s="1374"/>
      <c r="AD303" s="1374"/>
      <c r="AE303" s="1374"/>
      <c r="AF303" s="1374"/>
      <c r="AG303" s="1374"/>
      <c r="AH303" s="1374"/>
      <c r="AI303" s="1374"/>
      <c r="AJ303" s="1374"/>
      <c r="AK303" s="1374"/>
      <c r="BN303" s="34"/>
    </row>
    <row r="304" spans="2:66" ht="12.95" customHeight="1">
      <c r="B304" s="3" t="s">
        <v>481</v>
      </c>
      <c r="C304" s="3"/>
      <c r="D304" s="3"/>
      <c r="E304" s="3"/>
      <c r="F304" s="3"/>
      <c r="H304" s="1623" t="s">
        <v>2649</v>
      </c>
      <c r="I304" s="1374"/>
      <c r="J304" s="1374"/>
      <c r="K304" s="1374"/>
      <c r="L304" s="1374"/>
      <c r="M304" s="1374"/>
      <c r="N304" s="1374"/>
      <c r="O304" s="1374"/>
      <c r="P304" s="1374"/>
      <c r="Q304" s="1374"/>
      <c r="R304" s="1374"/>
      <c r="T304" s="3" t="s">
        <v>76</v>
      </c>
      <c r="V304" s="3"/>
      <c r="W304" s="3"/>
      <c r="X304" s="3"/>
      <c r="Y304" s="3"/>
      <c r="AA304" s="1374"/>
      <c r="AB304" s="1374"/>
      <c r="AC304" s="1374"/>
      <c r="AD304" s="1374"/>
      <c r="AE304" s="1374"/>
      <c r="AF304" s="1374"/>
      <c r="AG304" s="1374"/>
      <c r="AH304" s="1374"/>
      <c r="AI304" s="1374"/>
      <c r="AJ304" s="1374"/>
      <c r="AK304" s="1374"/>
      <c r="BN304" s="34"/>
    </row>
    <row r="305" spans="2:66" ht="12.95" customHeight="1">
      <c r="B305" s="3" t="s">
        <v>88</v>
      </c>
      <c r="C305" s="3"/>
      <c r="D305" s="3"/>
      <c r="E305" s="3"/>
      <c r="F305" s="3"/>
      <c r="H305" s="1744" t="s">
        <v>2692</v>
      </c>
      <c r="I305" s="1374"/>
      <c r="J305" s="1374"/>
      <c r="K305" s="1374"/>
      <c r="L305" s="1374"/>
      <c r="M305" s="1374"/>
      <c r="N305" s="1374"/>
      <c r="O305" s="1374"/>
      <c r="P305" s="1374"/>
      <c r="Q305" s="1374"/>
      <c r="R305" s="1374"/>
      <c r="T305" s="3" t="s">
        <v>88</v>
      </c>
      <c r="V305" s="3"/>
      <c r="W305" s="3"/>
      <c r="X305" s="3"/>
      <c r="Y305" s="3"/>
      <c r="AA305" s="1374"/>
      <c r="AB305" s="1374"/>
      <c r="AC305" s="1374"/>
      <c r="AD305" s="1374"/>
      <c r="AE305" s="1374"/>
      <c r="AF305" s="1374"/>
      <c r="AG305" s="1374"/>
      <c r="AH305" s="1374"/>
      <c r="AI305" s="1374"/>
      <c r="AJ305" s="1374"/>
      <c r="AK305" s="1374"/>
      <c r="BN305" s="34"/>
    </row>
    <row r="306" spans="2:66" ht="12.95" customHeight="1">
      <c r="B306" s="3" t="s">
        <v>89</v>
      </c>
      <c r="C306" s="3"/>
      <c r="D306" s="3"/>
      <c r="E306" s="3"/>
      <c r="F306" s="3"/>
      <c r="G306" s="3"/>
      <c r="H306" s="1659" t="s">
        <v>2693</v>
      </c>
      <c r="I306" s="1648"/>
      <c r="J306" s="1648"/>
      <c r="K306" s="1648"/>
      <c r="L306" s="1648"/>
      <c r="M306" s="1648"/>
      <c r="N306" s="4" t="s">
        <v>208</v>
      </c>
      <c r="O306" s="4"/>
      <c r="P306" s="1647"/>
      <c r="Q306" s="1647"/>
      <c r="R306" s="1647"/>
      <c r="S306" s="3"/>
      <c r="T306" s="3" t="s">
        <v>89</v>
      </c>
      <c r="V306" s="3"/>
      <c r="W306" s="3"/>
      <c r="X306" s="3"/>
      <c r="Y306" s="3"/>
      <c r="AA306" s="1648"/>
      <c r="AB306" s="1648"/>
      <c r="AC306" s="1648"/>
      <c r="AD306" s="1648"/>
      <c r="AE306" s="1648"/>
      <c r="AF306" s="1648"/>
      <c r="AG306" s="4" t="s">
        <v>208</v>
      </c>
      <c r="AH306" s="4"/>
      <c r="AI306" s="1647"/>
      <c r="AJ306" s="1647"/>
      <c r="AK306" s="1647"/>
      <c r="BN306" s="34"/>
    </row>
    <row r="307" spans="2:66" ht="12.95" customHeight="1">
      <c r="B307" s="3" t="s">
        <v>90</v>
      </c>
      <c r="C307" s="3"/>
      <c r="D307" s="3"/>
      <c r="E307" s="3"/>
      <c r="F307" s="3"/>
      <c r="G307" s="3"/>
      <c r="H307" s="1779" t="s">
        <v>2694</v>
      </c>
      <c r="I307" s="1779"/>
      <c r="J307" s="1779"/>
      <c r="K307" s="1779"/>
      <c r="L307" s="1779"/>
      <c r="M307" s="1779"/>
      <c r="N307" s="4"/>
      <c r="O307" s="4"/>
      <c r="P307" s="35"/>
      <c r="Q307" s="35"/>
      <c r="R307" s="35"/>
      <c r="S307" s="3"/>
      <c r="T307" s="3" t="s">
        <v>90</v>
      </c>
      <c r="V307" s="3"/>
      <c r="W307" s="3"/>
      <c r="X307" s="3"/>
      <c r="Y307" s="3"/>
      <c r="AA307" s="1380"/>
      <c r="AB307" s="1380"/>
      <c r="AC307" s="1380"/>
      <c r="AD307" s="1380"/>
      <c r="AE307" s="1380"/>
      <c r="AF307" s="1380"/>
      <c r="AG307" s="4"/>
      <c r="AH307" s="4"/>
      <c r="AI307" s="35"/>
      <c r="AJ307" s="35"/>
      <c r="AK307" s="35"/>
      <c r="BN307" s="34"/>
    </row>
    <row r="308" spans="2:66" ht="12.95" customHeight="1">
      <c r="B308" s="3" t="s">
        <v>77</v>
      </c>
      <c r="C308" s="3"/>
      <c r="D308" s="3"/>
      <c r="E308" s="3"/>
      <c r="F308" s="3"/>
      <c r="G308" s="3"/>
      <c r="H308" s="1623" t="s">
        <v>2695</v>
      </c>
      <c r="I308" s="1374"/>
      <c r="J308" s="1374"/>
      <c r="K308" s="1374"/>
      <c r="L308" s="1374"/>
      <c r="M308" s="1374"/>
      <c r="N308" s="1354"/>
      <c r="O308" s="1354"/>
      <c r="P308" s="1354"/>
      <c r="Q308" s="1354"/>
      <c r="R308" s="1354"/>
      <c r="S308" s="3"/>
      <c r="T308" s="3" t="s">
        <v>77</v>
      </c>
      <c r="V308" s="3"/>
      <c r="W308" s="3"/>
      <c r="X308" s="3"/>
      <c r="Y308" s="3"/>
      <c r="AA308" s="1374"/>
      <c r="AB308" s="1374"/>
      <c r="AC308" s="1374"/>
      <c r="AD308" s="1374"/>
      <c r="AE308" s="1374"/>
      <c r="AF308" s="1374"/>
      <c r="AG308" s="1354"/>
      <c r="AH308" s="1354"/>
      <c r="AI308" s="1354"/>
      <c r="AJ308" s="1354"/>
      <c r="AK308" s="1354"/>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940</v>
      </c>
      <c r="C310" s="3"/>
      <c r="D310" s="3"/>
      <c r="E310" s="3"/>
      <c r="F310" s="3"/>
      <c r="H310" s="1353" t="s">
        <v>2675</v>
      </c>
      <c r="I310" s="1354"/>
      <c r="J310" s="1354"/>
      <c r="K310" s="1354"/>
      <c r="L310" s="1354"/>
      <c r="M310" s="1354"/>
      <c r="N310" s="1354"/>
      <c r="O310" s="1354"/>
      <c r="P310" s="1354"/>
      <c r="Q310" s="1354"/>
      <c r="R310" s="1354"/>
      <c r="S310" s="3"/>
      <c r="T310" s="3" t="s">
        <v>367</v>
      </c>
      <c r="V310" s="3"/>
      <c r="W310" s="3"/>
      <c r="X310" s="3"/>
      <c r="Y310" s="3"/>
      <c r="AA310" s="1353" t="s">
        <v>2676</v>
      </c>
      <c r="AB310" s="1354"/>
      <c r="AC310" s="1354"/>
      <c r="AD310" s="1354"/>
      <c r="AE310" s="1354"/>
      <c r="AF310" s="1354"/>
      <c r="AG310" s="1354"/>
      <c r="AH310" s="1354"/>
      <c r="AI310" s="1354"/>
      <c r="AJ310" s="1354"/>
      <c r="AK310" s="1354"/>
      <c r="BN310" s="34"/>
    </row>
    <row r="311" spans="2:66" ht="12.95" customHeight="1">
      <c r="B311" s="3" t="s">
        <v>480</v>
      </c>
      <c r="C311" s="3"/>
      <c r="D311" s="3"/>
      <c r="E311" s="3"/>
      <c r="F311" s="3"/>
      <c r="H311" s="1623" t="s">
        <v>2648</v>
      </c>
      <c r="I311" s="1374"/>
      <c r="J311" s="1374"/>
      <c r="K311" s="1374"/>
      <c r="L311" s="1374"/>
      <c r="M311" s="1374"/>
      <c r="N311" s="1374"/>
      <c r="O311" s="1374"/>
      <c r="P311" s="1374"/>
      <c r="Q311" s="1374"/>
      <c r="R311" s="1374"/>
      <c r="S311" s="3"/>
      <c r="T311" s="3" t="s">
        <v>480</v>
      </c>
      <c r="V311" s="3"/>
      <c r="W311" s="3"/>
      <c r="X311" s="3"/>
      <c r="Y311" s="3"/>
      <c r="AA311" s="1623" t="s">
        <v>2699</v>
      </c>
      <c r="AB311" s="1374"/>
      <c r="AC311" s="1374"/>
      <c r="AD311" s="1374"/>
      <c r="AE311" s="1374"/>
      <c r="AF311" s="1374"/>
      <c r="AG311" s="1374"/>
      <c r="AH311" s="1374"/>
      <c r="AI311" s="1374"/>
      <c r="AJ311" s="1374"/>
      <c r="AK311" s="1374"/>
      <c r="BN311" s="34"/>
    </row>
    <row r="312" spans="2:66" ht="12.95" customHeight="1">
      <c r="B312" s="3" t="s">
        <v>481</v>
      </c>
      <c r="C312" s="3"/>
      <c r="D312" s="3"/>
      <c r="E312" s="3"/>
      <c r="F312" s="3"/>
      <c r="H312" s="1623" t="s">
        <v>2649</v>
      </c>
      <c r="I312" s="1374"/>
      <c r="J312" s="1374"/>
      <c r="K312" s="1374"/>
      <c r="L312" s="1374"/>
      <c r="M312" s="1374"/>
      <c r="N312" s="1374"/>
      <c r="O312" s="1374"/>
      <c r="P312" s="1374"/>
      <c r="Q312" s="1374"/>
      <c r="R312" s="1374"/>
      <c r="S312" s="3"/>
      <c r="T312" s="3" t="s">
        <v>76</v>
      </c>
      <c r="V312" s="3"/>
      <c r="W312" s="3"/>
      <c r="X312" s="3"/>
      <c r="Y312" s="3"/>
      <c r="AA312" s="1623" t="s">
        <v>2700</v>
      </c>
      <c r="AB312" s="1374"/>
      <c r="AC312" s="1374"/>
      <c r="AD312" s="1374"/>
      <c r="AE312" s="1374"/>
      <c r="AF312" s="1374"/>
      <c r="AG312" s="1374"/>
      <c r="AH312" s="1374"/>
      <c r="AI312" s="1374"/>
      <c r="AJ312" s="1374"/>
      <c r="AK312" s="1374"/>
      <c r="BN312" s="34"/>
    </row>
    <row r="313" spans="2:66" ht="12.95" customHeight="1">
      <c r="B313" s="3" t="s">
        <v>88</v>
      </c>
      <c r="C313" s="3"/>
      <c r="D313" s="3"/>
      <c r="E313" s="3"/>
      <c r="F313" s="3"/>
      <c r="H313" s="1623" t="s">
        <v>2692</v>
      </c>
      <c r="I313" s="1374"/>
      <c r="J313" s="1374"/>
      <c r="K313" s="1374"/>
      <c r="L313" s="1374"/>
      <c r="M313" s="1374"/>
      <c r="N313" s="1374"/>
      <c r="O313" s="1374"/>
      <c r="P313" s="1374"/>
      <c r="Q313" s="1374"/>
      <c r="R313" s="1374"/>
      <c r="S313" s="3"/>
      <c r="T313" s="3" t="s">
        <v>88</v>
      </c>
      <c r="V313" s="3"/>
      <c r="W313" s="3"/>
      <c r="X313" s="3"/>
      <c r="Y313" s="3"/>
      <c r="AA313" s="1623" t="s">
        <v>2697</v>
      </c>
      <c r="AB313" s="1374"/>
      <c r="AC313" s="1374"/>
      <c r="AD313" s="1374"/>
      <c r="AE313" s="1374"/>
      <c r="AF313" s="1374"/>
      <c r="AG313" s="1374"/>
      <c r="AH313" s="1374"/>
      <c r="AI313" s="1374"/>
      <c r="AJ313" s="1374"/>
      <c r="AK313" s="1374"/>
      <c r="BN313" s="34"/>
    </row>
    <row r="314" spans="2:66" ht="12.95" customHeight="1">
      <c r="B314" s="3" t="s">
        <v>89</v>
      </c>
      <c r="C314" s="3"/>
      <c r="D314" s="3"/>
      <c r="E314" s="3"/>
      <c r="F314" s="3"/>
      <c r="G314" s="3"/>
      <c r="H314" s="1659" t="s">
        <v>2693</v>
      </c>
      <c r="I314" s="1648"/>
      <c r="J314" s="1648"/>
      <c r="K314" s="1648"/>
      <c r="L314" s="1648"/>
      <c r="M314" s="1648"/>
      <c r="N314" s="4" t="s">
        <v>208</v>
      </c>
      <c r="O314" s="4"/>
      <c r="P314" s="1647"/>
      <c r="Q314" s="1647"/>
      <c r="R314" s="1647"/>
      <c r="S314" s="3"/>
      <c r="T314" s="3" t="s">
        <v>89</v>
      </c>
      <c r="V314" s="3"/>
      <c r="W314" s="3"/>
      <c r="X314" s="3"/>
      <c r="Y314" s="3"/>
      <c r="AA314" s="1659" t="s">
        <v>2698</v>
      </c>
      <c r="AB314" s="1648"/>
      <c r="AC314" s="1648"/>
      <c r="AD314" s="1648"/>
      <c r="AE314" s="1648"/>
      <c r="AF314" s="1648"/>
      <c r="AG314" s="4" t="s">
        <v>208</v>
      </c>
      <c r="AH314" s="4"/>
      <c r="AI314" s="1647"/>
      <c r="AJ314" s="1647"/>
      <c r="AK314" s="1647"/>
      <c r="BN314" s="34"/>
    </row>
    <row r="315" spans="2:66" ht="12.95" customHeight="1">
      <c r="B315" s="3" t="s">
        <v>90</v>
      </c>
      <c r="C315" s="3"/>
      <c r="D315" s="3"/>
      <c r="E315" s="3"/>
      <c r="F315" s="3"/>
      <c r="G315" s="3"/>
      <c r="H315" s="1779" t="s">
        <v>2694</v>
      </c>
      <c r="I315" s="1779"/>
      <c r="J315" s="1779"/>
      <c r="K315" s="1779"/>
      <c r="L315" s="1779"/>
      <c r="M315" s="1779"/>
      <c r="N315" s="4"/>
      <c r="O315" s="4"/>
      <c r="P315" s="35"/>
      <c r="Q315" s="35"/>
      <c r="R315" s="35"/>
      <c r="S315" s="3"/>
      <c r="T315" s="3" t="s">
        <v>90</v>
      </c>
      <c r="V315" s="3"/>
      <c r="W315" s="3"/>
      <c r="X315" s="3"/>
      <c r="Y315" s="3"/>
      <c r="AA315" s="1380"/>
      <c r="AB315" s="1380"/>
      <c r="AC315" s="1380"/>
      <c r="AD315" s="1380"/>
      <c r="AE315" s="1380"/>
      <c r="AF315" s="1380"/>
      <c r="AG315" s="4"/>
      <c r="AH315" s="4"/>
      <c r="AI315" s="35"/>
      <c r="AJ315" s="35"/>
      <c r="AK315" s="35"/>
      <c r="BN315" s="34"/>
    </row>
    <row r="316" spans="2:66" ht="12.95" customHeight="1">
      <c r="B316" s="3" t="s">
        <v>77</v>
      </c>
      <c r="C316" s="3"/>
      <c r="D316" s="3"/>
      <c r="E316" s="3"/>
      <c r="F316" s="3"/>
      <c r="G316" s="3"/>
      <c r="H316" s="1623" t="s">
        <v>2695</v>
      </c>
      <c r="I316" s="1374"/>
      <c r="J316" s="1374"/>
      <c r="K316" s="1374"/>
      <c r="L316" s="1374"/>
      <c r="M316" s="1374"/>
      <c r="N316" s="1354"/>
      <c r="O316" s="1354"/>
      <c r="P316" s="1354"/>
      <c r="Q316" s="1354"/>
      <c r="R316" s="1354"/>
      <c r="S316" s="3"/>
      <c r="T316" s="3" t="s">
        <v>77</v>
      </c>
      <c r="V316" s="3"/>
      <c r="W316" s="3"/>
      <c r="X316" s="3"/>
      <c r="Y316" s="3"/>
      <c r="AA316" s="1623" t="s">
        <v>2696</v>
      </c>
      <c r="AB316" s="1374"/>
      <c r="AC316" s="1374"/>
      <c r="AD316" s="1374"/>
      <c r="AE316" s="1374"/>
      <c r="AF316" s="1374"/>
      <c r="AG316" s="1354"/>
      <c r="AH316" s="1354"/>
      <c r="AI316" s="1354"/>
      <c r="AJ316" s="1354"/>
      <c r="AK316" s="1354"/>
      <c r="BN316" s="34"/>
    </row>
    <row r="317" spans="2:66" ht="12.95" customHeight="1">
      <c r="BN317" s="34"/>
    </row>
    <row r="318" spans="2:66" ht="12.95" customHeight="1">
      <c r="B318" s="4" t="s">
        <v>941</v>
      </c>
      <c r="C318" s="3"/>
      <c r="D318" s="3"/>
      <c r="E318" s="3"/>
      <c r="F318" s="3"/>
      <c r="H318" s="1354"/>
      <c r="I318" s="1354"/>
      <c r="J318" s="1354"/>
      <c r="K318" s="1354"/>
      <c r="L318" s="1354"/>
      <c r="M318" s="1354"/>
      <c r="N318" s="1354"/>
      <c r="O318" s="1354"/>
      <c r="P318" s="1354"/>
      <c r="Q318" s="1354"/>
      <c r="R318" s="1354"/>
      <c r="T318" s="3" t="s">
        <v>368</v>
      </c>
      <c r="V318" s="3"/>
      <c r="W318" s="3"/>
      <c r="X318" s="3"/>
      <c r="Y318" s="3"/>
      <c r="AA318" s="1353" t="s">
        <v>2675</v>
      </c>
      <c r="AB318" s="1354"/>
      <c r="AC318" s="1354"/>
      <c r="AD318" s="1354"/>
      <c r="AE318" s="1354"/>
      <c r="AF318" s="1354"/>
      <c r="AG318" s="1354"/>
      <c r="AH318" s="1354"/>
      <c r="AI318" s="1354"/>
      <c r="AJ318" s="1354"/>
      <c r="AK318" s="1354"/>
      <c r="BN318" s="34"/>
    </row>
    <row r="319" spans="2:66" ht="12.95" customHeight="1">
      <c r="B319" s="3" t="s">
        <v>480</v>
      </c>
      <c r="C319" s="3"/>
      <c r="D319" s="3"/>
      <c r="E319" s="3"/>
      <c r="F319" s="3"/>
      <c r="H319" s="1374"/>
      <c r="I319" s="1374"/>
      <c r="J319" s="1374"/>
      <c r="K319" s="1374"/>
      <c r="L319" s="1374"/>
      <c r="M319" s="1374"/>
      <c r="N319" s="1374"/>
      <c r="O319" s="1374"/>
      <c r="P319" s="1374"/>
      <c r="Q319" s="1374"/>
      <c r="R319" s="1374"/>
      <c r="T319" s="3" t="s">
        <v>480</v>
      </c>
      <c r="V319" s="3"/>
      <c r="W319" s="3"/>
      <c r="X319" s="3"/>
      <c r="Y319" s="3"/>
      <c r="AA319" s="1623" t="s">
        <v>2648</v>
      </c>
      <c r="AB319" s="1374"/>
      <c r="AC319" s="1374"/>
      <c r="AD319" s="1374"/>
      <c r="AE319" s="1374"/>
      <c r="AF319" s="1374"/>
      <c r="AG319" s="1374"/>
      <c r="AH319" s="1374"/>
      <c r="AI319" s="1374"/>
      <c r="AJ319" s="1374"/>
      <c r="AK319" s="1374"/>
      <c r="BN319" s="34"/>
    </row>
    <row r="320" spans="2:66" ht="12.95" customHeight="1">
      <c r="B320" s="3" t="s">
        <v>481</v>
      </c>
      <c r="C320" s="3"/>
      <c r="D320" s="3"/>
      <c r="E320" s="3"/>
      <c r="F320" s="3"/>
      <c r="H320" s="1374"/>
      <c r="I320" s="1374"/>
      <c r="J320" s="1374"/>
      <c r="K320" s="1374"/>
      <c r="L320" s="1374"/>
      <c r="M320" s="1374"/>
      <c r="N320" s="1374"/>
      <c r="O320" s="1374"/>
      <c r="P320" s="1374"/>
      <c r="Q320" s="1374"/>
      <c r="R320" s="1374"/>
      <c r="T320" s="3" t="s">
        <v>76</v>
      </c>
      <c r="V320" s="3"/>
      <c r="W320" s="3"/>
      <c r="X320" s="3"/>
      <c r="Y320" s="3"/>
      <c r="AA320" s="1623" t="s">
        <v>2649</v>
      </c>
      <c r="AB320" s="1374"/>
      <c r="AC320" s="1374"/>
      <c r="AD320" s="1374"/>
      <c r="AE320" s="1374"/>
      <c r="AF320" s="1374"/>
      <c r="AG320" s="1374"/>
      <c r="AH320" s="1374"/>
      <c r="AI320" s="1374"/>
      <c r="AJ320" s="1374"/>
      <c r="AK320" s="1374"/>
      <c r="BN320" s="34"/>
    </row>
    <row r="321" spans="2:66" ht="12.95" customHeight="1">
      <c r="B321" s="3" t="s">
        <v>88</v>
      </c>
      <c r="C321" s="3"/>
      <c r="D321" s="3"/>
      <c r="E321" s="3"/>
      <c r="F321" s="3"/>
      <c r="H321" s="1374"/>
      <c r="I321" s="1374"/>
      <c r="J321" s="1374"/>
      <c r="K321" s="1374"/>
      <c r="L321" s="1374"/>
      <c r="M321" s="1374"/>
      <c r="N321" s="1374"/>
      <c r="O321" s="1374"/>
      <c r="P321" s="1374"/>
      <c r="Q321" s="1374"/>
      <c r="R321" s="1374"/>
      <c r="T321" s="3" t="s">
        <v>88</v>
      </c>
      <c r="V321" s="3"/>
      <c r="W321" s="3"/>
      <c r="X321" s="3"/>
      <c r="Y321" s="3"/>
      <c r="AA321" s="1623" t="s">
        <v>2650</v>
      </c>
      <c r="AB321" s="1374"/>
      <c r="AC321" s="1374"/>
      <c r="AD321" s="1374"/>
      <c r="AE321" s="1374"/>
      <c r="AF321" s="1374"/>
      <c r="AG321" s="1374"/>
      <c r="AH321" s="1374"/>
      <c r="AI321" s="1374"/>
      <c r="AJ321" s="1374"/>
      <c r="AK321" s="1374"/>
      <c r="BN321" s="34"/>
    </row>
    <row r="322" spans="2:66" ht="12.95" customHeight="1">
      <c r="B322" s="3" t="s">
        <v>89</v>
      </c>
      <c r="C322" s="3"/>
      <c r="D322" s="3"/>
      <c r="E322" s="3"/>
      <c r="F322" s="3"/>
      <c r="G322" s="3"/>
      <c r="H322" s="1648"/>
      <c r="I322" s="1648"/>
      <c r="J322" s="1648"/>
      <c r="K322" s="1648"/>
      <c r="L322" s="1648"/>
      <c r="M322" s="1648"/>
      <c r="N322" s="4" t="s">
        <v>208</v>
      </c>
      <c r="O322" s="4"/>
      <c r="P322" s="1647"/>
      <c r="Q322" s="1647"/>
      <c r="R322" s="1647"/>
      <c r="S322" s="3"/>
      <c r="T322" s="3" t="s">
        <v>89</v>
      </c>
      <c r="V322" s="3"/>
      <c r="W322" s="3"/>
      <c r="X322" s="3"/>
      <c r="Y322" s="3"/>
      <c r="AA322" s="1659" t="s">
        <v>2727</v>
      </c>
      <c r="AB322" s="1648"/>
      <c r="AC322" s="1648"/>
      <c r="AD322" s="1648"/>
      <c r="AE322" s="1648"/>
      <c r="AF322" s="1648"/>
      <c r="AG322" s="4" t="s">
        <v>208</v>
      </c>
      <c r="AH322" s="4"/>
      <c r="AI322" s="1647"/>
      <c r="AJ322" s="1647"/>
      <c r="AK322" s="1647"/>
      <c r="BN322" s="34"/>
    </row>
    <row r="323" spans="2:66" ht="12.95" customHeight="1">
      <c r="B323" s="3" t="s">
        <v>90</v>
      </c>
      <c r="C323" s="3"/>
      <c r="D323" s="3"/>
      <c r="E323" s="3"/>
      <c r="F323" s="3"/>
      <c r="G323" s="3"/>
      <c r="H323" s="1380"/>
      <c r="I323" s="1380"/>
      <c r="J323" s="1380"/>
      <c r="K323" s="1380"/>
      <c r="L323" s="1380"/>
      <c r="M323" s="1380"/>
      <c r="N323" s="4"/>
      <c r="O323" s="4"/>
      <c r="P323" s="35"/>
      <c r="Q323" s="35"/>
      <c r="R323" s="35"/>
      <c r="S323" s="3"/>
      <c r="T323" s="3" t="s">
        <v>90</v>
      </c>
      <c r="V323" s="3"/>
      <c r="W323" s="3"/>
      <c r="X323" s="3"/>
      <c r="Y323" s="3"/>
      <c r="AA323" s="1380"/>
      <c r="AB323" s="1380"/>
      <c r="AC323" s="1380"/>
      <c r="AD323" s="1380"/>
      <c r="AE323" s="1380"/>
      <c r="AF323" s="1380"/>
      <c r="AG323" s="4"/>
      <c r="AH323" s="4"/>
      <c r="AI323" s="35"/>
      <c r="AJ323" s="35"/>
      <c r="AK323" s="35"/>
    </row>
    <row r="324" spans="2:66" ht="12.95" customHeight="1">
      <c r="B324" s="3" t="s">
        <v>77</v>
      </c>
      <c r="C324" s="3"/>
      <c r="D324" s="3"/>
      <c r="E324" s="3"/>
      <c r="F324" s="3"/>
      <c r="G324" s="3"/>
      <c r="H324" s="1374"/>
      <c r="I324" s="1374"/>
      <c r="J324" s="1374"/>
      <c r="K324" s="1374"/>
      <c r="L324" s="1374"/>
      <c r="M324" s="1374"/>
      <c r="N324" s="1354"/>
      <c r="O324" s="1354"/>
      <c r="P324" s="1354"/>
      <c r="Q324" s="1354"/>
      <c r="R324" s="1354"/>
      <c r="S324" s="3"/>
      <c r="T324" s="3" t="s">
        <v>77</v>
      </c>
      <c r="V324" s="3"/>
      <c r="W324" s="3"/>
      <c r="X324" s="3"/>
      <c r="Y324" s="3"/>
      <c r="AA324" s="1623" t="s">
        <v>2651</v>
      </c>
      <c r="AB324" s="1374"/>
      <c r="AC324" s="1374"/>
      <c r="AD324" s="1374"/>
      <c r="AE324" s="1374"/>
      <c r="AF324" s="1374"/>
      <c r="AG324" s="1354"/>
      <c r="AH324" s="1354"/>
      <c r="AI324" s="1354"/>
      <c r="AJ324" s="1354"/>
      <c r="AK324" s="1354"/>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54"/>
      <c r="I326" s="1354"/>
      <c r="J326" s="1354"/>
      <c r="K326" s="1354"/>
      <c r="L326" s="1354"/>
      <c r="M326" s="1354"/>
      <c r="N326" s="1354"/>
      <c r="O326" s="1354"/>
      <c r="P326" s="1354"/>
      <c r="Q326" s="1354"/>
      <c r="R326" s="1354"/>
      <c r="T326" s="3" t="s">
        <v>370</v>
      </c>
      <c r="V326" s="3"/>
      <c r="W326" s="3"/>
      <c r="X326" s="3"/>
      <c r="Y326" s="3"/>
      <c r="AA326" s="1354"/>
      <c r="AB326" s="1354"/>
      <c r="AC326" s="1354"/>
      <c r="AD326" s="1354"/>
      <c r="AE326" s="1354"/>
      <c r="AF326" s="1354"/>
      <c r="AG326" s="1354"/>
      <c r="AH326" s="1354"/>
      <c r="AI326" s="1354"/>
      <c r="AJ326" s="1354"/>
      <c r="AK326" s="1354"/>
    </row>
    <row r="327" spans="2:66" ht="12.95" customHeight="1">
      <c r="B327" s="3" t="s">
        <v>480</v>
      </c>
      <c r="C327" s="3"/>
      <c r="D327" s="3"/>
      <c r="E327" s="3"/>
      <c r="F327" s="3"/>
      <c r="H327" s="1374"/>
      <c r="I327" s="1374"/>
      <c r="J327" s="1374"/>
      <c r="K327" s="1374"/>
      <c r="L327" s="1374"/>
      <c r="M327" s="1374"/>
      <c r="N327" s="1374"/>
      <c r="O327" s="1374"/>
      <c r="P327" s="1374"/>
      <c r="Q327" s="1374"/>
      <c r="R327" s="1374"/>
      <c r="T327" s="3" t="s">
        <v>480</v>
      </c>
      <c r="V327" s="3"/>
      <c r="W327" s="3"/>
      <c r="X327" s="3"/>
      <c r="Y327" s="3"/>
      <c r="AA327" s="1374"/>
      <c r="AB327" s="1374"/>
      <c r="AC327" s="1374"/>
      <c r="AD327" s="1374"/>
      <c r="AE327" s="1374"/>
      <c r="AF327" s="1374"/>
      <c r="AG327" s="1374"/>
      <c r="AH327" s="1374"/>
      <c r="AI327" s="1374"/>
      <c r="AJ327" s="1374"/>
      <c r="AK327" s="1374"/>
    </row>
    <row r="328" spans="2:66" ht="12.95" customHeight="1">
      <c r="B328" s="3" t="s">
        <v>481</v>
      </c>
      <c r="C328" s="3"/>
      <c r="D328" s="3"/>
      <c r="E328" s="3"/>
      <c r="F328" s="3"/>
      <c r="H328" s="1374"/>
      <c r="I328" s="1374"/>
      <c r="J328" s="1374"/>
      <c r="K328" s="1374"/>
      <c r="L328" s="1374"/>
      <c r="M328" s="1374"/>
      <c r="N328" s="1374"/>
      <c r="O328" s="1374"/>
      <c r="P328" s="1374"/>
      <c r="Q328" s="1374"/>
      <c r="R328" s="1374"/>
      <c r="T328" s="3" t="s">
        <v>76</v>
      </c>
      <c r="V328" s="3"/>
      <c r="W328" s="3"/>
      <c r="X328" s="3"/>
      <c r="Y328" s="3"/>
      <c r="AA328" s="1374"/>
      <c r="AB328" s="1374"/>
      <c r="AC328" s="1374"/>
      <c r="AD328" s="1374"/>
      <c r="AE328" s="1374"/>
      <c r="AF328" s="1374"/>
      <c r="AG328" s="1374"/>
      <c r="AH328" s="1374"/>
      <c r="AI328" s="1374"/>
      <c r="AJ328" s="1374"/>
      <c r="AK328" s="1374"/>
    </row>
    <row r="329" spans="2:66" ht="12.95" customHeight="1">
      <c r="B329" s="3" t="s">
        <v>88</v>
      </c>
      <c r="C329" s="3"/>
      <c r="D329" s="3"/>
      <c r="E329" s="3"/>
      <c r="F329" s="3"/>
      <c r="H329" s="1374"/>
      <c r="I329" s="1374"/>
      <c r="J329" s="1374"/>
      <c r="K329" s="1374"/>
      <c r="L329" s="1374"/>
      <c r="M329" s="1374"/>
      <c r="N329" s="1374"/>
      <c r="O329" s="1374"/>
      <c r="P329" s="1374"/>
      <c r="Q329" s="1374"/>
      <c r="R329" s="1374"/>
      <c r="T329" s="3" t="s">
        <v>88</v>
      </c>
      <c r="V329" s="3"/>
      <c r="W329" s="3"/>
      <c r="X329" s="3"/>
      <c r="Y329" s="3"/>
      <c r="AA329" s="1374"/>
      <c r="AB329" s="1374"/>
      <c r="AC329" s="1374"/>
      <c r="AD329" s="1374"/>
      <c r="AE329" s="1374"/>
      <c r="AF329" s="1374"/>
      <c r="AG329" s="1374"/>
      <c r="AH329" s="1374"/>
      <c r="AI329" s="1374"/>
      <c r="AJ329" s="1374"/>
      <c r="AK329" s="1374"/>
    </row>
    <row r="330" spans="2:66" ht="12.95" customHeight="1">
      <c r="B330" s="3" t="s">
        <v>89</v>
      </c>
      <c r="C330" s="3"/>
      <c r="D330" s="3"/>
      <c r="E330" s="3"/>
      <c r="F330" s="3"/>
      <c r="G330" s="3"/>
      <c r="H330" s="1648"/>
      <c r="I330" s="1648"/>
      <c r="J330" s="1648"/>
      <c r="K330" s="1648"/>
      <c r="L330" s="1648"/>
      <c r="M330" s="1648"/>
      <c r="N330" s="4" t="s">
        <v>208</v>
      </c>
      <c r="O330" s="4"/>
      <c r="P330" s="1647"/>
      <c r="Q330" s="1647"/>
      <c r="R330" s="1647"/>
      <c r="S330" s="3"/>
      <c r="T330" s="3" t="s">
        <v>89</v>
      </c>
      <c r="V330" s="3"/>
      <c r="W330" s="3"/>
      <c r="X330" s="3"/>
      <c r="Y330" s="3"/>
      <c r="AA330" s="1648"/>
      <c r="AB330" s="1648"/>
      <c r="AC330" s="1648"/>
      <c r="AD330" s="1648"/>
      <c r="AE330" s="1648"/>
      <c r="AF330" s="1648"/>
      <c r="AG330" s="4" t="s">
        <v>208</v>
      </c>
      <c r="AH330" s="4"/>
      <c r="AI330" s="1647"/>
      <c r="AJ330" s="1647"/>
      <c r="AK330" s="1647"/>
    </row>
    <row r="331" spans="2:66" ht="12.95" customHeight="1">
      <c r="B331" s="3" t="s">
        <v>90</v>
      </c>
      <c r="C331" s="3"/>
      <c r="D331" s="3"/>
      <c r="E331" s="3"/>
      <c r="F331" s="3"/>
      <c r="G331" s="3"/>
      <c r="H331" s="1380"/>
      <c r="I331" s="1380"/>
      <c r="J331" s="1380"/>
      <c r="K331" s="1380"/>
      <c r="L331" s="1380"/>
      <c r="M331" s="1380"/>
      <c r="N331" s="4"/>
      <c r="O331" s="4"/>
      <c r="P331" s="35"/>
      <c r="Q331" s="35"/>
      <c r="R331" s="35"/>
      <c r="S331" s="3"/>
      <c r="T331" s="3" t="s">
        <v>90</v>
      </c>
      <c r="V331" s="3"/>
      <c r="W331" s="3"/>
      <c r="X331" s="3"/>
      <c r="Y331" s="3"/>
      <c r="AA331" s="1380"/>
      <c r="AB331" s="1380"/>
      <c r="AC331" s="1380"/>
      <c r="AD331" s="1380"/>
      <c r="AE331" s="1380"/>
      <c r="AF331" s="1380"/>
      <c r="AG331" s="4"/>
      <c r="AH331" s="4"/>
      <c r="AI331" s="35"/>
      <c r="AJ331" s="35"/>
      <c r="AK331" s="35"/>
    </row>
    <row r="332" spans="2:66" ht="12.95" customHeight="1">
      <c r="B332" s="3" t="s">
        <v>77</v>
      </c>
      <c r="C332" s="3"/>
      <c r="D332" s="3"/>
      <c r="E332" s="3"/>
      <c r="F332" s="3"/>
      <c r="G332" s="3"/>
      <c r="H332" s="1374"/>
      <c r="I332" s="1374"/>
      <c r="J332" s="1374"/>
      <c r="K332" s="1374"/>
      <c r="L332" s="1374"/>
      <c r="M332" s="1374"/>
      <c r="N332" s="1354"/>
      <c r="O332" s="1354"/>
      <c r="P332" s="1354"/>
      <c r="Q332" s="1354"/>
      <c r="R332" s="1354"/>
      <c r="S332" s="3"/>
      <c r="T332" s="3" t="s">
        <v>77</v>
      </c>
      <c r="V332" s="3"/>
      <c r="W332" s="3"/>
      <c r="X332" s="3"/>
      <c r="Y332" s="3"/>
      <c r="AA332" s="1374"/>
      <c r="AB332" s="1374"/>
      <c r="AC332" s="1374"/>
      <c r="AD332" s="1374"/>
      <c r="AE332" s="1374"/>
      <c r="AF332" s="1374"/>
      <c r="AG332" s="1354"/>
      <c r="AH332" s="1354"/>
      <c r="AI332" s="1354"/>
      <c r="AJ332" s="1354"/>
      <c r="AK332" s="1354"/>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53" t="s">
        <v>2652</v>
      </c>
      <c r="I334" s="1354"/>
      <c r="J334" s="1354"/>
      <c r="K334" s="1354"/>
      <c r="L334" s="1354"/>
      <c r="M334" s="1354"/>
      <c r="N334" s="1354"/>
      <c r="O334" s="1354"/>
      <c r="P334" s="1354"/>
      <c r="Q334" s="1354"/>
      <c r="R334" s="1354"/>
      <c r="T334" s="218" t="s">
        <v>916</v>
      </c>
      <c r="V334" s="3"/>
      <c r="W334" s="3"/>
      <c r="X334" s="3"/>
      <c r="Y334" s="3"/>
      <c r="AA334" s="1353" t="s">
        <v>2669</v>
      </c>
      <c r="AB334" s="1354"/>
      <c r="AC334" s="1354"/>
      <c r="AD334" s="1354"/>
      <c r="AE334" s="1354"/>
      <c r="AF334" s="1354"/>
      <c r="AG334" s="1354"/>
      <c r="AH334" s="1354"/>
      <c r="AI334" s="1354"/>
      <c r="AJ334" s="1354"/>
      <c r="AK334" s="1354"/>
    </row>
    <row r="335" spans="2:66" ht="12.95" customHeight="1">
      <c r="B335" s="3" t="s">
        <v>480</v>
      </c>
      <c r="C335" s="3"/>
      <c r="D335" s="3"/>
      <c r="E335" s="3"/>
      <c r="F335" s="3"/>
      <c r="H335" s="1623" t="s">
        <v>2657</v>
      </c>
      <c r="I335" s="1374"/>
      <c r="J335" s="1374"/>
      <c r="K335" s="1374"/>
      <c r="L335" s="1374"/>
      <c r="M335" s="1374"/>
      <c r="N335" s="1374"/>
      <c r="O335" s="1374"/>
      <c r="P335" s="1374"/>
      <c r="Q335" s="1374"/>
      <c r="R335" s="1374"/>
      <c r="T335" s="3" t="s">
        <v>480</v>
      </c>
      <c r="V335" s="3"/>
      <c r="W335" s="3"/>
      <c r="X335" s="3"/>
      <c r="Y335" s="3"/>
      <c r="AA335" s="1623" t="s">
        <v>2668</v>
      </c>
      <c r="AB335" s="1374"/>
      <c r="AC335" s="1374"/>
      <c r="AD335" s="1374"/>
      <c r="AE335" s="1374"/>
      <c r="AF335" s="1374"/>
      <c r="AG335" s="1374"/>
      <c r="AH335" s="1374"/>
      <c r="AI335" s="1374"/>
      <c r="AJ335" s="1374"/>
      <c r="AK335" s="1374"/>
    </row>
    <row r="336" spans="2:66" ht="12.95" customHeight="1">
      <c r="B336" s="3" t="s">
        <v>76</v>
      </c>
      <c r="C336" s="3"/>
      <c r="D336" s="3"/>
      <c r="E336" s="3"/>
      <c r="F336" s="3"/>
      <c r="H336" s="1623" t="s">
        <v>2658</v>
      </c>
      <c r="I336" s="1374"/>
      <c r="J336" s="1374"/>
      <c r="K336" s="1374"/>
      <c r="L336" s="1374"/>
      <c r="M336" s="1374"/>
      <c r="N336" s="1374"/>
      <c r="O336" s="1374"/>
      <c r="P336" s="1374"/>
      <c r="Q336" s="1374"/>
      <c r="R336" s="1374"/>
      <c r="T336" s="3" t="s">
        <v>76</v>
      </c>
      <c r="V336" s="3"/>
      <c r="W336" s="3"/>
      <c r="X336" s="3"/>
      <c r="Y336" s="3"/>
      <c r="AA336" s="1623" t="s">
        <v>2667</v>
      </c>
      <c r="AB336" s="1374"/>
      <c r="AC336" s="1374"/>
      <c r="AD336" s="1374"/>
      <c r="AE336" s="1374"/>
      <c r="AF336" s="1374"/>
      <c r="AG336" s="1374"/>
      <c r="AH336" s="1374"/>
      <c r="AI336" s="1374"/>
      <c r="AJ336" s="1374"/>
      <c r="AK336" s="1374"/>
    </row>
    <row r="337" spans="1:66" ht="12.95" customHeight="1">
      <c r="B337" s="3" t="s">
        <v>88</v>
      </c>
      <c r="C337" s="3"/>
      <c r="D337" s="3"/>
      <c r="E337" s="3"/>
      <c r="F337" s="3"/>
      <c r="G337" s="3"/>
      <c r="H337" s="1623" t="s">
        <v>2653</v>
      </c>
      <c r="I337" s="1374"/>
      <c r="J337" s="1374"/>
      <c r="K337" s="1374"/>
      <c r="L337" s="1374"/>
      <c r="M337" s="1374"/>
      <c r="N337" s="1374"/>
      <c r="O337" s="1374"/>
      <c r="P337" s="1374"/>
      <c r="Q337" s="1374"/>
      <c r="R337" s="1374"/>
      <c r="T337" s="3" t="s">
        <v>88</v>
      </c>
      <c r="V337" s="3"/>
      <c r="W337" s="3"/>
      <c r="X337" s="3"/>
      <c r="Y337" s="3"/>
      <c r="AA337" s="1623" t="s">
        <v>2665</v>
      </c>
      <c r="AB337" s="1374"/>
      <c r="AC337" s="1374"/>
      <c r="AD337" s="1374"/>
      <c r="AE337" s="1374"/>
      <c r="AF337" s="1374"/>
      <c r="AG337" s="1374"/>
      <c r="AH337" s="1374"/>
      <c r="AI337" s="1374"/>
      <c r="AJ337" s="1374"/>
      <c r="AK337" s="1374"/>
    </row>
    <row r="338" spans="1:66" ht="12.95" customHeight="1">
      <c r="B338" s="3" t="s">
        <v>89</v>
      </c>
      <c r="C338" s="3"/>
      <c r="D338" s="3"/>
      <c r="E338" s="3"/>
      <c r="F338" s="3"/>
      <c r="G338" s="3"/>
      <c r="H338" s="1659" t="s">
        <v>2654</v>
      </c>
      <c r="I338" s="1648"/>
      <c r="J338" s="1648"/>
      <c r="K338" s="1648"/>
      <c r="L338" s="1648"/>
      <c r="M338" s="1648"/>
      <c r="N338" s="4" t="s">
        <v>208</v>
      </c>
      <c r="O338" s="4"/>
      <c r="P338" s="1647"/>
      <c r="Q338" s="1647"/>
      <c r="R338" s="1647"/>
      <c r="S338" s="3"/>
      <c r="T338" s="3" t="s">
        <v>89</v>
      </c>
      <c r="V338" s="3"/>
      <c r="W338" s="3"/>
      <c r="X338" s="3"/>
      <c r="Y338" s="3"/>
      <c r="AA338" s="1659" t="s">
        <v>2725</v>
      </c>
      <c r="AB338" s="1648"/>
      <c r="AC338" s="1648"/>
      <c r="AD338" s="1648"/>
      <c r="AE338" s="1648"/>
      <c r="AF338" s="1648"/>
      <c r="AG338" s="4" t="s">
        <v>208</v>
      </c>
      <c r="AH338" s="4"/>
      <c r="AI338" s="1647"/>
      <c r="AJ338" s="1647"/>
      <c r="AK338" s="1647"/>
    </row>
    <row r="339" spans="1:66" ht="12.95" customHeight="1">
      <c r="B339" s="3" t="s">
        <v>90</v>
      </c>
      <c r="C339" s="3"/>
      <c r="D339" s="3"/>
      <c r="E339" s="3"/>
      <c r="F339" s="3"/>
      <c r="G339" s="3"/>
      <c r="H339" s="1624" t="s">
        <v>2655</v>
      </c>
      <c r="I339" s="1380"/>
      <c r="J339" s="1380"/>
      <c r="K339" s="1380"/>
      <c r="L339" s="1380"/>
      <c r="M339" s="1380"/>
      <c r="N339" s="4"/>
      <c r="O339" s="4"/>
      <c r="P339" s="35"/>
      <c r="Q339" s="35"/>
      <c r="R339" s="35"/>
      <c r="S339" s="3"/>
      <c r="T339" s="3" t="s">
        <v>90</v>
      </c>
      <c r="V339" s="3"/>
      <c r="W339" s="3"/>
      <c r="X339" s="3"/>
      <c r="Y339" s="3"/>
      <c r="AA339" s="1624" t="s">
        <v>2726</v>
      </c>
      <c r="AB339" s="1380"/>
      <c r="AC339" s="1380"/>
      <c r="AD339" s="1380"/>
      <c r="AE339" s="1380"/>
      <c r="AF339" s="1380"/>
      <c r="AG339" s="4"/>
      <c r="AH339" s="4"/>
      <c r="AI339" s="35"/>
      <c r="AJ339" s="35"/>
      <c r="AK339" s="35"/>
    </row>
    <row r="340" spans="1:66" ht="12.95" customHeight="1">
      <c r="B340" s="3" t="s">
        <v>77</v>
      </c>
      <c r="C340" s="3"/>
      <c r="D340" s="3"/>
      <c r="E340" s="3"/>
      <c r="F340" s="3"/>
      <c r="G340" s="3"/>
      <c r="H340" s="1623" t="s">
        <v>2656</v>
      </c>
      <c r="I340" s="1374"/>
      <c r="J340" s="1374"/>
      <c r="K340" s="1374"/>
      <c r="L340" s="1374"/>
      <c r="M340" s="1374"/>
      <c r="N340" s="1354"/>
      <c r="O340" s="1354"/>
      <c r="P340" s="1354"/>
      <c r="Q340" s="1354"/>
      <c r="R340" s="1354"/>
      <c r="S340" s="3"/>
      <c r="T340" s="3" t="s">
        <v>77</v>
      </c>
      <c r="V340" s="3"/>
      <c r="W340" s="3"/>
      <c r="X340" s="3"/>
      <c r="Y340" s="3"/>
      <c r="AA340" s="1623" t="s">
        <v>2666</v>
      </c>
      <c r="AB340" s="1374"/>
      <c r="AC340" s="1374"/>
      <c r="AD340" s="1374"/>
      <c r="AE340" s="1374"/>
      <c r="AF340" s="1374"/>
      <c r="AG340" s="1354"/>
      <c r="AH340" s="1354"/>
      <c r="AI340" s="1354"/>
      <c r="AJ340" s="1354"/>
      <c r="AK340" s="1354"/>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917</v>
      </c>
      <c r="P342" s="1354"/>
      <c r="Q342" s="1354"/>
      <c r="R342" s="1354"/>
      <c r="S342" s="1354"/>
      <c r="T342" s="1354"/>
      <c r="U342" s="1354"/>
      <c r="V342" s="1354"/>
      <c r="W342" s="1354"/>
      <c r="X342" s="1354"/>
      <c r="Y342" s="1354"/>
      <c r="Z342" s="1354"/>
      <c r="AA342" s="1354"/>
      <c r="AB342" s="1354"/>
      <c r="AC342" s="1354"/>
      <c r="AD342" s="1354"/>
      <c r="AE342" s="1354"/>
      <c r="BN342" t="s">
        <v>600</v>
      </c>
    </row>
    <row r="343" spans="1:66" ht="12.95" customHeight="1">
      <c r="B343" s="4"/>
      <c r="C343" s="4"/>
      <c r="D343" s="4"/>
      <c r="E343" s="4"/>
      <c r="F343" s="4"/>
      <c r="I343" s="4" t="s">
        <v>480</v>
      </c>
      <c r="P343" s="1374"/>
      <c r="Q343" s="1374"/>
      <c r="R343" s="1374"/>
      <c r="S343" s="1374"/>
      <c r="T343" s="1374"/>
      <c r="U343" s="1374"/>
      <c r="V343" s="1374"/>
      <c r="W343" s="1374"/>
      <c r="X343" s="1374"/>
      <c r="Y343" s="1374"/>
      <c r="Z343" s="1374"/>
      <c r="AA343" s="1374"/>
      <c r="AB343" s="1374"/>
      <c r="AC343" s="1374"/>
      <c r="AD343" s="1374"/>
      <c r="AE343" s="1374"/>
      <c r="BN343" t="s">
        <v>678</v>
      </c>
    </row>
    <row r="344" spans="1:66" ht="12.95" customHeight="1">
      <c r="B344" s="4"/>
      <c r="C344" s="4"/>
      <c r="D344" s="4"/>
      <c r="E344" s="4"/>
      <c r="F344" s="4"/>
      <c r="I344" s="4" t="s">
        <v>76</v>
      </c>
      <c r="P344" s="1374"/>
      <c r="Q344" s="1374"/>
      <c r="R344" s="1374"/>
      <c r="S344" s="1374"/>
      <c r="T344" s="1374"/>
      <c r="U344" s="1374"/>
      <c r="V344" s="1374"/>
      <c r="W344" s="1374"/>
      <c r="X344" s="1374"/>
      <c r="Y344" s="1374"/>
      <c r="Z344" s="1374"/>
      <c r="AA344" s="1374"/>
      <c r="AB344" s="1374"/>
      <c r="AC344" s="1374"/>
      <c r="AD344" s="1374"/>
      <c r="AE344" s="1374"/>
      <c r="BN344" t="s">
        <v>554</v>
      </c>
    </row>
    <row r="345" spans="1:66" ht="12.95" customHeight="1">
      <c r="B345" s="4"/>
      <c r="C345" s="4"/>
      <c r="D345" s="4"/>
      <c r="E345" s="4"/>
      <c r="F345" s="4"/>
      <c r="G345" s="4"/>
      <c r="I345" s="4" t="s">
        <v>88</v>
      </c>
      <c r="P345" s="1374"/>
      <c r="Q345" s="1374"/>
      <c r="R345" s="1374"/>
      <c r="S345" s="1374"/>
      <c r="T345" s="1374"/>
      <c r="U345" s="1374"/>
      <c r="V345" s="1374"/>
      <c r="W345" s="1374"/>
      <c r="X345" s="1374"/>
      <c r="Y345" s="1374"/>
      <c r="Z345" s="1374"/>
      <c r="AA345" s="1374"/>
      <c r="AB345" s="1374"/>
      <c r="AC345" s="1374"/>
      <c r="AD345" s="1374"/>
      <c r="AE345" s="1374"/>
    </row>
    <row r="346" spans="1:66" ht="12.95" customHeight="1">
      <c r="B346" s="4"/>
      <c r="C346" s="4"/>
      <c r="D346" s="4"/>
      <c r="E346" s="4"/>
      <c r="F346" s="4"/>
      <c r="G346" s="4"/>
      <c r="H346" s="324"/>
      <c r="I346" s="4" t="s">
        <v>89</v>
      </c>
      <c r="P346" s="1380"/>
      <c r="Q346" s="1380"/>
      <c r="R346" s="1380"/>
      <c r="S346" s="1380"/>
      <c r="T346" s="1380"/>
      <c r="U346" s="1380"/>
      <c r="V346" s="1380"/>
      <c r="W346" s="1380"/>
      <c r="X346" s="1380"/>
      <c r="Y346" s="1380"/>
      <c r="Z346" s="1380"/>
      <c r="AA346" s="4" t="s">
        <v>208</v>
      </c>
      <c r="AB346" s="4"/>
      <c r="AC346" s="1351"/>
      <c r="AD346" s="1351"/>
      <c r="AE346" s="1351"/>
      <c r="AF346" s="324"/>
      <c r="AG346" s="4"/>
      <c r="AH346" s="4"/>
      <c r="AI346" s="4"/>
      <c r="AJ346" s="4"/>
      <c r="AK346" s="4"/>
    </row>
    <row r="347" spans="1:66" ht="12.95" customHeight="1">
      <c r="B347" s="4"/>
      <c r="C347" s="4"/>
      <c r="D347" s="4"/>
      <c r="E347" s="4"/>
      <c r="F347" s="4"/>
      <c r="G347" s="4"/>
      <c r="H347" s="324"/>
      <c r="I347" s="4" t="s">
        <v>90</v>
      </c>
      <c r="P347" s="1380"/>
      <c r="Q347" s="1380"/>
      <c r="R347" s="1380"/>
      <c r="S347" s="1380"/>
      <c r="T347" s="1380"/>
      <c r="U347" s="1380"/>
      <c r="V347" s="1380"/>
      <c r="W347" s="1380"/>
      <c r="X347" s="1380"/>
      <c r="Y347" s="1380"/>
      <c r="Z347" s="1380"/>
      <c r="AF347" s="324"/>
      <c r="AG347" s="4"/>
      <c r="AH347" s="4"/>
      <c r="AI347" s="35"/>
      <c r="AJ347" s="35"/>
      <c r="AK347" s="35"/>
    </row>
    <row r="348" spans="1:66" ht="12.95" customHeight="1">
      <c r="B348" s="4"/>
      <c r="C348" s="4"/>
      <c r="D348" s="4"/>
      <c r="E348" s="4"/>
      <c r="F348" s="4"/>
      <c r="G348" s="4"/>
      <c r="I348" s="4" t="s">
        <v>77</v>
      </c>
      <c r="P348" s="1354"/>
      <c r="Q348" s="1354"/>
      <c r="R348" s="1354"/>
      <c r="S348" s="1354"/>
      <c r="T348" s="1354"/>
      <c r="U348" s="1354"/>
      <c r="V348" s="1354"/>
      <c r="W348" s="1354"/>
      <c r="X348" s="1354"/>
      <c r="Y348" s="1354"/>
      <c r="Z348" s="1354"/>
      <c r="AA348" s="1354"/>
      <c r="AB348" s="1354"/>
      <c r="AC348" s="1354"/>
      <c r="AD348" s="1354"/>
      <c r="AE348" s="1354"/>
    </row>
    <row r="349" spans="1:66" ht="12.95" customHeight="1">
      <c r="T349" s="8"/>
      <c r="U349" s="8"/>
      <c r="V349" s="8"/>
      <c r="W349" s="8"/>
      <c r="X349" s="8"/>
      <c r="Y349" s="8"/>
      <c r="Z349" s="8"/>
    </row>
    <row r="350" spans="1:66" ht="12.95" customHeight="1">
      <c r="A350" s="1641" t="s">
        <v>551</v>
      </c>
      <c r="B350" s="1641"/>
      <c r="C350" s="1641"/>
      <c r="D350" s="1641"/>
      <c r="E350" s="1641"/>
      <c r="F350" s="1641"/>
      <c r="G350" s="1641"/>
      <c r="H350" s="1641"/>
      <c r="I350" s="1641"/>
      <c r="J350" s="1641"/>
      <c r="K350" s="1641"/>
      <c r="L350" s="1641"/>
      <c r="M350" s="1641"/>
      <c r="N350" s="1641"/>
      <c r="O350" s="1641"/>
      <c r="P350" s="1641"/>
      <c r="Q350" s="1641"/>
      <c r="R350" s="1641"/>
      <c r="S350" s="1641"/>
      <c r="T350" s="1641"/>
      <c r="U350" s="1641"/>
      <c r="V350" s="1641"/>
      <c r="W350" s="1641"/>
      <c r="X350" s="1641"/>
      <c r="Y350" s="1641"/>
      <c r="Z350" s="1641"/>
      <c r="AA350" s="1641"/>
      <c r="AB350" s="1641"/>
      <c r="AC350" s="1641"/>
      <c r="AD350" s="1641"/>
      <c r="AE350" s="1641"/>
      <c r="AF350" s="1641"/>
      <c r="AG350" s="1641"/>
      <c r="AH350" s="1641"/>
      <c r="AI350" s="1641"/>
      <c r="AJ350" s="1641"/>
      <c r="AK350" s="1641"/>
      <c r="AL350" s="1641"/>
      <c r="AM350" s="95"/>
      <c r="AN350" s="95"/>
      <c r="AO350" s="95"/>
      <c r="AP350" s="95"/>
      <c r="AQ350" s="95"/>
      <c r="AR350" s="95"/>
      <c r="AS350" s="95"/>
      <c r="AT350" s="95"/>
      <c r="AU350" s="95"/>
      <c r="AV350" s="95"/>
      <c r="AW350" s="95"/>
      <c r="AX350" s="95"/>
      <c r="AY350" s="95"/>
    </row>
    <row r="351" spans="1:66" ht="12.95" customHeight="1" thickBot="1">
      <c r="A351" s="1642"/>
      <c r="B351" s="1642"/>
      <c r="C351" s="1642"/>
      <c r="D351" s="1642"/>
      <c r="E351" s="1642"/>
      <c r="F351" s="1642"/>
      <c r="G351" s="1642"/>
      <c r="H351" s="1642"/>
      <c r="I351" s="1642"/>
      <c r="J351" s="1642"/>
      <c r="K351" s="1642"/>
      <c r="L351" s="1642"/>
      <c r="M351" s="1642"/>
      <c r="N351" s="1642"/>
      <c r="O351" s="1642"/>
      <c r="P351" s="1642"/>
      <c r="Q351" s="1642"/>
      <c r="R351" s="1642"/>
      <c r="S351" s="1642"/>
      <c r="T351" s="1642"/>
      <c r="U351" s="1642"/>
      <c r="V351" s="1642"/>
      <c r="W351" s="1642"/>
      <c r="X351" s="1642"/>
      <c r="Y351" s="1642"/>
      <c r="Z351" s="1642"/>
      <c r="AA351" s="1642"/>
      <c r="AB351" s="1642"/>
      <c r="AC351" s="1642"/>
      <c r="AD351" s="1642"/>
      <c r="AE351" s="1642"/>
      <c r="AF351" s="1642"/>
      <c r="AG351" s="1642"/>
      <c r="AH351" s="1642"/>
      <c r="AI351" s="1642"/>
      <c r="AJ351" s="1642"/>
      <c r="AK351" s="1642"/>
      <c r="AL351" s="1642"/>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806</v>
      </c>
    </row>
    <row r="354" spans="1:37" ht="12.95" customHeight="1">
      <c r="D354" s="3" t="s">
        <v>2523</v>
      </c>
      <c r="M354" s="1375" t="s">
        <v>554</v>
      </c>
      <c r="N354" s="1375"/>
      <c r="P354" t="s">
        <v>1828</v>
      </c>
      <c r="AJ354" s="1375" t="s">
        <v>554</v>
      </c>
      <c r="AK354" s="1375"/>
    </row>
    <row r="355" spans="1:37" ht="12.95" customHeight="1">
      <c r="D355" s="3" t="s">
        <v>1817</v>
      </c>
      <c r="M355" s="1375" t="s">
        <v>600</v>
      </c>
      <c r="N355" s="1375"/>
      <c r="P355" s="3" t="s">
        <v>1977</v>
      </c>
      <c r="AJ355" s="1433">
        <v>0</v>
      </c>
      <c r="AK355" s="1433"/>
    </row>
    <row r="356" spans="1:37" ht="12.95" customHeight="1">
      <c r="D356" s="3" t="s">
        <v>716</v>
      </c>
      <c r="M356" s="1375" t="s">
        <v>600</v>
      </c>
      <c r="N356" s="1375"/>
      <c r="P356" t="s">
        <v>1827</v>
      </c>
      <c r="AJ356" s="1375" t="s">
        <v>554</v>
      </c>
      <c r="AK356" s="1375"/>
    </row>
    <row r="357" spans="1:37" ht="12.95" customHeight="1">
      <c r="D357" s="3" t="s">
        <v>717</v>
      </c>
      <c r="M357" s="1375" t="s">
        <v>600</v>
      </c>
      <c r="N357" s="1375"/>
      <c r="Q357" s="4"/>
    </row>
    <row r="358" spans="1:37" ht="12.95" customHeight="1">
      <c r="Q358" s="4"/>
    </row>
    <row r="359" spans="1:37" ht="12.95" customHeight="1">
      <c r="Q359" s="4"/>
    </row>
    <row r="360" spans="1:37" ht="12.95" customHeight="1">
      <c r="A360" s="2" t="s">
        <v>585</v>
      </c>
      <c r="B360" s="2"/>
      <c r="C360" s="2" t="s">
        <v>561</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75" t="s">
        <v>600</v>
      </c>
      <c r="O362" s="1375"/>
      <c r="P362" s="40"/>
      <c r="Q362" s="40"/>
      <c r="R362" s="40"/>
      <c r="S362" s="40"/>
      <c r="T362" s="40"/>
      <c r="U362" s="40"/>
      <c r="V362" s="40"/>
      <c r="W362" s="40"/>
      <c r="X362" s="40"/>
      <c r="Y362" s="40"/>
      <c r="Z362" s="40"/>
      <c r="AC362" s="40"/>
      <c r="AD362" s="40"/>
      <c r="AE362" s="40"/>
    </row>
    <row r="363" spans="1:37" ht="12.95" customHeight="1">
      <c r="E363" t="s">
        <v>372</v>
      </c>
      <c r="Y363" s="1375" t="s">
        <v>600</v>
      </c>
      <c r="Z363" s="1375"/>
    </row>
    <row r="364" spans="1:37" ht="12.95" customHeight="1">
      <c r="D364" s="4" t="s">
        <v>1016</v>
      </c>
      <c r="Q364" s="1354" t="s">
        <v>600</v>
      </c>
      <c r="R364" s="1354"/>
      <c r="S364" s="1354"/>
      <c r="T364" s="1354"/>
      <c r="U364" s="1354"/>
      <c r="V364" s="1354"/>
      <c r="W364" s="1354"/>
      <c r="X364" s="1354"/>
      <c r="Y364" s="1354"/>
      <c r="Z364" s="1354"/>
      <c r="AA364" s="1354"/>
      <c r="AB364" s="1354"/>
      <c r="AC364" s="1354"/>
      <c r="AD364" s="1354"/>
      <c r="AE364" s="1354"/>
      <c r="AF364" s="1354"/>
      <c r="AG364" s="1354"/>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75" t="s">
        <v>678</v>
      </c>
      <c r="K366" s="1375"/>
      <c r="L366" s="40"/>
      <c r="M366" s="40"/>
      <c r="N366" s="40"/>
      <c r="O366" s="40"/>
      <c r="P366" s="40"/>
      <c r="Q366" s="40"/>
      <c r="R366" s="40"/>
      <c r="S366" s="40"/>
      <c r="T366" s="40"/>
      <c r="U366" s="40"/>
      <c r="V366" s="40"/>
      <c r="W366" s="40"/>
      <c r="X366" s="40"/>
      <c r="Y366" s="40"/>
      <c r="Z366" s="40"/>
      <c r="AC366" s="40"/>
      <c r="AD366" s="40"/>
      <c r="AE366" s="40"/>
    </row>
    <row r="367" spans="1:37" ht="12.95" customHeight="1">
      <c r="E367" s="1735" t="s">
        <v>718</v>
      </c>
      <c r="F367" s="1735"/>
      <c r="G367" s="1735"/>
      <c r="H367" s="1735"/>
      <c r="I367" s="1735"/>
      <c r="J367" s="1735"/>
      <c r="K367" s="1735"/>
      <c r="L367" s="1735"/>
      <c r="M367" s="1735"/>
      <c r="N367" s="1735"/>
      <c r="O367" s="1735"/>
      <c r="P367" s="1735"/>
      <c r="Q367" s="1735"/>
      <c r="R367" s="1735"/>
      <c r="S367" s="1735"/>
      <c r="T367" s="1735"/>
      <c r="U367" s="1735"/>
      <c r="V367" s="1735"/>
      <c r="W367" s="1735"/>
      <c r="X367" s="1735"/>
      <c r="Y367" s="1735"/>
      <c r="Z367" s="1735"/>
      <c r="AA367" s="1735"/>
      <c r="AB367" s="1735"/>
      <c r="AC367" s="1735"/>
      <c r="AD367" s="1735"/>
      <c r="AE367" s="1735"/>
      <c r="AF367" s="1735"/>
      <c r="AG367" s="1735"/>
      <c r="AH367" s="1735"/>
    </row>
    <row r="368" spans="1:37" ht="12.95" customHeight="1">
      <c r="E368" s="1735"/>
      <c r="F368" s="1735"/>
      <c r="G368" s="1735"/>
      <c r="H368" s="1735"/>
      <c r="I368" s="1735"/>
      <c r="J368" s="1735"/>
      <c r="K368" s="1735"/>
      <c r="L368" s="1735"/>
      <c r="M368" s="1735"/>
      <c r="N368" s="1735"/>
      <c r="O368" s="1735"/>
      <c r="P368" s="1735"/>
      <c r="Q368" s="1735"/>
      <c r="R368" s="1735"/>
      <c r="S368" s="1735"/>
      <c r="T368" s="1735"/>
      <c r="U368" s="1735"/>
      <c r="V368" s="1735"/>
      <c r="W368" s="1735"/>
      <c r="X368" s="1735"/>
      <c r="Y368" s="1735"/>
      <c r="Z368" s="1735"/>
      <c r="AA368" s="1735"/>
      <c r="AB368" s="1735"/>
      <c r="AC368" s="1735"/>
      <c r="AD368" s="1735"/>
      <c r="AE368" s="1735"/>
      <c r="AF368" s="1735"/>
      <c r="AG368" s="1735"/>
      <c r="AH368" s="1735"/>
    </row>
    <row r="369" spans="1:36" ht="12.95" customHeight="1">
      <c r="E369" s="4" t="s">
        <v>457</v>
      </c>
      <c r="F369" s="4"/>
      <c r="G369" s="4"/>
      <c r="H369" s="4"/>
      <c r="I369" s="4"/>
      <c r="J369" s="4"/>
      <c r="K369" s="4"/>
      <c r="L369" s="4"/>
      <c r="N369" s="1742"/>
      <c r="O369" s="1734"/>
      <c r="P369" s="1734"/>
      <c r="Q369" s="1734"/>
      <c r="R369" s="4"/>
      <c r="U369" s="4" t="s">
        <v>458</v>
      </c>
      <c r="V369" s="4"/>
      <c r="W369" s="4"/>
      <c r="X369" s="4"/>
      <c r="Y369" s="4"/>
      <c r="Z369" s="4"/>
      <c r="AA369" s="4"/>
      <c r="AB369" s="4"/>
      <c r="AC369" s="1734"/>
      <c r="AD369" s="1734"/>
      <c r="AE369" s="1734"/>
      <c r="AF369" s="1734"/>
    </row>
    <row r="370" spans="1:36" ht="12.95" customHeight="1">
      <c r="E370" s="4" t="s">
        <v>459</v>
      </c>
      <c r="F370" s="4"/>
      <c r="G370" s="4"/>
      <c r="H370" s="4"/>
      <c r="I370" s="4"/>
      <c r="J370" s="4"/>
      <c r="K370" s="4"/>
      <c r="L370" s="4"/>
      <c r="N370" s="1734"/>
      <c r="O370" s="1734"/>
      <c r="P370" s="1734"/>
      <c r="Q370" s="1734"/>
      <c r="R370" s="4"/>
      <c r="U370" s="4" t="s">
        <v>0</v>
      </c>
      <c r="V370" s="4"/>
      <c r="W370" s="4"/>
      <c r="X370" s="4"/>
      <c r="Y370" s="4"/>
      <c r="Z370" s="4"/>
      <c r="AA370" s="4"/>
      <c r="AB370" s="4"/>
      <c r="AC370" s="1734"/>
      <c r="AD370" s="1734"/>
      <c r="AE370" s="1734"/>
      <c r="AF370" s="1734"/>
    </row>
    <row r="371" spans="1:36" ht="12.95" customHeight="1">
      <c r="E371" s="4" t="s">
        <v>1</v>
      </c>
      <c r="F371" s="4"/>
      <c r="G371" s="4"/>
      <c r="H371" s="4"/>
      <c r="I371" s="4"/>
      <c r="J371" s="4"/>
      <c r="K371" s="4"/>
      <c r="L371" s="4"/>
      <c r="N371" s="1734"/>
      <c r="O371" s="1734"/>
      <c r="P371" s="1734"/>
      <c r="Q371" s="1734"/>
      <c r="R371" s="4"/>
      <c r="V371" s="4"/>
      <c r="W371" s="4"/>
      <c r="X371" s="4"/>
      <c r="Y371" s="4"/>
      <c r="Z371" s="4"/>
      <c r="AA371" s="4"/>
      <c r="AB371" s="4"/>
    </row>
    <row r="372" spans="1:36" ht="12.95" customHeight="1">
      <c r="E372" s="4" t="s">
        <v>2</v>
      </c>
      <c r="F372" s="4"/>
      <c r="G372" s="4"/>
      <c r="H372" s="4"/>
      <c r="I372" s="4"/>
      <c r="J372" s="4"/>
      <c r="K372" s="4"/>
      <c r="L372" s="4"/>
      <c r="N372" s="1837"/>
      <c r="O372" s="1838"/>
      <c r="P372" s="1838"/>
      <c r="Q372" s="1838"/>
      <c r="R372" s="1838"/>
      <c r="S372" s="1838"/>
      <c r="T372" s="1838"/>
      <c r="U372" s="1838"/>
      <c r="V372" s="1838"/>
      <c r="W372" s="1838"/>
      <c r="X372" s="1838"/>
      <c r="Y372" s="1838"/>
      <c r="Z372" s="1838"/>
      <c r="AA372" s="1838"/>
      <c r="AB372" s="1838"/>
      <c r="AC372" s="1838"/>
      <c r="AD372" s="1838"/>
      <c r="AE372" s="1838"/>
      <c r="AF372" s="1838"/>
    </row>
    <row r="373" spans="1:36" ht="12.95" customHeight="1">
      <c r="E373" s="4"/>
      <c r="F373" s="4"/>
      <c r="G373" s="4"/>
      <c r="H373" s="4"/>
      <c r="I373" s="4"/>
      <c r="J373" s="4"/>
      <c r="K373" s="4"/>
      <c r="L373" s="4"/>
      <c r="N373" s="1839"/>
      <c r="O373" s="1839"/>
      <c r="P373" s="1839"/>
      <c r="Q373" s="1839"/>
      <c r="R373" s="1839"/>
      <c r="S373" s="1839"/>
      <c r="T373" s="1839"/>
      <c r="U373" s="1839"/>
      <c r="V373" s="1839"/>
      <c r="W373" s="1839"/>
      <c r="X373" s="1839"/>
      <c r="Y373" s="1839"/>
      <c r="Z373" s="1839"/>
      <c r="AA373" s="1839"/>
      <c r="AB373" s="1839"/>
      <c r="AC373" s="1839"/>
      <c r="AD373" s="1839"/>
      <c r="AE373" s="1839"/>
      <c r="AF373" s="1839"/>
    </row>
    <row r="374" spans="1:36" ht="12.95" customHeight="1">
      <c r="C374" s="547"/>
      <c r="E374" s="4"/>
      <c r="F374" s="4"/>
      <c r="G374" s="4"/>
      <c r="H374" s="4"/>
      <c r="I374" s="4"/>
      <c r="J374" s="4"/>
      <c r="K374" s="4"/>
      <c r="L374" s="4"/>
    </row>
    <row r="375" spans="1:36" ht="12.95" customHeight="1">
      <c r="D375" s="2" t="s">
        <v>1013</v>
      </c>
      <c r="E375" s="2"/>
      <c r="F375" s="4"/>
      <c r="G375" s="4"/>
      <c r="H375" s="4"/>
      <c r="I375" s="4"/>
      <c r="J375" s="4"/>
      <c r="K375" s="4"/>
      <c r="L375" s="4"/>
    </row>
    <row r="376" spans="1:36" ht="12.95" customHeight="1">
      <c r="E376" s="4" t="s">
        <v>2505</v>
      </c>
      <c r="F376" s="4"/>
      <c r="G376" s="4"/>
      <c r="H376" s="4"/>
      <c r="I376" s="4"/>
      <c r="J376" s="4"/>
      <c r="K376" s="4"/>
      <c r="L376" s="4"/>
      <c r="N376" t="s">
        <v>2499</v>
      </c>
      <c r="R376" s="27" t="s">
        <v>307</v>
      </c>
      <c r="S376" s="1733"/>
      <c r="T376" s="1733"/>
      <c r="U376" s="1" t="s">
        <v>308</v>
      </c>
      <c r="V376" s="1733"/>
      <c r="W376" s="1733"/>
      <c r="Y376" t="s">
        <v>2499</v>
      </c>
      <c r="AC376" s="27" t="s">
        <v>307</v>
      </c>
      <c r="AD376" s="1733"/>
      <c r="AE376" s="1733"/>
      <c r="AF376" s="1" t="s">
        <v>308</v>
      </c>
      <c r="AG376" s="1733"/>
      <c r="AH376" s="1733"/>
    </row>
    <row r="377" spans="1:36" ht="12.95" customHeight="1">
      <c r="E377" s="4" t="s">
        <v>1042</v>
      </c>
      <c r="F377" s="4"/>
      <c r="G377" s="4"/>
      <c r="H377" s="4"/>
      <c r="I377" s="4"/>
      <c r="J377" s="4"/>
      <c r="K377" s="4"/>
      <c r="L377" s="4"/>
      <c r="N377" s="1733"/>
      <c r="O377" s="1733"/>
      <c r="P377" s="1733"/>
    </row>
    <row r="378" spans="1:36" ht="12.95" customHeight="1">
      <c r="E378" s="218" t="s">
        <v>2506</v>
      </c>
      <c r="F378" s="4"/>
      <c r="G378" s="4"/>
      <c r="H378" s="4"/>
      <c r="I378" s="4"/>
      <c r="J378" s="4"/>
      <c r="K378" s="4"/>
      <c r="L378" s="4"/>
      <c r="AG378" s="1652" t="s">
        <v>600</v>
      </c>
      <c r="AH378" s="1652"/>
    </row>
    <row r="379" spans="1:36" ht="12.95" customHeight="1">
      <c r="E379" s="4"/>
      <c r="F379" s="4"/>
      <c r="G379" s="4" t="s">
        <v>2507</v>
      </c>
      <c r="H379" s="4"/>
      <c r="I379" s="4"/>
      <c r="J379" s="4"/>
      <c r="K379" s="4"/>
      <c r="L379" s="4"/>
      <c r="AG379" s="1652" t="s">
        <v>600</v>
      </c>
      <c r="AH379" s="1652"/>
    </row>
    <row r="380" spans="1:36" ht="12.95" customHeight="1">
      <c r="E380" s="4"/>
      <c r="F380" s="4"/>
      <c r="G380" s="349" t="s">
        <v>1043</v>
      </c>
      <c r="H380" s="4"/>
      <c r="I380" s="4"/>
      <c r="J380" s="4"/>
      <c r="K380" s="4"/>
      <c r="L380" s="4"/>
      <c r="V380" s="1375" t="s">
        <v>600</v>
      </c>
      <c r="W380" s="1375"/>
      <c r="Y380" s="22" t="s">
        <v>1018</v>
      </c>
    </row>
    <row r="381" spans="1:36" ht="12.95" customHeight="1">
      <c r="E381" s="4" t="s">
        <v>1019</v>
      </c>
      <c r="F381" s="4"/>
      <c r="G381" s="4"/>
      <c r="H381" s="4"/>
      <c r="I381" s="4"/>
      <c r="J381" s="4"/>
      <c r="K381" s="4"/>
      <c r="L381" s="4"/>
      <c r="V381" s="1375" t="s">
        <v>600</v>
      </c>
      <c r="W381" s="1375"/>
      <c r="Y381" s="4" t="s">
        <v>1020</v>
      </c>
    </row>
    <row r="382" spans="1:36" ht="12.95" customHeight="1"/>
    <row r="383" spans="1:36" ht="12.95" customHeight="1">
      <c r="A383" s="2" t="s">
        <v>79</v>
      </c>
      <c r="B383" s="2"/>
    </row>
    <row r="384" spans="1:36" ht="12.95" customHeight="1">
      <c r="D384" t="s">
        <v>430</v>
      </c>
      <c r="J384" s="1353" t="s">
        <v>2629</v>
      </c>
      <c r="K384" s="1354"/>
      <c r="L384" s="1354"/>
      <c r="M384" s="1354"/>
      <c r="N384" s="1354"/>
      <c r="O384" s="1354"/>
      <c r="P384" s="1354"/>
      <c r="Q384" s="1354"/>
      <c r="R384" s="1354"/>
      <c r="S384" s="1354"/>
      <c r="T384" s="1354"/>
      <c r="U384" s="1354"/>
      <c r="V384" s="8" t="s">
        <v>84</v>
      </c>
      <c r="W384" s="8"/>
      <c r="X384" s="8"/>
      <c r="Y384" s="8"/>
      <c r="Z384" s="8"/>
      <c r="AA384" s="8"/>
      <c r="AB384" s="8"/>
      <c r="AC384" s="1353" t="s">
        <v>2670</v>
      </c>
      <c r="AD384" s="1354"/>
      <c r="AE384" s="1354"/>
      <c r="AF384" s="1354"/>
      <c r="AG384" s="1354"/>
      <c r="AH384" s="1354"/>
      <c r="AI384" s="1354"/>
      <c r="AJ384" s="1354"/>
    </row>
    <row r="385" spans="4:36" ht="12.95" customHeight="1">
      <c r="D385" s="3" t="s">
        <v>1323</v>
      </c>
      <c r="J385" s="1623" t="s">
        <v>2670</v>
      </c>
      <c r="K385" s="1374"/>
      <c r="L385" s="1374"/>
      <c r="M385" s="1374"/>
      <c r="N385" s="1374"/>
      <c r="O385" s="1374"/>
      <c r="P385" s="1374"/>
      <c r="Q385" s="1374"/>
      <c r="R385" s="1374"/>
      <c r="S385" s="1374"/>
      <c r="T385" s="1374"/>
      <c r="U385" s="1374"/>
      <c r="V385" s="3" t="s">
        <v>1323</v>
      </c>
      <c r="W385" s="8"/>
      <c r="X385" s="8"/>
      <c r="Y385" s="8"/>
      <c r="Z385" s="8"/>
      <c r="AA385" s="8"/>
      <c r="AB385" s="8"/>
      <c r="AC385" s="1354"/>
      <c r="AD385" s="1354"/>
      <c r="AE385" s="1354"/>
      <c r="AF385" s="1354"/>
      <c r="AG385" s="1354"/>
      <c r="AH385" s="1354"/>
      <c r="AI385" s="1354"/>
      <c r="AJ385" s="1354"/>
    </row>
    <row r="386" spans="4:36" ht="12.95" customHeight="1">
      <c r="D386" s="3" t="s">
        <v>444</v>
      </c>
      <c r="J386" s="1623" t="s">
        <v>2677</v>
      </c>
      <c r="K386" s="1374"/>
      <c r="L386" s="1374"/>
      <c r="M386" s="1374"/>
      <c r="N386" s="1374"/>
      <c r="O386" s="1374"/>
      <c r="P386" s="1374"/>
      <c r="Q386" s="1374"/>
      <c r="R386" s="1374"/>
      <c r="S386" s="1374"/>
      <c r="T386" s="1374"/>
      <c r="U386" s="1374"/>
      <c r="V386" s="3" t="s">
        <v>444</v>
      </c>
      <c r="W386" s="8"/>
      <c r="X386" s="8"/>
      <c r="Y386" s="8"/>
      <c r="Z386" s="8"/>
      <c r="AA386" s="8"/>
      <c r="AB386" s="8"/>
      <c r="AC386" s="1354"/>
      <c r="AD386" s="1354"/>
      <c r="AE386" s="1354"/>
      <c r="AF386" s="1354"/>
      <c r="AG386" s="1354"/>
      <c r="AH386" s="1354"/>
      <c r="AI386" s="1354"/>
      <c r="AJ386" s="1354"/>
    </row>
    <row r="387" spans="4:36" ht="12.95" customHeight="1">
      <c r="D387" t="s">
        <v>1319</v>
      </c>
      <c r="J387" s="1840" t="s">
        <v>2630</v>
      </c>
      <c r="K387" s="1520"/>
      <c r="L387" s="1520"/>
      <c r="M387" s="1520"/>
      <c r="N387" s="1520"/>
      <c r="O387" s="1520"/>
      <c r="P387" s="1520"/>
      <c r="Q387" s="1520"/>
      <c r="R387" s="1520"/>
      <c r="S387" s="1520"/>
      <c r="T387" s="1520"/>
      <c r="U387" s="1520"/>
      <c r="V387" s="1353" t="s">
        <v>2631</v>
      </c>
      <c r="W387" s="1354"/>
      <c r="X387" s="1354"/>
      <c r="Y387" s="1354"/>
      <c r="Z387" s="1354"/>
      <c r="AA387" s="1354"/>
      <c r="AB387" s="1354"/>
      <c r="AC387" s="1354"/>
      <c r="AD387" s="1354"/>
      <c r="AE387" s="1354"/>
      <c r="AF387" s="1354"/>
      <c r="AG387" s="1354"/>
      <c r="AH387" s="1354"/>
      <c r="AI387" s="1354"/>
      <c r="AJ387" s="1354"/>
    </row>
    <row r="388" spans="4:36" ht="12.95" customHeight="1">
      <c r="D388" t="s">
        <v>4</v>
      </c>
      <c r="Q388" s="1622">
        <v>44869</v>
      </c>
      <c r="R388" s="1622"/>
      <c r="S388" s="1622"/>
      <c r="T388" s="1622"/>
      <c r="U388" s="1622"/>
      <c r="V388" t="s">
        <v>311</v>
      </c>
      <c r="AI388" s="1375" t="s">
        <v>678</v>
      </c>
      <c r="AJ388" s="1375"/>
    </row>
    <row r="389" spans="4:36" ht="12.95" customHeight="1">
      <c r="D389" t="s">
        <v>5</v>
      </c>
      <c r="Q389" s="1674">
        <v>45142</v>
      </c>
      <c r="R389" s="1440"/>
      <c r="S389" s="1440"/>
      <c r="T389" s="1440"/>
      <c r="U389" s="1440"/>
      <c r="W389" s="21" t="s">
        <v>75</v>
      </c>
      <c r="AG389" s="1663"/>
      <c r="AH389" s="1663"/>
      <c r="AI389" s="1663"/>
      <c r="AJ389" s="1663"/>
    </row>
    <row r="390" spans="4:36" ht="12.95" customHeight="1">
      <c r="D390" t="s">
        <v>429</v>
      </c>
      <c r="Q390" s="1732">
        <v>10650300</v>
      </c>
      <c r="R390" s="1732"/>
      <c r="S390" s="1732"/>
      <c r="T390" s="1732"/>
      <c r="U390" s="1732"/>
      <c r="V390" s="3" t="s">
        <v>1322</v>
      </c>
      <c r="AG390" s="1852">
        <v>45142</v>
      </c>
      <c r="AH390" s="1852"/>
      <c r="AI390" s="1852"/>
      <c r="AJ390" s="1852"/>
    </row>
    <row r="391" spans="4:36" ht="12.95" customHeight="1">
      <c r="D391" t="s">
        <v>89</v>
      </c>
      <c r="I391" s="1659" t="s">
        <v>2750</v>
      </c>
      <c r="J391" s="1648"/>
      <c r="K391" s="1648"/>
      <c r="L391" s="1648"/>
      <c r="M391" s="1648"/>
      <c r="N391" s="1648"/>
      <c r="Q391" s="4" t="s">
        <v>208</v>
      </c>
      <c r="S391" s="1740"/>
      <c r="T391" s="1740"/>
      <c r="U391" s="1740"/>
      <c r="V391" t="s">
        <v>74</v>
      </c>
      <c r="AI391" s="1375" t="s">
        <v>678</v>
      </c>
      <c r="AJ391" s="1375"/>
    </row>
    <row r="392" spans="4:36" ht="12.95" customHeight="1">
      <c r="D392" t="s">
        <v>312</v>
      </c>
      <c r="Q392" s="1532">
        <f>AG392/5</f>
        <v>54500</v>
      </c>
      <c r="R392" s="1532"/>
      <c r="S392" s="1532"/>
      <c r="T392" s="1532"/>
      <c r="U392" s="1532"/>
      <c r="V392" t="s">
        <v>313</v>
      </c>
      <c r="AG392" s="1663">
        <v>272500</v>
      </c>
      <c r="AH392" s="1663"/>
      <c r="AI392" s="1663"/>
      <c r="AJ392" s="1663"/>
    </row>
    <row r="393" spans="4:36" ht="12.95" customHeight="1">
      <c r="D393" t="s">
        <v>314</v>
      </c>
      <c r="Q393" s="1662">
        <v>8.2000000000000007E-3</v>
      </c>
      <c r="R393" s="1662"/>
      <c r="S393" s="1662"/>
      <c r="T393" s="1662"/>
      <c r="U393" s="1662"/>
      <c r="V393" t="s">
        <v>1303</v>
      </c>
      <c r="AG393" s="325"/>
      <c r="AH393" s="325"/>
      <c r="AI393" s="325"/>
      <c r="AJ393" s="325"/>
    </row>
    <row r="394" spans="4:36" ht="12.95" customHeight="1">
      <c r="D394" t="s">
        <v>1302</v>
      </c>
      <c r="AG394" s="1663">
        <v>0</v>
      </c>
      <c r="AH394" s="1663"/>
      <c r="AI394" s="1663"/>
      <c r="AJ394" s="1663"/>
    </row>
    <row r="395" spans="4:36" ht="12.95" customHeight="1">
      <c r="AG395" s="491"/>
      <c r="AH395" s="491"/>
      <c r="AI395" s="491"/>
      <c r="AJ395" s="491"/>
    </row>
    <row r="396" spans="4:36" ht="12.95" customHeight="1">
      <c r="D396" s="3" t="s">
        <v>2618</v>
      </c>
      <c r="AG396" s="491"/>
      <c r="AH396" s="491"/>
      <c r="AI396" s="1375" t="s">
        <v>678</v>
      </c>
      <c r="AJ396" s="1375"/>
    </row>
    <row r="397" spans="4:36" ht="12.95" customHeight="1">
      <c r="D397" s="3" t="s">
        <v>1846</v>
      </c>
      <c r="T397" s="1797"/>
      <c r="U397" s="1797"/>
      <c r="V397" s="1797"/>
      <c r="W397" s="1797"/>
      <c r="X397" s="1797"/>
      <c r="Y397" s="1797"/>
      <c r="Z397" s="1797"/>
      <c r="AA397" s="1797"/>
      <c r="AB397" s="1797"/>
      <c r="AC397" s="1797"/>
      <c r="AD397" s="1797"/>
      <c r="AE397" s="1797"/>
      <c r="AF397" s="1797"/>
      <c r="AG397" s="1797"/>
      <c r="AH397" s="1797"/>
      <c r="AI397" s="1797"/>
      <c r="AJ397" s="1797"/>
    </row>
    <row r="398" spans="4:36" ht="12.95" customHeight="1">
      <c r="D398" s="3" t="s">
        <v>1845</v>
      </c>
      <c r="T398" s="1797"/>
      <c r="U398" s="1797"/>
      <c r="V398" s="1797"/>
      <c r="W398" s="1797"/>
      <c r="X398" s="1797"/>
      <c r="Y398" s="1797"/>
      <c r="Z398" s="1797"/>
      <c r="AA398" s="1797"/>
      <c r="AB398" s="1797"/>
      <c r="AC398" s="1797"/>
      <c r="AD398" s="1797"/>
      <c r="AE398" s="1797"/>
      <c r="AF398" s="1797"/>
      <c r="AG398" s="1797"/>
      <c r="AH398" s="1797"/>
      <c r="AI398" s="1797"/>
      <c r="AJ398" s="1797"/>
    </row>
    <row r="399" spans="4:36" ht="12.95" customHeight="1">
      <c r="AG399" s="491"/>
      <c r="AH399" s="491"/>
      <c r="AI399" s="491"/>
      <c r="AJ399" s="491"/>
    </row>
    <row r="400" spans="4:36" ht="12.95" customHeight="1">
      <c r="D400" s="3" t="s">
        <v>1839</v>
      </c>
      <c r="S400" s="1797" t="s">
        <v>678</v>
      </c>
      <c r="T400" s="1797"/>
      <c r="U400" s="1797"/>
      <c r="V400" t="s">
        <v>1840</v>
      </c>
      <c r="AG400" s="1823"/>
      <c r="AH400" s="1823"/>
      <c r="AI400" s="1823"/>
      <c r="AJ400" s="1823"/>
    </row>
    <row r="401" spans="1:36" ht="12.95" customHeight="1">
      <c r="D401" s="3" t="s">
        <v>1837</v>
      </c>
      <c r="S401" s="1797" t="s">
        <v>600</v>
      </c>
      <c r="T401" s="1797"/>
      <c r="U401" s="1797"/>
      <c r="V401" t="s">
        <v>1842</v>
      </c>
      <c r="AE401" s="1803"/>
      <c r="AF401" s="1803"/>
      <c r="AG401" s="1803"/>
      <c r="AH401" s="1803"/>
      <c r="AI401" s="1803"/>
      <c r="AJ401" s="1803"/>
    </row>
    <row r="402" spans="1:36" ht="12.95" customHeight="1">
      <c r="D402" s="3" t="s">
        <v>1838</v>
      </c>
      <c r="K402" s="1830"/>
      <c r="L402" s="1830"/>
      <c r="M402" s="1830"/>
      <c r="N402" s="1830"/>
      <c r="O402" s="1830"/>
      <c r="P402" s="1830"/>
      <c r="Q402" s="1830"/>
      <c r="R402" s="1830"/>
      <c r="S402" s="1830"/>
      <c r="T402" s="1830"/>
      <c r="U402" s="1830"/>
      <c r="V402" s="1830"/>
      <c r="W402" s="1830"/>
      <c r="X402" s="1830"/>
      <c r="Y402" s="1830"/>
      <c r="Z402" s="1830"/>
      <c r="AA402" s="1830"/>
      <c r="AB402" s="1830"/>
      <c r="AC402" s="1830"/>
      <c r="AD402" s="1830"/>
      <c r="AE402" s="1830"/>
      <c r="AF402" s="1830"/>
      <c r="AG402" s="1830"/>
      <c r="AH402" s="1830"/>
      <c r="AI402" s="1830"/>
      <c r="AJ402" s="1830"/>
    </row>
    <row r="403" spans="1:36" ht="12.95" customHeight="1">
      <c r="D403" s="3" t="s">
        <v>1841</v>
      </c>
      <c r="K403" s="1830"/>
      <c r="L403" s="1830"/>
      <c r="M403" s="1830"/>
      <c r="N403" s="1830"/>
      <c r="O403" s="1830"/>
      <c r="P403" s="1830"/>
      <c r="Q403" s="1830"/>
      <c r="R403" s="1830"/>
      <c r="S403" s="1830"/>
      <c r="T403" s="1830"/>
      <c r="U403" s="1830"/>
      <c r="V403" s="1830"/>
      <c r="W403" s="1830"/>
      <c r="X403" s="1830"/>
      <c r="Y403" s="1830"/>
      <c r="Z403" s="1830"/>
      <c r="AA403" s="1830"/>
      <c r="AB403" s="1830"/>
      <c r="AC403" s="1830"/>
      <c r="AD403" s="1830"/>
      <c r="AE403" s="1830"/>
      <c r="AF403" s="1830"/>
      <c r="AG403" s="1830"/>
      <c r="AH403" s="1830"/>
      <c r="AI403" s="1830"/>
      <c r="AJ403" s="1830"/>
    </row>
    <row r="404" spans="1:36" ht="12.95" customHeight="1">
      <c r="D404" s="3" t="s">
        <v>1844</v>
      </c>
      <c r="E404" s="512"/>
      <c r="F404" s="512"/>
      <c r="G404" s="512"/>
      <c r="H404" s="512"/>
      <c r="I404" s="512"/>
      <c r="J404" s="512"/>
      <c r="K404" s="512"/>
      <c r="L404" s="512"/>
      <c r="M404" s="512"/>
      <c r="N404" s="512"/>
      <c r="O404" s="512"/>
      <c r="P404" s="512"/>
      <c r="Q404" s="512"/>
      <c r="R404" s="512"/>
      <c r="S404" s="1788" t="s">
        <v>1325</v>
      </c>
      <c r="T404" s="1788"/>
      <c r="U404" s="1788"/>
      <c r="V404" s="1788"/>
      <c r="W404" s="1788"/>
      <c r="X404" s="1788"/>
      <c r="Y404" s="1788"/>
      <c r="Z404" s="1788"/>
      <c r="AA404" s="1788"/>
      <c r="AB404" s="1788"/>
      <c r="AC404" s="1788"/>
      <c r="AD404" s="1788"/>
      <c r="AE404" s="1788"/>
      <c r="AF404" s="1788"/>
      <c r="AG404" s="1788"/>
      <c r="AH404" s="1788"/>
      <c r="AI404" s="1788"/>
      <c r="AJ404" s="1788"/>
    </row>
    <row r="405" spans="1:36" ht="12.95" customHeight="1">
      <c r="D405" s="1267" t="s">
        <v>1843</v>
      </c>
      <c r="E405" s="1267"/>
      <c r="F405" s="1267"/>
      <c r="G405" s="1267"/>
      <c r="H405" s="1267"/>
      <c r="I405" s="1267"/>
      <c r="J405" s="1267"/>
      <c r="K405" s="1267"/>
      <c r="L405" s="1267"/>
      <c r="M405" s="1267"/>
      <c r="N405" s="1267"/>
      <c r="O405" s="1267"/>
      <c r="P405" s="1267"/>
      <c r="Q405" s="1267"/>
      <c r="R405" s="1267"/>
      <c r="S405" s="1267"/>
      <c r="T405" s="1267"/>
      <c r="U405" s="1267"/>
      <c r="V405" s="1267"/>
      <c r="W405" s="1267"/>
      <c r="X405" s="1267"/>
      <c r="Y405" s="1267"/>
      <c r="Z405" s="1267"/>
      <c r="AA405" s="1267"/>
      <c r="AB405" s="1267"/>
      <c r="AC405" s="1267"/>
      <c r="AD405" s="1267"/>
      <c r="AE405" s="1267"/>
      <c r="AF405" s="1267"/>
      <c r="AG405" s="1267"/>
      <c r="AH405" s="1267"/>
      <c r="AI405" s="1267"/>
      <c r="AJ405" s="1267"/>
    </row>
    <row r="406" spans="1:36" ht="12.95" customHeight="1">
      <c r="D406" s="1267"/>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AG407" s="491"/>
      <c r="AH407" s="491"/>
      <c r="AI407" s="491"/>
      <c r="AJ407" s="491"/>
    </row>
    <row r="408" spans="1:36" ht="12.95" customHeight="1">
      <c r="A408" s="2" t="s">
        <v>598</v>
      </c>
      <c r="B408" s="2"/>
      <c r="C408" s="2" t="s">
        <v>112</v>
      </c>
    </row>
    <row r="409" spans="1:36" ht="12.95" customHeight="1">
      <c r="B409" s="2"/>
      <c r="C409" s="2"/>
      <c r="D409" s="2" t="s">
        <v>1345</v>
      </c>
      <c r="I409" s="1353" t="s">
        <v>2680</v>
      </c>
      <c r="J409" s="1353"/>
      <c r="K409" s="1353"/>
      <c r="L409" s="1353"/>
      <c r="M409" s="1353"/>
      <c r="N409" s="1353"/>
      <c r="O409" s="1353"/>
      <c r="P409" s="1353"/>
      <c r="Q409" s="1353"/>
      <c r="R409" s="1353"/>
      <c r="S409" s="1353"/>
      <c r="T409" s="1353"/>
      <c r="U409" s="1353"/>
      <c r="V409" s="1353"/>
      <c r="W409" s="1353"/>
      <c r="X409" s="1353"/>
      <c r="Y409" s="1353"/>
      <c r="Z409" s="1353"/>
      <c r="AA409" s="1353"/>
      <c r="AB409" s="1353"/>
      <c r="AC409" s="1353"/>
      <c r="AD409" s="1353"/>
      <c r="AE409" s="1353"/>
    </row>
    <row r="410" spans="1:36" ht="12.95" customHeight="1">
      <c r="E410" t="s">
        <v>107</v>
      </c>
      <c r="R410" s="1375" t="s">
        <v>554</v>
      </c>
      <c r="S410" s="1375"/>
      <c r="T410" t="s">
        <v>579</v>
      </c>
      <c r="AD410" s="1734">
        <v>7</v>
      </c>
      <c r="AE410" s="1734"/>
    </row>
    <row r="411" spans="1:36" ht="12.95" customHeight="1">
      <c r="E411" t="s">
        <v>108</v>
      </c>
      <c r="R411" s="1375" t="s">
        <v>600</v>
      </c>
      <c r="S411" s="1375"/>
      <c r="T411" t="s">
        <v>579</v>
      </c>
      <c r="AD411" s="1734">
        <v>0</v>
      </c>
      <c r="AE411" s="1734"/>
    </row>
    <row r="412" spans="1:36" ht="12.95" customHeight="1">
      <c r="E412" t="s">
        <v>109</v>
      </c>
      <c r="S412" s="1375" t="s">
        <v>600</v>
      </c>
      <c r="T412" s="1375"/>
    </row>
    <row r="413" spans="1:36" ht="12.95" customHeight="1">
      <c r="E413" t="s">
        <v>171</v>
      </c>
      <c r="H413" s="1660"/>
      <c r="I413" s="1660"/>
      <c r="J413" s="1660"/>
      <c r="K413" s="1660"/>
      <c r="L413" s="1660"/>
      <c r="M413" s="1660"/>
      <c r="N413" s="1660"/>
      <c r="O413" s="1660"/>
      <c r="P413" s="1660"/>
      <c r="Q413" s="1660"/>
      <c r="R413" s="1660"/>
      <c r="S413" s="1660"/>
      <c r="T413" s="1660"/>
      <c r="U413" s="1660"/>
      <c r="V413" s="1660"/>
      <c r="W413" s="1660"/>
      <c r="X413" s="1660"/>
      <c r="Y413" s="1660"/>
      <c r="Z413" s="1660"/>
      <c r="AA413" s="1660"/>
      <c r="AB413" s="1660"/>
      <c r="AC413" s="1660"/>
      <c r="AD413" s="1660"/>
      <c r="AE413" s="1660"/>
    </row>
    <row r="414" spans="1:36" ht="12.95" customHeight="1">
      <c r="H414" s="1661"/>
      <c r="I414" s="1661"/>
      <c r="J414" s="1661"/>
      <c r="K414" s="1661"/>
      <c r="L414" s="1661"/>
      <c r="M414" s="1661"/>
      <c r="N414" s="1661"/>
      <c r="O414" s="1661"/>
      <c r="P414" s="1661"/>
      <c r="Q414" s="1661"/>
      <c r="R414" s="1661"/>
      <c r="S414" s="1661"/>
      <c r="T414" s="1661"/>
      <c r="U414" s="1661"/>
      <c r="V414" s="1661"/>
      <c r="W414" s="1661"/>
      <c r="X414" s="1661"/>
      <c r="Y414" s="1661"/>
      <c r="Z414" s="1661"/>
      <c r="AA414" s="1661"/>
      <c r="AB414" s="1661"/>
      <c r="AC414" s="1661"/>
      <c r="AD414" s="1661"/>
      <c r="AE414" s="1661"/>
    </row>
    <row r="415" spans="1:36" ht="12.95" customHeight="1"/>
    <row r="416" spans="1:36" ht="12.95" customHeight="1">
      <c r="A416" s="2" t="s">
        <v>599</v>
      </c>
      <c r="B416" s="2"/>
      <c r="C416" s="2"/>
      <c r="D416" s="2" t="s">
        <v>115</v>
      </c>
      <c r="AF416" s="2" t="s">
        <v>996</v>
      </c>
    </row>
    <row r="417" spans="1:39" ht="12.95" customHeight="1">
      <c r="E417" s="1733"/>
      <c r="F417" s="1733"/>
      <c r="G417" s="1733"/>
      <c r="H417" s="13" t="s">
        <v>116</v>
      </c>
      <c r="I417" s="1733"/>
      <c r="J417" s="1733"/>
      <c r="K417" s="1733"/>
      <c r="L417" t="s">
        <v>117</v>
      </c>
      <c r="N417" s="27" t="s">
        <v>584</v>
      </c>
      <c r="P417" s="1739">
        <v>1.43751147842057</v>
      </c>
      <c r="Q417" s="1739"/>
      <c r="R417" s="1739"/>
      <c r="S417" t="s">
        <v>118</v>
      </c>
      <c r="W417" s="1853">
        <f>IF(E417&gt;0,(E417*I417),(P417*43560))</f>
        <v>62618.000000000029</v>
      </c>
      <c r="X417" s="1853"/>
      <c r="Y417" s="1853"/>
      <c r="Z417" t="s">
        <v>119</v>
      </c>
      <c r="AF417" s="1812">
        <f>IF(P417&gt;0,(AG436/P417),(AG436/(W417/43560)))</f>
        <v>120.34686511865591</v>
      </c>
      <c r="AG417" s="1812"/>
      <c r="AH417" s="1812"/>
      <c r="AM417" s="3"/>
    </row>
    <row r="418" spans="1:39" ht="12.95" customHeight="1">
      <c r="E418" t="s">
        <v>51</v>
      </c>
    </row>
    <row r="419" spans="1:39" ht="12.95" customHeight="1">
      <c r="E419" s="1798"/>
      <c r="F419" s="1798"/>
      <c r="G419" s="1798"/>
      <c r="H419" s="1798"/>
      <c r="I419" s="1798"/>
      <c r="J419" s="1798"/>
      <c r="K419" s="1798"/>
      <c r="L419" s="1798"/>
      <c r="M419" s="1798"/>
      <c r="N419" s="1798"/>
      <c r="O419" s="1798"/>
      <c r="P419" s="1798"/>
      <c r="Q419" s="1798"/>
      <c r="R419" s="1798"/>
      <c r="S419" s="1798"/>
      <c r="T419" s="1798"/>
      <c r="U419" s="1798"/>
      <c r="V419" s="1798"/>
      <c r="W419" s="1798"/>
      <c r="X419" s="1798"/>
      <c r="Y419" s="1798"/>
      <c r="Z419" s="1798"/>
      <c r="AA419" s="1798"/>
      <c r="AB419" s="1798"/>
      <c r="AC419" s="1798"/>
      <c r="AD419" s="1798"/>
      <c r="AE419" s="1798"/>
      <c r="AF419" s="1798"/>
      <c r="AG419" s="1798"/>
      <c r="AH419" s="1798"/>
      <c r="AI419" s="1798"/>
      <c r="AJ419" s="1798"/>
    </row>
    <row r="420" spans="1:39" ht="12.95" customHeight="1">
      <c r="E420" s="118" t="s">
        <v>1994</v>
      </c>
      <c r="F420" s="1049"/>
      <c r="G420" s="1049"/>
      <c r="H420" s="1049"/>
      <c r="I420" s="1657">
        <v>1.4375114784205694</v>
      </c>
      <c r="J420" s="1657"/>
      <c r="K420" s="1657"/>
      <c r="L420" s="1049"/>
      <c r="M420" s="118"/>
      <c r="N420" s="1049"/>
      <c r="O420" s="1049"/>
      <c r="P420" s="1612">
        <f>(CS623+CS631+CS647)/I420</f>
        <v>216.34609856590757</v>
      </c>
      <c r="Q420" s="1612"/>
      <c r="R420" s="1612"/>
      <c r="S420" s="118" t="s">
        <v>1995</v>
      </c>
      <c r="T420" s="1049"/>
      <c r="U420" s="1049"/>
      <c r="V420" s="1049"/>
      <c r="W420" s="1049"/>
      <c r="X420" s="1049"/>
      <c r="Y420" s="1049"/>
      <c r="Z420" s="1049"/>
      <c r="AA420" s="1049"/>
      <c r="AB420" s="1049"/>
      <c r="AC420" s="1049"/>
      <c r="AD420" s="1049"/>
      <c r="AE420" s="1049"/>
      <c r="AF420" s="1049"/>
      <c r="AG420" s="1049"/>
      <c r="AH420" s="1049"/>
      <c r="AI420" s="1049"/>
      <c r="AJ420" s="1049"/>
    </row>
    <row r="421" spans="1:39" ht="12.95" customHeight="1"/>
    <row r="422" spans="1:39" ht="12.95" customHeight="1">
      <c r="A422" s="2" t="s">
        <v>601</v>
      </c>
      <c r="B422" s="2"/>
      <c r="C422" s="2"/>
      <c r="D422" s="2" t="s">
        <v>121</v>
      </c>
    </row>
    <row r="423" spans="1:39" ht="12.95" customHeight="1">
      <c r="E423" t="s">
        <v>122</v>
      </c>
      <c r="P423" s="1375">
        <v>1</v>
      </c>
      <c r="Q423" s="1375"/>
      <c r="S423" t="s">
        <v>191</v>
      </c>
      <c r="AE423" s="1375">
        <v>1</v>
      </c>
      <c r="AF423" s="1375"/>
    </row>
    <row r="424" spans="1:39" ht="12.95" customHeight="1">
      <c r="E424" t="s">
        <v>192</v>
      </c>
      <c r="P424" s="1375" t="s">
        <v>600</v>
      </c>
      <c r="Q424" s="1375"/>
      <c r="S424" t="s">
        <v>132</v>
      </c>
      <c r="AE424" s="1375" t="s">
        <v>600</v>
      </c>
      <c r="AF424" s="1375"/>
    </row>
    <row r="425" spans="1:39" ht="12.95" customHeight="1">
      <c r="F425" s="28" t="s">
        <v>133</v>
      </c>
    </row>
    <row r="426" spans="1:39" ht="12.95" customHeight="1">
      <c r="F426" s="1778"/>
      <c r="G426" s="1778"/>
      <c r="H426" s="1778"/>
      <c r="I426" s="1778"/>
      <c r="J426" s="1778"/>
      <c r="K426" s="1778"/>
      <c r="L426" s="1778"/>
      <c r="M426" s="1778"/>
      <c r="N426" s="1778"/>
      <c r="O426" s="1778"/>
      <c r="P426" s="1778"/>
      <c r="Q426" s="1778"/>
      <c r="R426" s="1778"/>
      <c r="S426" s="1778"/>
      <c r="T426" s="1778"/>
      <c r="U426" s="1778"/>
      <c r="V426" s="1778"/>
      <c r="W426" s="1778"/>
      <c r="X426" s="1778"/>
      <c r="Y426" s="1778"/>
      <c r="Z426" s="1778"/>
      <c r="AA426" s="1778"/>
      <c r="AB426" s="1778"/>
      <c r="AC426" s="1778"/>
      <c r="AD426" s="1778"/>
      <c r="AE426" s="1778"/>
      <c r="AF426" s="1778"/>
      <c r="AG426" s="1778"/>
      <c r="AH426" s="1778"/>
    </row>
    <row r="427" spans="1:39" ht="12.95" customHeight="1">
      <c r="F427" s="1600"/>
      <c r="G427" s="1600"/>
      <c r="H427" s="1600"/>
      <c r="I427" s="1600"/>
      <c r="J427" s="1600"/>
      <c r="K427" s="1600"/>
      <c r="L427" s="1600"/>
      <c r="M427" s="1600"/>
      <c r="N427" s="1600"/>
      <c r="O427" s="1600"/>
      <c r="P427" s="1600"/>
      <c r="Q427" s="1600"/>
      <c r="R427" s="1600"/>
      <c r="S427" s="1600"/>
      <c r="T427" s="1600"/>
      <c r="U427" s="1600"/>
      <c r="V427" s="1600"/>
      <c r="W427" s="1600"/>
      <c r="X427" s="1600"/>
      <c r="Y427" s="1600"/>
      <c r="Z427" s="1600"/>
      <c r="AA427" s="1600"/>
      <c r="AB427" s="1600"/>
      <c r="AC427" s="1600"/>
      <c r="AD427" s="1600"/>
      <c r="AE427" s="1600"/>
      <c r="AF427" s="1600"/>
      <c r="AG427" s="1600"/>
      <c r="AH427" s="1600"/>
    </row>
    <row r="428" spans="1:39" ht="12.95" customHeight="1">
      <c r="E428" t="s">
        <v>617</v>
      </c>
      <c r="P428" s="1"/>
      <c r="Q428" s="1375" t="s">
        <v>678</v>
      </c>
      <c r="R428" s="1375"/>
    </row>
    <row r="429" spans="1:39" ht="12.95" customHeight="1">
      <c r="F429" t="s">
        <v>618</v>
      </c>
      <c r="P429" s="1"/>
      <c r="Q429" s="1"/>
      <c r="AF429" s="1375" t="s">
        <v>600</v>
      </c>
      <c r="AG429" s="1787"/>
    </row>
    <row r="430" spans="1:39" ht="12.95" customHeight="1"/>
    <row r="431" spans="1:39" ht="12.95" customHeight="1">
      <c r="A431" s="2"/>
      <c r="B431" s="2"/>
      <c r="C431" s="2"/>
      <c r="E431" s="4" t="s">
        <v>310</v>
      </c>
      <c r="Z431" s="1375" t="s">
        <v>678</v>
      </c>
      <c r="AA431" s="1375"/>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719</v>
      </c>
      <c r="G433" s="40"/>
      <c r="I433" s="40"/>
      <c r="J433" s="40"/>
      <c r="K433" s="40"/>
      <c r="L433" s="40"/>
      <c r="M433" s="40"/>
      <c r="N433" s="40"/>
      <c r="O433" s="28"/>
      <c r="P433" s="40"/>
      <c r="Q433" s="40"/>
      <c r="R433" s="40"/>
      <c r="S433" s="40"/>
      <c r="T433" s="40"/>
      <c r="U433" s="40"/>
      <c r="V433" s="40"/>
      <c r="W433" s="40"/>
      <c r="Z433" s="1375" t="s">
        <v>600</v>
      </c>
      <c r="AA433" s="1375"/>
    </row>
    <row r="434" spans="1:110" ht="12.95" customHeight="1"/>
    <row r="435" spans="1:110" ht="12.95" customHeight="1">
      <c r="A435" s="2" t="s">
        <v>476</v>
      </c>
      <c r="B435" s="2"/>
      <c r="C435" s="2"/>
      <c r="D435" s="2" t="s">
        <v>788</v>
      </c>
      <c r="AF435" s="48"/>
    </row>
    <row r="436" spans="1:110" ht="12.95" customHeight="1">
      <c r="D436" s="1639" t="s">
        <v>43</v>
      </c>
      <c r="E436" s="1586"/>
      <c r="F436" s="1586"/>
      <c r="G436" s="1586"/>
      <c r="H436" s="1586"/>
      <c r="I436" s="1586"/>
      <c r="J436" s="1586"/>
      <c r="K436" s="1586"/>
      <c r="L436" s="1586"/>
      <c r="M436" s="1586"/>
      <c r="N436" s="1586"/>
      <c r="O436" s="1586"/>
      <c r="P436" s="1586"/>
      <c r="Q436" s="1586"/>
      <c r="R436" s="1586"/>
      <c r="S436" s="1586"/>
      <c r="T436" s="1586"/>
      <c r="U436" s="1586"/>
      <c r="V436" s="1586"/>
      <c r="W436" s="1586"/>
      <c r="X436" s="1586"/>
      <c r="Y436" s="1586"/>
      <c r="Z436" s="1586"/>
      <c r="AA436" s="1586"/>
      <c r="AB436" s="1586"/>
      <c r="AC436" s="1586"/>
      <c r="AD436" s="1586"/>
      <c r="AE436" s="1586"/>
      <c r="AF436" s="1824"/>
      <c r="AG436" s="1815">
        <v>173</v>
      </c>
      <c r="AH436" s="1815"/>
      <c r="AI436" s="1815"/>
      <c r="AJ436" s="1815"/>
    </row>
    <row r="437" spans="1:110" ht="12.95" customHeight="1">
      <c r="D437" s="1653" t="s">
        <v>1367</v>
      </c>
      <c r="E437" s="1654"/>
      <c r="F437" s="1654"/>
      <c r="G437" s="1654"/>
      <c r="H437" s="1654"/>
      <c r="I437" s="1654"/>
      <c r="J437" s="1654"/>
      <c r="K437" s="1654"/>
      <c r="L437" s="1654"/>
      <c r="M437" s="1654"/>
      <c r="N437" s="1654"/>
      <c r="O437" s="1654"/>
      <c r="P437" s="1654"/>
      <c r="Q437" s="1654"/>
      <c r="R437" s="1654"/>
      <c r="S437" s="1654"/>
      <c r="T437" s="1654"/>
      <c r="U437" s="1654"/>
      <c r="V437" s="1654"/>
      <c r="W437" s="1654"/>
      <c r="X437" s="1654"/>
      <c r="Y437" s="1654"/>
      <c r="Z437" s="1654"/>
      <c r="AA437" s="1654"/>
      <c r="AB437" s="1654"/>
      <c r="AC437" s="1654"/>
      <c r="AD437" s="1654"/>
      <c r="AE437" s="1654"/>
      <c r="AF437" s="1655"/>
      <c r="AG437" s="1854">
        <v>0</v>
      </c>
      <c r="AH437" s="1625"/>
      <c r="AI437" s="1625"/>
      <c r="AJ437" s="1625"/>
    </row>
    <row r="438" spans="1:110" ht="12.95" customHeight="1">
      <c r="D438" s="1653" t="s">
        <v>1090</v>
      </c>
      <c r="E438" s="1654"/>
      <c r="F438" s="1654"/>
      <c r="G438" s="1654"/>
      <c r="H438" s="1654"/>
      <c r="I438" s="1654"/>
      <c r="J438" s="1654"/>
      <c r="K438" s="1654"/>
      <c r="L438" s="1654"/>
      <c r="M438" s="1654"/>
      <c r="N438" s="1654"/>
      <c r="O438" s="1654"/>
      <c r="P438" s="1654"/>
      <c r="Q438" s="1654"/>
      <c r="R438" s="1654"/>
      <c r="S438" s="1654"/>
      <c r="T438" s="1654"/>
      <c r="U438" s="1654"/>
      <c r="V438" s="1654"/>
      <c r="W438" s="1654"/>
      <c r="X438" s="1654"/>
      <c r="Y438" s="1654"/>
      <c r="Z438" s="1654"/>
      <c r="AA438" s="1654"/>
      <c r="AB438" s="1654"/>
      <c r="AC438" s="1654"/>
      <c r="AD438" s="1654"/>
      <c r="AE438" s="1654"/>
      <c r="AF438" s="1655"/>
      <c r="AG438" s="1815">
        <v>171</v>
      </c>
      <c r="AH438" s="1815"/>
      <c r="AI438" s="1815"/>
      <c r="AJ438" s="1815"/>
    </row>
    <row r="439" spans="1:110" ht="12.95" customHeight="1">
      <c r="D439" s="1653" t="s">
        <v>1091</v>
      </c>
      <c r="E439" s="1654"/>
      <c r="F439" s="1654"/>
      <c r="G439" s="1654"/>
      <c r="H439" s="1654"/>
      <c r="I439" s="1654"/>
      <c r="J439" s="1654"/>
      <c r="K439" s="1654"/>
      <c r="L439" s="1654"/>
      <c r="M439" s="1654"/>
      <c r="N439" s="1654"/>
      <c r="O439" s="1654"/>
      <c r="P439" s="1654"/>
      <c r="Q439" s="1654"/>
      <c r="R439" s="1654"/>
      <c r="S439" s="1654"/>
      <c r="T439" s="1654"/>
      <c r="U439" s="1654"/>
      <c r="V439" s="1654"/>
      <c r="W439" s="1654"/>
      <c r="X439" s="1654"/>
      <c r="Y439" s="1654"/>
      <c r="Z439" s="1654"/>
      <c r="AA439" s="1654"/>
      <c r="AB439" s="1654"/>
      <c r="AC439" s="1654"/>
      <c r="AD439" s="1654"/>
      <c r="AE439" s="1654"/>
      <c r="AF439" s="1655"/>
      <c r="AG439" s="1815">
        <v>171</v>
      </c>
      <c r="AH439" s="1815"/>
      <c r="AI439" s="1815"/>
      <c r="AJ439" s="1815"/>
    </row>
    <row r="440" spans="1:110" ht="12.95" customHeight="1">
      <c r="D440" s="1653" t="s">
        <v>1093</v>
      </c>
      <c r="E440" s="1654"/>
      <c r="F440" s="1654"/>
      <c r="G440" s="1654"/>
      <c r="H440" s="1654"/>
      <c r="I440" s="1654"/>
      <c r="J440" s="1654"/>
      <c r="K440" s="1654"/>
      <c r="L440" s="1654"/>
      <c r="M440" s="1654"/>
      <c r="N440" s="1654"/>
      <c r="O440" s="1654"/>
      <c r="P440" s="1654"/>
      <c r="Q440" s="1654"/>
      <c r="R440" s="1654"/>
      <c r="S440" s="1654"/>
      <c r="T440" s="1654"/>
      <c r="U440" s="1654"/>
      <c r="V440" s="1654"/>
      <c r="W440" s="1654"/>
      <c r="X440" s="1654"/>
      <c r="Y440" s="1654"/>
      <c r="Z440" s="1654"/>
      <c r="AA440" s="1654"/>
      <c r="AB440" s="1654"/>
      <c r="AC440" s="1654"/>
      <c r="AD440" s="1654"/>
      <c r="AE440" s="1654"/>
      <c r="AF440" s="1655"/>
      <c r="AG440" s="1836">
        <f>IF(ISERROR(AG439/AG438),"",AG439/AG438)</f>
        <v>1</v>
      </c>
      <c r="AH440" s="1836"/>
      <c r="AI440" s="1836"/>
      <c r="AJ440" s="1836"/>
    </row>
    <row r="441" spans="1:110" ht="12.95" customHeight="1">
      <c r="D441" s="1653" t="s">
        <v>1092</v>
      </c>
      <c r="E441" s="1654"/>
      <c r="F441" s="1654"/>
      <c r="G441" s="1654"/>
      <c r="H441" s="1654"/>
      <c r="I441" s="1654"/>
      <c r="J441" s="1654"/>
      <c r="K441" s="1654"/>
      <c r="L441" s="1654"/>
      <c r="M441" s="1654"/>
      <c r="N441" s="1654"/>
      <c r="O441" s="1654"/>
      <c r="P441" s="1654"/>
      <c r="Q441" s="1654"/>
      <c r="R441" s="1654"/>
      <c r="S441" s="1654"/>
      <c r="T441" s="1654"/>
      <c r="U441" s="1654"/>
      <c r="V441" s="1654"/>
      <c r="W441" s="1654"/>
      <c r="X441" s="1654"/>
      <c r="Y441" s="1654"/>
      <c r="Z441" s="1654"/>
      <c r="AA441" s="1654"/>
      <c r="AB441" s="1654"/>
      <c r="AC441" s="1654"/>
      <c r="AD441" s="1654"/>
      <c r="AE441" s="1654"/>
      <c r="AF441" s="1655"/>
      <c r="AG441" s="1814">
        <f>127125-775-775</f>
        <v>125575</v>
      </c>
      <c r="AH441" s="1814"/>
      <c r="AI441" s="1814"/>
      <c r="AJ441" s="1814"/>
    </row>
    <row r="442" spans="1:110" ht="12.95" customHeight="1">
      <c r="D442" s="1653" t="s">
        <v>1094</v>
      </c>
      <c r="E442" s="1654"/>
      <c r="F442" s="1654"/>
      <c r="G442" s="1654"/>
      <c r="H442" s="1654"/>
      <c r="I442" s="1654"/>
      <c r="J442" s="1654"/>
      <c r="K442" s="1654"/>
      <c r="L442" s="1654"/>
      <c r="M442" s="1654"/>
      <c r="N442" s="1654"/>
      <c r="O442" s="1654"/>
      <c r="P442" s="1654"/>
      <c r="Q442" s="1654"/>
      <c r="R442" s="1654"/>
      <c r="S442" s="1654"/>
      <c r="T442" s="1654"/>
      <c r="U442" s="1654"/>
      <c r="V442" s="1654"/>
      <c r="W442" s="1654"/>
      <c r="X442" s="1654"/>
      <c r="Y442" s="1654"/>
      <c r="Z442" s="1654"/>
      <c r="AA442" s="1654"/>
      <c r="AB442" s="1654"/>
      <c r="AC442" s="1654"/>
      <c r="AD442" s="1654"/>
      <c r="AE442" s="1654"/>
      <c r="AF442" s="1655"/>
      <c r="AG442" s="1814">
        <f>127125-775-775</f>
        <v>125575</v>
      </c>
      <c r="AH442" s="1814"/>
      <c r="AI442" s="1814"/>
      <c r="AJ442" s="1814"/>
    </row>
    <row r="443" spans="1:110" ht="12.95" customHeight="1">
      <c r="D443" s="1653" t="s">
        <v>1095</v>
      </c>
      <c r="E443" s="1654"/>
      <c r="F443" s="1654"/>
      <c r="G443" s="1654"/>
      <c r="H443" s="1654"/>
      <c r="I443" s="1654"/>
      <c r="J443" s="1654"/>
      <c r="K443" s="1654"/>
      <c r="L443" s="1654"/>
      <c r="M443" s="1654"/>
      <c r="N443" s="1654"/>
      <c r="O443" s="1654"/>
      <c r="P443" s="1654"/>
      <c r="Q443" s="1654"/>
      <c r="R443" s="1654"/>
      <c r="S443" s="1654"/>
      <c r="T443" s="1654"/>
      <c r="U443" s="1654"/>
      <c r="V443" s="1654"/>
      <c r="W443" s="1654"/>
      <c r="X443" s="1654"/>
      <c r="Y443" s="1654"/>
      <c r="Z443" s="1654"/>
      <c r="AA443" s="1654"/>
      <c r="AB443" s="1654"/>
      <c r="AC443" s="1654"/>
      <c r="AD443" s="1654"/>
      <c r="AE443" s="1654"/>
      <c r="AF443" s="1655"/>
      <c r="AG443" s="1836">
        <f>IF(ISERROR(AG442/AG441),"",AG442/AG441)</f>
        <v>1</v>
      </c>
      <c r="AH443" s="1836"/>
      <c r="AI443" s="1836"/>
      <c r="AJ443" s="1836"/>
    </row>
    <row r="444" spans="1:110" ht="12.95" customHeight="1">
      <c r="D444" s="1653" t="s">
        <v>1096</v>
      </c>
      <c r="E444" s="1654"/>
      <c r="F444" s="1654"/>
      <c r="G444" s="1654"/>
      <c r="H444" s="1654"/>
      <c r="I444" s="1654"/>
      <c r="J444" s="1654"/>
      <c r="K444" s="1654"/>
      <c r="L444" s="1654"/>
      <c r="M444" s="1654"/>
      <c r="N444" s="1654"/>
      <c r="O444" s="1654"/>
      <c r="P444" s="1654"/>
      <c r="Q444" s="1654"/>
      <c r="R444" s="1654"/>
      <c r="S444" s="1654"/>
      <c r="T444" s="1654"/>
      <c r="U444" s="1654"/>
      <c r="V444" s="1654"/>
      <c r="W444" s="1654"/>
      <c r="X444" s="1654"/>
      <c r="Y444" s="1654"/>
      <c r="Z444" s="1654"/>
      <c r="AA444" s="1654"/>
      <c r="AB444" s="1654"/>
      <c r="AC444" s="1654"/>
      <c r="AD444" s="1654"/>
      <c r="AE444" s="1654"/>
      <c r="AF444" s="1655"/>
      <c r="AG444" s="1836">
        <f>MIN(IF(AG440&gt;AG443,AG443,AG440),1)</f>
        <v>1</v>
      </c>
      <c r="AH444" s="1836"/>
      <c r="AI444" s="1836"/>
      <c r="AJ444" s="1836"/>
    </row>
    <row r="445" spans="1:110" ht="12.95" customHeight="1">
      <c r="D445" s="1653" t="s">
        <v>2508</v>
      </c>
      <c r="E445" s="1586"/>
      <c r="F445" s="1586"/>
      <c r="G445" s="1586"/>
      <c r="H445" s="1586"/>
      <c r="I445" s="1586"/>
      <c r="J445" s="1586"/>
      <c r="K445" s="1586"/>
      <c r="L445" s="1586"/>
      <c r="M445" s="1586"/>
      <c r="N445" s="1586"/>
      <c r="O445" s="1586"/>
      <c r="P445" s="1586"/>
      <c r="Q445" s="1586"/>
      <c r="R445" s="1586"/>
      <c r="S445" s="1586"/>
      <c r="T445" s="1586"/>
      <c r="U445" s="1586"/>
      <c r="V445" s="1586"/>
      <c r="W445" s="1586"/>
      <c r="X445" s="1586"/>
      <c r="Y445" s="1586"/>
      <c r="Z445" s="1586"/>
      <c r="AA445" s="1586"/>
      <c r="AB445" s="1586"/>
      <c r="AC445" s="1586"/>
      <c r="AD445" s="1586"/>
      <c r="AE445" s="1586"/>
      <c r="AF445" s="1824"/>
      <c r="AG445" s="1814">
        <v>2800</v>
      </c>
      <c r="AH445" s="1814"/>
      <c r="AI445" s="1814"/>
      <c r="AJ445" s="1814"/>
    </row>
    <row r="446" spans="1:110" ht="12.95" customHeight="1">
      <c r="D446" s="1639" t="s">
        <v>578</v>
      </c>
      <c r="E446" s="1586"/>
      <c r="F446" s="1586"/>
      <c r="G446" s="1586"/>
      <c r="H446" s="1586"/>
      <c r="I446" s="1586"/>
      <c r="J446" s="1586"/>
      <c r="K446" s="1586"/>
      <c r="L446" s="1586"/>
      <c r="M446" s="1586"/>
      <c r="N446" s="1586"/>
      <c r="O446" s="1586"/>
      <c r="P446" s="1586"/>
      <c r="Q446" s="1586"/>
      <c r="R446" s="1586"/>
      <c r="S446" s="1586"/>
      <c r="T446" s="1586"/>
      <c r="U446" s="1586"/>
      <c r="V446" s="1586"/>
      <c r="W446" s="1586"/>
      <c r="X446" s="1586"/>
      <c r="Y446" s="1586"/>
      <c r="Z446" s="1586"/>
      <c r="AA446" s="1586"/>
      <c r="AB446" s="1586"/>
      <c r="AC446" s="1586"/>
      <c r="AD446" s="1586"/>
      <c r="AE446" s="1586"/>
      <c r="AF446" s="1824"/>
      <c r="AG446" s="1814">
        <v>0</v>
      </c>
      <c r="AH446" s="1814"/>
      <c r="AI446" s="1814"/>
      <c r="AJ446" s="181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53" t="s">
        <v>1346</v>
      </c>
      <c r="E447" s="1586"/>
      <c r="F447" s="1586"/>
      <c r="G447" s="1586"/>
      <c r="H447" s="1586"/>
      <c r="I447" s="1586"/>
      <c r="J447" s="1586"/>
      <c r="K447" s="1586"/>
      <c r="L447" s="1586"/>
      <c r="M447" s="1586"/>
      <c r="N447" s="1586"/>
      <c r="O447" s="1586"/>
      <c r="P447" s="1586"/>
      <c r="Q447" s="1586"/>
      <c r="R447" s="1586"/>
      <c r="S447" s="1586"/>
      <c r="T447" s="1586"/>
      <c r="U447" s="1586"/>
      <c r="V447" s="1586"/>
      <c r="W447" s="1586"/>
      <c r="X447" s="1586"/>
      <c r="Y447" s="1586"/>
      <c r="Z447" s="1586"/>
      <c r="AA447" s="1586"/>
      <c r="AB447" s="1586"/>
      <c r="AC447" s="1586"/>
      <c r="AD447" s="1586"/>
      <c r="AE447" s="1586"/>
      <c r="AF447" s="1824"/>
      <c r="AG447" s="1814">
        <v>25625.000000000058</v>
      </c>
      <c r="AH447" s="1814"/>
      <c r="AI447" s="1814"/>
      <c r="AJ447" s="181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53" t="s">
        <v>1097</v>
      </c>
      <c r="E448" s="1586"/>
      <c r="F448" s="1586"/>
      <c r="G448" s="1586"/>
      <c r="H448" s="1586"/>
      <c r="I448" s="1586"/>
      <c r="J448" s="1586"/>
      <c r="K448" s="1586"/>
      <c r="L448" s="1586"/>
      <c r="M448" s="1586"/>
      <c r="N448" s="1586"/>
      <c r="O448" s="1586"/>
      <c r="P448" s="1586"/>
      <c r="Q448" s="1586"/>
      <c r="R448" s="1586"/>
      <c r="S448" s="1586"/>
      <c r="T448" s="1586"/>
      <c r="U448" s="1586"/>
      <c r="V448" s="1586"/>
      <c r="W448" s="1586"/>
      <c r="X448" s="1586"/>
      <c r="Y448" s="1586"/>
      <c r="Z448" s="1586"/>
      <c r="AA448" s="1586"/>
      <c r="AB448" s="1586"/>
      <c r="AC448" s="1586"/>
      <c r="AD448" s="1586"/>
      <c r="AE448" s="1586"/>
      <c r="AF448" s="1824"/>
      <c r="AG448" s="1814">
        <v>67128</v>
      </c>
      <c r="AH448" s="1814"/>
      <c r="AI448" s="1814"/>
      <c r="AJ448" s="181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82" t="s">
        <v>1098</v>
      </c>
      <c r="E449" s="1783"/>
      <c r="F449" s="1783"/>
      <c r="G449" s="1783"/>
      <c r="H449" s="1783"/>
      <c r="I449" s="1783"/>
      <c r="J449" s="1783"/>
      <c r="K449" s="1783"/>
      <c r="L449" s="1783"/>
      <c r="M449" s="1783"/>
      <c r="N449" s="1783"/>
      <c r="O449" s="1783"/>
      <c r="P449" s="1783"/>
      <c r="Q449" s="1783"/>
      <c r="R449" s="1783"/>
      <c r="S449" s="1783"/>
      <c r="T449" s="1783"/>
      <c r="U449" s="1783"/>
      <c r="V449" s="1783"/>
      <c r="W449" s="1783"/>
      <c r="X449" s="1783"/>
      <c r="Y449" s="1783"/>
      <c r="Z449" s="1783"/>
      <c r="AA449" s="1783"/>
      <c r="AB449" s="1783"/>
      <c r="AC449" s="1783"/>
      <c r="AD449" s="1783"/>
      <c r="AE449" s="1783"/>
      <c r="AF449" s="1784"/>
      <c r="AG449" s="1835">
        <f>AG441+AG445+AG447+AG448</f>
        <v>221128.00000000006</v>
      </c>
      <c r="AH449" s="1835"/>
      <c r="AI449" s="1835"/>
      <c r="AJ449" s="183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785" t="s">
        <v>1347</v>
      </c>
      <c r="E450" s="1785"/>
      <c r="F450" s="1785"/>
      <c r="G450" s="1785"/>
      <c r="H450" s="1785"/>
      <c r="I450" s="1785"/>
      <c r="J450" s="1785"/>
      <c r="K450" s="1785"/>
      <c r="L450" s="1785"/>
      <c r="M450" s="1785"/>
      <c r="N450" s="1785"/>
      <c r="O450" s="1785"/>
      <c r="P450" s="1785"/>
      <c r="Q450" s="1785"/>
      <c r="R450" s="1785"/>
      <c r="S450" s="1785"/>
      <c r="T450" s="1785"/>
      <c r="U450" s="1785"/>
      <c r="V450" s="1785"/>
      <c r="W450" s="1785"/>
      <c r="X450" s="1785"/>
      <c r="Y450" s="1785"/>
      <c r="Z450" s="1785"/>
      <c r="AA450" s="1785"/>
      <c r="AB450" s="1785"/>
      <c r="AC450" s="1785"/>
      <c r="AD450" s="1785"/>
      <c r="AE450" s="1785"/>
      <c r="AF450" s="1785"/>
      <c r="AG450" s="1785"/>
      <c r="AH450" s="1785"/>
      <c r="AI450" s="1785"/>
      <c r="AJ450" s="178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786"/>
      <c r="E451" s="1786"/>
      <c r="F451" s="1786"/>
      <c r="G451" s="1786"/>
      <c r="H451" s="1786"/>
      <c r="I451" s="1786"/>
      <c r="J451" s="1786"/>
      <c r="K451" s="1786"/>
      <c r="L451" s="1786"/>
      <c r="M451" s="1786"/>
      <c r="N451" s="1786"/>
      <c r="O451" s="1786"/>
      <c r="P451" s="1786"/>
      <c r="Q451" s="1786"/>
      <c r="R451" s="1786"/>
      <c r="S451" s="1786"/>
      <c r="T451" s="1786"/>
      <c r="U451" s="1786"/>
      <c r="V451" s="1786"/>
      <c r="W451" s="1786"/>
      <c r="X451" s="1786"/>
      <c r="Y451" s="1786"/>
      <c r="Z451" s="1786"/>
      <c r="AA451" s="1786"/>
      <c r="AB451" s="1786"/>
      <c r="AC451" s="1786"/>
      <c r="AD451" s="1786"/>
      <c r="AE451" s="1786"/>
      <c r="AF451" s="1786"/>
      <c r="AG451" s="1786"/>
      <c r="AH451" s="1786"/>
      <c r="AI451" s="1786"/>
      <c r="AJ451" s="178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11">
        <f>'Sources and Uses Budget'!B105/Application!AG436</f>
        <v>581128.56569370592</v>
      </c>
      <c r="AD453" s="1811"/>
      <c r="AE453" s="1811"/>
      <c r="AF453" s="1811"/>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11">
        <f>'Sources and Uses Budget'!C105/Application!AG436</f>
        <v>581128.56569370592</v>
      </c>
      <c r="AD454" s="1811"/>
      <c r="AE454" s="1811"/>
      <c r="AF454" s="1811"/>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11">
        <f>('Sources and Uses Budget'!$S$107+'Sources and Uses Budget'!$T$107)/Application!AG436</f>
        <v>486518.54435552115</v>
      </c>
      <c r="AD455" s="1811"/>
      <c r="AE455" s="1811"/>
      <c r="AF455" s="181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802" t="str">
        <f>IFERROR(IF(AC453&gt;650000,"Please provide a justification of cost per unit in Tab 12 for all projects with per unit costs of greater than $650,000.",""),"")</f>
        <v/>
      </c>
      <c r="G456" s="1802"/>
      <c r="H456" s="1802"/>
      <c r="I456" s="1802"/>
      <c r="J456" s="1802"/>
      <c r="K456" s="1802"/>
      <c r="L456" s="1802"/>
      <c r="M456" s="1802"/>
      <c r="N456" s="1802"/>
      <c r="O456" s="1802"/>
      <c r="P456" s="1802"/>
      <c r="Q456" s="1802"/>
      <c r="R456" s="1802"/>
      <c r="S456" s="1802"/>
      <c r="T456" s="1802"/>
      <c r="U456" s="1802"/>
      <c r="V456" s="1802"/>
      <c r="W456" s="1802"/>
      <c r="X456" s="1802"/>
      <c r="Y456" s="1802"/>
      <c r="Z456" s="1802"/>
      <c r="AA456" s="1802"/>
      <c r="AB456" s="1802"/>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802"/>
      <c r="G457" s="1802"/>
      <c r="H457" s="1802"/>
      <c r="I457" s="1802"/>
      <c r="J457" s="1802"/>
      <c r="K457" s="1802"/>
      <c r="L457" s="1802"/>
      <c r="M457" s="1802"/>
      <c r="N457" s="1802"/>
      <c r="O457" s="1802"/>
      <c r="P457" s="1802"/>
      <c r="Q457" s="1802"/>
      <c r="R457" s="1802"/>
      <c r="S457" s="1802"/>
      <c r="T457" s="1802"/>
      <c r="U457" s="1802"/>
      <c r="V457" s="1802"/>
      <c r="W457" s="1802"/>
      <c r="X457" s="1802"/>
      <c r="Y457" s="1802"/>
      <c r="Z457" s="1802"/>
      <c r="AA457" s="1802"/>
      <c r="AB457" s="1802"/>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622</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2139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2140</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2141</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813" t="s">
        <v>2524</v>
      </c>
      <c r="E464" s="1800"/>
      <c r="F464" s="1800"/>
      <c r="G464" s="1800"/>
      <c r="H464" s="1800"/>
      <c r="I464" s="1800"/>
      <c r="J464" s="1800"/>
      <c r="K464" s="1800"/>
      <c r="L464" s="1800"/>
      <c r="M464" s="1800"/>
      <c r="N464" s="1800"/>
      <c r="O464" s="1800"/>
      <c r="P464" s="1800"/>
      <c r="Q464" s="1800"/>
      <c r="R464" s="1800"/>
      <c r="S464" s="1800"/>
      <c r="T464" s="1800"/>
      <c r="U464" s="1800"/>
      <c r="V464" s="1801"/>
      <c r="W464" s="1649">
        <v>0</v>
      </c>
      <c r="X464" s="1650"/>
      <c r="Y464" s="16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99" t="s">
        <v>703</v>
      </c>
      <c r="E465" s="1800"/>
      <c r="F465" s="1800"/>
      <c r="G465" s="1800"/>
      <c r="H465" s="1800"/>
      <c r="I465" s="1800"/>
      <c r="J465" s="1800"/>
      <c r="K465" s="1800"/>
      <c r="L465" s="1800"/>
      <c r="M465" s="1800"/>
      <c r="N465" s="1800"/>
      <c r="O465" s="1800"/>
      <c r="P465" s="1800"/>
      <c r="Q465" s="1800"/>
      <c r="R465" s="1800"/>
      <c r="S465" s="1800"/>
      <c r="T465" s="1800"/>
      <c r="U465" s="1800"/>
      <c r="V465" s="1801"/>
      <c r="W465" s="1649">
        <v>0</v>
      </c>
      <c r="X465" s="1650"/>
      <c r="Y465" s="16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99" t="s">
        <v>704</v>
      </c>
      <c r="E466" s="1800"/>
      <c r="F466" s="1800"/>
      <c r="G466" s="1800"/>
      <c r="H466" s="1800"/>
      <c r="I466" s="1800"/>
      <c r="J466" s="1800"/>
      <c r="K466" s="1800"/>
      <c r="L466" s="1800"/>
      <c r="M466" s="1800"/>
      <c r="N466" s="1800"/>
      <c r="O466" s="1800"/>
      <c r="P466" s="1800"/>
      <c r="Q466" s="1800"/>
      <c r="R466" s="1800"/>
      <c r="S466" s="1800"/>
      <c r="T466" s="1800"/>
      <c r="U466" s="1800"/>
      <c r="V466" s="1801"/>
      <c r="W466" s="1649">
        <v>0</v>
      </c>
      <c r="X466" s="1650"/>
      <c r="Y466" s="16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99" t="s">
        <v>705</v>
      </c>
      <c r="E467" s="1800"/>
      <c r="F467" s="1800"/>
      <c r="G467" s="1800"/>
      <c r="H467" s="1800"/>
      <c r="I467" s="1800"/>
      <c r="J467" s="1800"/>
      <c r="K467" s="1800"/>
      <c r="L467" s="1800"/>
      <c r="M467" s="1800"/>
      <c r="N467" s="1800"/>
      <c r="O467" s="1800"/>
      <c r="P467" s="1800"/>
      <c r="Q467" s="1800"/>
      <c r="R467" s="1800"/>
      <c r="S467" s="1800"/>
      <c r="T467" s="1800"/>
      <c r="U467" s="1800"/>
      <c r="V467" s="1801"/>
      <c r="W467" s="1649">
        <v>0</v>
      </c>
      <c r="X467" s="1650"/>
      <c r="Y467" s="16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99" t="s">
        <v>910</v>
      </c>
      <c r="E468" s="1800"/>
      <c r="F468" s="1800"/>
      <c r="G468" s="1800"/>
      <c r="H468" s="1800"/>
      <c r="I468" s="1800"/>
      <c r="J468" s="1800"/>
      <c r="K468" s="1800"/>
      <c r="L468" s="1800"/>
      <c r="M468" s="1800"/>
      <c r="N468" s="1800"/>
      <c r="O468" s="1800"/>
      <c r="P468" s="1800"/>
      <c r="Q468" s="1800"/>
      <c r="R468" s="1800"/>
      <c r="S468" s="1800"/>
      <c r="T468" s="1800"/>
      <c r="U468" s="1800"/>
      <c r="V468" s="1801"/>
      <c r="W468" s="1649">
        <v>0</v>
      </c>
      <c r="X468" s="1650"/>
      <c r="Y468" s="16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99" t="s">
        <v>706</v>
      </c>
      <c r="E469" s="1800"/>
      <c r="F469" s="1800"/>
      <c r="G469" s="1800"/>
      <c r="H469" s="1800"/>
      <c r="I469" s="1800"/>
      <c r="J469" s="1800"/>
      <c r="K469" s="1800"/>
      <c r="L469" s="1800"/>
      <c r="M469" s="1800"/>
      <c r="N469" s="1800"/>
      <c r="O469" s="1800"/>
      <c r="P469" s="1800"/>
      <c r="Q469" s="1800"/>
      <c r="R469" s="1800"/>
      <c r="S469" s="1800"/>
      <c r="T469" s="1800"/>
      <c r="U469" s="1800"/>
      <c r="V469" s="1801"/>
      <c r="W469" s="1649">
        <v>0</v>
      </c>
      <c r="X469" s="1650"/>
      <c r="Y469" s="16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99" t="s">
        <v>1067</v>
      </c>
      <c r="E470" s="1800"/>
      <c r="F470" s="1800"/>
      <c r="G470" s="1800"/>
      <c r="H470" s="1800"/>
      <c r="I470" s="1800"/>
      <c r="J470" s="1800"/>
      <c r="K470" s="1800"/>
      <c r="L470" s="1800"/>
      <c r="M470" s="1800"/>
      <c r="N470" s="1800"/>
      <c r="O470" s="1800"/>
      <c r="P470" s="1800"/>
      <c r="Q470" s="1800"/>
      <c r="R470" s="1800"/>
      <c r="S470" s="1800"/>
      <c r="T470" s="1800"/>
      <c r="U470" s="1800"/>
      <c r="V470" s="1801"/>
      <c r="W470" s="1649">
        <v>0</v>
      </c>
      <c r="X470" s="1650"/>
      <c r="Y470" s="1651"/>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13" t="s">
        <v>1832</v>
      </c>
      <c r="E471" s="1800"/>
      <c r="F471" s="1800"/>
      <c r="G471" s="1800"/>
      <c r="H471" s="1800"/>
      <c r="I471" s="1800"/>
      <c r="J471" s="1800"/>
      <c r="K471" s="1800"/>
      <c r="L471" s="1800"/>
      <c r="M471" s="1800"/>
      <c r="N471" s="1800"/>
      <c r="O471" s="1800"/>
      <c r="P471" s="1800"/>
      <c r="Q471" s="1800"/>
      <c r="R471" s="1800"/>
      <c r="S471" s="1800"/>
      <c r="T471" s="1800"/>
      <c r="U471" s="1800"/>
      <c r="V471" s="1801"/>
      <c r="W471" s="1649">
        <v>44</v>
      </c>
      <c r="X471" s="1650"/>
      <c r="Y471" s="16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832"/>
      <c r="H472" s="1833"/>
      <c r="I472" s="1833"/>
      <c r="J472" s="1833"/>
      <c r="K472" s="1833"/>
      <c r="L472" s="1833"/>
      <c r="M472" s="1833"/>
      <c r="N472" s="1833"/>
      <c r="O472" s="1833"/>
      <c r="P472" s="1833"/>
      <c r="Q472" s="1833"/>
      <c r="R472" s="1833"/>
      <c r="S472" s="1833"/>
      <c r="T472" s="1833"/>
      <c r="U472" s="1833"/>
      <c r="V472" s="1834"/>
      <c r="W472" s="1649">
        <v>0</v>
      </c>
      <c r="X472" s="1650"/>
      <c r="Y472" s="16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641" t="s">
        <v>835</v>
      </c>
      <c r="B478" s="1641"/>
      <c r="C478" s="1641"/>
      <c r="D478" s="1641"/>
      <c r="E478" s="1641"/>
      <c r="F478" s="1641"/>
      <c r="G478" s="1641"/>
      <c r="H478" s="1641"/>
      <c r="I478" s="1641"/>
      <c r="J478" s="1641"/>
      <c r="K478" s="1641"/>
      <c r="L478" s="1641"/>
      <c r="M478" s="1641"/>
      <c r="N478" s="1641"/>
      <c r="O478" s="1641"/>
      <c r="P478" s="1641"/>
      <c r="Q478" s="1641"/>
      <c r="R478" s="1641"/>
      <c r="S478" s="1641"/>
      <c r="T478" s="1641"/>
      <c r="U478" s="1641"/>
      <c r="V478" s="1641"/>
      <c r="W478" s="1641"/>
      <c r="X478" s="1641"/>
      <c r="Y478" s="1641"/>
      <c r="Z478" s="1641"/>
      <c r="AA478" s="1641"/>
      <c r="AB478" s="1641"/>
      <c r="AC478" s="1641"/>
      <c r="AD478" s="1641"/>
      <c r="AE478" s="1641"/>
      <c r="AF478" s="1641"/>
      <c r="AG478" s="1641"/>
      <c r="AH478" s="1641"/>
      <c r="AI478" s="1641"/>
      <c r="AJ478" s="1641"/>
      <c r="AK478" s="1641"/>
      <c r="AL478" s="1641"/>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642"/>
      <c r="B479" s="1642"/>
      <c r="C479" s="1642"/>
      <c r="D479" s="1642"/>
      <c r="E479" s="1642"/>
      <c r="F479" s="1642"/>
      <c r="G479" s="1642"/>
      <c r="H479" s="1642"/>
      <c r="I479" s="1642"/>
      <c r="J479" s="1642"/>
      <c r="K479" s="1642"/>
      <c r="L479" s="1642"/>
      <c r="M479" s="1642"/>
      <c r="N479" s="1642"/>
      <c r="O479" s="1642"/>
      <c r="P479" s="1642"/>
      <c r="Q479" s="1642"/>
      <c r="R479" s="1642"/>
      <c r="S479" s="1642"/>
      <c r="T479" s="1642"/>
      <c r="U479" s="1642"/>
      <c r="V479" s="1642"/>
      <c r="W479" s="1642"/>
      <c r="X479" s="1642"/>
      <c r="Y479" s="1642"/>
      <c r="Z479" s="1642"/>
      <c r="AA479" s="1642"/>
      <c r="AB479" s="1642"/>
      <c r="AC479" s="1642"/>
      <c r="AD479" s="1642"/>
      <c r="AE479" s="1642"/>
      <c r="AF479" s="1642"/>
      <c r="AG479" s="1642"/>
      <c r="AH479" s="1642"/>
      <c r="AI479" s="1642"/>
      <c r="AJ479" s="1642"/>
      <c r="AK479" s="1642"/>
      <c r="AL479" s="1642"/>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793" t="s">
        <v>395</v>
      </c>
      <c r="R483" s="1794"/>
      <c r="S483" s="1794"/>
      <c r="T483" s="1794"/>
      <c r="U483" s="1794"/>
      <c r="V483" s="1794"/>
      <c r="W483" s="1794"/>
      <c r="X483" s="1794"/>
      <c r="Y483" s="1794"/>
      <c r="Z483" s="1794"/>
      <c r="AA483" s="1794"/>
      <c r="AB483" s="1794"/>
      <c r="AC483" s="1794"/>
      <c r="AD483" s="1794"/>
      <c r="AE483" s="1794"/>
      <c r="AF483" s="1794"/>
      <c r="AG483" s="1794"/>
      <c r="AH483" s="1794"/>
      <c r="AI483" s="1794"/>
      <c r="AJ483" s="1794"/>
      <c r="AK483" s="1795"/>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628" t="s">
        <v>2701</v>
      </c>
      <c r="R484" s="1374"/>
      <c r="S484" s="1374"/>
      <c r="T484" s="1374"/>
      <c r="U484" s="1374"/>
      <c r="V484" s="1374"/>
      <c r="W484" s="1374"/>
      <c r="X484" s="1374"/>
      <c r="Y484" s="1374"/>
      <c r="Z484" s="1374"/>
      <c r="AA484" s="1374"/>
      <c r="AB484" s="1374"/>
      <c r="AC484" s="1374"/>
      <c r="AD484" s="1374"/>
      <c r="AE484" s="1374"/>
      <c r="AF484" s="1374"/>
      <c r="AG484" s="1374"/>
      <c r="AH484" s="1374"/>
      <c r="AI484" s="1374"/>
      <c r="AJ484" s="1374"/>
      <c r="AK484" s="167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628" t="s">
        <v>2702</v>
      </c>
      <c r="R485" s="1374"/>
      <c r="S485" s="1374"/>
      <c r="T485" s="1374"/>
      <c r="U485" s="1374"/>
      <c r="V485" s="1374"/>
      <c r="W485" s="1374"/>
      <c r="X485" s="1374"/>
      <c r="Y485" s="1374"/>
      <c r="Z485" s="1374"/>
      <c r="AA485" s="1374"/>
      <c r="AB485" s="1374"/>
      <c r="AC485" s="1374"/>
      <c r="AD485" s="1374"/>
      <c r="AE485" s="1374"/>
      <c r="AF485" s="1374"/>
      <c r="AG485" s="1374"/>
      <c r="AH485" s="1374"/>
      <c r="AI485" s="1374"/>
      <c r="AJ485" s="1374"/>
      <c r="AK485" s="167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628" t="s">
        <v>2703</v>
      </c>
      <c r="R486" s="1374"/>
      <c r="S486" s="1374"/>
      <c r="T486" s="1374"/>
      <c r="U486" s="1374"/>
      <c r="V486" s="1374"/>
      <c r="W486" s="1374"/>
      <c r="X486" s="1374"/>
      <c r="Y486" s="1374"/>
      <c r="Z486" s="1374"/>
      <c r="AA486" s="1374"/>
      <c r="AB486" s="1374"/>
      <c r="AC486" s="1374"/>
      <c r="AD486" s="1374"/>
      <c r="AE486" s="1374"/>
      <c r="AF486" s="1374"/>
      <c r="AG486" s="1374"/>
      <c r="AH486" s="1374"/>
      <c r="AI486" s="1374"/>
      <c r="AJ486" s="1374"/>
      <c r="AK486" s="167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841" t="s">
        <v>399</v>
      </c>
      <c r="C487" s="1842"/>
      <c r="D487" s="1842"/>
      <c r="E487" s="1842"/>
      <c r="F487" s="1842"/>
      <c r="G487" s="1842"/>
      <c r="H487" s="1842"/>
      <c r="I487" s="1842"/>
      <c r="J487" s="1842"/>
      <c r="K487" s="1842"/>
      <c r="L487" s="1842"/>
      <c r="M487" s="1842"/>
      <c r="N487" s="1842"/>
      <c r="O487" s="1842"/>
      <c r="P487" s="1843"/>
      <c r="Q487" s="1847" t="s">
        <v>678</v>
      </c>
      <c r="R487" s="1848"/>
      <c r="S487" s="1596" t="s">
        <v>167</v>
      </c>
      <c r="T487" s="1597"/>
      <c r="U487" s="1597"/>
      <c r="V487" s="1597"/>
      <c r="W487" s="1597"/>
      <c r="X487" s="1597"/>
      <c r="Y487" s="1597"/>
      <c r="Z487" s="1597"/>
      <c r="AA487" s="1597"/>
      <c r="AB487" s="1597"/>
      <c r="AC487" s="1597"/>
      <c r="AD487" s="1597"/>
      <c r="AE487" s="1597"/>
      <c r="AF487" s="1597"/>
      <c r="AG487" s="1597"/>
      <c r="AH487" s="1597"/>
      <c r="AI487" s="1597"/>
      <c r="AJ487" s="1597"/>
      <c r="AK487" s="1598"/>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844"/>
      <c r="C488" s="1845"/>
      <c r="D488" s="1845"/>
      <c r="E488" s="1845"/>
      <c r="F488" s="1845"/>
      <c r="G488" s="1845"/>
      <c r="H488" s="1845"/>
      <c r="I488" s="1845"/>
      <c r="J488" s="1845"/>
      <c r="K488" s="1845"/>
      <c r="L488" s="1845"/>
      <c r="M488" s="1845"/>
      <c r="N488" s="1845"/>
      <c r="O488" s="1845"/>
      <c r="P488" s="1846"/>
      <c r="Q488" s="1849"/>
      <c r="R488" s="1850"/>
      <c r="S488" s="1599"/>
      <c r="T488" s="1600"/>
      <c r="U488" s="1600"/>
      <c r="V488" s="1600"/>
      <c r="W488" s="1600"/>
      <c r="X488" s="1600"/>
      <c r="Y488" s="1600"/>
      <c r="Z488" s="1600"/>
      <c r="AA488" s="1600"/>
      <c r="AB488" s="1600"/>
      <c r="AC488" s="1600"/>
      <c r="AD488" s="1600"/>
      <c r="AE488" s="1600"/>
      <c r="AF488" s="1600"/>
      <c r="AG488" s="1600"/>
      <c r="AH488" s="1600"/>
      <c r="AI488" s="1600"/>
      <c r="AJ488" s="1600"/>
      <c r="AK488" s="1601"/>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1850</v>
      </c>
      <c r="C489" s="909"/>
      <c r="D489" s="909"/>
      <c r="E489" s="909"/>
      <c r="F489" s="909"/>
      <c r="G489" s="909"/>
      <c r="H489" s="909"/>
      <c r="I489" s="909"/>
      <c r="J489" s="909"/>
      <c r="K489" s="909"/>
      <c r="L489" s="909"/>
      <c r="M489" s="909"/>
      <c r="N489" s="909"/>
      <c r="O489" s="909"/>
      <c r="P489" s="909"/>
      <c r="Q489" s="1827" t="s">
        <v>2704</v>
      </c>
      <c r="R489" s="1828"/>
      <c r="S489" s="1828"/>
      <c r="T489" s="1828"/>
      <c r="U489" s="1828"/>
      <c r="V489" s="1828"/>
      <c r="W489" s="1828"/>
      <c r="X489" s="1828"/>
      <c r="Y489" s="1828"/>
      <c r="Z489" s="1828"/>
      <c r="AA489" s="1828"/>
      <c r="AB489" s="1828"/>
      <c r="AC489" s="1828"/>
      <c r="AD489" s="1828"/>
      <c r="AE489" s="1828"/>
      <c r="AF489" s="1828"/>
      <c r="AG489" s="1828"/>
      <c r="AH489" s="1828"/>
      <c r="AI489" s="1828"/>
      <c r="AJ489" s="1828"/>
      <c r="AK489" s="1829"/>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628" t="s">
        <v>2705</v>
      </c>
      <c r="R490" s="1374"/>
      <c r="S490" s="1374"/>
      <c r="T490" s="1374"/>
      <c r="U490" s="1374"/>
      <c r="V490" s="1374"/>
      <c r="W490" s="1374"/>
      <c r="X490" s="1374"/>
      <c r="Y490" s="1374"/>
      <c r="Z490" s="1374"/>
      <c r="AA490" s="1374"/>
      <c r="AB490" s="1374"/>
      <c r="AC490" s="1374"/>
      <c r="AD490" s="1374"/>
      <c r="AE490" s="1374"/>
      <c r="AF490" s="1374"/>
      <c r="AG490" s="1374"/>
      <c r="AH490" s="1374"/>
      <c r="AI490" s="1374"/>
      <c r="AJ490" s="1374"/>
      <c r="AK490" s="167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851" t="s">
        <v>2721</v>
      </c>
      <c r="R491" s="1374"/>
      <c r="S491" s="1374"/>
      <c r="T491" s="1374"/>
      <c r="U491" s="1374"/>
      <c r="V491" s="1374"/>
      <c r="W491" s="1374"/>
      <c r="X491" s="1374"/>
      <c r="Y491" s="1374"/>
      <c r="Z491" s="1374"/>
      <c r="AA491" s="1374"/>
      <c r="AB491" s="1374"/>
      <c r="AC491" s="1374"/>
      <c r="AD491" s="1374"/>
      <c r="AE491" s="1374"/>
      <c r="AF491" s="1374"/>
      <c r="AG491" s="1374"/>
      <c r="AH491" s="1374"/>
      <c r="AI491" s="1374"/>
      <c r="AJ491" s="1374"/>
      <c r="AK491" s="167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1847</v>
      </c>
      <c r="C492" s="5"/>
      <c r="D492" s="5"/>
      <c r="E492" s="5"/>
      <c r="F492" s="5"/>
      <c r="G492" s="5"/>
      <c r="H492" s="5"/>
      <c r="I492" s="5"/>
      <c r="J492" s="5"/>
      <c r="K492" s="5"/>
      <c r="L492" s="5"/>
      <c r="M492" s="5"/>
      <c r="N492" s="5"/>
      <c r="O492" s="5"/>
      <c r="P492" s="5"/>
      <c r="Q492" s="1676">
        <v>164</v>
      </c>
      <c r="R492" s="1374"/>
      <c r="S492" s="1374"/>
      <c r="T492" s="1374"/>
      <c r="U492" s="1374"/>
      <c r="V492" s="1374"/>
      <c r="W492" s="1374"/>
      <c r="X492" s="1374"/>
      <c r="Y492" s="1374"/>
      <c r="Z492" s="1374"/>
      <c r="AA492" s="1374"/>
      <c r="AB492" s="1374"/>
      <c r="AC492" s="1374"/>
      <c r="AD492" s="1374"/>
      <c r="AE492" s="1374"/>
      <c r="AF492" s="1374"/>
      <c r="AG492" s="1374"/>
      <c r="AH492" s="1374"/>
      <c r="AI492" s="1374"/>
      <c r="AJ492" s="1374"/>
      <c r="AK492" s="167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1848</v>
      </c>
      <c r="C493" s="5"/>
      <c r="D493" s="5"/>
      <c r="E493" s="5"/>
      <c r="F493" s="5"/>
      <c r="G493" s="5"/>
      <c r="H493" s="5"/>
      <c r="I493" s="5"/>
      <c r="J493" s="5"/>
      <c r="K493" s="5"/>
      <c r="L493" s="5"/>
      <c r="M493" s="1432">
        <v>164</v>
      </c>
      <c r="N493" s="1433"/>
      <c r="O493" s="1433"/>
      <c r="P493" s="1434"/>
      <c r="Q493" s="121" t="s">
        <v>1849</v>
      </c>
      <c r="R493" s="5"/>
      <c r="S493" s="5"/>
      <c r="T493" s="5"/>
      <c r="U493" s="5"/>
      <c r="V493" s="5"/>
      <c r="W493" s="5"/>
      <c r="X493" s="5"/>
      <c r="Y493" s="5"/>
      <c r="Z493" s="5"/>
      <c r="AA493" s="5"/>
      <c r="AB493" s="5"/>
      <c r="AC493" s="5"/>
      <c r="AD493" s="5"/>
      <c r="AE493" s="5"/>
      <c r="AF493" s="5"/>
      <c r="AG493" s="5"/>
      <c r="AH493" s="1432"/>
      <c r="AI493" s="1433"/>
      <c r="AJ493" s="1433"/>
      <c r="AK493" s="1434"/>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585</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93" t="s">
        <v>403</v>
      </c>
      <c r="AD497" s="1794"/>
      <c r="AE497" s="1794"/>
      <c r="AF497" s="1794"/>
      <c r="AG497" s="1794"/>
      <c r="AH497" s="1794"/>
      <c r="AI497" s="1794"/>
      <c r="AJ497" s="1794"/>
      <c r="AK497" s="1795"/>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93" t="s">
        <v>404</v>
      </c>
      <c r="AD498" s="1794"/>
      <c r="AE498" s="1794"/>
      <c r="AF498" s="1794"/>
      <c r="AG498" s="50" t="s">
        <v>405</v>
      </c>
      <c r="AH498" s="1794" t="s">
        <v>406</v>
      </c>
      <c r="AI498" s="1794"/>
      <c r="AJ498" s="1794"/>
      <c r="AK498" s="1795"/>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736" t="s">
        <v>407</v>
      </c>
      <c r="C499" s="1361"/>
      <c r="D499" s="1361"/>
      <c r="E499" s="1361"/>
      <c r="F499" s="1361"/>
      <c r="G499" s="1361"/>
      <c r="H499" s="1362"/>
      <c r="I499" s="42" t="s">
        <v>408</v>
      </c>
      <c r="J499" s="42"/>
      <c r="K499" s="42"/>
      <c r="L499" s="42"/>
      <c r="M499" s="42"/>
      <c r="N499" s="42"/>
      <c r="O499" s="42"/>
      <c r="P499" s="42"/>
      <c r="Q499" s="42"/>
      <c r="R499" s="42"/>
      <c r="S499" s="42"/>
      <c r="T499" s="42"/>
      <c r="U499" s="42"/>
      <c r="V499" s="42"/>
      <c r="W499" s="42"/>
      <c r="AC499" s="1789">
        <v>7</v>
      </c>
      <c r="AD499" s="1734"/>
      <c r="AE499" s="1734"/>
      <c r="AF499" s="1734"/>
      <c r="AG499" s="13" t="s">
        <v>405</v>
      </c>
      <c r="AH499" s="1520">
        <v>2022</v>
      </c>
      <c r="AI499" s="1520"/>
      <c r="AJ499" s="1520"/>
      <c r="AK499" s="1521"/>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737"/>
      <c r="C500" s="1363"/>
      <c r="D500" s="1363"/>
      <c r="E500" s="1363"/>
      <c r="F500" s="1363"/>
      <c r="G500" s="1363"/>
      <c r="H500" s="1364"/>
      <c r="I500" s="48" t="s">
        <v>409</v>
      </c>
      <c r="J500" s="48"/>
      <c r="K500" s="48"/>
      <c r="L500" s="48"/>
      <c r="M500" s="48"/>
      <c r="N500" s="48"/>
      <c r="O500" s="48"/>
      <c r="P500" s="48"/>
      <c r="Q500" s="48"/>
      <c r="R500" s="48"/>
      <c r="S500" s="48"/>
      <c r="T500" s="48"/>
      <c r="U500" s="48"/>
      <c r="V500" s="48"/>
      <c r="W500" s="48"/>
      <c r="X500" s="48"/>
      <c r="Y500" s="48"/>
      <c r="Z500" s="48"/>
      <c r="AA500" s="48"/>
      <c r="AB500" s="48"/>
      <c r="AC500" s="1789">
        <v>8</v>
      </c>
      <c r="AD500" s="1734"/>
      <c r="AE500" s="1734"/>
      <c r="AF500" s="1734"/>
      <c r="AG500" s="38" t="s">
        <v>405</v>
      </c>
      <c r="AH500" s="1520">
        <v>2023</v>
      </c>
      <c r="AI500" s="1520"/>
      <c r="AJ500" s="1520"/>
      <c r="AK500" s="1521"/>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736" t="s">
        <v>410</v>
      </c>
      <c r="C501" s="1361"/>
      <c r="D501" s="1361"/>
      <c r="E501" s="1361"/>
      <c r="F501" s="1361"/>
      <c r="G501" s="1361"/>
      <c r="H501" s="1362"/>
      <c r="I501" s="42" t="s">
        <v>411</v>
      </c>
      <c r="J501" s="42"/>
      <c r="K501" s="42"/>
      <c r="L501" s="42"/>
      <c r="M501" s="42"/>
      <c r="N501" s="42"/>
      <c r="O501" s="42"/>
      <c r="P501" s="42"/>
      <c r="Q501" s="42"/>
      <c r="R501" s="42"/>
      <c r="S501" s="42"/>
      <c r="T501" s="42"/>
      <c r="U501" s="42"/>
      <c r="V501" s="42"/>
      <c r="W501" s="42"/>
      <c r="AC501" s="1789" t="s">
        <v>600</v>
      </c>
      <c r="AD501" s="1734"/>
      <c r="AE501" s="1734"/>
      <c r="AF501" s="1734"/>
      <c r="AG501" s="13" t="s">
        <v>405</v>
      </c>
      <c r="AH501" s="1520"/>
      <c r="AI501" s="1520"/>
      <c r="AJ501" s="1520"/>
      <c r="AK501" s="1521"/>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737"/>
      <c r="C502" s="1363"/>
      <c r="D502" s="1363"/>
      <c r="E502" s="1363"/>
      <c r="F502" s="1363"/>
      <c r="G502" s="1363"/>
      <c r="H502" s="1364"/>
      <c r="I502" t="s">
        <v>412</v>
      </c>
      <c r="AC502" s="1789" t="s">
        <v>600</v>
      </c>
      <c r="AD502" s="1734"/>
      <c r="AE502" s="1734"/>
      <c r="AF502" s="1734"/>
      <c r="AG502" s="13" t="s">
        <v>405</v>
      </c>
      <c r="AH502" s="1520"/>
      <c r="AI502" s="1520"/>
      <c r="AJ502" s="1520"/>
      <c r="AK502" s="1521"/>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737"/>
      <c r="C503" s="1363"/>
      <c r="D503" s="1363"/>
      <c r="E503" s="1363"/>
      <c r="F503" s="1363"/>
      <c r="G503" s="1363"/>
      <c r="H503" s="1364"/>
      <c r="I503" t="s">
        <v>413</v>
      </c>
      <c r="AC503" s="1789">
        <v>7</v>
      </c>
      <c r="AD503" s="1734"/>
      <c r="AE503" s="1734"/>
      <c r="AF503" s="1734"/>
      <c r="AG503" s="13" t="s">
        <v>405</v>
      </c>
      <c r="AH503" s="1520">
        <v>2022</v>
      </c>
      <c r="AI503" s="1520"/>
      <c r="AJ503" s="1520"/>
      <c r="AK503" s="1521"/>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737"/>
      <c r="C504" s="1363"/>
      <c r="D504" s="1363"/>
      <c r="E504" s="1363"/>
      <c r="F504" s="1363"/>
      <c r="G504" s="1363"/>
      <c r="H504" s="1364"/>
      <c r="I504" t="s">
        <v>414</v>
      </c>
      <c r="AC504" s="1789">
        <v>10</v>
      </c>
      <c r="AD504" s="1734"/>
      <c r="AE504" s="1734"/>
      <c r="AF504" s="1734"/>
      <c r="AG504" s="13" t="s">
        <v>405</v>
      </c>
      <c r="AH504" s="1520">
        <v>2023</v>
      </c>
      <c r="AI504" s="1520"/>
      <c r="AJ504" s="1520"/>
      <c r="AK504" s="1521"/>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737"/>
      <c r="C505" s="1363"/>
      <c r="D505" s="1363"/>
      <c r="E505" s="1363"/>
      <c r="F505" s="1363"/>
      <c r="G505" s="1363"/>
      <c r="H505" s="1364"/>
      <c r="I505" s="3" t="s">
        <v>415</v>
      </c>
      <c r="AC505" s="1382">
        <v>10</v>
      </c>
      <c r="AD505" s="1383"/>
      <c r="AE505" s="1383"/>
      <c r="AF505" s="1383"/>
      <c r="AG505" s="13" t="s">
        <v>405</v>
      </c>
      <c r="AH505" s="1520">
        <v>2023</v>
      </c>
      <c r="AI505" s="1520"/>
      <c r="AJ505" s="1520"/>
      <c r="AK505" s="1521"/>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737"/>
      <c r="C506" s="1363"/>
      <c r="D506" s="1363"/>
      <c r="E506" s="1363"/>
      <c r="F506" s="1363"/>
      <c r="G506" s="1363"/>
      <c r="H506" s="1364"/>
      <c r="I506" s="933" t="s">
        <v>171</v>
      </c>
      <c r="J506" s="48"/>
      <c r="K506" s="48"/>
      <c r="L506" s="1796" t="s">
        <v>336</v>
      </c>
      <c r="M506" s="1797"/>
      <c r="N506" s="1797"/>
      <c r="O506" s="1797"/>
      <c r="P506" s="1797"/>
      <c r="Q506" s="1797"/>
      <c r="R506" s="1797"/>
      <c r="S506" s="1797"/>
      <c r="T506" s="1797"/>
      <c r="U506" s="1797"/>
      <c r="V506" s="1797"/>
      <c r="W506" s="1797"/>
      <c r="X506" s="1797"/>
      <c r="Y506" s="1797"/>
      <c r="Z506" s="1797"/>
      <c r="AA506" s="1797"/>
      <c r="AB506" s="1810"/>
      <c r="AC506" s="1789" t="s">
        <v>600</v>
      </c>
      <c r="AD506" s="1734"/>
      <c r="AE506" s="1734"/>
      <c r="AF506" s="1734"/>
      <c r="AG506" s="38" t="s">
        <v>405</v>
      </c>
      <c r="AH506" s="1520"/>
      <c r="AI506" s="1520"/>
      <c r="AJ506" s="1520"/>
      <c r="AK506" s="1521"/>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1854</v>
      </c>
      <c r="AC507" s="1815" t="s">
        <v>678</v>
      </c>
      <c r="AD507" s="1815"/>
      <c r="AE507" s="1815"/>
      <c r="AF507" s="1815"/>
      <c r="AG507" s="13"/>
      <c r="AH507" s="1298"/>
      <c r="AI507" s="1298"/>
      <c r="AJ507" s="1298"/>
      <c r="AK507" s="1855"/>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1851</v>
      </c>
      <c r="AC508" s="1382"/>
      <c r="AD508" s="1383"/>
      <c r="AE508" s="1383"/>
      <c r="AF508" s="1384"/>
      <c r="AG508" s="13"/>
      <c r="AH508" s="1298"/>
      <c r="AI508" s="1298"/>
      <c r="AJ508" s="1298"/>
      <c r="AK508" s="1855"/>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1852</v>
      </c>
      <c r="AC509" s="926"/>
      <c r="AD509" s="927"/>
      <c r="AE509" s="927"/>
      <c r="AF509" s="928"/>
      <c r="AG509" s="13"/>
      <c r="AH509" s="1"/>
      <c r="AI509" s="1"/>
      <c r="AJ509" s="1"/>
      <c r="AK509" s="1042"/>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1853</v>
      </c>
      <c r="J510" s="48"/>
      <c r="K510" s="48"/>
      <c r="L510" s="48"/>
      <c r="M510" s="48"/>
      <c r="N510" s="48"/>
      <c r="O510" s="48"/>
      <c r="P510" s="48"/>
      <c r="Q510" s="48"/>
      <c r="R510" s="48"/>
      <c r="S510" s="48"/>
      <c r="T510" s="48"/>
      <c r="U510" s="48"/>
      <c r="V510" s="48"/>
      <c r="W510" s="48"/>
      <c r="X510" s="48"/>
      <c r="Y510" s="48"/>
      <c r="Z510" s="48"/>
      <c r="AA510" s="48"/>
      <c r="AB510" s="48"/>
      <c r="AC510" s="1856">
        <v>0.25</v>
      </c>
      <c r="AD510" s="1857"/>
      <c r="AE510" s="1857"/>
      <c r="AF510" s="1858"/>
      <c r="AG510" s="38"/>
      <c r="AH510" s="1859"/>
      <c r="AI510" s="1859"/>
      <c r="AJ510" s="1859"/>
      <c r="AK510" s="1860"/>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3"/>
      <c r="Y511" s="1043"/>
      <c r="Z511" s="1043"/>
      <c r="AA511" s="1043"/>
      <c r="AB511" s="1050"/>
      <c r="AC511" s="1825" t="s">
        <v>404</v>
      </c>
      <c r="AD511" s="1549"/>
      <c r="AE511" s="1549"/>
      <c r="AF511" s="1549"/>
      <c r="AG511" s="38" t="s">
        <v>405</v>
      </c>
      <c r="AH511" s="1549" t="s">
        <v>406</v>
      </c>
      <c r="AI511" s="1549"/>
      <c r="AJ511" s="1549"/>
      <c r="AK511" s="1826"/>
      <c r="AZ511" s="3"/>
      <c r="BA511" s="3"/>
      <c r="BB511" s="3"/>
      <c r="BC511" s="3"/>
      <c r="BD511" s="3"/>
      <c r="BE511" s="3"/>
      <c r="BF511" s="3"/>
      <c r="BG511" s="3"/>
      <c r="BH511" s="3"/>
      <c r="BI511" s="3"/>
      <c r="BJ511" s="3"/>
      <c r="BK511" s="3"/>
      <c r="BL511" s="3"/>
      <c r="BM511" s="3"/>
      <c r="BN511" s="3" t="s">
        <v>1325</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736" t="s">
        <v>416</v>
      </c>
      <c r="C512" s="1361"/>
      <c r="D512" s="1361"/>
      <c r="E512" s="1361"/>
      <c r="F512" s="1361"/>
      <c r="G512" s="1361"/>
      <c r="H512" s="1362"/>
      <c r="I512" s="42" t="s">
        <v>417</v>
      </c>
      <c r="J512" s="42"/>
      <c r="K512" s="42"/>
      <c r="L512" s="42"/>
      <c r="M512" s="42"/>
      <c r="N512" s="42"/>
      <c r="O512" s="42"/>
      <c r="P512" s="42"/>
      <c r="Q512" s="42"/>
      <c r="R512" s="42"/>
      <c r="S512" s="42"/>
      <c r="T512" s="42"/>
      <c r="U512" s="42"/>
      <c r="V512" s="42"/>
      <c r="W512" s="42"/>
      <c r="AC512" s="1789">
        <v>1</v>
      </c>
      <c r="AD512" s="1734"/>
      <c r="AE512" s="1734"/>
      <c r="AF512" s="1734"/>
      <c r="AG512" s="13" t="s">
        <v>405</v>
      </c>
      <c r="AH512" s="1520">
        <v>2023</v>
      </c>
      <c r="AI512" s="1520"/>
      <c r="AJ512" s="1520"/>
      <c r="AK512" s="1521"/>
      <c r="AZ512" s="3"/>
      <c r="BA512" s="3"/>
      <c r="BB512" s="3"/>
      <c r="BC512" s="3"/>
      <c r="BD512" s="3"/>
      <c r="BE512" s="3"/>
      <c r="BF512" s="3"/>
      <c r="BG512" s="3"/>
      <c r="BH512" s="3"/>
      <c r="BI512" s="3"/>
      <c r="BJ512" s="3"/>
      <c r="BK512" s="3"/>
      <c r="BL512" s="3"/>
      <c r="BM512" s="3"/>
      <c r="BN512" s="3" t="s">
        <v>2530</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737"/>
      <c r="C513" s="1363"/>
      <c r="D513" s="1363"/>
      <c r="E513" s="1363"/>
      <c r="F513" s="1363"/>
      <c r="G513" s="1363"/>
      <c r="H513" s="1364"/>
      <c r="I513" t="s">
        <v>418</v>
      </c>
      <c r="AC513" s="1789">
        <v>2</v>
      </c>
      <c r="AD513" s="1734"/>
      <c r="AE513" s="1734"/>
      <c r="AF513" s="1734"/>
      <c r="AG513" s="13" t="s">
        <v>405</v>
      </c>
      <c r="AH513" s="1520">
        <v>2023</v>
      </c>
      <c r="AI513" s="1520"/>
      <c r="AJ513" s="1520"/>
      <c r="AK513" s="1521"/>
      <c r="AZ513" s="3"/>
      <c r="BA513" s="3"/>
      <c r="BB513" s="3"/>
      <c r="BC513" s="3"/>
      <c r="BD513" s="3"/>
      <c r="BE513" s="3"/>
      <c r="BF513" s="3"/>
      <c r="BG513" s="3"/>
      <c r="BH513" s="3"/>
      <c r="BI513" s="3"/>
      <c r="BJ513" s="3"/>
      <c r="BK513" s="3"/>
      <c r="BL513" s="3"/>
      <c r="BM513" s="3"/>
      <c r="BN513" s="3" t="s">
        <v>2531</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737"/>
      <c r="C514" s="1363"/>
      <c r="D514" s="1363"/>
      <c r="E514" s="1363"/>
      <c r="F514" s="1363"/>
      <c r="G514" s="1363"/>
      <c r="H514" s="1364"/>
      <c r="I514" s="48" t="s">
        <v>419</v>
      </c>
      <c r="J514" s="48"/>
      <c r="K514" s="48"/>
      <c r="L514" s="48"/>
      <c r="M514" s="48"/>
      <c r="N514" s="48"/>
      <c r="O514" s="48"/>
      <c r="P514" s="48"/>
      <c r="Q514" s="48"/>
      <c r="R514" s="48"/>
      <c r="S514" s="48"/>
      <c r="T514" s="48"/>
      <c r="U514" s="48"/>
      <c r="V514" s="48"/>
      <c r="W514" s="48"/>
      <c r="X514" s="48"/>
      <c r="Y514" s="48"/>
      <c r="Z514" s="48"/>
      <c r="AA514" s="48"/>
      <c r="AB514" s="48"/>
      <c r="AC514" s="1789">
        <v>10</v>
      </c>
      <c r="AD514" s="1734"/>
      <c r="AE514" s="1734"/>
      <c r="AF514" s="1734"/>
      <c r="AG514" s="38" t="s">
        <v>405</v>
      </c>
      <c r="AH514" s="1520">
        <v>2023</v>
      </c>
      <c r="AI514" s="1520"/>
      <c r="AJ514" s="1520"/>
      <c r="AK514" s="1521"/>
      <c r="AZ514" s="3"/>
      <c r="BA514" s="3"/>
      <c r="BB514" s="3"/>
      <c r="BC514" s="3"/>
      <c r="BD514" s="3"/>
      <c r="BE514" s="3"/>
      <c r="BF514" s="3"/>
      <c r="BG514" s="3"/>
      <c r="BH514" s="3"/>
      <c r="BI514" s="3"/>
      <c r="BJ514" s="3"/>
      <c r="BK514" s="3"/>
      <c r="BL514" s="3"/>
      <c r="BM514" s="3"/>
      <c r="BN514" s="3" t="s">
        <v>2532</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736" t="s">
        <v>420</v>
      </c>
      <c r="C515" s="1361"/>
      <c r="D515" s="1361"/>
      <c r="E515" s="1361"/>
      <c r="F515" s="1361"/>
      <c r="G515" s="1361"/>
      <c r="H515" s="1362"/>
      <c r="I515" s="42" t="s">
        <v>417</v>
      </c>
      <c r="J515" s="42"/>
      <c r="K515" s="42"/>
      <c r="L515" s="42"/>
      <c r="M515" s="42"/>
      <c r="N515" s="42"/>
      <c r="O515" s="42"/>
      <c r="P515" s="42"/>
      <c r="Q515" s="42"/>
      <c r="R515" s="42"/>
      <c r="S515" s="42"/>
      <c r="T515" s="42"/>
      <c r="U515" s="42"/>
      <c r="V515" s="42"/>
      <c r="W515" s="42"/>
      <c r="X515" s="42"/>
      <c r="Y515" s="42"/>
      <c r="Z515" s="42"/>
      <c r="AA515" s="42"/>
      <c r="AB515" s="42"/>
      <c r="AC515" s="1382">
        <v>1</v>
      </c>
      <c r="AD515" s="1383"/>
      <c r="AE515" s="1383"/>
      <c r="AF515" s="1383"/>
      <c r="AG515" s="129" t="s">
        <v>405</v>
      </c>
      <c r="AH515" s="1520">
        <v>2023</v>
      </c>
      <c r="AI515" s="1520"/>
      <c r="AJ515" s="1520"/>
      <c r="AK515" s="1521"/>
      <c r="AZ515" s="3"/>
      <c r="BA515" s="3"/>
      <c r="BB515" s="3"/>
      <c r="BC515" s="3"/>
      <c r="BD515" s="3"/>
      <c r="BE515" s="3"/>
      <c r="BF515" s="3"/>
      <c r="BG515" s="3"/>
      <c r="BH515" s="3"/>
      <c r="BI515" s="3"/>
      <c r="BJ515" s="3"/>
      <c r="BK515" s="3"/>
      <c r="BL515" s="3"/>
      <c r="BM515" s="3"/>
      <c r="BN515" s="3" t="s">
        <v>2533</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737"/>
      <c r="C516" s="1363"/>
      <c r="D516" s="1363"/>
      <c r="E516" s="1363"/>
      <c r="F516" s="1363"/>
      <c r="G516" s="1363"/>
      <c r="H516" s="1364"/>
      <c r="I516" t="s">
        <v>418</v>
      </c>
      <c r="AC516" s="1789">
        <v>2</v>
      </c>
      <c r="AD516" s="1734"/>
      <c r="AE516" s="1734"/>
      <c r="AF516" s="1734"/>
      <c r="AG516" s="13" t="s">
        <v>405</v>
      </c>
      <c r="AH516" s="1520">
        <v>2023</v>
      </c>
      <c r="AI516" s="1520"/>
      <c r="AJ516" s="1520"/>
      <c r="AK516" s="1521"/>
      <c r="AZ516" s="3"/>
      <c r="BB516" s="3"/>
      <c r="BC516" s="3"/>
      <c r="BD516" s="3"/>
      <c r="BE516" s="3"/>
      <c r="BF516" s="3"/>
      <c r="BG516" s="3"/>
      <c r="BH516" s="3"/>
      <c r="BI516" s="3"/>
      <c r="BJ516" s="3"/>
      <c r="BK516" s="3"/>
      <c r="BL516" s="3"/>
      <c r="BM516" s="3"/>
      <c r="BN516" s="3" t="s">
        <v>2534</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738"/>
      <c r="C517" s="1365"/>
      <c r="D517" s="1365"/>
      <c r="E517" s="1365"/>
      <c r="F517" s="1365"/>
      <c r="G517" s="1365"/>
      <c r="H517" s="1366"/>
      <c r="I517" s="48" t="s">
        <v>419</v>
      </c>
      <c r="J517" s="48"/>
      <c r="K517" s="48"/>
      <c r="L517" s="48"/>
      <c r="M517" s="48"/>
      <c r="N517" s="48"/>
      <c r="O517" s="48"/>
      <c r="P517" s="48"/>
      <c r="Q517" s="48"/>
      <c r="R517" s="48"/>
      <c r="S517" s="48"/>
      <c r="T517" s="48"/>
      <c r="U517" s="48"/>
      <c r="V517" s="48"/>
      <c r="W517" s="48"/>
      <c r="X517" s="48"/>
      <c r="Y517" s="48"/>
      <c r="Z517" s="48"/>
      <c r="AA517" s="48"/>
      <c r="AB517" s="48"/>
      <c r="AC517" s="1789">
        <v>10</v>
      </c>
      <c r="AD517" s="1734"/>
      <c r="AE517" s="1734"/>
      <c r="AF517" s="1734"/>
      <c r="AG517" s="38" t="s">
        <v>405</v>
      </c>
      <c r="AH517" s="1520">
        <v>2026</v>
      </c>
      <c r="AI517" s="1520"/>
      <c r="AJ517" s="1520"/>
      <c r="AK517" s="1521"/>
      <c r="BB517" s="3"/>
      <c r="BC517" s="3"/>
      <c r="BD517" s="3"/>
      <c r="BE517" s="3"/>
      <c r="BF517" s="3"/>
      <c r="BG517" s="3"/>
      <c r="BH517" s="3"/>
      <c r="BI517" s="3"/>
      <c r="BJ517" s="3"/>
      <c r="BK517" s="3"/>
      <c r="BL517" s="3"/>
      <c r="BM517" s="3"/>
      <c r="BN517" s="3" t="s">
        <v>2535</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736" t="s">
        <v>421</v>
      </c>
      <c r="C518" s="1361"/>
      <c r="D518" s="1361"/>
      <c r="E518" s="1361"/>
      <c r="F518" s="1361"/>
      <c r="G518" s="1361"/>
      <c r="H518" s="1362"/>
      <c r="I518" s="41" t="s">
        <v>422</v>
      </c>
      <c r="J518" s="42"/>
      <c r="K518" s="42"/>
      <c r="L518" s="42"/>
      <c r="M518" s="42"/>
      <c r="N518" s="42"/>
      <c r="O518" s="1796" t="s">
        <v>336</v>
      </c>
      <c r="P518" s="1797"/>
      <c r="Q518" s="1797"/>
      <c r="R518" s="1797"/>
      <c r="S518" s="1797"/>
      <c r="T518" s="1797"/>
      <c r="U518" s="1797"/>
      <c r="V518" s="1797"/>
      <c r="W518" s="1797"/>
      <c r="X518" s="1797"/>
      <c r="Y518" s="1797"/>
      <c r="Z518" s="1797"/>
      <c r="AA518" s="1797"/>
      <c r="AB518" s="58"/>
      <c r="AC518" s="1382" t="s">
        <v>600</v>
      </c>
      <c r="AD518" s="1383"/>
      <c r="AE518" s="1383"/>
      <c r="AF518" s="1383"/>
      <c r="AG518" s="129" t="s">
        <v>405</v>
      </c>
      <c r="AH518" s="1520"/>
      <c r="AI518" s="1520"/>
      <c r="AJ518" s="1520"/>
      <c r="AK518" s="1521"/>
      <c r="BB518" s="3"/>
      <c r="BC518" s="3"/>
      <c r="BD518" s="3"/>
      <c r="BE518" s="3"/>
      <c r="BF518" s="3"/>
      <c r="BG518" s="3"/>
      <c r="BH518" s="3"/>
      <c r="BI518" s="3"/>
      <c r="BJ518" s="3"/>
      <c r="BK518" s="3"/>
      <c r="BL518" s="3"/>
      <c r="BM518" s="3"/>
      <c r="BN518" s="3" t="s">
        <v>2536</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737"/>
      <c r="C519" s="1363"/>
      <c r="D519" s="1363"/>
      <c r="E519" s="1363"/>
      <c r="F519" s="1363"/>
      <c r="G519" s="1363"/>
      <c r="H519" s="1364"/>
      <c r="I519" s="114" t="s">
        <v>423</v>
      </c>
      <c r="AB519" s="65"/>
      <c r="AC519" s="1789" t="s">
        <v>600</v>
      </c>
      <c r="AD519" s="1734"/>
      <c r="AE519" s="1734"/>
      <c r="AF519" s="1734"/>
      <c r="AG519" s="13" t="s">
        <v>405</v>
      </c>
      <c r="AH519" s="1520"/>
      <c r="AI519" s="1520"/>
      <c r="AJ519" s="1520"/>
      <c r="AK519" s="1521"/>
      <c r="AZ519" s="3"/>
      <c r="BB519" s="3"/>
      <c r="BC519" s="3"/>
      <c r="BD519" s="3"/>
      <c r="BE519" s="3"/>
      <c r="BF519" s="3"/>
      <c r="BG519" s="3"/>
      <c r="BH519" s="3"/>
      <c r="BI519" s="3"/>
      <c r="BJ519" s="3"/>
      <c r="BK519" s="3"/>
      <c r="BL519" s="3"/>
      <c r="BM519" s="3"/>
      <c r="BN519" s="3" t="s">
        <v>2537</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737"/>
      <c r="C520" s="1363"/>
      <c r="D520" s="1363"/>
      <c r="E520" s="1363"/>
      <c r="F520" s="1363"/>
      <c r="G520" s="1363"/>
      <c r="H520" s="1364"/>
      <c r="I520" s="47" t="s">
        <v>424</v>
      </c>
      <c r="J520" s="48"/>
      <c r="K520" s="48"/>
      <c r="L520" s="48"/>
      <c r="M520" s="48"/>
      <c r="N520" s="48"/>
      <c r="O520" s="48"/>
      <c r="P520" s="48"/>
      <c r="Q520" s="48"/>
      <c r="R520" s="48"/>
      <c r="S520" s="48"/>
      <c r="T520" s="48"/>
      <c r="U520" s="48"/>
      <c r="V520" s="48"/>
      <c r="W520" s="48"/>
      <c r="X520" s="48"/>
      <c r="Y520" s="48"/>
      <c r="Z520" s="48"/>
      <c r="AA520" s="48"/>
      <c r="AB520" s="49"/>
      <c r="AC520" s="1789" t="s">
        <v>600</v>
      </c>
      <c r="AD520" s="1734"/>
      <c r="AE520" s="1734"/>
      <c r="AF520" s="1734"/>
      <c r="AG520" s="38" t="s">
        <v>405</v>
      </c>
      <c r="AH520" s="1520"/>
      <c r="AI520" s="1520"/>
      <c r="AJ520" s="1520"/>
      <c r="AK520" s="1521"/>
      <c r="AZ520" s="3"/>
      <c r="BB520" s="3"/>
      <c r="BC520" s="3"/>
      <c r="BD520" s="3"/>
      <c r="BE520" s="3"/>
      <c r="BF520" s="3"/>
      <c r="BG520" s="3"/>
      <c r="BH520" s="3"/>
      <c r="BI520" s="3"/>
      <c r="BJ520" s="3"/>
      <c r="BK520" s="3"/>
      <c r="BL520" s="3"/>
      <c r="BM520" s="3"/>
      <c r="BN520" s="3" t="s">
        <v>2538</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737"/>
      <c r="C521" s="1363"/>
      <c r="D521" s="1363"/>
      <c r="E521" s="1363"/>
      <c r="F521" s="1363"/>
      <c r="G521" s="1363"/>
      <c r="H521" s="1364"/>
      <c r="I521" s="42" t="s">
        <v>425</v>
      </c>
      <c r="J521" s="42"/>
      <c r="K521" s="42"/>
      <c r="L521" s="42"/>
      <c r="M521" s="42"/>
      <c r="N521" s="42"/>
      <c r="O521" s="1796" t="s">
        <v>336</v>
      </c>
      <c r="P521" s="1797"/>
      <c r="Q521" s="1797"/>
      <c r="R521" s="1797"/>
      <c r="S521" s="1797"/>
      <c r="T521" s="1797"/>
      <c r="U521" s="1797"/>
      <c r="V521" s="1797"/>
      <c r="W521" s="1797"/>
      <c r="X521" s="1797"/>
      <c r="Y521" s="1797"/>
      <c r="Z521" s="1797"/>
      <c r="AA521" s="1797"/>
      <c r="AC521" s="1789" t="s">
        <v>600</v>
      </c>
      <c r="AD521" s="1734"/>
      <c r="AE521" s="1734"/>
      <c r="AF521" s="1734"/>
      <c r="AG521" s="13" t="s">
        <v>405</v>
      </c>
      <c r="AH521" s="1520"/>
      <c r="AI521" s="1520"/>
      <c r="AJ521" s="1520"/>
      <c r="AK521" s="1521"/>
      <c r="AZ521" s="3"/>
      <c r="BA521" s="3"/>
      <c r="BB521" s="3"/>
      <c r="BC521" s="3"/>
      <c r="BD521" s="3"/>
      <c r="BE521" s="3"/>
      <c r="BF521" s="3"/>
      <c r="BG521" s="3"/>
      <c r="BH521" s="3"/>
      <c r="BI521" s="3"/>
      <c r="BJ521" s="3"/>
      <c r="BK521" s="3"/>
      <c r="BL521" s="3"/>
      <c r="BM521" s="3"/>
      <c r="BN521" s="3" t="s">
        <v>2539</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737"/>
      <c r="C522" s="1363"/>
      <c r="D522" s="1363"/>
      <c r="E522" s="1363"/>
      <c r="F522" s="1363"/>
      <c r="G522" s="1363"/>
      <c r="H522" s="1364"/>
      <c r="I522" t="s">
        <v>423</v>
      </c>
      <c r="AC522" s="1789" t="s">
        <v>600</v>
      </c>
      <c r="AD522" s="1734"/>
      <c r="AE522" s="1734"/>
      <c r="AF522" s="1734"/>
      <c r="AG522" s="13" t="s">
        <v>405</v>
      </c>
      <c r="AH522" s="1520"/>
      <c r="AI522" s="1520"/>
      <c r="AJ522" s="1520"/>
      <c r="AK522" s="1521"/>
      <c r="AZ522" s="3"/>
      <c r="BA522" s="3"/>
      <c r="BB522" s="3"/>
      <c r="BC522" s="3"/>
      <c r="BD522" s="3"/>
      <c r="BE522" s="3"/>
      <c r="BF522" s="3"/>
      <c r="BG522" s="3"/>
      <c r="BH522" s="3"/>
      <c r="BI522" s="3"/>
      <c r="BJ522" s="3"/>
      <c r="BK522" s="3"/>
      <c r="BL522" s="3"/>
      <c r="BM522" s="3"/>
      <c r="BN522" s="3" t="s">
        <v>2540</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737"/>
      <c r="C523" s="1363"/>
      <c r="D523" s="1363"/>
      <c r="E523" s="1363"/>
      <c r="F523" s="1363"/>
      <c r="G523" s="1363"/>
      <c r="H523" s="1364"/>
      <c r="I523" s="48" t="s">
        <v>424</v>
      </c>
      <c r="J523" s="48"/>
      <c r="K523" s="48"/>
      <c r="L523" s="48"/>
      <c r="M523" s="48"/>
      <c r="N523" s="48"/>
      <c r="O523" s="48"/>
      <c r="P523" s="48"/>
      <c r="Q523" s="48"/>
      <c r="R523" s="48"/>
      <c r="S523" s="48"/>
      <c r="T523" s="48"/>
      <c r="U523" s="48"/>
      <c r="V523" s="48"/>
      <c r="W523" s="48"/>
      <c r="X523" s="48"/>
      <c r="Y523" s="48"/>
      <c r="Z523" s="48"/>
      <c r="AA523" s="48"/>
      <c r="AB523" s="48"/>
      <c r="AC523" s="1789" t="s">
        <v>600</v>
      </c>
      <c r="AD523" s="1734"/>
      <c r="AE523" s="1734"/>
      <c r="AF523" s="1734"/>
      <c r="AG523" s="38" t="s">
        <v>405</v>
      </c>
      <c r="AH523" s="1520"/>
      <c r="AI523" s="1520"/>
      <c r="AJ523" s="1520"/>
      <c r="AK523" s="1521"/>
      <c r="AZ523" s="3"/>
      <c r="BA523" s="3"/>
      <c r="BB523" s="3"/>
      <c r="BC523" s="3"/>
      <c r="BD523" s="3"/>
      <c r="BE523" s="3"/>
      <c r="BF523" s="3"/>
      <c r="BG523" s="3"/>
      <c r="BH523" s="3"/>
      <c r="BI523" s="3"/>
      <c r="BJ523" s="3"/>
      <c r="BK523" s="3"/>
      <c r="BL523" s="3"/>
      <c r="BM523" s="3"/>
      <c r="BN523" s="3" t="s">
        <v>2541</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737"/>
      <c r="C524" s="1363"/>
      <c r="D524" s="1363"/>
      <c r="E524" s="1363"/>
      <c r="F524" s="1363"/>
      <c r="G524" s="1363"/>
      <c r="H524" s="1364"/>
      <c r="I524" s="42" t="s">
        <v>425</v>
      </c>
      <c r="J524" s="42"/>
      <c r="K524" s="42"/>
      <c r="L524" s="42"/>
      <c r="M524" s="42"/>
      <c r="N524" s="42"/>
      <c r="O524" s="1796" t="s">
        <v>336</v>
      </c>
      <c r="P524" s="1797"/>
      <c r="Q524" s="1797"/>
      <c r="R524" s="1797"/>
      <c r="S524" s="1797"/>
      <c r="T524" s="1797"/>
      <c r="U524" s="1797"/>
      <c r="V524" s="1797"/>
      <c r="W524" s="1797"/>
      <c r="X524" s="1797"/>
      <c r="Y524" s="1797"/>
      <c r="Z524" s="1797"/>
      <c r="AA524" s="1797"/>
      <c r="AC524" s="1789" t="s">
        <v>600</v>
      </c>
      <c r="AD524" s="1734"/>
      <c r="AE524" s="1734"/>
      <c r="AF524" s="1734"/>
      <c r="AG524" s="13" t="s">
        <v>405</v>
      </c>
      <c r="AH524" s="1520"/>
      <c r="AI524" s="1520"/>
      <c r="AJ524" s="1520"/>
      <c r="AK524" s="1521"/>
      <c r="AZ524" s="3"/>
      <c r="BA524" s="3"/>
      <c r="BB524" s="3"/>
      <c r="BC524" s="3"/>
      <c r="BD524" s="3"/>
      <c r="BE524" s="3"/>
      <c r="BF524" s="3"/>
      <c r="BG524" s="3"/>
      <c r="BH524" s="3"/>
      <c r="BI524" s="3"/>
      <c r="BJ524" s="3"/>
      <c r="BK524" s="3"/>
      <c r="BL524" s="3"/>
      <c r="BM524" s="3"/>
      <c r="BN524" s="3" t="s">
        <v>2542</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737"/>
      <c r="C525" s="1363"/>
      <c r="D525" s="1363"/>
      <c r="E525" s="1363"/>
      <c r="F525" s="1363"/>
      <c r="G525" s="1363"/>
      <c r="H525" s="1364"/>
      <c r="I525" t="s">
        <v>423</v>
      </c>
      <c r="AC525" s="1789" t="s">
        <v>600</v>
      </c>
      <c r="AD525" s="1734"/>
      <c r="AE525" s="1734"/>
      <c r="AF525" s="1734"/>
      <c r="AG525" s="13" t="s">
        <v>405</v>
      </c>
      <c r="AH525" s="1520"/>
      <c r="AI525" s="1520"/>
      <c r="AJ525" s="1520"/>
      <c r="AK525" s="1521"/>
      <c r="AZ525" s="3"/>
      <c r="BA525" s="3"/>
      <c r="BB525" s="3"/>
      <c r="BC525" s="3"/>
      <c r="BD525" s="3"/>
      <c r="BE525" s="3"/>
      <c r="BF525" s="3"/>
      <c r="BG525" s="3"/>
      <c r="BH525" s="3"/>
      <c r="BI525" s="3"/>
      <c r="BJ525" s="3"/>
      <c r="BK525" s="3"/>
      <c r="BL525" s="3"/>
      <c r="BM525" s="3"/>
      <c r="BN525" s="3" t="s">
        <v>2543</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37"/>
      <c r="C526" s="1363"/>
      <c r="D526" s="1363"/>
      <c r="E526" s="1363"/>
      <c r="F526" s="1363"/>
      <c r="G526" s="1363"/>
      <c r="H526" s="1364"/>
      <c r="I526" s="48" t="s">
        <v>424</v>
      </c>
      <c r="J526" s="48"/>
      <c r="K526" s="48"/>
      <c r="L526" s="48"/>
      <c r="M526" s="48"/>
      <c r="N526" s="48"/>
      <c r="O526" s="48"/>
      <c r="P526" s="48"/>
      <c r="Q526" s="48"/>
      <c r="R526" s="48"/>
      <c r="S526" s="48"/>
      <c r="T526" s="48"/>
      <c r="U526" s="48"/>
      <c r="V526" s="48"/>
      <c r="W526" s="48"/>
      <c r="X526" s="48"/>
      <c r="Y526" s="48"/>
      <c r="Z526" s="48"/>
      <c r="AA526" s="48"/>
      <c r="AB526" s="48"/>
      <c r="AC526" s="1789" t="s">
        <v>600</v>
      </c>
      <c r="AD526" s="1734"/>
      <c r="AE526" s="1734"/>
      <c r="AF526" s="1734"/>
      <c r="AG526" s="38" t="s">
        <v>405</v>
      </c>
      <c r="AH526" s="1520"/>
      <c r="AI526" s="1520"/>
      <c r="AJ526" s="1520"/>
      <c r="AK526" s="1521"/>
      <c r="AZ526" s="3"/>
      <c r="BA526" s="3"/>
      <c r="BB526" s="3"/>
      <c r="BC526" s="3"/>
      <c r="BD526" s="3"/>
      <c r="BE526" s="3"/>
      <c r="BF526" s="3"/>
      <c r="BG526" s="3"/>
      <c r="BH526" s="3"/>
      <c r="BI526" s="3"/>
      <c r="BJ526" s="3"/>
      <c r="BK526" s="3"/>
      <c r="BL526" s="3"/>
      <c r="BM526" s="3"/>
      <c r="BN526" s="3" t="s">
        <v>2544</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37"/>
      <c r="C527" s="1363"/>
      <c r="D527" s="1363"/>
      <c r="E527" s="1363"/>
      <c r="F527" s="1363"/>
      <c r="G527" s="1363"/>
      <c r="H527" s="1364"/>
      <c r="I527" s="42" t="s">
        <v>425</v>
      </c>
      <c r="J527" s="42"/>
      <c r="K527" s="42"/>
      <c r="L527" s="42"/>
      <c r="M527" s="42"/>
      <c r="N527" s="42"/>
      <c r="O527" s="1796" t="s">
        <v>336</v>
      </c>
      <c r="P527" s="1797"/>
      <c r="Q527" s="1797"/>
      <c r="R527" s="1797"/>
      <c r="S527" s="1797"/>
      <c r="T527" s="1797"/>
      <c r="U527" s="1797"/>
      <c r="V527" s="1797"/>
      <c r="W527" s="1797"/>
      <c r="X527" s="1797"/>
      <c r="Y527" s="1797"/>
      <c r="Z527" s="1797"/>
      <c r="AA527" s="1797"/>
      <c r="AC527" s="1789" t="s">
        <v>600</v>
      </c>
      <c r="AD527" s="1734"/>
      <c r="AE527" s="1734"/>
      <c r="AF527" s="1734"/>
      <c r="AG527" s="13" t="s">
        <v>405</v>
      </c>
      <c r="AH527" s="1520"/>
      <c r="AI527" s="1520"/>
      <c r="AJ527" s="1520"/>
      <c r="AK527" s="1521"/>
      <c r="AZ527" s="3"/>
      <c r="BA527" s="3"/>
      <c r="BB527" s="3"/>
      <c r="BC527" s="3"/>
      <c r="BD527" s="3"/>
      <c r="BE527" s="3"/>
      <c r="BF527" s="3"/>
      <c r="BG527" s="3"/>
      <c r="BH527" s="3"/>
      <c r="BI527" s="3"/>
      <c r="BJ527" s="3"/>
      <c r="BK527" s="3"/>
      <c r="BL527" s="3"/>
      <c r="BM527" s="3"/>
      <c r="BN527" s="3" t="s">
        <v>2545</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37"/>
      <c r="C528" s="1363"/>
      <c r="D528" s="1363"/>
      <c r="E528" s="1363"/>
      <c r="F528" s="1363"/>
      <c r="G528" s="1363"/>
      <c r="H528" s="1364"/>
      <c r="I528" t="s">
        <v>423</v>
      </c>
      <c r="AC528" s="1789" t="s">
        <v>600</v>
      </c>
      <c r="AD528" s="1734"/>
      <c r="AE528" s="1734"/>
      <c r="AF528" s="1734"/>
      <c r="AG528" s="13" t="s">
        <v>405</v>
      </c>
      <c r="AH528" s="1520"/>
      <c r="AI528" s="1520"/>
      <c r="AJ528" s="1520"/>
      <c r="AK528" s="1521"/>
      <c r="AZ528" s="3"/>
      <c r="BA528" s="3"/>
      <c r="BB528" s="3"/>
      <c r="BC528" s="3"/>
      <c r="BD528" s="3"/>
      <c r="BE528" s="3"/>
      <c r="BF528" s="3"/>
      <c r="BG528" s="3"/>
      <c r="BH528" s="3"/>
      <c r="BI528" s="3"/>
      <c r="BJ528" s="3"/>
      <c r="BK528" s="3"/>
      <c r="BL528" s="3"/>
      <c r="BM528" s="3"/>
      <c r="BN528" s="3" t="s">
        <v>2546</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37"/>
      <c r="C529" s="1363"/>
      <c r="D529" s="1363"/>
      <c r="E529" s="1363"/>
      <c r="F529" s="1363"/>
      <c r="G529" s="1363"/>
      <c r="H529" s="1364"/>
      <c r="I529" s="48" t="s">
        <v>424</v>
      </c>
      <c r="J529" s="48"/>
      <c r="K529" s="48"/>
      <c r="L529" s="48"/>
      <c r="M529" s="48"/>
      <c r="N529" s="48"/>
      <c r="O529" s="48"/>
      <c r="P529" s="48"/>
      <c r="Q529" s="48"/>
      <c r="R529" s="48"/>
      <c r="S529" s="48"/>
      <c r="T529" s="48"/>
      <c r="U529" s="48"/>
      <c r="V529" s="48"/>
      <c r="W529" s="48"/>
      <c r="X529" s="48"/>
      <c r="Y529" s="48"/>
      <c r="Z529" s="48"/>
      <c r="AA529" s="48"/>
      <c r="AB529" s="48"/>
      <c r="AC529" s="1789" t="s">
        <v>600</v>
      </c>
      <c r="AD529" s="1734"/>
      <c r="AE529" s="1734"/>
      <c r="AF529" s="1734"/>
      <c r="AG529" s="38" t="s">
        <v>405</v>
      </c>
      <c r="AH529" s="1520"/>
      <c r="AI529" s="1520"/>
      <c r="AJ529" s="1520"/>
      <c r="AK529" s="1521"/>
      <c r="AZ529" s="3"/>
      <c r="BA529" s="3"/>
      <c r="BB529" s="3"/>
      <c r="BC529" s="3"/>
      <c r="BD529" s="3"/>
      <c r="BE529" s="3"/>
      <c r="BF529" s="3"/>
      <c r="BG529" s="3"/>
      <c r="BH529" s="3"/>
      <c r="BI529" s="3"/>
      <c r="BJ529" s="3"/>
      <c r="BK529" s="3"/>
      <c r="BL529" s="3"/>
      <c r="BM529" s="3"/>
      <c r="BN529" s="3" t="s">
        <v>2547</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37"/>
      <c r="C530" s="1363"/>
      <c r="D530" s="1363"/>
      <c r="E530" s="1363"/>
      <c r="F530" s="1363"/>
      <c r="G530" s="1363"/>
      <c r="H530" s="1364"/>
      <c r="I530" s="42" t="s">
        <v>425</v>
      </c>
      <c r="J530" s="42"/>
      <c r="K530" s="42"/>
      <c r="L530" s="42"/>
      <c r="M530" s="42"/>
      <c r="N530" s="42"/>
      <c r="O530" s="1796" t="s">
        <v>336</v>
      </c>
      <c r="P530" s="1797"/>
      <c r="Q530" s="1797"/>
      <c r="R530" s="1797"/>
      <c r="S530" s="1797"/>
      <c r="T530" s="1797"/>
      <c r="U530" s="1797"/>
      <c r="V530" s="1797"/>
      <c r="W530" s="1797"/>
      <c r="X530" s="1797"/>
      <c r="Y530" s="1797"/>
      <c r="Z530" s="1797"/>
      <c r="AA530" s="1797"/>
      <c r="AC530" s="1789" t="s">
        <v>600</v>
      </c>
      <c r="AD530" s="1734"/>
      <c r="AE530" s="1734"/>
      <c r="AF530" s="1734"/>
      <c r="AG530" s="13" t="s">
        <v>405</v>
      </c>
      <c r="AH530" s="1520"/>
      <c r="AI530" s="1520"/>
      <c r="AJ530" s="1520"/>
      <c r="AK530" s="1521"/>
      <c r="AZ530" s="3"/>
      <c r="BA530" s="3"/>
      <c r="BB530" s="3"/>
      <c r="BC530" s="3"/>
      <c r="BD530" s="3"/>
      <c r="BE530" s="3"/>
      <c r="BF530" s="3"/>
      <c r="BG530" s="3"/>
      <c r="BH530" s="3"/>
      <c r="BI530" s="3"/>
      <c r="BJ530" s="3"/>
      <c r="BK530" s="3"/>
      <c r="BL530" s="3"/>
      <c r="BM530" s="3"/>
      <c r="BN530" s="3" t="s">
        <v>2548</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37"/>
      <c r="C531" s="1363"/>
      <c r="D531" s="1363"/>
      <c r="E531" s="1363"/>
      <c r="F531" s="1363"/>
      <c r="G531" s="1363"/>
      <c r="H531" s="1364"/>
      <c r="I531" t="s">
        <v>423</v>
      </c>
      <c r="AC531" s="1789" t="s">
        <v>600</v>
      </c>
      <c r="AD531" s="1734"/>
      <c r="AE531" s="1734"/>
      <c r="AF531" s="1734"/>
      <c r="AG531" s="38" t="s">
        <v>405</v>
      </c>
      <c r="AH531" s="1520"/>
      <c r="AI531" s="1520"/>
      <c r="AJ531" s="1520"/>
      <c r="AK531" s="1521"/>
      <c r="AZ531" s="3"/>
      <c r="BA531" s="3"/>
      <c r="BB531" s="3"/>
      <c r="BC531" s="3"/>
      <c r="BD531" s="3"/>
      <c r="BE531" s="3"/>
      <c r="BF531" s="3"/>
      <c r="BG531" s="3"/>
      <c r="BH531" s="3"/>
      <c r="BI531" s="3"/>
      <c r="BJ531" s="3"/>
      <c r="BK531" s="3"/>
      <c r="BL531" s="3"/>
      <c r="BM531" s="3"/>
      <c r="BN531" s="3" t="s">
        <v>2549</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37"/>
      <c r="C532" s="1363"/>
      <c r="D532" s="1363"/>
      <c r="E532" s="1363"/>
      <c r="F532" s="1363"/>
      <c r="G532" s="1363"/>
      <c r="H532" s="1364"/>
      <c r="I532" s="48" t="s">
        <v>424</v>
      </c>
      <c r="J532" s="48"/>
      <c r="K532" s="48"/>
      <c r="L532" s="48"/>
      <c r="M532" s="48"/>
      <c r="N532" s="48"/>
      <c r="O532" s="48"/>
      <c r="P532" s="48"/>
      <c r="Q532" s="48"/>
      <c r="R532" s="48"/>
      <c r="S532" s="48"/>
      <c r="T532" s="48"/>
      <c r="U532" s="48"/>
      <c r="V532" s="48"/>
      <c r="W532" s="48"/>
      <c r="X532" s="48"/>
      <c r="Y532" s="48"/>
      <c r="Z532" s="48"/>
      <c r="AA532" s="48"/>
      <c r="AB532" s="48"/>
      <c r="AC532" s="1789" t="s">
        <v>600</v>
      </c>
      <c r="AD532" s="1734"/>
      <c r="AE532" s="1734"/>
      <c r="AF532" s="1734"/>
      <c r="AG532" s="13" t="s">
        <v>405</v>
      </c>
      <c r="AH532" s="1520"/>
      <c r="AI532" s="1520"/>
      <c r="AJ532" s="1520"/>
      <c r="AK532" s="1521"/>
      <c r="AZ532" s="3"/>
      <c r="BA532" s="3"/>
      <c r="BB532" s="3"/>
      <c r="BC532" s="3"/>
      <c r="BD532" s="3"/>
      <c r="BE532" s="3"/>
      <c r="BF532" s="3"/>
      <c r="BG532" s="3"/>
      <c r="BH532" s="3"/>
      <c r="BI532" s="3"/>
      <c r="BJ532" s="3"/>
      <c r="BK532" s="3"/>
      <c r="BL532" s="3"/>
      <c r="BM532" s="3"/>
      <c r="BN532" s="3" t="s">
        <v>2550</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37"/>
      <c r="C533" s="1363"/>
      <c r="D533" s="1363"/>
      <c r="E533" s="1363"/>
      <c r="F533" s="1363"/>
      <c r="G533" s="1363"/>
      <c r="H533" s="1364"/>
      <c r="I533" s="42" t="s">
        <v>425</v>
      </c>
      <c r="J533" s="42"/>
      <c r="K533" s="42"/>
      <c r="L533" s="42"/>
      <c r="M533" s="42"/>
      <c r="N533" s="42"/>
      <c r="O533" s="1796" t="s">
        <v>336</v>
      </c>
      <c r="P533" s="1797"/>
      <c r="Q533" s="1797"/>
      <c r="R533" s="1797"/>
      <c r="S533" s="1797"/>
      <c r="T533" s="1797"/>
      <c r="U533" s="1797"/>
      <c r="V533" s="1797"/>
      <c r="W533" s="1797"/>
      <c r="X533" s="1797"/>
      <c r="Y533" s="1797"/>
      <c r="Z533" s="1797"/>
      <c r="AA533" s="1797"/>
      <c r="AC533" s="1789" t="s">
        <v>600</v>
      </c>
      <c r="AD533" s="1734"/>
      <c r="AE533" s="1734"/>
      <c r="AF533" s="1734"/>
      <c r="AG533" s="38" t="s">
        <v>405</v>
      </c>
      <c r="AH533" s="1520"/>
      <c r="AI533" s="1520"/>
      <c r="AJ533" s="1520"/>
      <c r="AK533" s="1521"/>
      <c r="AZ533" s="3"/>
      <c r="BA533" s="3"/>
      <c r="BB533" s="3"/>
      <c r="BC533" s="3"/>
      <c r="BD533" s="3"/>
      <c r="BE533" s="3"/>
      <c r="BF533" s="3"/>
      <c r="BG533" s="3"/>
      <c r="BH533" s="3"/>
      <c r="BI533" s="3"/>
      <c r="BJ533" s="3"/>
      <c r="BK533" s="3"/>
      <c r="BL533" s="3"/>
      <c r="BM533" s="3"/>
      <c r="BN533" s="3" t="s">
        <v>2551</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37"/>
      <c r="C534" s="1363"/>
      <c r="D534" s="1363"/>
      <c r="E534" s="1363"/>
      <c r="F534" s="1363"/>
      <c r="G534" s="1363"/>
      <c r="H534" s="1364"/>
      <c r="I534" t="s">
        <v>423</v>
      </c>
      <c r="AC534" s="1789" t="s">
        <v>600</v>
      </c>
      <c r="AD534" s="1734"/>
      <c r="AE534" s="1734"/>
      <c r="AF534" s="1734"/>
      <c r="AG534" s="13" t="s">
        <v>405</v>
      </c>
      <c r="AH534" s="1520"/>
      <c r="AI534" s="1520"/>
      <c r="AJ534" s="1520"/>
      <c r="AK534" s="1521"/>
      <c r="AZ534" s="3"/>
      <c r="BA534" s="3"/>
      <c r="BB534" s="3"/>
      <c r="BC534" s="3"/>
      <c r="BD534" s="3"/>
      <c r="BE534" s="3"/>
      <c r="BF534" s="3"/>
      <c r="BG534" s="3"/>
      <c r="BH534" s="3"/>
      <c r="BI534" s="3"/>
      <c r="BJ534" s="3"/>
      <c r="BK534" s="3"/>
      <c r="BL534" s="3"/>
      <c r="BM534" s="3"/>
      <c r="BN534" s="3" t="s">
        <v>2552</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37"/>
      <c r="C535" s="1363"/>
      <c r="D535" s="1363"/>
      <c r="E535" s="1363"/>
      <c r="F535" s="1363"/>
      <c r="G535" s="1363"/>
      <c r="H535" s="1364"/>
      <c r="I535" s="48" t="s">
        <v>424</v>
      </c>
      <c r="J535" s="48"/>
      <c r="K535" s="48"/>
      <c r="L535" s="48"/>
      <c r="M535" s="48"/>
      <c r="N535" s="48"/>
      <c r="O535" s="48"/>
      <c r="P535" s="48"/>
      <c r="Q535" s="48"/>
      <c r="R535" s="48"/>
      <c r="S535" s="48"/>
      <c r="T535" s="48"/>
      <c r="U535" s="48"/>
      <c r="V535" s="48"/>
      <c r="W535" s="48"/>
      <c r="X535" s="48"/>
      <c r="Y535" s="48"/>
      <c r="Z535" s="48"/>
      <c r="AA535" s="48"/>
      <c r="AB535" s="48"/>
      <c r="AC535" s="1789" t="s">
        <v>600</v>
      </c>
      <c r="AD535" s="1734"/>
      <c r="AE535" s="1734"/>
      <c r="AF535" s="1734"/>
      <c r="AG535" s="38" t="s">
        <v>405</v>
      </c>
      <c r="AH535" s="1520"/>
      <c r="AI535" s="1520"/>
      <c r="AJ535" s="1520"/>
      <c r="AK535" s="1521"/>
      <c r="AZ535" s="3"/>
      <c r="BA535" s="3"/>
      <c r="BB535" s="3"/>
      <c r="BC535" s="3"/>
      <c r="BD535" s="3"/>
      <c r="BE535" s="3"/>
      <c r="BF535" s="3"/>
      <c r="BG535" s="3"/>
      <c r="BH535" s="3"/>
      <c r="BI535" s="3"/>
      <c r="BJ535" s="3"/>
      <c r="BK535" s="3"/>
      <c r="BL535" s="3"/>
      <c r="BM535" s="3"/>
      <c r="BN535" s="3" t="s">
        <v>2553</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37"/>
      <c r="C536" s="1363"/>
      <c r="D536" s="1363"/>
      <c r="E536" s="1363"/>
      <c r="F536" s="1363"/>
      <c r="G536" s="1363"/>
      <c r="H536" s="1364"/>
      <c r="I536" s="42" t="s">
        <v>571</v>
      </c>
      <c r="J536" s="42"/>
      <c r="K536" s="42"/>
      <c r="L536" s="42"/>
      <c r="M536" s="42"/>
      <c r="N536" s="42"/>
      <c r="O536" s="42"/>
      <c r="P536" s="42"/>
      <c r="Q536" s="42"/>
      <c r="R536" s="42"/>
      <c r="S536" s="42"/>
      <c r="T536" s="42"/>
      <c r="U536" s="42"/>
      <c r="V536" s="42"/>
      <c r="W536" s="42"/>
      <c r="AC536" s="1789">
        <v>10</v>
      </c>
      <c r="AD536" s="1734"/>
      <c r="AE536" s="1734"/>
      <c r="AF536" s="1734"/>
      <c r="AG536" s="38" t="s">
        <v>405</v>
      </c>
      <c r="AH536" s="1520">
        <v>2024</v>
      </c>
      <c r="AI536" s="1520"/>
      <c r="AJ536" s="1520"/>
      <c r="AK536" s="1521"/>
      <c r="AZ536" s="3"/>
      <c r="BA536" s="3"/>
      <c r="BB536" s="3"/>
      <c r="BC536" s="3"/>
      <c r="BD536" s="3"/>
      <c r="BE536" s="3"/>
      <c r="BF536" s="3"/>
      <c r="BG536" s="3"/>
      <c r="BH536" s="3"/>
      <c r="BI536" s="3"/>
      <c r="BJ536" s="3"/>
      <c r="BK536" s="3"/>
      <c r="BL536" s="3"/>
      <c r="BM536" s="3"/>
      <c r="BN536" s="3" t="s">
        <v>2554</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37"/>
      <c r="C537" s="1363"/>
      <c r="D537" s="1363"/>
      <c r="E537" s="1363"/>
      <c r="F537" s="1363"/>
      <c r="G537" s="1363"/>
      <c r="H537" s="1364"/>
      <c r="I537" t="s">
        <v>572</v>
      </c>
      <c r="AC537" s="1789">
        <v>11</v>
      </c>
      <c r="AD537" s="1734"/>
      <c r="AE537" s="1734"/>
      <c r="AF537" s="1734"/>
      <c r="AG537" s="13" t="s">
        <v>405</v>
      </c>
      <c r="AH537" s="1520">
        <v>2023</v>
      </c>
      <c r="AI537" s="1520"/>
      <c r="AJ537" s="1520"/>
      <c r="AK537" s="1521"/>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37"/>
      <c r="C538" s="1363"/>
      <c r="D538" s="1363"/>
      <c r="E538" s="1363"/>
      <c r="F538" s="1363"/>
      <c r="G538" s="1363"/>
      <c r="H538" s="1364"/>
      <c r="I538" t="s">
        <v>573</v>
      </c>
      <c r="AC538" s="1789">
        <v>12</v>
      </c>
      <c r="AD538" s="1734"/>
      <c r="AE538" s="1734"/>
      <c r="AF538" s="1734"/>
      <c r="AG538" s="38" t="s">
        <v>405</v>
      </c>
      <c r="AH538" s="1520">
        <v>2025</v>
      </c>
      <c r="AI538" s="1520"/>
      <c r="AJ538" s="1520"/>
      <c r="AK538" s="1521"/>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37"/>
      <c r="C539" s="1363"/>
      <c r="D539" s="1363"/>
      <c r="E539" s="1363"/>
      <c r="F539" s="1363"/>
      <c r="G539" s="1363"/>
      <c r="H539" s="1364"/>
      <c r="I539" t="s">
        <v>574</v>
      </c>
      <c r="AC539" s="1789">
        <v>12</v>
      </c>
      <c r="AD539" s="1734"/>
      <c r="AE539" s="1734"/>
      <c r="AF539" s="1734"/>
      <c r="AG539" s="38" t="s">
        <v>405</v>
      </c>
      <c r="AH539" s="1520">
        <v>2025</v>
      </c>
      <c r="AI539" s="1520"/>
      <c r="AJ539" s="1520"/>
      <c r="AK539" s="1521"/>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38"/>
      <c r="C540" s="1365"/>
      <c r="D540" s="1365"/>
      <c r="E540" s="1365"/>
      <c r="F540" s="1365"/>
      <c r="G540" s="1365"/>
      <c r="H540" s="1366"/>
      <c r="I540" s="48" t="s">
        <v>460</v>
      </c>
      <c r="J540" s="48"/>
      <c r="K540" s="48"/>
      <c r="L540" s="48"/>
      <c r="M540" s="48"/>
      <c r="N540" s="48"/>
      <c r="O540" s="48"/>
      <c r="P540" s="48"/>
      <c r="Q540" s="48"/>
      <c r="R540" s="48"/>
      <c r="S540" s="48"/>
      <c r="T540" s="48"/>
      <c r="U540" s="48"/>
      <c r="V540" s="48"/>
      <c r="W540" s="48"/>
      <c r="X540" s="48"/>
      <c r="Y540" s="48"/>
      <c r="Z540" s="48"/>
      <c r="AA540" s="48"/>
      <c r="AB540" s="48"/>
      <c r="AC540" s="1789">
        <v>7</v>
      </c>
      <c r="AD540" s="1734"/>
      <c r="AE540" s="1734"/>
      <c r="AF540" s="1734"/>
      <c r="AG540" s="38" t="s">
        <v>405</v>
      </c>
      <c r="AH540" s="1520">
        <v>2026</v>
      </c>
      <c r="AI540" s="1520"/>
      <c r="AJ540" s="1520"/>
      <c r="AK540" s="1521"/>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61" t="s">
        <v>552</v>
      </c>
      <c r="B542" s="1261"/>
      <c r="C542" s="1261"/>
      <c r="D542" s="1261"/>
      <c r="E542" s="1261"/>
      <c r="F542" s="1261"/>
      <c r="G542" s="1261"/>
      <c r="H542" s="1261"/>
      <c r="I542" s="1261"/>
      <c r="J542" s="1261"/>
      <c r="K542" s="1261"/>
      <c r="L542" s="1261"/>
      <c r="M542" s="1261"/>
      <c r="N542" s="1261"/>
      <c r="O542" s="1261"/>
      <c r="P542" s="1261"/>
      <c r="Q542" s="1261"/>
      <c r="R542" s="1261"/>
      <c r="S542" s="1261"/>
      <c r="T542" s="1261"/>
      <c r="U542" s="1261"/>
      <c r="V542" s="1261"/>
      <c r="W542" s="1261"/>
      <c r="X542" s="1261"/>
      <c r="Y542" s="1261"/>
      <c r="Z542" s="1261"/>
      <c r="AA542" s="1261"/>
      <c r="AB542" s="1261"/>
      <c r="AC542" s="1261"/>
      <c r="AD542" s="1261"/>
      <c r="AE542" s="1261"/>
      <c r="AF542" s="1261"/>
      <c r="AG542" s="1261"/>
      <c r="AH542" s="1261"/>
      <c r="AI542" s="1261"/>
      <c r="AJ542" s="1261"/>
      <c r="AK542" s="1261"/>
      <c r="AL542" s="1261"/>
      <c r="AM542" s="1261"/>
      <c r="AN542" s="1261"/>
      <c r="AO542" s="1261"/>
      <c r="AP542" s="1261"/>
      <c r="AQ542" s="1261"/>
      <c r="AR542" s="1261"/>
      <c r="AS542" s="1261"/>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61"/>
      <c r="B543" s="1261"/>
      <c r="C543" s="1261"/>
      <c r="D543" s="1261"/>
      <c r="E543" s="1261"/>
      <c r="F543" s="1261"/>
      <c r="G543" s="1261"/>
      <c r="H543" s="1261"/>
      <c r="I543" s="1261"/>
      <c r="J543" s="1261"/>
      <c r="K543" s="1261"/>
      <c r="L543" s="1261"/>
      <c r="M543" s="1261"/>
      <c r="N543" s="1261"/>
      <c r="O543" s="1261"/>
      <c r="P543" s="1261"/>
      <c r="Q543" s="1261"/>
      <c r="R543" s="1261"/>
      <c r="S543" s="1261"/>
      <c r="T543" s="1261"/>
      <c r="U543" s="1261"/>
      <c r="V543" s="1261"/>
      <c r="W543" s="1261"/>
      <c r="X543" s="1261"/>
      <c r="Y543" s="1261"/>
      <c r="Z543" s="1261"/>
      <c r="AA543" s="1261"/>
      <c r="AB543" s="1261"/>
      <c r="AC543" s="1261"/>
      <c r="AD543" s="1261"/>
      <c r="AE543" s="1261"/>
      <c r="AF543" s="1261"/>
      <c r="AG543" s="1261"/>
      <c r="AH543" s="1261"/>
      <c r="AI543" s="1261"/>
      <c r="AJ543" s="1261"/>
      <c r="AK543" s="1261"/>
      <c r="AL543" s="1261"/>
      <c r="AM543" s="1261"/>
      <c r="AN543" s="1261"/>
      <c r="AO543" s="1261"/>
      <c r="AP543" s="1261"/>
      <c r="AQ543" s="1261"/>
      <c r="AR543" s="1261"/>
      <c r="AS543" s="1261"/>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2526</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90" t="s">
        <v>2528</v>
      </c>
      <c r="C549" s="1791"/>
      <c r="D549" s="1791"/>
      <c r="E549" s="1791"/>
      <c r="F549" s="1791"/>
      <c r="G549" s="1791"/>
      <c r="H549" s="1791"/>
      <c r="I549" s="1791"/>
      <c r="J549" s="1791"/>
      <c r="K549" s="1791"/>
      <c r="L549" s="1792"/>
      <c r="M549" s="1381" t="s">
        <v>2529</v>
      </c>
      <c r="N549" s="1381"/>
      <c r="O549" s="1381"/>
      <c r="P549" s="1381"/>
      <c r="Q549" s="1790" t="s">
        <v>2555</v>
      </c>
      <c r="R549" s="1791"/>
      <c r="S549" s="1792"/>
      <c r="T549" s="1790" t="s">
        <v>2556</v>
      </c>
      <c r="U549" s="1791"/>
      <c r="V549" s="1792"/>
      <c r="W549" s="1790" t="s">
        <v>462</v>
      </c>
      <c r="X549" s="1791"/>
      <c r="Y549" s="1792"/>
      <c r="Z549" s="1790" t="s">
        <v>2112</v>
      </c>
      <c r="AA549" s="1791"/>
      <c r="AB549" s="1791"/>
      <c r="AC549" s="1791"/>
      <c r="AD549" s="1791"/>
      <c r="AE549" s="1790" t="s">
        <v>1933</v>
      </c>
      <c r="AF549" s="1791"/>
      <c r="AG549" s="1791"/>
      <c r="AH549" s="1792"/>
      <c r="AI549" s="1790" t="s">
        <v>1934</v>
      </c>
      <c r="AJ549" s="1791"/>
      <c r="AK549" s="1791"/>
      <c r="AL549" s="1792"/>
      <c r="AM549" s="1790" t="s">
        <v>463</v>
      </c>
      <c r="AN549" s="1791"/>
      <c r="AO549" s="1791"/>
      <c r="AP549" s="1791"/>
      <c r="AQ549" s="1791"/>
      <c r="AR549" s="1791"/>
      <c r="AS549" s="1792"/>
      <c r="BB549" s="3"/>
      <c r="BC549" s="3"/>
      <c r="BD549" s="3"/>
      <c r="BE549" s="3"/>
      <c r="BF549" s="3"/>
      <c r="BG549" s="3"/>
      <c r="BH549" s="3" t="s">
        <v>120</v>
      </c>
      <c r="BI549" s="3" t="str">
        <f>N653</f>
        <v>No</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73" t="s">
        <v>2751</v>
      </c>
      <c r="D550" s="1373"/>
      <c r="E550" s="1373"/>
      <c r="F550" s="1373"/>
      <c r="G550" s="1373"/>
      <c r="H550" s="1373"/>
      <c r="I550" s="1373"/>
      <c r="J550" s="1373"/>
      <c r="K550" s="1373"/>
      <c r="L550" s="1373"/>
      <c r="M550" s="1373" t="s">
        <v>2545</v>
      </c>
      <c r="N550" s="1373"/>
      <c r="O550" s="1373"/>
      <c r="P550" s="1373"/>
      <c r="Q550" s="1377">
        <v>42</v>
      </c>
      <c r="R550" s="1377"/>
      <c r="S550" s="1378"/>
      <c r="T550" s="1376">
        <v>42</v>
      </c>
      <c r="U550" s="1377"/>
      <c r="V550" s="1378"/>
      <c r="W550" s="1355">
        <v>6.3899999999999998E-2</v>
      </c>
      <c r="X550" s="1356"/>
      <c r="Y550" s="1357"/>
      <c r="Z550" s="1379" t="s">
        <v>2706</v>
      </c>
      <c r="AA550" s="1379"/>
      <c r="AB550" s="1379"/>
      <c r="AC550" s="1379"/>
      <c r="AD550" s="1379"/>
      <c r="AE550" s="1807">
        <v>1</v>
      </c>
      <c r="AF550" s="1808"/>
      <c r="AG550" s="1808"/>
      <c r="AH550" s="1809"/>
      <c r="AI550" s="1804"/>
      <c r="AJ550" s="1805"/>
      <c r="AK550" s="1805"/>
      <c r="AL550" s="1806"/>
      <c r="AM550" s="1816">
        <v>51600000</v>
      </c>
      <c r="AN550" s="1817"/>
      <c r="AO550" s="1817"/>
      <c r="AP550" s="1817"/>
      <c r="AQ550" s="1817"/>
      <c r="AR550" s="1817"/>
      <c r="AS550" s="1818"/>
      <c r="AT550" s="1200"/>
      <c r="BB550" s="3"/>
      <c r="BC550" s="3"/>
      <c r="BD550" s="3"/>
      <c r="BE550" s="3"/>
      <c r="BF550" s="3"/>
      <c r="BG550" s="3"/>
      <c r="BH550" s="3" t="s">
        <v>590</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656" t="s">
        <v>2752</v>
      </c>
      <c r="D551" s="1656"/>
      <c r="E551" s="1656"/>
      <c r="F551" s="1656"/>
      <c r="G551" s="1656"/>
      <c r="H551" s="1656"/>
      <c r="I551" s="1656"/>
      <c r="J551" s="1656"/>
      <c r="K551" s="1656"/>
      <c r="L551" s="1656"/>
      <c r="M551" s="1373" t="s">
        <v>2544</v>
      </c>
      <c r="N551" s="1373"/>
      <c r="O551" s="1373"/>
      <c r="P551" s="1373"/>
      <c r="Q551" s="1376">
        <v>42</v>
      </c>
      <c r="R551" s="1377"/>
      <c r="S551" s="1378"/>
      <c r="T551" s="1376">
        <v>42</v>
      </c>
      <c r="U551" s="1377"/>
      <c r="V551" s="1378"/>
      <c r="W551" s="1355">
        <v>6.9399999999999989E-2</v>
      </c>
      <c r="X551" s="1356"/>
      <c r="Y551" s="1357"/>
      <c r="Z551" s="1379" t="s">
        <v>2706</v>
      </c>
      <c r="AA551" s="1379"/>
      <c r="AB551" s="1379"/>
      <c r="AC551" s="1379"/>
      <c r="AD551" s="1379"/>
      <c r="AE551" s="1807">
        <v>2</v>
      </c>
      <c r="AF551" s="1808"/>
      <c r="AG551" s="1808"/>
      <c r="AH551" s="1809"/>
      <c r="AI551" s="1804"/>
      <c r="AJ551" s="1805"/>
      <c r="AK551" s="1805"/>
      <c r="AL551" s="1806"/>
      <c r="AM551" s="1816">
        <v>22200000</v>
      </c>
      <c r="AN551" s="1817"/>
      <c r="AO551" s="1817"/>
      <c r="AP551" s="1817"/>
      <c r="AQ551" s="1817"/>
      <c r="AR551" s="1817"/>
      <c r="AS551" s="1818"/>
      <c r="AT551" s="1200" t="str">
        <f>IF(AND(NOT(C550=""),C551="",NOT(C552="")),"!","")</f>
        <v/>
      </c>
      <c r="AU551" s="1199"/>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656" t="s">
        <v>2753</v>
      </c>
      <c r="D552" s="1656"/>
      <c r="E552" s="1656"/>
      <c r="F552" s="1656"/>
      <c r="G552" s="1656"/>
      <c r="H552" s="1656"/>
      <c r="I552" s="1656"/>
      <c r="J552" s="1656"/>
      <c r="K552" s="1656"/>
      <c r="L552" s="1656"/>
      <c r="M552" s="1373" t="s">
        <v>2546</v>
      </c>
      <c r="N552" s="1373"/>
      <c r="O552" s="1373"/>
      <c r="P552" s="1373"/>
      <c r="Q552" s="1376">
        <v>42</v>
      </c>
      <c r="R552" s="1377"/>
      <c r="S552" s="1378"/>
      <c r="T552" s="1376">
        <v>42</v>
      </c>
      <c r="U552" s="1377"/>
      <c r="V552" s="1378"/>
      <c r="W552" s="1355">
        <v>6.3899999999999998E-2</v>
      </c>
      <c r="X552" s="1356"/>
      <c r="Y552" s="1357"/>
      <c r="Z552" s="1379" t="s">
        <v>2706</v>
      </c>
      <c r="AA552" s="1379"/>
      <c r="AB552" s="1379"/>
      <c r="AC552" s="1379"/>
      <c r="AD552" s="1379"/>
      <c r="AE552" s="1807">
        <v>3</v>
      </c>
      <c r="AF552" s="1808"/>
      <c r="AG552" s="1808"/>
      <c r="AH552" s="1809"/>
      <c r="AI552" s="1804"/>
      <c r="AJ552" s="1805"/>
      <c r="AK552" s="1805"/>
      <c r="AL552" s="1806"/>
      <c r="AM552" s="1816">
        <v>10000000</v>
      </c>
      <c r="AN552" s="1817"/>
      <c r="AO552" s="1817"/>
      <c r="AP552" s="1817"/>
      <c r="AQ552" s="1817"/>
      <c r="AR552" s="1817"/>
      <c r="AS552" s="1818"/>
      <c r="AT552" s="1200" t="str">
        <f>IF(AND(NOT(C551=""),C552="",NOT(C553="")),"!","")</f>
        <v/>
      </c>
      <c r="AU552" s="1199"/>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590</v>
      </c>
      <c r="C553" s="1656" t="s">
        <v>2746</v>
      </c>
      <c r="D553" s="1656"/>
      <c r="E553" s="1656"/>
      <c r="F553" s="1656"/>
      <c r="G553" s="1656"/>
      <c r="H553" s="1656"/>
      <c r="I553" s="1656"/>
      <c r="J553" s="1656"/>
      <c r="K553" s="1656"/>
      <c r="L553" s="1656"/>
      <c r="M553" s="1373" t="s">
        <v>2536</v>
      </c>
      <c r="N553" s="1373"/>
      <c r="O553" s="1373"/>
      <c r="P553" s="1373"/>
      <c r="Q553" s="1376"/>
      <c r="R553" s="1377"/>
      <c r="S553" s="1378"/>
      <c r="T553" s="1376"/>
      <c r="U553" s="1377"/>
      <c r="V553" s="1378"/>
      <c r="W553" s="1355"/>
      <c r="X553" s="1356"/>
      <c r="Y553" s="1357"/>
      <c r="Z553" s="1379"/>
      <c r="AA553" s="1379"/>
      <c r="AB553" s="1379"/>
      <c r="AC553" s="1379"/>
      <c r="AD553" s="1379"/>
      <c r="AE553" s="1807"/>
      <c r="AF553" s="1808"/>
      <c r="AG553" s="1808"/>
      <c r="AH553" s="1809"/>
      <c r="AI553" s="1804"/>
      <c r="AJ553" s="1805"/>
      <c r="AK553" s="1805"/>
      <c r="AL553" s="1806"/>
      <c r="AM553" s="1816">
        <v>4026180.6616680007</v>
      </c>
      <c r="AN553" s="1817"/>
      <c r="AO553" s="1817"/>
      <c r="AP553" s="1817"/>
      <c r="AQ553" s="1817"/>
      <c r="AR553" s="1817"/>
      <c r="AS553" s="1818"/>
      <c r="AT553" s="1200" t="str">
        <f>IF(AND(NOT(C552=""),C553="",NOT(C554="")),"!","")</f>
        <v/>
      </c>
      <c r="AU553" s="1199"/>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787</v>
      </c>
      <c r="C554" s="1656" t="s">
        <v>2747</v>
      </c>
      <c r="D554" s="1656"/>
      <c r="E554" s="1656"/>
      <c r="F554" s="1656"/>
      <c r="G554" s="1656"/>
      <c r="H554" s="1656"/>
      <c r="I554" s="1656"/>
      <c r="J554" s="1656"/>
      <c r="K554" s="1656"/>
      <c r="L554" s="1656"/>
      <c r="M554" s="1373" t="s">
        <v>2536</v>
      </c>
      <c r="N554" s="1373"/>
      <c r="O554" s="1373"/>
      <c r="P554" s="1373"/>
      <c r="Q554" s="1376"/>
      <c r="R554" s="1377"/>
      <c r="S554" s="1378"/>
      <c r="T554" s="1376"/>
      <c r="U554" s="1377"/>
      <c r="V554" s="1378"/>
      <c r="W554" s="1355"/>
      <c r="X554" s="1356"/>
      <c r="Y554" s="1357"/>
      <c r="Z554" s="1379"/>
      <c r="AA554" s="1379"/>
      <c r="AB554" s="1379"/>
      <c r="AC554" s="1379"/>
      <c r="AD554" s="1379"/>
      <c r="AE554" s="1807"/>
      <c r="AF554" s="1808"/>
      <c r="AG554" s="1808"/>
      <c r="AH554" s="1809"/>
      <c r="AI554" s="1804"/>
      <c r="AJ554" s="1805"/>
      <c r="AK554" s="1805"/>
      <c r="AL554" s="1806"/>
      <c r="AM554" s="1816">
        <v>2249128.1206846396</v>
      </c>
      <c r="AN554" s="1817"/>
      <c r="AO554" s="1817"/>
      <c r="AP554" s="1817"/>
      <c r="AQ554" s="1817"/>
      <c r="AR554" s="1817"/>
      <c r="AS554" s="1818"/>
      <c r="AT554" s="1200" t="str">
        <f t="shared" ref="AT554:AT561" si="0">IF(AND(NOT(C553=""),C554="",NOT(C555="")),"!","")</f>
        <v/>
      </c>
      <c r="AU554" s="1199"/>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593</v>
      </c>
      <c r="C555" s="1656" t="s">
        <v>2729</v>
      </c>
      <c r="D555" s="1656"/>
      <c r="E555" s="1656"/>
      <c r="F555" s="1656"/>
      <c r="G555" s="1656"/>
      <c r="H555" s="1656"/>
      <c r="I555" s="1656"/>
      <c r="J555" s="1656"/>
      <c r="K555" s="1656"/>
      <c r="L555" s="1656"/>
      <c r="M555" s="1373" t="s">
        <v>2531</v>
      </c>
      <c r="N555" s="1373"/>
      <c r="O555" s="1373"/>
      <c r="P555" s="1373"/>
      <c r="Q555" s="1376"/>
      <c r="R555" s="1377"/>
      <c r="S555" s="1378"/>
      <c r="T555" s="1376"/>
      <c r="U555" s="1377"/>
      <c r="V555" s="1378"/>
      <c r="W555" s="1355"/>
      <c r="X555" s="1356"/>
      <c r="Y555" s="1357"/>
      <c r="Z555" s="1379"/>
      <c r="AA555" s="1379"/>
      <c r="AB555" s="1379"/>
      <c r="AC555" s="1379"/>
      <c r="AD555" s="1379"/>
      <c r="AE555" s="1807"/>
      <c r="AF555" s="1808"/>
      <c r="AG555" s="1808"/>
      <c r="AH555" s="1809"/>
      <c r="AI555" s="1804"/>
      <c r="AJ555" s="1805"/>
      <c r="AK555" s="1805"/>
      <c r="AL555" s="1806"/>
      <c r="AM555" s="1816">
        <v>722874.85743527126</v>
      </c>
      <c r="AN555" s="1817"/>
      <c r="AO555" s="1817"/>
      <c r="AP555" s="1817"/>
      <c r="AQ555" s="1817"/>
      <c r="AR555" s="1817"/>
      <c r="AS555" s="1818"/>
      <c r="AT555" s="1200" t="str">
        <f t="shared" si="0"/>
        <v/>
      </c>
      <c r="AU555" s="1199"/>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464</v>
      </c>
      <c r="C556" s="1656" t="s">
        <v>2722</v>
      </c>
      <c r="D556" s="1656"/>
      <c r="E556" s="1656"/>
      <c r="F556" s="1656"/>
      <c r="G556" s="1656"/>
      <c r="H556" s="1656"/>
      <c r="I556" s="1656"/>
      <c r="J556" s="1656"/>
      <c r="K556" s="1656"/>
      <c r="L556" s="1656"/>
      <c r="M556" s="1373" t="s">
        <v>2532</v>
      </c>
      <c r="N556" s="1373"/>
      <c r="O556" s="1373"/>
      <c r="P556" s="1373"/>
      <c r="Q556" s="1376"/>
      <c r="R556" s="1377"/>
      <c r="S556" s="1378"/>
      <c r="T556" s="1376"/>
      <c r="U556" s="1377"/>
      <c r="V556" s="1378"/>
      <c r="W556" s="1355"/>
      <c r="X556" s="1356"/>
      <c r="Y556" s="1357"/>
      <c r="Z556" s="1379"/>
      <c r="AA556" s="1379"/>
      <c r="AB556" s="1379"/>
      <c r="AC556" s="1379"/>
      <c r="AD556" s="1379"/>
      <c r="AE556" s="1807"/>
      <c r="AF556" s="1808"/>
      <c r="AG556" s="1808"/>
      <c r="AH556" s="1809"/>
      <c r="AI556" s="1804"/>
      <c r="AJ556" s="1805"/>
      <c r="AK556" s="1805"/>
      <c r="AL556" s="1806"/>
      <c r="AM556" s="1816">
        <v>9737058.2252231985</v>
      </c>
      <c r="AN556" s="1817"/>
      <c r="AO556" s="1817"/>
      <c r="AP556" s="1817"/>
      <c r="AQ556" s="1817"/>
      <c r="AR556" s="1817"/>
      <c r="AS556" s="1818"/>
      <c r="AT556" s="1200" t="str">
        <f t="shared" si="0"/>
        <v/>
      </c>
      <c r="AU556" s="1199"/>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465</v>
      </c>
      <c r="C557" s="1656"/>
      <c r="D557" s="1656"/>
      <c r="E557" s="1656"/>
      <c r="F557" s="1656"/>
      <c r="G557" s="1656"/>
      <c r="H557" s="1656"/>
      <c r="I557" s="1656"/>
      <c r="J557" s="1656"/>
      <c r="K557" s="1656"/>
      <c r="L557" s="1656"/>
      <c r="M557" s="1373"/>
      <c r="N557" s="1373"/>
      <c r="O557" s="1373"/>
      <c r="P557" s="1373"/>
      <c r="Q557" s="1376"/>
      <c r="R557" s="1377"/>
      <c r="S557" s="1378"/>
      <c r="T557" s="1376"/>
      <c r="U557" s="1377"/>
      <c r="V557" s="1378"/>
      <c r="W557" s="1355"/>
      <c r="X557" s="1356"/>
      <c r="Y557" s="1357"/>
      <c r="Z557" s="1379"/>
      <c r="AA557" s="1379"/>
      <c r="AB557" s="1379"/>
      <c r="AC557" s="1379"/>
      <c r="AD557" s="1379"/>
      <c r="AE557" s="1807"/>
      <c r="AF557" s="1808"/>
      <c r="AG557" s="1808"/>
      <c r="AH557" s="1809"/>
      <c r="AI557" s="1804"/>
      <c r="AJ557" s="1805"/>
      <c r="AK557" s="1805"/>
      <c r="AL557" s="1806"/>
      <c r="AM557" s="1816"/>
      <c r="AN557" s="1817"/>
      <c r="AO557" s="1817"/>
      <c r="AP557" s="1817"/>
      <c r="AQ557" s="1817"/>
      <c r="AR557" s="1817"/>
      <c r="AS557" s="1818"/>
      <c r="AT557" s="1200" t="str">
        <f t="shared" si="0"/>
        <v/>
      </c>
      <c r="AU557" s="1199"/>
      <c r="BB557" s="3"/>
      <c r="BC557" s="3"/>
      <c r="BD557" s="3"/>
      <c r="BE557" s="3"/>
      <c r="BF557" s="3"/>
      <c r="BG557" s="3"/>
      <c r="BH557" s="3" t="s">
        <v>787</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470</v>
      </c>
      <c r="C558" s="1656"/>
      <c r="D558" s="1656"/>
      <c r="E558" s="1656"/>
      <c r="F558" s="1656"/>
      <c r="G558" s="1656"/>
      <c r="H558" s="1656"/>
      <c r="I558" s="1656"/>
      <c r="J558" s="1656"/>
      <c r="K558" s="1656"/>
      <c r="L558" s="1656"/>
      <c r="M558" s="1373"/>
      <c r="N558" s="1373"/>
      <c r="O558" s="1373"/>
      <c r="P558" s="1373"/>
      <c r="Q558" s="1376"/>
      <c r="R558" s="1377"/>
      <c r="S558" s="1378"/>
      <c r="T558" s="1376"/>
      <c r="U558" s="1377"/>
      <c r="V558" s="1378"/>
      <c r="W558" s="1355"/>
      <c r="X558" s="1356"/>
      <c r="Y558" s="1357"/>
      <c r="Z558" s="1379"/>
      <c r="AA558" s="1379"/>
      <c r="AB558" s="1379"/>
      <c r="AC558" s="1379"/>
      <c r="AD558" s="1379"/>
      <c r="AE558" s="1807"/>
      <c r="AF558" s="1808"/>
      <c r="AG558" s="1808"/>
      <c r="AH558" s="1809"/>
      <c r="AI558" s="1804"/>
      <c r="AJ558" s="1805"/>
      <c r="AK558" s="1805"/>
      <c r="AL558" s="1806"/>
      <c r="AM558" s="1816"/>
      <c r="AN558" s="1817"/>
      <c r="AO558" s="1817"/>
      <c r="AP558" s="1817"/>
      <c r="AQ558" s="1817"/>
      <c r="AR558" s="1817"/>
      <c r="AS558" s="1818"/>
      <c r="AT558" s="1200" t="str">
        <f t="shared" si="0"/>
        <v/>
      </c>
      <c r="AU558" s="1199"/>
      <c r="BB558" s="3"/>
      <c r="BC558" s="3"/>
      <c r="BD558" s="3"/>
      <c r="BE558" s="3"/>
      <c r="BF558" s="3"/>
      <c r="BG558" s="3"/>
      <c r="BH558" s="3" t="s">
        <v>593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655</v>
      </c>
      <c r="C559" s="1656"/>
      <c r="D559" s="1656"/>
      <c r="E559" s="1656"/>
      <c r="F559" s="1656"/>
      <c r="G559" s="1656"/>
      <c r="H559" s="1656"/>
      <c r="I559" s="1656"/>
      <c r="J559" s="1656"/>
      <c r="K559" s="1656"/>
      <c r="L559" s="1656"/>
      <c r="M559" s="1373"/>
      <c r="N559" s="1373"/>
      <c r="O559" s="1373"/>
      <c r="P559" s="1373"/>
      <c r="Q559" s="1376"/>
      <c r="R559" s="1377"/>
      <c r="S559" s="1378"/>
      <c r="T559" s="1376"/>
      <c r="U559" s="1377"/>
      <c r="V559" s="1378"/>
      <c r="W559" s="1355"/>
      <c r="X559" s="1356"/>
      <c r="Y559" s="1357"/>
      <c r="Z559" s="1379"/>
      <c r="AA559" s="1379"/>
      <c r="AB559" s="1379"/>
      <c r="AC559" s="1379"/>
      <c r="AD559" s="1379"/>
      <c r="AE559" s="1807"/>
      <c r="AF559" s="1808"/>
      <c r="AG559" s="1808"/>
      <c r="AH559" s="1809"/>
      <c r="AI559" s="1804"/>
      <c r="AJ559" s="1805"/>
      <c r="AK559" s="1805"/>
      <c r="AL559" s="1806"/>
      <c r="AM559" s="1816"/>
      <c r="AN559" s="1817"/>
      <c r="AO559" s="1817"/>
      <c r="AP559" s="1817"/>
      <c r="AQ559" s="1817"/>
      <c r="AR559" s="1817"/>
      <c r="AS559" s="1818"/>
      <c r="AT559" s="1200" t="str">
        <f t="shared" si="0"/>
        <v/>
      </c>
      <c r="AU559" s="1199"/>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656"/>
      <c r="D560" s="1656"/>
      <c r="E560" s="1656"/>
      <c r="F560" s="1656"/>
      <c r="G560" s="1656"/>
      <c r="H560" s="1656"/>
      <c r="I560" s="1656"/>
      <c r="J560" s="1656"/>
      <c r="K560" s="1656"/>
      <c r="L560" s="1656"/>
      <c r="M560" s="1373"/>
      <c r="N560" s="1373"/>
      <c r="O560" s="1373"/>
      <c r="P560" s="1373"/>
      <c r="Q560" s="1376"/>
      <c r="R560" s="1377"/>
      <c r="S560" s="1378"/>
      <c r="T560" s="1376"/>
      <c r="U560" s="1377"/>
      <c r="V560" s="1378"/>
      <c r="W560" s="1355"/>
      <c r="X560" s="1356"/>
      <c r="Y560" s="1357"/>
      <c r="Z560" s="1379"/>
      <c r="AA560" s="1379"/>
      <c r="AB560" s="1379"/>
      <c r="AC560" s="1379"/>
      <c r="AD560" s="1379"/>
      <c r="AE560" s="1807"/>
      <c r="AF560" s="1808"/>
      <c r="AG560" s="1808"/>
      <c r="AH560" s="1809"/>
      <c r="AI560" s="1804"/>
      <c r="AJ560" s="1805"/>
      <c r="AK560" s="1805"/>
      <c r="AL560" s="1806"/>
      <c r="AM560" s="1816"/>
      <c r="AN560" s="1817"/>
      <c r="AO560" s="1817"/>
      <c r="AP560" s="1817"/>
      <c r="AQ560" s="1817"/>
      <c r="AR560" s="1817"/>
      <c r="AS560" s="1818"/>
      <c r="AT560" s="1200" t="str">
        <f t="shared" si="0"/>
        <v/>
      </c>
      <c r="AU560" s="1199"/>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656"/>
      <c r="D561" s="1656"/>
      <c r="E561" s="1656"/>
      <c r="F561" s="1656"/>
      <c r="G561" s="1656"/>
      <c r="H561" s="1656"/>
      <c r="I561" s="1656"/>
      <c r="J561" s="1656"/>
      <c r="K561" s="1656"/>
      <c r="L561" s="1656"/>
      <c r="M561" s="1373"/>
      <c r="N561" s="1373"/>
      <c r="O561" s="1373"/>
      <c r="P561" s="1373"/>
      <c r="Q561" s="1376"/>
      <c r="R561" s="1377"/>
      <c r="S561" s="1378"/>
      <c r="T561" s="1376"/>
      <c r="U561" s="1377"/>
      <c r="V561" s="1378"/>
      <c r="W561" s="1355"/>
      <c r="X561" s="1356"/>
      <c r="Y561" s="1357"/>
      <c r="Z561" s="1379"/>
      <c r="AA561" s="1379"/>
      <c r="AB561" s="1379"/>
      <c r="AC561" s="1379"/>
      <c r="AD561" s="1379"/>
      <c r="AE561" s="1807"/>
      <c r="AF561" s="1808"/>
      <c r="AG561" s="1808"/>
      <c r="AH561" s="1809"/>
      <c r="AI561" s="1804"/>
      <c r="AJ561" s="1805"/>
      <c r="AK561" s="1805"/>
      <c r="AL561" s="1806"/>
      <c r="AM561" s="1816"/>
      <c r="AN561" s="1817"/>
      <c r="AO561" s="1817"/>
      <c r="AP561" s="1817"/>
      <c r="AQ561" s="1817"/>
      <c r="AR561" s="1817"/>
      <c r="AS561" s="1818"/>
      <c r="AT561" s="1200" t="str">
        <f t="shared" si="0"/>
        <v/>
      </c>
      <c r="AU561" s="1199"/>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79" t="s">
        <v>128</v>
      </c>
      <c r="C562" s="1580"/>
      <c r="D562" s="1580"/>
      <c r="E562" s="1580"/>
      <c r="F562" s="1580"/>
      <c r="G562" s="1580"/>
      <c r="H562" s="1580"/>
      <c r="I562" s="1580"/>
      <c r="J562" s="1580"/>
      <c r="K562" s="1580"/>
      <c r="L562" s="1580"/>
      <c r="M562" s="1580"/>
      <c r="N562" s="1580"/>
      <c r="O562" s="1580"/>
      <c r="P562" s="1580"/>
      <c r="Q562" s="1580"/>
      <c r="R562" s="1580"/>
      <c r="S562" s="1580"/>
      <c r="T562" s="1580"/>
      <c r="U562" s="1724"/>
      <c r="V562" s="1580"/>
      <c r="W562" s="1580"/>
      <c r="X562" s="1580"/>
      <c r="Y562" s="1580"/>
      <c r="Z562" s="1580"/>
      <c r="AA562" s="1580"/>
      <c r="AB562" s="1580"/>
      <c r="AC562" s="1580"/>
      <c r="AD562" s="1580"/>
      <c r="AE562" s="1580"/>
      <c r="AF562" s="1580"/>
      <c r="AG562" s="1580"/>
      <c r="AH562" s="1580"/>
      <c r="AI562" s="1580"/>
      <c r="AJ562" s="1580"/>
      <c r="AK562" s="1580"/>
      <c r="AL562" s="1581"/>
      <c r="AM562" s="1591">
        <f>SUM(AM550:AS561)</f>
        <v>100535241.86501111</v>
      </c>
      <c r="AN562" s="1592"/>
      <c r="AO562" s="1592"/>
      <c r="AP562" s="1592"/>
      <c r="AQ562" s="1592"/>
      <c r="AR562" s="1592"/>
      <c r="AS562" s="159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472</v>
      </c>
      <c r="G564" s="1352" t="str">
        <f>C550</f>
        <v>Citibank - Tax-Exempt Loan</v>
      </c>
      <c r="H564" s="1352"/>
      <c r="I564" s="1352"/>
      <c r="J564" s="1352"/>
      <c r="K564" s="1352"/>
      <c r="L564" s="1352"/>
      <c r="M564" s="1352"/>
      <c r="N564" s="1352"/>
      <c r="O564" s="1352"/>
      <c r="P564" s="1352"/>
      <c r="Q564" s="1352"/>
      <c r="R564" s="1352"/>
      <c r="S564" s="8"/>
      <c r="T564" s="55" t="s">
        <v>114</v>
      </c>
      <c r="U564" t="s">
        <v>472</v>
      </c>
      <c r="Z564" s="1352" t="str">
        <f>C551</f>
        <v>Citibank - Taxable Loan</v>
      </c>
      <c r="AA564" s="1352"/>
      <c r="AB564" s="1352"/>
      <c r="AC564" s="1352"/>
      <c r="AD564" s="1352"/>
      <c r="AE564" s="1352"/>
      <c r="AF564" s="1352"/>
      <c r="AG564" s="1352"/>
      <c r="AH564" s="1352"/>
      <c r="AI564" s="1352"/>
      <c r="AJ564" s="1352"/>
      <c r="AK564" s="1352"/>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53" t="s">
        <v>2754</v>
      </c>
      <c r="H565" s="1354"/>
      <c r="I565" s="1354"/>
      <c r="J565" s="1354"/>
      <c r="K565" s="1354"/>
      <c r="L565" s="1354"/>
      <c r="M565" s="1354"/>
      <c r="N565" s="1354"/>
      <c r="O565" s="1354"/>
      <c r="P565" s="1354"/>
      <c r="Q565" s="1354"/>
      <c r="R565" s="1354"/>
      <c r="S565" s="8"/>
      <c r="T565" s="22"/>
      <c r="U565" t="s">
        <v>86</v>
      </c>
      <c r="Z565" s="1354" t="s">
        <v>2754</v>
      </c>
      <c r="AA565" s="1354"/>
      <c r="AB565" s="1354"/>
      <c r="AC565" s="1354"/>
      <c r="AD565" s="1354"/>
      <c r="AE565" s="1354"/>
      <c r="AF565" s="1354"/>
      <c r="AG565" s="1354"/>
      <c r="AH565" s="1354"/>
      <c r="AI565" s="1354"/>
      <c r="AJ565" s="1354"/>
      <c r="AK565" s="1354"/>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589</v>
      </c>
      <c r="G566" s="1353" t="s">
        <v>503</v>
      </c>
      <c r="H566" s="1354"/>
      <c r="I566" s="1354"/>
      <c r="J566" s="1354"/>
      <c r="K566" s="1354"/>
      <c r="L566" s="1354"/>
      <c r="M566" s="1354"/>
      <c r="N566" s="1354"/>
      <c r="O566" s="1354"/>
      <c r="P566" s="1354"/>
      <c r="Q566" s="1354"/>
      <c r="R566" s="1354"/>
      <c r="T566" s="22"/>
      <c r="U566" t="s">
        <v>589</v>
      </c>
      <c r="Z566" s="1374" t="s">
        <v>503</v>
      </c>
      <c r="AA566" s="1374"/>
      <c r="AB566" s="1374"/>
      <c r="AC566" s="1374"/>
      <c r="AD566" s="1374"/>
      <c r="AE566" s="1374"/>
      <c r="AF566" s="1374"/>
      <c r="AG566" s="1374"/>
      <c r="AH566" s="1374"/>
      <c r="AI566" s="1374"/>
      <c r="AJ566" s="1374"/>
      <c r="AK566" s="1374"/>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53" t="s">
        <v>2755</v>
      </c>
      <c r="H567" s="1354"/>
      <c r="I567" s="1354"/>
      <c r="J567" s="1354"/>
      <c r="K567" s="1354"/>
      <c r="L567" s="1354"/>
      <c r="M567" s="1354"/>
      <c r="N567" s="1354"/>
      <c r="O567" s="1354"/>
      <c r="P567" s="1354"/>
      <c r="Q567" s="1354"/>
      <c r="R567" s="1354"/>
      <c r="S567" s="8"/>
      <c r="T567" s="22"/>
      <c r="U567" t="s">
        <v>17</v>
      </c>
      <c r="Z567" s="1374" t="s">
        <v>2755</v>
      </c>
      <c r="AA567" s="1374"/>
      <c r="AB567" s="1374"/>
      <c r="AC567" s="1374"/>
      <c r="AD567" s="1374"/>
      <c r="AE567" s="1374"/>
      <c r="AF567" s="1374"/>
      <c r="AG567" s="1374"/>
      <c r="AH567" s="1374"/>
      <c r="AI567" s="1374"/>
      <c r="AJ567" s="1374"/>
      <c r="AK567" s="1374"/>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624" t="s">
        <v>2756</v>
      </c>
      <c r="H568" s="1380"/>
      <c r="I568" s="1380"/>
      <c r="J568" s="1380"/>
      <c r="K568" s="1380"/>
      <c r="L568" s="1380"/>
      <c r="O568" s="33" t="s">
        <v>208</v>
      </c>
      <c r="P568" s="1351"/>
      <c r="Q568" s="1351"/>
      <c r="R568" s="1351"/>
      <c r="S568" s="10"/>
      <c r="T568" s="22"/>
      <c r="U568" t="s">
        <v>318</v>
      </c>
      <c r="Z568" s="1380" t="s">
        <v>2756</v>
      </c>
      <c r="AA568" s="1380"/>
      <c r="AB568" s="1380"/>
      <c r="AC568" s="1380"/>
      <c r="AD568" s="1380"/>
      <c r="AE568" s="1380"/>
      <c r="AH568" s="33" t="s">
        <v>208</v>
      </c>
      <c r="AI568" s="1351"/>
      <c r="AJ568" s="1351"/>
      <c r="AK568" s="135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53" t="s">
        <v>2730</v>
      </c>
      <c r="I569" s="1354"/>
      <c r="J569" s="1354"/>
      <c r="K569" s="1354"/>
      <c r="L569" s="1354"/>
      <c r="M569" s="1354"/>
      <c r="N569" s="1354"/>
      <c r="O569" s="1354"/>
      <c r="P569" s="1354"/>
      <c r="Q569" s="1354"/>
      <c r="R569" s="1354"/>
      <c r="S569" s="8"/>
      <c r="T569" s="22"/>
      <c r="U569" t="s">
        <v>18</v>
      </c>
      <c r="AA569" s="1353" t="s">
        <v>2731</v>
      </c>
      <c r="AB569" s="1354"/>
      <c r="AC569" s="1354"/>
      <c r="AD569" s="1354"/>
      <c r="AE569" s="1354"/>
      <c r="AF569" s="1354"/>
      <c r="AG569" s="1354"/>
      <c r="AH569" s="1354"/>
      <c r="AI569" s="1354"/>
      <c r="AJ569" s="1354"/>
      <c r="AK569" s="135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1326</v>
      </c>
      <c r="H570" s="8"/>
      <c r="I570" s="8"/>
      <c r="J570" s="8"/>
      <c r="K570" s="8"/>
      <c r="L570" s="8"/>
      <c r="M570" s="1658" t="s">
        <v>2759</v>
      </c>
      <c r="N570" s="1658"/>
      <c r="O570" s="1658"/>
      <c r="P570" s="1658"/>
      <c r="Q570" s="1658"/>
      <c r="R570" s="1658"/>
      <c r="S570" s="8"/>
      <c r="T570" s="22"/>
      <c r="U570" s="349" t="s">
        <v>1326</v>
      </c>
      <c r="AA570" s="8"/>
      <c r="AB570" s="8"/>
      <c r="AC570" s="8"/>
      <c r="AD570" s="8"/>
      <c r="AE570" s="8"/>
      <c r="AF570" s="1658" t="s">
        <v>2759</v>
      </c>
      <c r="AG570" s="1658"/>
      <c r="AH570" s="1658"/>
      <c r="AI570" s="1658"/>
      <c r="AJ570" s="1658"/>
      <c r="AK570" s="165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75" t="s">
        <v>554</v>
      </c>
      <c r="O571" s="1375"/>
      <c r="T571" s="22"/>
      <c r="U571" t="s">
        <v>20</v>
      </c>
      <c r="AG571" s="1375" t="s">
        <v>554</v>
      </c>
      <c r="AH571" s="137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472</v>
      </c>
      <c r="G573" s="1352" t="str">
        <f>C552</f>
        <v>Citibank - Reissued Tax-Exempt Loan</v>
      </c>
      <c r="H573" s="1352"/>
      <c r="I573" s="1352"/>
      <c r="J573" s="1352"/>
      <c r="K573" s="1352"/>
      <c r="L573" s="1352"/>
      <c r="M573" s="1352"/>
      <c r="N573" s="1352"/>
      <c r="O573" s="1352"/>
      <c r="P573" s="1352"/>
      <c r="Q573" s="1352"/>
      <c r="R573" s="1352"/>
      <c r="T573" s="55" t="s">
        <v>590</v>
      </c>
      <c r="U573" t="s">
        <v>472</v>
      </c>
      <c r="Z573" s="1352" t="str">
        <f>C553</f>
        <v>Tax Credit Equity - Federal</v>
      </c>
      <c r="AA573" s="1352"/>
      <c r="AB573" s="1352"/>
      <c r="AC573" s="1352"/>
      <c r="AD573" s="1352"/>
      <c r="AE573" s="1352"/>
      <c r="AF573" s="1352"/>
      <c r="AG573" s="1352"/>
      <c r="AH573" s="1352"/>
      <c r="AI573" s="1352"/>
      <c r="AJ573" s="1352"/>
      <c r="AK573" s="135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54" t="s">
        <v>2754</v>
      </c>
      <c r="H574" s="1354"/>
      <c r="I574" s="1354"/>
      <c r="J574" s="1354"/>
      <c r="K574" s="1354"/>
      <c r="L574" s="1354"/>
      <c r="M574" s="1354"/>
      <c r="N574" s="1354"/>
      <c r="O574" s="1354"/>
      <c r="P574" s="1354"/>
      <c r="Q574" s="1354"/>
      <c r="R574" s="1354"/>
      <c r="T574" s="22"/>
      <c r="U574" t="s">
        <v>86</v>
      </c>
      <c r="Z574" s="1354" t="s">
        <v>2732</v>
      </c>
      <c r="AA574" s="1354"/>
      <c r="AB574" s="1354"/>
      <c r="AC574" s="1354"/>
      <c r="AD574" s="1354"/>
      <c r="AE574" s="1354"/>
      <c r="AF574" s="1354"/>
      <c r="AG574" s="1354"/>
      <c r="AH574" s="1354"/>
      <c r="AI574" s="1354"/>
      <c r="AJ574" s="1354"/>
      <c r="AK574" s="135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589</v>
      </c>
      <c r="G575" s="1374" t="s">
        <v>503</v>
      </c>
      <c r="H575" s="1374"/>
      <c r="I575" s="1374"/>
      <c r="J575" s="1374"/>
      <c r="K575" s="1374"/>
      <c r="L575" s="1374"/>
      <c r="M575" s="1374"/>
      <c r="N575" s="1374"/>
      <c r="O575" s="1374"/>
      <c r="P575" s="1374"/>
      <c r="Q575" s="1374"/>
      <c r="R575" s="1374"/>
      <c r="T575" s="22"/>
      <c r="U575" t="s">
        <v>589</v>
      </c>
      <c r="Z575" s="1374" t="s">
        <v>2733</v>
      </c>
      <c r="AA575" s="1374"/>
      <c r="AB575" s="1374"/>
      <c r="AC575" s="1374"/>
      <c r="AD575" s="1374"/>
      <c r="AE575" s="1374"/>
      <c r="AF575" s="1374"/>
      <c r="AG575" s="1374"/>
      <c r="AH575" s="1374"/>
      <c r="AI575" s="1374"/>
      <c r="AJ575" s="1374"/>
      <c r="AK575" s="137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74" t="s">
        <v>2755</v>
      </c>
      <c r="H576" s="1374"/>
      <c r="I576" s="1374"/>
      <c r="J576" s="1374"/>
      <c r="K576" s="1374"/>
      <c r="L576" s="1374"/>
      <c r="M576" s="1374"/>
      <c r="N576" s="1374"/>
      <c r="O576" s="1374"/>
      <c r="P576" s="1374"/>
      <c r="Q576" s="1374"/>
      <c r="R576" s="1374"/>
      <c r="T576" s="22"/>
      <c r="U576" t="s">
        <v>17</v>
      </c>
      <c r="Z576" s="1374" t="s">
        <v>2734</v>
      </c>
      <c r="AA576" s="1374"/>
      <c r="AB576" s="1374"/>
      <c r="AC576" s="1374"/>
      <c r="AD576" s="1374"/>
      <c r="AE576" s="1374"/>
      <c r="AF576" s="1374"/>
      <c r="AG576" s="1374"/>
      <c r="AH576" s="1374"/>
      <c r="AI576" s="1374"/>
      <c r="AJ576" s="1374"/>
      <c r="AK576" s="1374"/>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380" t="s">
        <v>2756</v>
      </c>
      <c r="H577" s="1380"/>
      <c r="I577" s="1380"/>
      <c r="J577" s="1380"/>
      <c r="K577" s="1380"/>
      <c r="L577" s="1380"/>
      <c r="O577" s="33" t="s">
        <v>208</v>
      </c>
      <c r="P577" s="1351"/>
      <c r="Q577" s="1351"/>
      <c r="R577" s="1351"/>
      <c r="T577" s="22"/>
      <c r="U577" t="s">
        <v>318</v>
      </c>
      <c r="Z577" s="1380" t="s">
        <v>2735</v>
      </c>
      <c r="AA577" s="1380"/>
      <c r="AB577" s="1380"/>
      <c r="AC577" s="1380"/>
      <c r="AD577" s="1380"/>
      <c r="AE577" s="1380"/>
      <c r="AH577" s="33" t="s">
        <v>208</v>
      </c>
      <c r="AI577" s="1351"/>
      <c r="AJ577" s="1351"/>
      <c r="AK577" s="135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54" t="s">
        <v>2730</v>
      </c>
      <c r="I578" s="1354"/>
      <c r="J578" s="1354"/>
      <c r="K578" s="1354"/>
      <c r="L578" s="1354"/>
      <c r="M578" s="1354"/>
      <c r="N578" s="1354"/>
      <c r="O578" s="1354"/>
      <c r="P578" s="1354"/>
      <c r="Q578" s="1354"/>
      <c r="R578" s="1354"/>
      <c r="T578" s="22"/>
      <c r="U578" t="s">
        <v>18</v>
      </c>
      <c r="AA578" s="1354" t="s">
        <v>2736</v>
      </c>
      <c r="AB578" s="1354"/>
      <c r="AC578" s="1354"/>
      <c r="AD578" s="1354"/>
      <c r="AE578" s="1354"/>
      <c r="AF578" s="1354"/>
      <c r="AG578" s="1354"/>
      <c r="AH578" s="1354"/>
      <c r="AI578" s="1354"/>
      <c r="AJ578" s="1354"/>
      <c r="AK578" s="135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75" t="s">
        <v>554</v>
      </c>
      <c r="O579" s="1375"/>
      <c r="T579" s="22"/>
      <c r="U579" t="s">
        <v>20</v>
      </c>
      <c r="AG579" s="1375" t="s">
        <v>554</v>
      </c>
      <c r="AH579" s="137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787</v>
      </c>
      <c r="B581" t="s">
        <v>472</v>
      </c>
      <c r="G581" s="1352" t="str">
        <f>C554</f>
        <v>Tax Credit Equity - State</v>
      </c>
      <c r="H581" s="1352"/>
      <c r="I581" s="1352"/>
      <c r="J581" s="1352"/>
      <c r="K581" s="1352"/>
      <c r="L581" s="1352"/>
      <c r="M581" s="1352"/>
      <c r="N581" s="1352"/>
      <c r="O581" s="1352"/>
      <c r="P581" s="1352"/>
      <c r="Q581" s="1352"/>
      <c r="R581" s="1352"/>
      <c r="T581" s="55" t="s">
        <v>593</v>
      </c>
      <c r="U581" t="s">
        <v>472</v>
      </c>
      <c r="Z581" s="1352" t="str">
        <f>C555</f>
        <v>Deferred Operating Reserve</v>
      </c>
      <c r="AA581" s="1352"/>
      <c r="AB581" s="1352"/>
      <c r="AC581" s="1352"/>
      <c r="AD581" s="1352"/>
      <c r="AE581" s="1352"/>
      <c r="AF581" s="1352"/>
      <c r="AG581" s="1352"/>
      <c r="AH581" s="1352"/>
      <c r="AI581" s="1352"/>
      <c r="AJ581" s="1352"/>
      <c r="AK581" s="135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54" t="s">
        <v>2732</v>
      </c>
      <c r="H582" s="1354"/>
      <c r="I582" s="1354"/>
      <c r="J582" s="1354"/>
      <c r="K582" s="1354"/>
      <c r="L582" s="1354"/>
      <c r="M582" s="1354"/>
      <c r="N582" s="1354"/>
      <c r="O582" s="1354"/>
      <c r="P582" s="1354"/>
      <c r="Q582" s="1354"/>
      <c r="R582" s="1354"/>
      <c r="T582" s="22"/>
      <c r="U582" t="s">
        <v>86</v>
      </c>
      <c r="Z582" s="1354" t="s">
        <v>2723</v>
      </c>
      <c r="AA582" s="1354"/>
      <c r="AB582" s="1354"/>
      <c r="AC582" s="1354"/>
      <c r="AD582" s="1354"/>
      <c r="AE582" s="1354"/>
      <c r="AF582" s="1354"/>
      <c r="AG582" s="1354"/>
      <c r="AH582" s="1354"/>
      <c r="AI582" s="1354"/>
      <c r="AJ582" s="1354"/>
      <c r="AK582" s="135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589</v>
      </c>
      <c r="G583" s="1354" t="s">
        <v>2733</v>
      </c>
      <c r="H583" s="1354"/>
      <c r="I583" s="1354"/>
      <c r="J583" s="1354"/>
      <c r="K583" s="1354"/>
      <c r="L583" s="1354"/>
      <c r="M583" s="1354"/>
      <c r="N583" s="1354"/>
      <c r="O583" s="1354"/>
      <c r="P583" s="1354"/>
      <c r="Q583" s="1354"/>
      <c r="R583" s="1354"/>
      <c r="T583" s="22"/>
      <c r="U583" t="s">
        <v>589</v>
      </c>
      <c r="Z583" s="1374" t="s">
        <v>503</v>
      </c>
      <c r="AA583" s="1374"/>
      <c r="AB583" s="1374"/>
      <c r="AC583" s="1374"/>
      <c r="AD583" s="1374"/>
      <c r="AE583" s="1374"/>
      <c r="AF583" s="1374"/>
      <c r="AG583" s="1374"/>
      <c r="AH583" s="1374"/>
      <c r="AI583" s="1374"/>
      <c r="AJ583" s="1374"/>
      <c r="AK583" s="1374"/>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54" t="s">
        <v>2734</v>
      </c>
      <c r="H584" s="1354"/>
      <c r="I584" s="1354"/>
      <c r="J584" s="1354"/>
      <c r="K584" s="1354"/>
      <c r="L584" s="1354"/>
      <c r="M584" s="1354"/>
      <c r="N584" s="1354"/>
      <c r="O584" s="1354"/>
      <c r="P584" s="1354"/>
      <c r="Q584" s="1354"/>
      <c r="R584" s="1354"/>
      <c r="T584" s="22"/>
      <c r="U584" t="s">
        <v>17</v>
      </c>
      <c r="Z584" s="1374" t="s">
        <v>2724</v>
      </c>
      <c r="AA584" s="1374"/>
      <c r="AB584" s="1374"/>
      <c r="AC584" s="1374"/>
      <c r="AD584" s="1374"/>
      <c r="AE584" s="1374"/>
      <c r="AF584" s="1374"/>
      <c r="AG584" s="1374"/>
      <c r="AH584" s="1374"/>
      <c r="AI584" s="1374"/>
      <c r="AJ584" s="1374"/>
      <c r="AK584" s="1374"/>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380" t="s">
        <v>2735</v>
      </c>
      <c r="H585" s="1380"/>
      <c r="I585" s="1380"/>
      <c r="J585" s="1380"/>
      <c r="K585" s="1380"/>
      <c r="L585" s="1380"/>
      <c r="O585" s="33" t="s">
        <v>208</v>
      </c>
      <c r="P585" s="1351"/>
      <c r="Q585" s="1351"/>
      <c r="R585" s="1351"/>
      <c r="T585" s="22"/>
      <c r="U585" t="s">
        <v>318</v>
      </c>
      <c r="Z585" s="1380" t="s">
        <v>2728</v>
      </c>
      <c r="AA585" s="1380"/>
      <c r="AB585" s="1380"/>
      <c r="AC585" s="1380"/>
      <c r="AD585" s="1380"/>
      <c r="AE585" s="1380"/>
      <c r="AH585" s="33" t="s">
        <v>208</v>
      </c>
      <c r="AI585" s="1351">
        <v>106</v>
      </c>
      <c r="AJ585" s="1351"/>
      <c r="AK585" s="135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54" t="s">
        <v>2736</v>
      </c>
      <c r="I586" s="1354"/>
      <c r="J586" s="1354"/>
      <c r="K586" s="1354"/>
      <c r="L586" s="1354"/>
      <c r="M586" s="1354"/>
      <c r="N586" s="1354"/>
      <c r="O586" s="1354"/>
      <c r="P586" s="1354"/>
      <c r="Q586" s="1354"/>
      <c r="R586" s="1354"/>
      <c r="T586" s="22"/>
      <c r="U586" t="s">
        <v>18</v>
      </c>
      <c r="AA586" s="1353" t="s">
        <v>2729</v>
      </c>
      <c r="AB586" s="1354"/>
      <c r="AC586" s="1354"/>
      <c r="AD586" s="1354"/>
      <c r="AE586" s="1354"/>
      <c r="AF586" s="1354"/>
      <c r="AG586" s="1354"/>
      <c r="AH586" s="1354"/>
      <c r="AI586" s="1354"/>
      <c r="AJ586" s="1354"/>
      <c r="AK586" s="135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75" t="s">
        <v>554</v>
      </c>
      <c r="O587" s="1375"/>
      <c r="T587" s="22"/>
      <c r="U587" t="s">
        <v>20</v>
      </c>
      <c r="AG587" s="1375" t="s">
        <v>554</v>
      </c>
      <c r="AH587" s="1375"/>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464</v>
      </c>
      <c r="B589" t="s">
        <v>472</v>
      </c>
      <c r="G589" s="1352" t="str">
        <f>C556</f>
        <v>Deferred Developer Fee &amp; Costs</v>
      </c>
      <c r="H589" s="1352"/>
      <c r="I589" s="1352"/>
      <c r="J589" s="1352"/>
      <c r="K589" s="1352"/>
      <c r="L589" s="1352"/>
      <c r="M589" s="1352"/>
      <c r="N589" s="1352"/>
      <c r="O589" s="1352"/>
      <c r="P589" s="1352"/>
      <c r="Q589" s="1352"/>
      <c r="R589" s="1352"/>
      <c r="T589" s="55" t="s">
        <v>465</v>
      </c>
      <c r="U589" t="s">
        <v>472</v>
      </c>
      <c r="Z589" s="1352">
        <f>C557</f>
        <v>0</v>
      </c>
      <c r="AA589" s="1352"/>
      <c r="AB589" s="1352"/>
      <c r="AC589" s="1352"/>
      <c r="AD589" s="1352"/>
      <c r="AE589" s="1352"/>
      <c r="AF589" s="1352"/>
      <c r="AG589" s="1352"/>
      <c r="AH589" s="1352"/>
      <c r="AI589" s="1352"/>
      <c r="AJ589" s="1352"/>
      <c r="AK589" s="135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53" t="s">
        <v>2723</v>
      </c>
      <c r="H590" s="1354"/>
      <c r="I590" s="1354"/>
      <c r="J590" s="1354"/>
      <c r="K590" s="1354"/>
      <c r="L590" s="1354"/>
      <c r="M590" s="1354"/>
      <c r="N590" s="1354"/>
      <c r="O590" s="1354"/>
      <c r="P590" s="1354"/>
      <c r="Q590" s="1354"/>
      <c r="R590" s="1354"/>
      <c r="T590" s="22"/>
      <c r="U590" t="s">
        <v>86</v>
      </c>
      <c r="Z590" s="1354"/>
      <c r="AA590" s="1354"/>
      <c r="AB590" s="1354"/>
      <c r="AC590" s="1354"/>
      <c r="AD590" s="1354"/>
      <c r="AE590" s="1354"/>
      <c r="AF590" s="1354"/>
      <c r="AG590" s="1354"/>
      <c r="AH590" s="1354"/>
      <c r="AI590" s="1354"/>
      <c r="AJ590" s="1354"/>
      <c r="AK590" s="135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589</v>
      </c>
      <c r="G591" s="1353" t="s">
        <v>503</v>
      </c>
      <c r="H591" s="1354"/>
      <c r="I591" s="1354"/>
      <c r="J591" s="1354"/>
      <c r="K591" s="1354"/>
      <c r="L591" s="1354"/>
      <c r="M591" s="1354"/>
      <c r="N591" s="1354"/>
      <c r="O591" s="1354"/>
      <c r="P591" s="1354"/>
      <c r="Q591" s="1354"/>
      <c r="R591" s="1354"/>
      <c r="T591" s="22"/>
      <c r="U591" t="s">
        <v>589</v>
      </c>
      <c r="Z591" s="1374"/>
      <c r="AA591" s="1374"/>
      <c r="AB591" s="1374"/>
      <c r="AC591" s="1374"/>
      <c r="AD591" s="1374"/>
      <c r="AE591" s="1374"/>
      <c r="AF591" s="1374"/>
      <c r="AG591" s="1374"/>
      <c r="AH591" s="1374"/>
      <c r="AI591" s="1374"/>
      <c r="AJ591" s="1374"/>
      <c r="AK591" s="1374"/>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53" t="s">
        <v>2724</v>
      </c>
      <c r="H592" s="1354"/>
      <c r="I592" s="1354"/>
      <c r="J592" s="1354"/>
      <c r="K592" s="1354"/>
      <c r="L592" s="1354"/>
      <c r="M592" s="1354"/>
      <c r="N592" s="1354"/>
      <c r="O592" s="1354"/>
      <c r="P592" s="1354"/>
      <c r="Q592" s="1354"/>
      <c r="R592" s="1354"/>
      <c r="T592" s="22"/>
      <c r="U592" t="s">
        <v>17</v>
      </c>
      <c r="Z592" s="1374"/>
      <c r="AA592" s="1374"/>
      <c r="AB592" s="1374"/>
      <c r="AC592" s="1374"/>
      <c r="AD592" s="1374"/>
      <c r="AE592" s="1374"/>
      <c r="AF592" s="1374"/>
      <c r="AG592" s="1374"/>
      <c r="AH592" s="1374"/>
      <c r="AI592" s="1374"/>
      <c r="AJ592" s="1374"/>
      <c r="AK592" s="1374"/>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624" t="s">
        <v>2728</v>
      </c>
      <c r="H593" s="1380"/>
      <c r="I593" s="1380"/>
      <c r="J593" s="1380"/>
      <c r="K593" s="1380"/>
      <c r="L593" s="1380"/>
      <c r="M593"/>
      <c r="N593"/>
      <c r="O593" s="33" t="s">
        <v>208</v>
      </c>
      <c r="P593" s="1351">
        <v>106</v>
      </c>
      <c r="Q593" s="1351"/>
      <c r="R593" s="1351"/>
      <c r="S593"/>
      <c r="T593" s="22"/>
      <c r="U593" t="s">
        <v>318</v>
      </c>
      <c r="V593"/>
      <c r="W593"/>
      <c r="X593"/>
      <c r="Y593"/>
      <c r="Z593" s="1380"/>
      <c r="AA593" s="1380"/>
      <c r="AB593" s="1380"/>
      <c r="AC593" s="1380"/>
      <c r="AD593" s="1380"/>
      <c r="AE593" s="1380"/>
      <c r="AF593"/>
      <c r="AG593"/>
      <c r="AH593" s="33" t="s">
        <v>208</v>
      </c>
      <c r="AI593" s="1351"/>
      <c r="AJ593" s="1351"/>
      <c r="AK593" s="1351"/>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53" t="s">
        <v>2722</v>
      </c>
      <c r="I594" s="1354"/>
      <c r="J594" s="1354"/>
      <c r="K594" s="1354"/>
      <c r="L594" s="1354"/>
      <c r="M594" s="1354"/>
      <c r="N594" s="1354"/>
      <c r="O594" s="1354"/>
      <c r="P594" s="1354"/>
      <c r="Q594" s="1354"/>
      <c r="R594" s="1354"/>
      <c r="S594"/>
      <c r="T594" s="22"/>
      <c r="U594" t="s">
        <v>18</v>
      </c>
      <c r="V594"/>
      <c r="W594"/>
      <c r="X594"/>
      <c r="Y594"/>
      <c r="Z594"/>
      <c r="AA594" s="1354"/>
      <c r="AB594" s="1354"/>
      <c r="AC594" s="1354"/>
      <c r="AD594" s="1354"/>
      <c r="AE594" s="1354"/>
      <c r="AF594" s="1354"/>
      <c r="AG594" s="1354"/>
      <c r="AH594" s="1354"/>
      <c r="AI594" s="1354"/>
      <c r="AJ594" s="1354"/>
      <c r="AK594" s="135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2103</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75" t="s">
        <v>554</v>
      </c>
      <c r="O595" s="1375"/>
      <c r="P595"/>
      <c r="Q595"/>
      <c r="R595"/>
      <c r="S595"/>
      <c r="T595" s="22"/>
      <c r="U595" t="s">
        <v>20</v>
      </c>
      <c r="V595"/>
      <c r="W595"/>
      <c r="X595"/>
      <c r="Y595"/>
      <c r="Z595"/>
      <c r="AA595"/>
      <c r="AB595"/>
      <c r="AC595"/>
      <c r="AD595"/>
      <c r="AE595"/>
      <c r="AF595"/>
      <c r="AG595" s="1375" t="s">
        <v>678</v>
      </c>
      <c r="AH595" s="1375"/>
      <c r="AI595"/>
      <c r="AJ595"/>
      <c r="AK595"/>
      <c r="AL595"/>
      <c r="AM595"/>
      <c r="AN595"/>
      <c r="AO595"/>
      <c r="AP595"/>
      <c r="AQ595"/>
      <c r="AR595"/>
      <c r="AS595"/>
      <c r="AT595"/>
      <c r="AU595"/>
      <c r="AV595"/>
      <c r="AW595"/>
      <c r="AX595"/>
      <c r="AY595"/>
      <c r="BA595" s="4" t="s">
        <v>326</v>
      </c>
      <c r="BB595" s="3"/>
      <c r="BC595" s="3"/>
      <c r="BD595" s="3"/>
      <c r="BE595" s="121" t="s">
        <v>483</v>
      </c>
      <c r="BF595" s="122"/>
      <c r="BG595" s="1430"/>
      <c r="BH595" s="1431"/>
      <c r="BI595" s="121" t="s">
        <v>484</v>
      </c>
      <c r="BJ595" s="122"/>
      <c r="BK595" s="1430"/>
      <c r="BL595" s="1431"/>
      <c r="BM595" s="3"/>
      <c r="BN595" s="1477" t="s">
        <v>642</v>
      </c>
      <c r="BO595" s="1478"/>
      <c r="BP595" s="1478"/>
      <c r="BQ595" s="1478"/>
      <c r="BR595" s="1479"/>
      <c r="BS595" s="1442" t="s">
        <v>327</v>
      </c>
      <c r="BT595" s="1442"/>
      <c r="BU595" s="1442"/>
      <c r="BV595" s="1442"/>
      <c r="BW595" s="1442"/>
      <c r="BX595" s="1442" t="s">
        <v>164</v>
      </c>
      <c r="BY595" s="1442"/>
      <c r="BZ595" s="1442"/>
      <c r="CA595" s="1442"/>
      <c r="CB595" s="1442"/>
      <c r="CC595" s="1442" t="s">
        <v>165</v>
      </c>
      <c r="CD595" s="1442"/>
      <c r="CE595" s="1442"/>
      <c r="CF595" s="1442"/>
      <c r="CG595" s="1442"/>
      <c r="CH595" s="1442" t="s">
        <v>469</v>
      </c>
      <c r="CI595" s="1442"/>
      <c r="CJ595" s="1442"/>
      <c r="CK595" s="1442"/>
      <c r="CL595" s="1442"/>
      <c r="CM595" s="1442" t="s">
        <v>30</v>
      </c>
      <c r="CN595" s="1442"/>
      <c r="CO595" s="1442"/>
      <c r="CP595" s="1442"/>
      <c r="CQ595" s="1442"/>
      <c r="CR595" s="89"/>
      <c r="CS595" s="1442" t="s">
        <v>642</v>
      </c>
      <c r="CT595" s="1442"/>
      <c r="CU595" s="1442"/>
      <c r="CV595" s="1442"/>
      <c r="CW595" s="1442"/>
      <c r="CX595" s="1442" t="s">
        <v>327</v>
      </c>
      <c r="CY595" s="1442"/>
      <c r="CZ595" s="1442"/>
      <c r="DA595" s="1442"/>
      <c r="DB595" s="1442"/>
      <c r="DC595" s="1442" t="s">
        <v>164</v>
      </c>
      <c r="DD595" s="1442"/>
      <c r="DE595" s="1442"/>
      <c r="DF595" s="1442"/>
      <c r="DG595" s="1442"/>
      <c r="DH595" s="1442" t="s">
        <v>165</v>
      </c>
      <c r="DI595" s="1442"/>
      <c r="DJ595" s="1442"/>
      <c r="DK595" s="1442"/>
      <c r="DL595" s="1442"/>
      <c r="DM595" s="1442" t="s">
        <v>469</v>
      </c>
      <c r="DN595" s="1442"/>
      <c r="DO595" s="1442"/>
      <c r="DP595" s="1442"/>
      <c r="DQ595" s="1442"/>
      <c r="DR595" s="1442" t="s">
        <v>30</v>
      </c>
      <c r="DS595" s="1442"/>
      <c r="DT595" s="1442"/>
      <c r="DU595" s="1442"/>
      <c r="DV595" s="1442"/>
      <c r="DX595" s="1442" t="s">
        <v>642</v>
      </c>
      <c r="DY595" s="1442"/>
      <c r="DZ595" s="1442"/>
      <c r="EA595" s="1442"/>
      <c r="EB595" s="1442"/>
      <c r="EC595" s="1442" t="s">
        <v>327</v>
      </c>
      <c r="ED595" s="1442"/>
      <c r="EE595" s="1442"/>
      <c r="EF595" s="1442"/>
      <c r="EG595" s="1442"/>
      <c r="EH595" s="1442" t="s">
        <v>164</v>
      </c>
      <c r="EI595" s="1442"/>
      <c r="EJ595" s="1442"/>
      <c r="EK595" s="1442"/>
      <c r="EL595" s="1442"/>
      <c r="EM595" s="1442" t="s">
        <v>165</v>
      </c>
      <c r="EN595" s="1442"/>
      <c r="EO595" s="1442"/>
      <c r="EP595" s="1442"/>
      <c r="EQ595" s="1442"/>
      <c r="ER595" s="1442" t="s">
        <v>469</v>
      </c>
      <c r="ES595" s="1442"/>
      <c r="ET595" s="1442"/>
      <c r="EU595" s="1442"/>
      <c r="EV595" s="1442"/>
      <c r="EW595" s="1442" t="s">
        <v>30</v>
      </c>
      <c r="EX595" s="1442"/>
      <c r="EY595" s="1442"/>
      <c r="EZ595" s="1442"/>
      <c r="FA595" s="1442"/>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4">
        <f t="shared" ref="BE596:BE620" si="1">IF(AND(AC714&lt;=0.5,AC714&gt;=0.36),1,0)</f>
        <v>0</v>
      </c>
      <c r="BF596" s="1416"/>
      <c r="BG596" s="1430">
        <f t="shared" ref="BG596:BG620" si="2">IF(BE596=1,G714,0)</f>
        <v>0</v>
      </c>
      <c r="BH596" s="1431"/>
      <c r="BI596" s="1414">
        <f t="shared" ref="BI596:BI620" si="3">IF(AND(AC714&lt;=0.35,AC714&gt;0),1,0)</f>
        <v>1</v>
      </c>
      <c r="BJ596" s="1416"/>
      <c r="BK596" s="1430">
        <f t="shared" ref="BK596:BK620" si="4">IF(BI596=1,G714,0)</f>
        <v>14</v>
      </c>
      <c r="BL596" s="1431"/>
      <c r="BM596" s="3"/>
      <c r="BN596" s="1408">
        <f t="shared" ref="BN596:BN620" si="5">IF(B714="SRO/Studio",G714,0)</f>
        <v>14</v>
      </c>
      <c r="BO596" s="1409"/>
      <c r="BP596" s="1409"/>
      <c r="BQ596" s="1409"/>
      <c r="BR596" s="1410"/>
      <c r="BS596" s="1417">
        <f t="shared" ref="BS596:BS620" si="6">IF(B714="1 Bedroom",G714,0)</f>
        <v>0</v>
      </c>
      <c r="BT596" s="1417"/>
      <c r="BU596" s="1417"/>
      <c r="BV596" s="1417"/>
      <c r="BW596" s="1417"/>
      <c r="BX596" s="1417">
        <f t="shared" ref="BX596:BX620" si="7">IF(B714="2 Bedrooms",G714,0)</f>
        <v>0</v>
      </c>
      <c r="BY596" s="1417"/>
      <c r="BZ596" s="1417"/>
      <c r="CA596" s="1417"/>
      <c r="CB596" s="1417"/>
      <c r="CC596" s="1417">
        <f t="shared" ref="CC596:CC620" si="8">IF(B714="3 Bedrooms",G714,0)</f>
        <v>0</v>
      </c>
      <c r="CD596" s="1417"/>
      <c r="CE596" s="1417"/>
      <c r="CF596" s="1417"/>
      <c r="CG596" s="1417"/>
      <c r="CH596" s="1417">
        <f t="shared" ref="CH596:CH620" si="9">IF(B714="4 Bedrooms",G714,0)</f>
        <v>0</v>
      </c>
      <c r="CI596" s="1417"/>
      <c r="CJ596" s="1417"/>
      <c r="CK596" s="1417"/>
      <c r="CL596" s="1417"/>
      <c r="CM596" s="1417">
        <f t="shared" ref="CM596:CM620" si="10">IF(B714="5 Bedrooms",G714,0)</f>
        <v>0</v>
      </c>
      <c r="CN596" s="1417"/>
      <c r="CO596" s="1417"/>
      <c r="CP596" s="1417"/>
      <c r="CQ596" s="1417"/>
      <c r="CR596" s="6"/>
      <c r="CS596" s="1418">
        <f t="shared" ref="CS596:CS620" si="11">IF(AND(B714="SRO/Studio",AC714&lt;=0.3),G714,0)</f>
        <v>14</v>
      </c>
      <c r="CT596" s="1418"/>
      <c r="CU596" s="1418"/>
      <c r="CV596" s="1418"/>
      <c r="CW596" s="1418"/>
      <c r="CX596" s="1418">
        <f t="shared" ref="CX596:CX620" si="12">IF(AND(B714="1 Bedroom",AC714&lt;=0.3),G714,0)</f>
        <v>0</v>
      </c>
      <c r="CY596" s="1418"/>
      <c r="CZ596" s="1418"/>
      <c r="DA596" s="1418"/>
      <c r="DB596" s="1418"/>
      <c r="DC596" s="1418">
        <f t="shared" ref="DC596:DC620" si="13">IF(AND(B714="2 Bedrooms",AC714&lt;=0.3),G714,0)</f>
        <v>0</v>
      </c>
      <c r="DD596" s="1418"/>
      <c r="DE596" s="1418"/>
      <c r="DF596" s="1418"/>
      <c r="DG596" s="1418"/>
      <c r="DH596" s="1418">
        <f t="shared" ref="DH596:DH620" si="14">IF(AND(B714="3 Bedrooms",AC714&lt;=0.3),G714,0)</f>
        <v>0</v>
      </c>
      <c r="DI596" s="1418"/>
      <c r="DJ596" s="1418"/>
      <c r="DK596" s="1418"/>
      <c r="DL596" s="1418"/>
      <c r="DM596" s="1418">
        <f t="shared" ref="DM596:DM620" si="15">IF(AND(B714="4 Bedrooms",AC714&lt;=0.3),G714,0)</f>
        <v>0</v>
      </c>
      <c r="DN596" s="1418"/>
      <c r="DO596" s="1418"/>
      <c r="DP596" s="1418"/>
      <c r="DQ596" s="1418"/>
      <c r="DR596" s="1418">
        <f t="shared" ref="DR596:DR620" si="16">IF(AND(B714="5 Bedrooms",AC714&lt;=0.3),G714,0)</f>
        <v>0</v>
      </c>
      <c r="DS596" s="1418"/>
      <c r="DT596" s="1418"/>
      <c r="DU596" s="1418"/>
      <c r="DV596" s="1418"/>
      <c r="DX596" s="1414">
        <f t="shared" ref="DX596:DX620" si="17">IF(BN596&gt;0,O714," ")</f>
        <v>599</v>
      </c>
      <c r="DY596" s="1415"/>
      <c r="DZ596" s="1415"/>
      <c r="EA596" s="1415"/>
      <c r="EB596" s="1416"/>
      <c r="EC596" s="1414" t="str">
        <f t="shared" ref="EC596:EC620" si="18">IF(BS596&gt;0,O714," ")</f>
        <v xml:space="preserve"> </v>
      </c>
      <c r="ED596" s="1415"/>
      <c r="EE596" s="1415"/>
      <c r="EF596" s="1415"/>
      <c r="EG596" s="1416"/>
      <c r="EH596" s="1414" t="str">
        <f t="shared" ref="EH596:EH620" si="19">IF(BX596&gt;0,O714," ")</f>
        <v xml:space="preserve"> </v>
      </c>
      <c r="EI596" s="1415"/>
      <c r="EJ596" s="1415"/>
      <c r="EK596" s="1415"/>
      <c r="EL596" s="1416"/>
      <c r="EM596" s="1414" t="str">
        <f t="shared" ref="EM596:EM620" si="20">IF(CC596&gt;0,O714," ")</f>
        <v xml:space="preserve"> </v>
      </c>
      <c r="EN596" s="1415"/>
      <c r="EO596" s="1415"/>
      <c r="EP596" s="1415"/>
      <c r="EQ596" s="1416"/>
      <c r="ER596" s="1414" t="str">
        <f t="shared" ref="ER596:ER620" si="21">IF(CH596&gt;0,O714," ")</f>
        <v xml:space="preserve"> </v>
      </c>
      <c r="ES596" s="1415"/>
      <c r="ET596" s="1415"/>
      <c r="EU596" s="1415"/>
      <c r="EV596" s="1416"/>
      <c r="EW596" s="1414" t="str">
        <f t="shared" ref="EW596:EW620" si="22">IF(CM596&gt;0,O714," ")</f>
        <v xml:space="preserve"> </v>
      </c>
      <c r="EX596" s="1415"/>
      <c r="EY596" s="1415"/>
      <c r="EZ596" s="1415"/>
      <c r="FA596" s="1416"/>
    </row>
    <row r="597" spans="1:157" s="4" customFormat="1" ht="12.95" customHeight="1">
      <c r="A597" s="55" t="s">
        <v>470</v>
      </c>
      <c r="B597" t="s">
        <v>472</v>
      </c>
      <c r="C597"/>
      <c r="D597"/>
      <c r="E597"/>
      <c r="F597"/>
      <c r="G597" s="1352">
        <f>C558</f>
        <v>0</v>
      </c>
      <c r="H597" s="1352"/>
      <c r="I597" s="1352"/>
      <c r="J597" s="1352"/>
      <c r="K597" s="1352"/>
      <c r="L597" s="1352"/>
      <c r="M597" s="1352"/>
      <c r="N597" s="1352"/>
      <c r="O597" s="1352"/>
      <c r="P597" s="1352"/>
      <c r="Q597" s="1352"/>
      <c r="R597" s="1352"/>
      <c r="S597"/>
      <c r="T597" s="55" t="s">
        <v>655</v>
      </c>
      <c r="U597" t="s">
        <v>472</v>
      </c>
      <c r="V597"/>
      <c r="W597"/>
      <c r="X597"/>
      <c r="Y597"/>
      <c r="Z597" s="1352">
        <f>C559</f>
        <v>0</v>
      </c>
      <c r="AA597" s="1352"/>
      <c r="AB597" s="1352"/>
      <c r="AC597" s="1352"/>
      <c r="AD597" s="1352"/>
      <c r="AE597" s="1352"/>
      <c r="AF597" s="1352"/>
      <c r="AG597" s="1352"/>
      <c r="AH597" s="1352"/>
      <c r="AI597" s="1352"/>
      <c r="AJ597" s="1352"/>
      <c r="AK597" s="1352"/>
      <c r="AL597"/>
      <c r="AM597"/>
      <c r="AN597"/>
      <c r="AO597"/>
      <c r="AP597"/>
      <c r="AQ597"/>
      <c r="AR597"/>
      <c r="AS597"/>
      <c r="AT597"/>
      <c r="AU597"/>
      <c r="AV597"/>
      <c r="AW597"/>
      <c r="AX597"/>
      <c r="AY597"/>
      <c r="BA597" s="4" t="s">
        <v>164</v>
      </c>
      <c r="BB597" s="3"/>
      <c r="BC597" s="3"/>
      <c r="BD597" s="3"/>
      <c r="BE597" s="1414">
        <f t="shared" si="1"/>
        <v>0</v>
      </c>
      <c r="BF597" s="1416"/>
      <c r="BG597" s="1430">
        <f t="shared" si="2"/>
        <v>0</v>
      </c>
      <c r="BH597" s="1431"/>
      <c r="BI597" s="1414">
        <f t="shared" si="3"/>
        <v>0</v>
      </c>
      <c r="BJ597" s="1416"/>
      <c r="BK597" s="1430">
        <f t="shared" si="4"/>
        <v>0</v>
      </c>
      <c r="BL597" s="1431"/>
      <c r="BM597" s="3"/>
      <c r="BN597" s="1408">
        <f t="shared" si="5"/>
        <v>26</v>
      </c>
      <c r="BO597" s="1409"/>
      <c r="BP597" s="1409"/>
      <c r="BQ597" s="1409"/>
      <c r="BR597" s="1410"/>
      <c r="BS597" s="1417">
        <f t="shared" si="6"/>
        <v>0</v>
      </c>
      <c r="BT597" s="1417"/>
      <c r="BU597" s="1417"/>
      <c r="BV597" s="1417"/>
      <c r="BW597" s="1417"/>
      <c r="BX597" s="1417">
        <f t="shared" si="7"/>
        <v>0</v>
      </c>
      <c r="BY597" s="1417"/>
      <c r="BZ597" s="1417"/>
      <c r="CA597" s="1417"/>
      <c r="CB597" s="1417"/>
      <c r="CC597" s="1417">
        <f t="shared" si="8"/>
        <v>0</v>
      </c>
      <c r="CD597" s="1417"/>
      <c r="CE597" s="1417"/>
      <c r="CF597" s="1417"/>
      <c r="CG597" s="1417"/>
      <c r="CH597" s="1417">
        <f t="shared" si="9"/>
        <v>0</v>
      </c>
      <c r="CI597" s="1417"/>
      <c r="CJ597" s="1417"/>
      <c r="CK597" s="1417"/>
      <c r="CL597" s="1417"/>
      <c r="CM597" s="1417">
        <f t="shared" si="10"/>
        <v>0</v>
      </c>
      <c r="CN597" s="1417"/>
      <c r="CO597" s="1417"/>
      <c r="CP597" s="1417"/>
      <c r="CQ597" s="1417"/>
      <c r="CR597" s="6"/>
      <c r="CS597" s="1418">
        <f t="shared" si="11"/>
        <v>0</v>
      </c>
      <c r="CT597" s="1418"/>
      <c r="CU597" s="1418"/>
      <c r="CV597" s="1418"/>
      <c r="CW597" s="1418"/>
      <c r="CX597" s="1418">
        <f t="shared" si="12"/>
        <v>0</v>
      </c>
      <c r="CY597" s="1418"/>
      <c r="CZ597" s="1418"/>
      <c r="DA597" s="1418"/>
      <c r="DB597" s="1418"/>
      <c r="DC597" s="1418">
        <f t="shared" si="13"/>
        <v>0</v>
      </c>
      <c r="DD597" s="1418"/>
      <c r="DE597" s="1418"/>
      <c r="DF597" s="1418"/>
      <c r="DG597" s="1418"/>
      <c r="DH597" s="1418">
        <f t="shared" si="14"/>
        <v>0</v>
      </c>
      <c r="DI597" s="1418"/>
      <c r="DJ597" s="1418"/>
      <c r="DK597" s="1418"/>
      <c r="DL597" s="1418"/>
      <c r="DM597" s="1418">
        <f t="shared" si="15"/>
        <v>0</v>
      </c>
      <c r="DN597" s="1418"/>
      <c r="DO597" s="1418"/>
      <c r="DP597" s="1418"/>
      <c r="DQ597" s="1418"/>
      <c r="DR597" s="1418">
        <f t="shared" si="16"/>
        <v>0</v>
      </c>
      <c r="DS597" s="1418"/>
      <c r="DT597" s="1418"/>
      <c r="DU597" s="1418"/>
      <c r="DV597" s="1418"/>
      <c r="DX597" s="1414">
        <f t="shared" si="17"/>
        <v>1432</v>
      </c>
      <c r="DY597" s="1415"/>
      <c r="DZ597" s="1415"/>
      <c r="EA597" s="1415"/>
      <c r="EB597" s="1416"/>
      <c r="EC597" s="1414" t="str">
        <f t="shared" si="18"/>
        <v xml:space="preserve"> </v>
      </c>
      <c r="ED597" s="1415"/>
      <c r="EE597" s="1415"/>
      <c r="EF597" s="1415"/>
      <c r="EG597" s="1416"/>
      <c r="EH597" s="1414" t="str">
        <f t="shared" si="19"/>
        <v xml:space="preserve"> </v>
      </c>
      <c r="EI597" s="1415"/>
      <c r="EJ597" s="1415"/>
      <c r="EK597" s="1415"/>
      <c r="EL597" s="1416"/>
      <c r="EM597" s="1414" t="str">
        <f t="shared" si="20"/>
        <v xml:space="preserve"> </v>
      </c>
      <c r="EN597" s="1415"/>
      <c r="EO597" s="1415"/>
      <c r="EP597" s="1415"/>
      <c r="EQ597" s="1416"/>
      <c r="ER597" s="1414" t="str">
        <f t="shared" si="21"/>
        <v xml:space="preserve"> </v>
      </c>
      <c r="ES597" s="1415"/>
      <c r="ET597" s="1415"/>
      <c r="EU597" s="1415"/>
      <c r="EV597" s="1416"/>
      <c r="EW597" s="1414" t="str">
        <f t="shared" si="22"/>
        <v xml:space="preserve"> </v>
      </c>
      <c r="EX597" s="1415"/>
      <c r="EY597" s="1415"/>
      <c r="EZ597" s="1415"/>
      <c r="FA597" s="1416"/>
    </row>
    <row r="598" spans="1:157" ht="12.95" customHeight="1">
      <c r="A598" s="22"/>
      <c r="B598" t="s">
        <v>86</v>
      </c>
      <c r="G598" s="1354"/>
      <c r="H598" s="1354"/>
      <c r="I598" s="1354"/>
      <c r="J598" s="1354"/>
      <c r="K598" s="1354"/>
      <c r="L598" s="1354"/>
      <c r="M598" s="1354"/>
      <c r="N598" s="1354"/>
      <c r="O598" s="1354"/>
      <c r="P598" s="1354"/>
      <c r="Q598" s="1354"/>
      <c r="R598" s="1354"/>
      <c r="T598" s="22"/>
      <c r="U598" t="s">
        <v>86</v>
      </c>
      <c r="Z598" s="1354"/>
      <c r="AA598" s="1354"/>
      <c r="AB598" s="1354"/>
      <c r="AC598" s="1354"/>
      <c r="AD598" s="1354"/>
      <c r="AE598" s="1354"/>
      <c r="AF598" s="1354"/>
      <c r="AG598" s="1354"/>
      <c r="AH598" s="1354"/>
      <c r="AI598" s="1354"/>
      <c r="AJ598" s="1354"/>
      <c r="AK598" s="1354"/>
      <c r="BA598" s="4" t="s">
        <v>165</v>
      </c>
      <c r="BB598" s="3"/>
      <c r="BC598" s="3"/>
      <c r="BD598" s="3"/>
      <c r="BE598" s="1414">
        <f t="shared" si="1"/>
        <v>0</v>
      </c>
      <c r="BF598" s="1416"/>
      <c r="BG598" s="1430">
        <f t="shared" si="2"/>
        <v>0</v>
      </c>
      <c r="BH598" s="1431"/>
      <c r="BI598" s="1414">
        <f t="shared" si="3"/>
        <v>1</v>
      </c>
      <c r="BJ598" s="1416"/>
      <c r="BK598" s="1430">
        <f t="shared" si="4"/>
        <v>13</v>
      </c>
      <c r="BL598" s="1431"/>
      <c r="BM598" s="3"/>
      <c r="BN598" s="1408">
        <f t="shared" si="5"/>
        <v>0</v>
      </c>
      <c r="BO598" s="1409"/>
      <c r="BP598" s="1409"/>
      <c r="BQ598" s="1409"/>
      <c r="BR598" s="1410"/>
      <c r="BS598" s="1417">
        <f t="shared" si="6"/>
        <v>13</v>
      </c>
      <c r="BT598" s="1417"/>
      <c r="BU598" s="1417"/>
      <c r="BV598" s="1417"/>
      <c r="BW598" s="1417"/>
      <c r="BX598" s="1417">
        <f t="shared" si="7"/>
        <v>0</v>
      </c>
      <c r="BY598" s="1417"/>
      <c r="BZ598" s="1417"/>
      <c r="CA598" s="1417"/>
      <c r="CB598" s="1417"/>
      <c r="CC598" s="1417">
        <f t="shared" si="8"/>
        <v>0</v>
      </c>
      <c r="CD598" s="1417"/>
      <c r="CE598" s="1417"/>
      <c r="CF598" s="1417"/>
      <c r="CG598" s="1417"/>
      <c r="CH598" s="1417">
        <f t="shared" si="9"/>
        <v>0</v>
      </c>
      <c r="CI598" s="1417"/>
      <c r="CJ598" s="1417"/>
      <c r="CK598" s="1417"/>
      <c r="CL598" s="1417"/>
      <c r="CM598" s="1417">
        <f t="shared" si="10"/>
        <v>0</v>
      </c>
      <c r="CN598" s="1417"/>
      <c r="CO598" s="1417"/>
      <c r="CP598" s="1417"/>
      <c r="CQ598" s="1417"/>
      <c r="CR598" s="6"/>
      <c r="CS598" s="1418">
        <f t="shared" si="11"/>
        <v>0</v>
      </c>
      <c r="CT598" s="1418"/>
      <c r="CU598" s="1418"/>
      <c r="CV598" s="1418"/>
      <c r="CW598" s="1418"/>
      <c r="CX598" s="1418">
        <f t="shared" si="12"/>
        <v>13</v>
      </c>
      <c r="CY598" s="1418"/>
      <c r="CZ598" s="1418"/>
      <c r="DA598" s="1418"/>
      <c r="DB598" s="1418"/>
      <c r="DC598" s="1418">
        <f t="shared" si="13"/>
        <v>0</v>
      </c>
      <c r="DD598" s="1418"/>
      <c r="DE598" s="1418"/>
      <c r="DF598" s="1418"/>
      <c r="DG598" s="1418"/>
      <c r="DH598" s="1418">
        <f t="shared" si="14"/>
        <v>0</v>
      </c>
      <c r="DI598" s="1418"/>
      <c r="DJ598" s="1418"/>
      <c r="DK598" s="1418"/>
      <c r="DL598" s="1418"/>
      <c r="DM598" s="1418">
        <f t="shared" si="15"/>
        <v>0</v>
      </c>
      <c r="DN598" s="1418"/>
      <c r="DO598" s="1418"/>
      <c r="DP598" s="1418"/>
      <c r="DQ598" s="1418"/>
      <c r="DR598" s="1418">
        <f t="shared" si="16"/>
        <v>0</v>
      </c>
      <c r="DS598" s="1418"/>
      <c r="DT598" s="1418"/>
      <c r="DU598" s="1418"/>
      <c r="DV598" s="1418"/>
      <c r="DX598" s="1414" t="str">
        <f t="shared" si="17"/>
        <v xml:space="preserve"> </v>
      </c>
      <c r="DY598" s="1415"/>
      <c r="DZ598" s="1415"/>
      <c r="EA598" s="1415"/>
      <c r="EB598" s="1416"/>
      <c r="EC598" s="1414">
        <f t="shared" si="18"/>
        <v>633</v>
      </c>
      <c r="ED598" s="1415"/>
      <c r="EE598" s="1415"/>
      <c r="EF598" s="1415"/>
      <c r="EG598" s="1416"/>
      <c r="EH598" s="1414" t="str">
        <f t="shared" si="19"/>
        <v xml:space="preserve"> </v>
      </c>
      <c r="EI598" s="1415"/>
      <c r="EJ598" s="1415"/>
      <c r="EK598" s="1415"/>
      <c r="EL598" s="1416"/>
      <c r="EM598" s="1414" t="str">
        <f t="shared" si="20"/>
        <v xml:space="preserve"> </v>
      </c>
      <c r="EN598" s="1415"/>
      <c r="EO598" s="1415"/>
      <c r="EP598" s="1415"/>
      <c r="EQ598" s="1416"/>
      <c r="ER598" s="1414" t="str">
        <f t="shared" si="21"/>
        <v xml:space="preserve"> </v>
      </c>
      <c r="ES598" s="1415"/>
      <c r="ET598" s="1415"/>
      <c r="EU598" s="1415"/>
      <c r="EV598" s="1416"/>
      <c r="EW598" s="1414" t="str">
        <f t="shared" si="22"/>
        <v xml:space="preserve"> </v>
      </c>
      <c r="EX598" s="1415"/>
      <c r="EY598" s="1415"/>
      <c r="EZ598" s="1415"/>
      <c r="FA598" s="1416"/>
    </row>
    <row r="599" spans="1:157" ht="12.95" customHeight="1">
      <c r="A599" s="22"/>
      <c r="B599" t="s">
        <v>589</v>
      </c>
      <c r="G599" s="1354"/>
      <c r="H599" s="1354"/>
      <c r="I599" s="1354"/>
      <c r="J599" s="1354"/>
      <c r="K599" s="1354"/>
      <c r="L599" s="1354"/>
      <c r="M599" s="1354"/>
      <c r="N599" s="1354"/>
      <c r="O599" s="1354"/>
      <c r="P599" s="1354"/>
      <c r="Q599" s="1354"/>
      <c r="R599" s="1354"/>
      <c r="T599" s="22"/>
      <c r="U599" t="s">
        <v>589</v>
      </c>
      <c r="Z599" s="1374"/>
      <c r="AA599" s="1374"/>
      <c r="AB599" s="1374"/>
      <c r="AC599" s="1374"/>
      <c r="AD599" s="1374"/>
      <c r="AE599" s="1374"/>
      <c r="AF599" s="1374"/>
      <c r="AG599" s="1374"/>
      <c r="AH599" s="1374"/>
      <c r="AI599" s="1374"/>
      <c r="AJ599" s="1374"/>
      <c r="AK599" s="1374"/>
      <c r="BA599" s="4" t="s">
        <v>166</v>
      </c>
      <c r="BB599" s="3"/>
      <c r="BC599" s="3"/>
      <c r="BD599" s="3"/>
      <c r="BE599" s="1414">
        <f t="shared" si="1"/>
        <v>0</v>
      </c>
      <c r="BF599" s="1416"/>
      <c r="BG599" s="1430">
        <f t="shared" si="2"/>
        <v>0</v>
      </c>
      <c r="BH599" s="1431"/>
      <c r="BI599" s="1414">
        <f t="shared" si="3"/>
        <v>0</v>
      </c>
      <c r="BJ599" s="1416"/>
      <c r="BK599" s="1430">
        <f t="shared" si="4"/>
        <v>0</v>
      </c>
      <c r="BL599" s="1431"/>
      <c r="BM599" s="3"/>
      <c r="BN599" s="1408">
        <f t="shared" si="5"/>
        <v>0</v>
      </c>
      <c r="BO599" s="1409"/>
      <c r="BP599" s="1409"/>
      <c r="BQ599" s="1409"/>
      <c r="BR599" s="1410"/>
      <c r="BS599" s="1417">
        <f t="shared" si="6"/>
        <v>28</v>
      </c>
      <c r="BT599" s="1417"/>
      <c r="BU599" s="1417"/>
      <c r="BV599" s="1417"/>
      <c r="BW599" s="1417"/>
      <c r="BX599" s="1417">
        <f t="shared" si="7"/>
        <v>0</v>
      </c>
      <c r="BY599" s="1417"/>
      <c r="BZ599" s="1417"/>
      <c r="CA599" s="1417"/>
      <c r="CB599" s="1417"/>
      <c r="CC599" s="1417">
        <f t="shared" si="8"/>
        <v>0</v>
      </c>
      <c r="CD599" s="1417"/>
      <c r="CE599" s="1417"/>
      <c r="CF599" s="1417"/>
      <c r="CG599" s="1417"/>
      <c r="CH599" s="1417">
        <f t="shared" si="9"/>
        <v>0</v>
      </c>
      <c r="CI599" s="1417"/>
      <c r="CJ599" s="1417"/>
      <c r="CK599" s="1417"/>
      <c r="CL599" s="1417"/>
      <c r="CM599" s="1417">
        <f t="shared" si="10"/>
        <v>0</v>
      </c>
      <c r="CN599" s="1417"/>
      <c r="CO599" s="1417"/>
      <c r="CP599" s="1417"/>
      <c r="CQ599" s="1417"/>
      <c r="CR599" s="6"/>
      <c r="CS599" s="1418">
        <f t="shared" si="11"/>
        <v>0</v>
      </c>
      <c r="CT599" s="1418"/>
      <c r="CU599" s="1418"/>
      <c r="CV599" s="1418"/>
      <c r="CW599" s="1418"/>
      <c r="CX599" s="1418">
        <f t="shared" si="12"/>
        <v>0</v>
      </c>
      <c r="CY599" s="1418"/>
      <c r="CZ599" s="1418"/>
      <c r="DA599" s="1418"/>
      <c r="DB599" s="1418"/>
      <c r="DC599" s="1418">
        <f t="shared" si="13"/>
        <v>0</v>
      </c>
      <c r="DD599" s="1418"/>
      <c r="DE599" s="1418"/>
      <c r="DF599" s="1418"/>
      <c r="DG599" s="1418"/>
      <c r="DH599" s="1418">
        <f t="shared" si="14"/>
        <v>0</v>
      </c>
      <c r="DI599" s="1418"/>
      <c r="DJ599" s="1418"/>
      <c r="DK599" s="1418"/>
      <c r="DL599" s="1418"/>
      <c r="DM599" s="1418">
        <f t="shared" si="15"/>
        <v>0</v>
      </c>
      <c r="DN599" s="1418"/>
      <c r="DO599" s="1418"/>
      <c r="DP599" s="1418"/>
      <c r="DQ599" s="1418"/>
      <c r="DR599" s="1418">
        <f t="shared" si="16"/>
        <v>0</v>
      </c>
      <c r="DS599" s="1418"/>
      <c r="DT599" s="1418"/>
      <c r="DU599" s="1418"/>
      <c r="DV599" s="1418"/>
      <c r="DX599" s="1414" t="str">
        <f t="shared" si="17"/>
        <v xml:space="preserve"> </v>
      </c>
      <c r="DY599" s="1415"/>
      <c r="DZ599" s="1415"/>
      <c r="EA599" s="1415"/>
      <c r="EB599" s="1416"/>
      <c r="EC599" s="1414">
        <f t="shared" si="18"/>
        <v>1526</v>
      </c>
      <c r="ED599" s="1415"/>
      <c r="EE599" s="1415"/>
      <c r="EF599" s="1415"/>
      <c r="EG599" s="1416"/>
      <c r="EH599" s="1414" t="str">
        <f t="shared" si="19"/>
        <v xml:space="preserve"> </v>
      </c>
      <c r="EI599" s="1415"/>
      <c r="EJ599" s="1415"/>
      <c r="EK599" s="1415"/>
      <c r="EL599" s="1416"/>
      <c r="EM599" s="1414" t="str">
        <f t="shared" si="20"/>
        <v xml:space="preserve"> </v>
      </c>
      <c r="EN599" s="1415"/>
      <c r="EO599" s="1415"/>
      <c r="EP599" s="1415"/>
      <c r="EQ599" s="1416"/>
      <c r="ER599" s="1414" t="str">
        <f t="shared" si="21"/>
        <v xml:space="preserve"> </v>
      </c>
      <c r="ES599" s="1415"/>
      <c r="ET599" s="1415"/>
      <c r="EU599" s="1415"/>
      <c r="EV599" s="1416"/>
      <c r="EW599" s="1414" t="str">
        <f t="shared" si="22"/>
        <v xml:space="preserve"> </v>
      </c>
      <c r="EX599" s="1415"/>
      <c r="EY599" s="1415"/>
      <c r="EZ599" s="1415"/>
      <c r="FA599" s="1416"/>
    </row>
    <row r="600" spans="1:157" ht="12.95" customHeight="1">
      <c r="A600" s="22"/>
      <c r="B600" t="s">
        <v>17</v>
      </c>
      <c r="G600" s="1354"/>
      <c r="H600" s="1354"/>
      <c r="I600" s="1354"/>
      <c r="J600" s="1354"/>
      <c r="K600" s="1354"/>
      <c r="L600" s="1354"/>
      <c r="M600" s="1354"/>
      <c r="N600" s="1354"/>
      <c r="O600" s="1354"/>
      <c r="P600" s="1354"/>
      <c r="Q600" s="1354"/>
      <c r="R600" s="1354"/>
      <c r="T600" s="22"/>
      <c r="U600" t="s">
        <v>17</v>
      </c>
      <c r="Z600" s="1374"/>
      <c r="AA600" s="1374"/>
      <c r="AB600" s="1374"/>
      <c r="AC600" s="1374"/>
      <c r="AD600" s="1374"/>
      <c r="AE600" s="1374"/>
      <c r="AF600" s="1374"/>
      <c r="AG600" s="1374"/>
      <c r="AH600" s="1374"/>
      <c r="AI600" s="1374"/>
      <c r="AJ600" s="1374"/>
      <c r="AK600" s="1374"/>
      <c r="BA600" s="4" t="s">
        <v>30</v>
      </c>
      <c r="BB600" s="3"/>
      <c r="BC600" s="3"/>
      <c r="BD600" s="3"/>
      <c r="BE600" s="1414">
        <f t="shared" si="1"/>
        <v>0</v>
      </c>
      <c r="BF600" s="1416"/>
      <c r="BG600" s="1430">
        <f t="shared" si="2"/>
        <v>0</v>
      </c>
      <c r="BH600" s="1431"/>
      <c r="BI600" s="1414">
        <f t="shared" si="3"/>
        <v>1</v>
      </c>
      <c r="BJ600" s="1416"/>
      <c r="BK600" s="1430">
        <f t="shared" si="4"/>
        <v>5</v>
      </c>
      <c r="BL600" s="1431"/>
      <c r="BM600" s="3"/>
      <c r="BN600" s="1408">
        <f t="shared" si="5"/>
        <v>0</v>
      </c>
      <c r="BO600" s="1409"/>
      <c r="BP600" s="1409"/>
      <c r="BQ600" s="1409"/>
      <c r="BR600" s="1410"/>
      <c r="BS600" s="1417">
        <f t="shared" si="6"/>
        <v>0</v>
      </c>
      <c r="BT600" s="1417"/>
      <c r="BU600" s="1417"/>
      <c r="BV600" s="1417"/>
      <c r="BW600" s="1417"/>
      <c r="BX600" s="1417">
        <f t="shared" si="7"/>
        <v>5</v>
      </c>
      <c r="BY600" s="1417"/>
      <c r="BZ600" s="1417"/>
      <c r="CA600" s="1417"/>
      <c r="CB600" s="1417"/>
      <c r="CC600" s="1417">
        <f t="shared" si="8"/>
        <v>0</v>
      </c>
      <c r="CD600" s="1417"/>
      <c r="CE600" s="1417"/>
      <c r="CF600" s="1417"/>
      <c r="CG600" s="1417"/>
      <c r="CH600" s="1417">
        <f t="shared" si="9"/>
        <v>0</v>
      </c>
      <c r="CI600" s="1417"/>
      <c r="CJ600" s="1417"/>
      <c r="CK600" s="1417"/>
      <c r="CL600" s="1417"/>
      <c r="CM600" s="1417">
        <f t="shared" si="10"/>
        <v>0</v>
      </c>
      <c r="CN600" s="1417"/>
      <c r="CO600" s="1417"/>
      <c r="CP600" s="1417"/>
      <c r="CQ600" s="1417"/>
      <c r="CR600" s="6"/>
      <c r="CS600" s="1418">
        <f t="shared" si="11"/>
        <v>0</v>
      </c>
      <c r="CT600" s="1418"/>
      <c r="CU600" s="1418"/>
      <c r="CV600" s="1418"/>
      <c r="CW600" s="1418"/>
      <c r="CX600" s="1418">
        <f t="shared" si="12"/>
        <v>0</v>
      </c>
      <c r="CY600" s="1418"/>
      <c r="CZ600" s="1418"/>
      <c r="DA600" s="1418"/>
      <c r="DB600" s="1418"/>
      <c r="DC600" s="1418">
        <f t="shared" si="13"/>
        <v>5</v>
      </c>
      <c r="DD600" s="1418"/>
      <c r="DE600" s="1418"/>
      <c r="DF600" s="1418"/>
      <c r="DG600" s="1418"/>
      <c r="DH600" s="1418">
        <f t="shared" si="14"/>
        <v>0</v>
      </c>
      <c r="DI600" s="1418"/>
      <c r="DJ600" s="1418"/>
      <c r="DK600" s="1418"/>
      <c r="DL600" s="1418"/>
      <c r="DM600" s="1418">
        <f t="shared" si="15"/>
        <v>0</v>
      </c>
      <c r="DN600" s="1418"/>
      <c r="DO600" s="1418"/>
      <c r="DP600" s="1418"/>
      <c r="DQ600" s="1418"/>
      <c r="DR600" s="1418">
        <f t="shared" si="16"/>
        <v>0</v>
      </c>
      <c r="DS600" s="1418"/>
      <c r="DT600" s="1418"/>
      <c r="DU600" s="1418"/>
      <c r="DV600" s="1418"/>
      <c r="DX600" s="1414" t="str">
        <f t="shared" si="17"/>
        <v xml:space="preserve"> </v>
      </c>
      <c r="DY600" s="1415"/>
      <c r="DZ600" s="1415"/>
      <c r="EA600" s="1415"/>
      <c r="EB600" s="1416"/>
      <c r="EC600" s="1414" t="str">
        <f t="shared" si="18"/>
        <v xml:space="preserve"> </v>
      </c>
      <c r="ED600" s="1415"/>
      <c r="EE600" s="1415"/>
      <c r="EF600" s="1415"/>
      <c r="EG600" s="1416"/>
      <c r="EH600" s="1414">
        <f t="shared" si="19"/>
        <v>755</v>
      </c>
      <c r="EI600" s="1415"/>
      <c r="EJ600" s="1415"/>
      <c r="EK600" s="1415"/>
      <c r="EL600" s="1416"/>
      <c r="EM600" s="1414" t="str">
        <f t="shared" si="20"/>
        <v xml:space="preserve"> </v>
      </c>
      <c r="EN600" s="1415"/>
      <c r="EO600" s="1415"/>
      <c r="EP600" s="1415"/>
      <c r="EQ600" s="1416"/>
      <c r="ER600" s="1414" t="str">
        <f t="shared" si="21"/>
        <v xml:space="preserve"> </v>
      </c>
      <c r="ES600" s="1415"/>
      <c r="ET600" s="1415"/>
      <c r="EU600" s="1415"/>
      <c r="EV600" s="1416"/>
      <c r="EW600" s="1414" t="str">
        <f t="shared" si="22"/>
        <v xml:space="preserve"> </v>
      </c>
      <c r="EX600" s="1415"/>
      <c r="EY600" s="1415"/>
      <c r="EZ600" s="1415"/>
      <c r="FA600" s="1416"/>
    </row>
    <row r="601" spans="1:157" ht="12.95" customHeight="1">
      <c r="A601" s="22"/>
      <c r="B601" t="s">
        <v>318</v>
      </c>
      <c r="G601" s="1380"/>
      <c r="H601" s="1380"/>
      <c r="I601" s="1380"/>
      <c r="J601" s="1380"/>
      <c r="K601" s="1380"/>
      <c r="L601" s="1380"/>
      <c r="O601" s="33" t="s">
        <v>208</v>
      </c>
      <c r="P601" s="1351"/>
      <c r="Q601" s="1351"/>
      <c r="R601" s="1351"/>
      <c r="T601" s="22"/>
      <c r="U601" t="s">
        <v>318</v>
      </c>
      <c r="Z601" s="1380"/>
      <c r="AA601" s="1380"/>
      <c r="AB601" s="1380"/>
      <c r="AC601" s="1380"/>
      <c r="AD601" s="1380"/>
      <c r="AE601" s="1380"/>
      <c r="AH601" s="33" t="s">
        <v>208</v>
      </c>
      <c r="AI601" s="1351"/>
      <c r="AJ601" s="1351"/>
      <c r="AK601" s="1351"/>
      <c r="AZ601" s="3"/>
      <c r="BA601" s="3"/>
      <c r="BB601" s="3"/>
      <c r="BC601" s="3"/>
      <c r="BD601" s="3"/>
      <c r="BE601" s="1414">
        <f t="shared" si="1"/>
        <v>0</v>
      </c>
      <c r="BF601" s="1416"/>
      <c r="BG601" s="1430">
        <f t="shared" si="2"/>
        <v>0</v>
      </c>
      <c r="BH601" s="1431"/>
      <c r="BI601" s="1414">
        <f t="shared" si="3"/>
        <v>0</v>
      </c>
      <c r="BJ601" s="1416"/>
      <c r="BK601" s="1430">
        <f t="shared" si="4"/>
        <v>0</v>
      </c>
      <c r="BL601" s="1431"/>
      <c r="BM601" s="3"/>
      <c r="BN601" s="1408">
        <f t="shared" si="5"/>
        <v>0</v>
      </c>
      <c r="BO601" s="1409"/>
      <c r="BP601" s="1409"/>
      <c r="BQ601" s="1409"/>
      <c r="BR601" s="1410"/>
      <c r="BS601" s="1417">
        <f t="shared" si="6"/>
        <v>0</v>
      </c>
      <c r="BT601" s="1417"/>
      <c r="BU601" s="1417"/>
      <c r="BV601" s="1417"/>
      <c r="BW601" s="1417"/>
      <c r="BX601" s="1417">
        <f t="shared" si="7"/>
        <v>9</v>
      </c>
      <c r="BY601" s="1417"/>
      <c r="BZ601" s="1417"/>
      <c r="CA601" s="1417"/>
      <c r="CB601" s="1417"/>
      <c r="CC601" s="1417">
        <f t="shared" si="8"/>
        <v>0</v>
      </c>
      <c r="CD601" s="1417"/>
      <c r="CE601" s="1417"/>
      <c r="CF601" s="1417"/>
      <c r="CG601" s="1417"/>
      <c r="CH601" s="1417">
        <f t="shared" si="9"/>
        <v>0</v>
      </c>
      <c r="CI601" s="1417"/>
      <c r="CJ601" s="1417"/>
      <c r="CK601" s="1417"/>
      <c r="CL601" s="1417"/>
      <c r="CM601" s="1417">
        <f t="shared" si="10"/>
        <v>0</v>
      </c>
      <c r="CN601" s="1417"/>
      <c r="CO601" s="1417"/>
      <c r="CP601" s="1417"/>
      <c r="CQ601" s="1417"/>
      <c r="CR601" s="6"/>
      <c r="CS601" s="1418">
        <f t="shared" si="11"/>
        <v>0</v>
      </c>
      <c r="CT601" s="1418"/>
      <c r="CU601" s="1418"/>
      <c r="CV601" s="1418"/>
      <c r="CW601" s="1418"/>
      <c r="CX601" s="1418">
        <f t="shared" si="12"/>
        <v>0</v>
      </c>
      <c r="CY601" s="1418"/>
      <c r="CZ601" s="1418"/>
      <c r="DA601" s="1418"/>
      <c r="DB601" s="1418"/>
      <c r="DC601" s="1418">
        <f t="shared" si="13"/>
        <v>0</v>
      </c>
      <c r="DD601" s="1418"/>
      <c r="DE601" s="1418"/>
      <c r="DF601" s="1418"/>
      <c r="DG601" s="1418"/>
      <c r="DH601" s="1418">
        <f t="shared" si="14"/>
        <v>0</v>
      </c>
      <c r="DI601" s="1418"/>
      <c r="DJ601" s="1418"/>
      <c r="DK601" s="1418"/>
      <c r="DL601" s="1418"/>
      <c r="DM601" s="1418">
        <f t="shared" si="15"/>
        <v>0</v>
      </c>
      <c r="DN601" s="1418"/>
      <c r="DO601" s="1418"/>
      <c r="DP601" s="1418"/>
      <c r="DQ601" s="1418"/>
      <c r="DR601" s="1418">
        <f t="shared" si="16"/>
        <v>0</v>
      </c>
      <c r="DS601" s="1418"/>
      <c r="DT601" s="1418"/>
      <c r="DU601" s="1418"/>
      <c r="DV601" s="1418"/>
      <c r="DX601" s="1414" t="str">
        <f t="shared" si="17"/>
        <v xml:space="preserve"> </v>
      </c>
      <c r="DY601" s="1415"/>
      <c r="DZ601" s="1415"/>
      <c r="EA601" s="1415"/>
      <c r="EB601" s="1416"/>
      <c r="EC601" s="1414" t="str">
        <f t="shared" si="18"/>
        <v xml:space="preserve"> </v>
      </c>
      <c r="ED601" s="1415"/>
      <c r="EE601" s="1415"/>
      <c r="EF601" s="1415"/>
      <c r="EG601" s="1416"/>
      <c r="EH601" s="1414">
        <f t="shared" si="19"/>
        <v>1559</v>
      </c>
      <c r="EI601" s="1415"/>
      <c r="EJ601" s="1415"/>
      <c r="EK601" s="1415"/>
      <c r="EL601" s="1416"/>
      <c r="EM601" s="1414" t="str">
        <f t="shared" si="20"/>
        <v xml:space="preserve"> </v>
      </c>
      <c r="EN601" s="1415"/>
      <c r="EO601" s="1415"/>
      <c r="EP601" s="1415"/>
      <c r="EQ601" s="1416"/>
      <c r="ER601" s="1414" t="str">
        <f t="shared" si="21"/>
        <v xml:space="preserve"> </v>
      </c>
      <c r="ES601" s="1415"/>
      <c r="ET601" s="1415"/>
      <c r="EU601" s="1415"/>
      <c r="EV601" s="1416"/>
      <c r="EW601" s="1414" t="str">
        <f t="shared" si="22"/>
        <v xml:space="preserve"> </v>
      </c>
      <c r="EX601" s="1415"/>
      <c r="EY601" s="1415"/>
      <c r="EZ601" s="1415"/>
      <c r="FA601" s="1416"/>
    </row>
    <row r="602" spans="1:157" ht="12.95" customHeight="1">
      <c r="A602" s="22"/>
      <c r="B602" t="s">
        <v>18</v>
      </c>
      <c r="H602" s="1354"/>
      <c r="I602" s="1354"/>
      <c r="J602" s="1354"/>
      <c r="K602" s="1354"/>
      <c r="L602" s="1354"/>
      <c r="M602" s="1354"/>
      <c r="N602" s="1354"/>
      <c r="O602" s="1354"/>
      <c r="P602" s="1354"/>
      <c r="Q602" s="1354"/>
      <c r="R602" s="1354"/>
      <c r="T602" s="22"/>
      <c r="U602" t="s">
        <v>18</v>
      </c>
      <c r="AA602" s="1354"/>
      <c r="AB602" s="1354"/>
      <c r="AC602" s="1354"/>
      <c r="AD602" s="1354"/>
      <c r="AE602" s="1354"/>
      <c r="AF602" s="1354"/>
      <c r="AG602" s="1354"/>
      <c r="AH602" s="1354"/>
      <c r="AI602" s="1354"/>
      <c r="AJ602" s="1354"/>
      <c r="AK602" s="1354"/>
      <c r="AZ602" s="3"/>
      <c r="BA602" s="3"/>
      <c r="BB602" s="3"/>
      <c r="BC602" s="3"/>
      <c r="BD602" s="3"/>
      <c r="BE602" s="1414">
        <f t="shared" si="1"/>
        <v>0</v>
      </c>
      <c r="BF602" s="1416"/>
      <c r="BG602" s="1430">
        <f t="shared" si="2"/>
        <v>0</v>
      </c>
      <c r="BH602" s="1431"/>
      <c r="BI602" s="1414">
        <f t="shared" si="3"/>
        <v>0</v>
      </c>
      <c r="BJ602" s="1416"/>
      <c r="BK602" s="1430">
        <f t="shared" si="4"/>
        <v>0</v>
      </c>
      <c r="BL602" s="1431"/>
      <c r="BM602" s="3"/>
      <c r="BN602" s="1408">
        <f t="shared" si="5"/>
        <v>0</v>
      </c>
      <c r="BO602" s="1409"/>
      <c r="BP602" s="1409"/>
      <c r="BQ602" s="1409"/>
      <c r="BR602" s="1410"/>
      <c r="BS602" s="1417">
        <f t="shared" si="6"/>
        <v>0</v>
      </c>
      <c r="BT602" s="1417"/>
      <c r="BU602" s="1417"/>
      <c r="BV602" s="1417"/>
      <c r="BW602" s="1417"/>
      <c r="BX602" s="1417">
        <f t="shared" si="7"/>
        <v>19</v>
      </c>
      <c r="BY602" s="1417"/>
      <c r="BZ602" s="1417"/>
      <c r="CA602" s="1417"/>
      <c r="CB602" s="1417"/>
      <c r="CC602" s="1417">
        <f t="shared" si="8"/>
        <v>0</v>
      </c>
      <c r="CD602" s="1417"/>
      <c r="CE602" s="1417"/>
      <c r="CF602" s="1417"/>
      <c r="CG602" s="1417"/>
      <c r="CH602" s="1417">
        <f t="shared" si="9"/>
        <v>0</v>
      </c>
      <c r="CI602" s="1417"/>
      <c r="CJ602" s="1417"/>
      <c r="CK602" s="1417"/>
      <c r="CL602" s="1417"/>
      <c r="CM602" s="1417">
        <f t="shared" si="10"/>
        <v>0</v>
      </c>
      <c r="CN602" s="1417"/>
      <c r="CO602" s="1417"/>
      <c r="CP602" s="1417"/>
      <c r="CQ602" s="1417"/>
      <c r="CR602" s="6"/>
      <c r="CS602" s="1418">
        <f t="shared" si="11"/>
        <v>0</v>
      </c>
      <c r="CT602" s="1418"/>
      <c r="CU602" s="1418"/>
      <c r="CV602" s="1418"/>
      <c r="CW602" s="1418"/>
      <c r="CX602" s="1418">
        <f t="shared" si="12"/>
        <v>0</v>
      </c>
      <c r="CY602" s="1418"/>
      <c r="CZ602" s="1418"/>
      <c r="DA602" s="1418"/>
      <c r="DB602" s="1418"/>
      <c r="DC602" s="1418">
        <f t="shared" si="13"/>
        <v>0</v>
      </c>
      <c r="DD602" s="1418"/>
      <c r="DE602" s="1418"/>
      <c r="DF602" s="1418"/>
      <c r="DG602" s="1418"/>
      <c r="DH602" s="1418">
        <f t="shared" si="14"/>
        <v>0</v>
      </c>
      <c r="DI602" s="1418"/>
      <c r="DJ602" s="1418"/>
      <c r="DK602" s="1418"/>
      <c r="DL602" s="1418"/>
      <c r="DM602" s="1418">
        <f t="shared" si="15"/>
        <v>0</v>
      </c>
      <c r="DN602" s="1418"/>
      <c r="DO602" s="1418"/>
      <c r="DP602" s="1418"/>
      <c r="DQ602" s="1418"/>
      <c r="DR602" s="1418">
        <f t="shared" si="16"/>
        <v>0</v>
      </c>
      <c r="DS602" s="1418"/>
      <c r="DT602" s="1418"/>
      <c r="DU602" s="1418"/>
      <c r="DV602" s="1418"/>
      <c r="DX602" s="1414" t="str">
        <f t="shared" si="17"/>
        <v xml:space="preserve"> </v>
      </c>
      <c r="DY602" s="1415"/>
      <c r="DZ602" s="1415"/>
      <c r="EA602" s="1415"/>
      <c r="EB602" s="1416"/>
      <c r="EC602" s="1414" t="str">
        <f t="shared" si="18"/>
        <v xml:space="preserve"> </v>
      </c>
      <c r="ED602" s="1415"/>
      <c r="EE602" s="1415"/>
      <c r="EF602" s="1415"/>
      <c r="EG602" s="1416"/>
      <c r="EH602" s="1414">
        <f t="shared" si="19"/>
        <v>1826.9999999999998</v>
      </c>
      <c r="EI602" s="1415"/>
      <c r="EJ602" s="1415"/>
      <c r="EK602" s="1415"/>
      <c r="EL602" s="1416"/>
      <c r="EM602" s="1414" t="str">
        <f t="shared" si="20"/>
        <v xml:space="preserve"> </v>
      </c>
      <c r="EN602" s="1415"/>
      <c r="EO602" s="1415"/>
      <c r="EP602" s="1415"/>
      <c r="EQ602" s="1416"/>
      <c r="ER602" s="1414" t="str">
        <f t="shared" si="21"/>
        <v xml:space="preserve"> </v>
      </c>
      <c r="ES602" s="1415"/>
      <c r="ET602" s="1415"/>
      <c r="EU602" s="1415"/>
      <c r="EV602" s="1416"/>
      <c r="EW602" s="1414" t="str">
        <f t="shared" si="22"/>
        <v xml:space="preserve"> </v>
      </c>
      <c r="EX602" s="1415"/>
      <c r="EY602" s="1415"/>
      <c r="EZ602" s="1415"/>
      <c r="FA602" s="1416"/>
    </row>
    <row r="603" spans="1:157" ht="12.95" customHeight="1">
      <c r="A603" s="22"/>
      <c r="B603" t="s">
        <v>20</v>
      </c>
      <c r="N603" s="1375" t="s">
        <v>678</v>
      </c>
      <c r="O603" s="1375"/>
      <c r="T603" s="22"/>
      <c r="U603" t="s">
        <v>20</v>
      </c>
      <c r="AG603" s="1375" t="s">
        <v>678</v>
      </c>
      <c r="AH603" s="1375"/>
      <c r="AZ603" s="3"/>
      <c r="BA603" s="3"/>
      <c r="BB603" s="3"/>
      <c r="BC603" s="3"/>
      <c r="BD603" s="3"/>
      <c r="BE603" s="1414">
        <f t="shared" si="1"/>
        <v>0</v>
      </c>
      <c r="BF603" s="1416"/>
      <c r="BG603" s="1430">
        <f t="shared" si="2"/>
        <v>0</v>
      </c>
      <c r="BH603" s="1431"/>
      <c r="BI603" s="1414">
        <f t="shared" si="3"/>
        <v>0</v>
      </c>
      <c r="BJ603" s="1416"/>
      <c r="BK603" s="1430">
        <f t="shared" si="4"/>
        <v>0</v>
      </c>
      <c r="BL603" s="1431"/>
      <c r="BM603" s="3"/>
      <c r="BN603" s="1408">
        <f t="shared" si="5"/>
        <v>0</v>
      </c>
      <c r="BO603" s="1409"/>
      <c r="BP603" s="1409"/>
      <c r="BQ603" s="1409"/>
      <c r="BR603" s="1410"/>
      <c r="BS603" s="1417">
        <f t="shared" si="6"/>
        <v>0</v>
      </c>
      <c r="BT603" s="1417"/>
      <c r="BU603" s="1417"/>
      <c r="BV603" s="1417"/>
      <c r="BW603" s="1417"/>
      <c r="BX603" s="1417">
        <f t="shared" si="7"/>
        <v>11</v>
      </c>
      <c r="BY603" s="1417"/>
      <c r="BZ603" s="1417"/>
      <c r="CA603" s="1417"/>
      <c r="CB603" s="1417"/>
      <c r="CC603" s="1417">
        <f t="shared" si="8"/>
        <v>0</v>
      </c>
      <c r="CD603" s="1417"/>
      <c r="CE603" s="1417"/>
      <c r="CF603" s="1417"/>
      <c r="CG603" s="1417"/>
      <c r="CH603" s="1417">
        <f t="shared" si="9"/>
        <v>0</v>
      </c>
      <c r="CI603" s="1417"/>
      <c r="CJ603" s="1417"/>
      <c r="CK603" s="1417"/>
      <c r="CL603" s="1417"/>
      <c r="CM603" s="1417">
        <f t="shared" si="10"/>
        <v>0</v>
      </c>
      <c r="CN603" s="1417"/>
      <c r="CO603" s="1417"/>
      <c r="CP603" s="1417"/>
      <c r="CQ603" s="1417"/>
      <c r="CR603" s="6"/>
      <c r="CS603" s="1418">
        <f t="shared" si="11"/>
        <v>0</v>
      </c>
      <c r="CT603" s="1418"/>
      <c r="CU603" s="1418"/>
      <c r="CV603" s="1418"/>
      <c r="CW603" s="1418"/>
      <c r="CX603" s="1418">
        <f t="shared" si="12"/>
        <v>0</v>
      </c>
      <c r="CY603" s="1418"/>
      <c r="CZ603" s="1418"/>
      <c r="DA603" s="1418"/>
      <c r="DB603" s="1418"/>
      <c r="DC603" s="1418">
        <f t="shared" si="13"/>
        <v>0</v>
      </c>
      <c r="DD603" s="1418"/>
      <c r="DE603" s="1418"/>
      <c r="DF603" s="1418"/>
      <c r="DG603" s="1418"/>
      <c r="DH603" s="1418">
        <f t="shared" si="14"/>
        <v>0</v>
      </c>
      <c r="DI603" s="1418"/>
      <c r="DJ603" s="1418"/>
      <c r="DK603" s="1418"/>
      <c r="DL603" s="1418"/>
      <c r="DM603" s="1418">
        <f t="shared" si="15"/>
        <v>0</v>
      </c>
      <c r="DN603" s="1418"/>
      <c r="DO603" s="1418"/>
      <c r="DP603" s="1418"/>
      <c r="DQ603" s="1418"/>
      <c r="DR603" s="1418">
        <f t="shared" si="16"/>
        <v>0</v>
      </c>
      <c r="DS603" s="1418"/>
      <c r="DT603" s="1418"/>
      <c r="DU603" s="1418"/>
      <c r="DV603" s="1418"/>
      <c r="DX603" s="1414" t="str">
        <f t="shared" si="17"/>
        <v xml:space="preserve"> </v>
      </c>
      <c r="DY603" s="1415"/>
      <c r="DZ603" s="1415"/>
      <c r="EA603" s="1415"/>
      <c r="EB603" s="1416"/>
      <c r="EC603" s="1414" t="str">
        <f t="shared" si="18"/>
        <v xml:space="preserve"> </v>
      </c>
      <c r="ED603" s="1415"/>
      <c r="EE603" s="1415"/>
      <c r="EF603" s="1415"/>
      <c r="EG603" s="1416"/>
      <c r="EH603" s="1414">
        <f t="shared" si="19"/>
        <v>2095</v>
      </c>
      <c r="EI603" s="1415"/>
      <c r="EJ603" s="1415"/>
      <c r="EK603" s="1415"/>
      <c r="EL603" s="1416"/>
      <c r="EM603" s="1414" t="str">
        <f t="shared" si="20"/>
        <v xml:space="preserve"> </v>
      </c>
      <c r="EN603" s="1415"/>
      <c r="EO603" s="1415"/>
      <c r="EP603" s="1415"/>
      <c r="EQ603" s="1416"/>
      <c r="ER603" s="1414" t="str">
        <f t="shared" si="21"/>
        <v xml:space="preserve"> </v>
      </c>
      <c r="ES603" s="1415"/>
      <c r="ET603" s="1415"/>
      <c r="EU603" s="1415"/>
      <c r="EV603" s="1416"/>
      <c r="EW603" s="1414" t="str">
        <f t="shared" si="22"/>
        <v xml:space="preserve"> </v>
      </c>
      <c r="EX603" s="1415"/>
      <c r="EY603" s="1415"/>
      <c r="EZ603" s="1415"/>
      <c r="FA603" s="1416"/>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4">
        <f t="shared" si="1"/>
        <v>0</v>
      </c>
      <c r="BF604" s="1416"/>
      <c r="BG604" s="1430">
        <f t="shared" si="2"/>
        <v>0</v>
      </c>
      <c r="BH604" s="1431"/>
      <c r="BI604" s="1414">
        <f t="shared" si="3"/>
        <v>1</v>
      </c>
      <c r="BJ604" s="1416"/>
      <c r="BK604" s="1430">
        <f t="shared" si="4"/>
        <v>5</v>
      </c>
      <c r="BL604" s="1431"/>
      <c r="BM604" s="3"/>
      <c r="BN604" s="1408">
        <f t="shared" si="5"/>
        <v>0</v>
      </c>
      <c r="BO604" s="1409"/>
      <c r="BP604" s="1409"/>
      <c r="BQ604" s="1409"/>
      <c r="BR604" s="1410"/>
      <c r="BS604" s="1417">
        <f t="shared" si="6"/>
        <v>0</v>
      </c>
      <c r="BT604" s="1417"/>
      <c r="BU604" s="1417"/>
      <c r="BV604" s="1417"/>
      <c r="BW604" s="1417"/>
      <c r="BX604" s="1417">
        <f t="shared" si="7"/>
        <v>0</v>
      </c>
      <c r="BY604" s="1417"/>
      <c r="BZ604" s="1417"/>
      <c r="CA604" s="1417"/>
      <c r="CB604" s="1417"/>
      <c r="CC604" s="1417">
        <f t="shared" si="8"/>
        <v>5</v>
      </c>
      <c r="CD604" s="1417"/>
      <c r="CE604" s="1417"/>
      <c r="CF604" s="1417"/>
      <c r="CG604" s="1417"/>
      <c r="CH604" s="1417">
        <f t="shared" si="9"/>
        <v>0</v>
      </c>
      <c r="CI604" s="1417"/>
      <c r="CJ604" s="1417"/>
      <c r="CK604" s="1417"/>
      <c r="CL604" s="1417"/>
      <c r="CM604" s="1417">
        <f t="shared" si="10"/>
        <v>0</v>
      </c>
      <c r="CN604" s="1417"/>
      <c r="CO604" s="1417"/>
      <c r="CP604" s="1417"/>
      <c r="CQ604" s="1417"/>
      <c r="CR604" s="6"/>
      <c r="CS604" s="1418">
        <f t="shared" si="11"/>
        <v>0</v>
      </c>
      <c r="CT604" s="1418"/>
      <c r="CU604" s="1418"/>
      <c r="CV604" s="1418"/>
      <c r="CW604" s="1418"/>
      <c r="CX604" s="1418">
        <f t="shared" si="12"/>
        <v>0</v>
      </c>
      <c r="CY604" s="1418"/>
      <c r="CZ604" s="1418"/>
      <c r="DA604" s="1418"/>
      <c r="DB604" s="1418"/>
      <c r="DC604" s="1418">
        <f t="shared" si="13"/>
        <v>0</v>
      </c>
      <c r="DD604" s="1418"/>
      <c r="DE604" s="1418"/>
      <c r="DF604" s="1418"/>
      <c r="DG604" s="1418"/>
      <c r="DH604" s="1418">
        <f t="shared" si="14"/>
        <v>5</v>
      </c>
      <c r="DI604" s="1418"/>
      <c r="DJ604" s="1418"/>
      <c r="DK604" s="1418"/>
      <c r="DL604" s="1418"/>
      <c r="DM604" s="1418">
        <f t="shared" si="15"/>
        <v>0</v>
      </c>
      <c r="DN604" s="1418"/>
      <c r="DO604" s="1418"/>
      <c r="DP604" s="1418"/>
      <c r="DQ604" s="1418"/>
      <c r="DR604" s="1418">
        <f t="shared" si="16"/>
        <v>0</v>
      </c>
      <c r="DS604" s="1418"/>
      <c r="DT604" s="1418"/>
      <c r="DU604" s="1418"/>
      <c r="DV604" s="1418"/>
      <c r="DX604" s="1414" t="str">
        <f t="shared" si="17"/>
        <v xml:space="preserve"> </v>
      </c>
      <c r="DY604" s="1415"/>
      <c r="DZ604" s="1415"/>
      <c r="EA604" s="1415"/>
      <c r="EB604" s="1416"/>
      <c r="EC604" s="1414" t="str">
        <f t="shared" si="18"/>
        <v xml:space="preserve"> </v>
      </c>
      <c r="ED604" s="1415"/>
      <c r="EE604" s="1415"/>
      <c r="EF604" s="1415"/>
      <c r="EG604" s="1416"/>
      <c r="EH604" s="1414" t="str">
        <f t="shared" si="19"/>
        <v xml:space="preserve"> </v>
      </c>
      <c r="EI604" s="1415"/>
      <c r="EJ604" s="1415"/>
      <c r="EK604" s="1415"/>
      <c r="EL604" s="1416"/>
      <c r="EM604" s="1414">
        <f t="shared" si="20"/>
        <v>870</v>
      </c>
      <c r="EN604" s="1415"/>
      <c r="EO604" s="1415"/>
      <c r="EP604" s="1415"/>
      <c r="EQ604" s="1416"/>
      <c r="ER604" s="1414" t="str">
        <f t="shared" si="21"/>
        <v xml:space="preserve"> </v>
      </c>
      <c r="ES604" s="1415"/>
      <c r="ET604" s="1415"/>
      <c r="EU604" s="1415"/>
      <c r="EV604" s="1416"/>
      <c r="EW604" s="1414" t="str">
        <f t="shared" si="22"/>
        <v xml:space="preserve"> </v>
      </c>
      <c r="EX604" s="1415"/>
      <c r="EY604" s="1415"/>
      <c r="EZ604" s="1415"/>
      <c r="FA604" s="1416"/>
    </row>
    <row r="605" spans="1:157" s="4" customFormat="1" ht="12.95" customHeight="1">
      <c r="A605" s="55" t="s">
        <v>364</v>
      </c>
      <c r="B605" t="s">
        <v>472</v>
      </c>
      <c r="C605"/>
      <c r="D605"/>
      <c r="E605"/>
      <c r="F605"/>
      <c r="G605" s="1352">
        <f>C560</f>
        <v>0</v>
      </c>
      <c r="H605" s="1352"/>
      <c r="I605" s="1352"/>
      <c r="J605" s="1352"/>
      <c r="K605" s="1352"/>
      <c r="L605" s="1352"/>
      <c r="M605" s="1352"/>
      <c r="N605" s="1352"/>
      <c r="O605" s="1352"/>
      <c r="P605" s="1352"/>
      <c r="Q605" s="1352"/>
      <c r="R605" s="1352"/>
      <c r="S605"/>
      <c r="T605" s="55" t="s">
        <v>365</v>
      </c>
      <c r="U605" t="s">
        <v>472</v>
      </c>
      <c r="V605"/>
      <c r="W605"/>
      <c r="X605"/>
      <c r="Y605"/>
      <c r="Z605" s="1352">
        <f>C561</f>
        <v>0</v>
      </c>
      <c r="AA605" s="1352"/>
      <c r="AB605" s="1352"/>
      <c r="AC605" s="1352"/>
      <c r="AD605" s="1352"/>
      <c r="AE605" s="1352"/>
      <c r="AF605" s="1352"/>
      <c r="AG605" s="1352"/>
      <c r="AH605" s="1352"/>
      <c r="AI605" s="1352"/>
      <c r="AJ605" s="1352"/>
      <c r="AK605" s="1352"/>
      <c r="AL605"/>
      <c r="AM605"/>
      <c r="AN605"/>
      <c r="AO605"/>
      <c r="AP605"/>
      <c r="AQ605"/>
      <c r="AR605"/>
      <c r="AS605"/>
      <c r="AT605"/>
      <c r="AU605"/>
      <c r="AV605"/>
      <c r="AW605"/>
      <c r="AX605"/>
      <c r="AY605"/>
      <c r="AZ605" s="3"/>
      <c r="BA605" s="3"/>
      <c r="BB605" s="3"/>
      <c r="BC605" s="3"/>
      <c r="BD605" s="3"/>
      <c r="BE605" s="1414">
        <f t="shared" si="1"/>
        <v>0</v>
      </c>
      <c r="BF605" s="1416"/>
      <c r="BG605" s="1430">
        <f t="shared" si="2"/>
        <v>0</v>
      </c>
      <c r="BH605" s="1431"/>
      <c r="BI605" s="1414">
        <f t="shared" si="3"/>
        <v>0</v>
      </c>
      <c r="BJ605" s="1416"/>
      <c r="BK605" s="1430">
        <f t="shared" si="4"/>
        <v>0</v>
      </c>
      <c r="BL605" s="1431"/>
      <c r="BM605" s="3"/>
      <c r="BN605" s="1408">
        <f t="shared" si="5"/>
        <v>0</v>
      </c>
      <c r="BO605" s="1409"/>
      <c r="BP605" s="1409"/>
      <c r="BQ605" s="1409"/>
      <c r="BR605" s="1410"/>
      <c r="BS605" s="1417">
        <f t="shared" si="6"/>
        <v>0</v>
      </c>
      <c r="BT605" s="1417"/>
      <c r="BU605" s="1417"/>
      <c r="BV605" s="1417"/>
      <c r="BW605" s="1417"/>
      <c r="BX605" s="1417">
        <f t="shared" si="7"/>
        <v>0</v>
      </c>
      <c r="BY605" s="1417"/>
      <c r="BZ605" s="1417"/>
      <c r="CA605" s="1417"/>
      <c r="CB605" s="1417"/>
      <c r="CC605" s="1417">
        <f t="shared" si="8"/>
        <v>25</v>
      </c>
      <c r="CD605" s="1417"/>
      <c r="CE605" s="1417"/>
      <c r="CF605" s="1417"/>
      <c r="CG605" s="1417"/>
      <c r="CH605" s="1417">
        <f t="shared" si="9"/>
        <v>0</v>
      </c>
      <c r="CI605" s="1417"/>
      <c r="CJ605" s="1417"/>
      <c r="CK605" s="1417"/>
      <c r="CL605" s="1417"/>
      <c r="CM605" s="1417">
        <f t="shared" si="10"/>
        <v>0</v>
      </c>
      <c r="CN605" s="1417"/>
      <c r="CO605" s="1417"/>
      <c r="CP605" s="1417"/>
      <c r="CQ605" s="1417"/>
      <c r="CR605" s="6"/>
      <c r="CS605" s="1418">
        <f t="shared" si="11"/>
        <v>0</v>
      </c>
      <c r="CT605" s="1418"/>
      <c r="CU605" s="1418"/>
      <c r="CV605" s="1418"/>
      <c r="CW605" s="1418"/>
      <c r="CX605" s="1418">
        <f t="shared" si="12"/>
        <v>0</v>
      </c>
      <c r="CY605" s="1418"/>
      <c r="CZ605" s="1418"/>
      <c r="DA605" s="1418"/>
      <c r="DB605" s="1418"/>
      <c r="DC605" s="1418">
        <f t="shared" si="13"/>
        <v>0</v>
      </c>
      <c r="DD605" s="1418"/>
      <c r="DE605" s="1418"/>
      <c r="DF605" s="1418"/>
      <c r="DG605" s="1418"/>
      <c r="DH605" s="1418">
        <f t="shared" si="14"/>
        <v>0</v>
      </c>
      <c r="DI605" s="1418"/>
      <c r="DJ605" s="1418"/>
      <c r="DK605" s="1418"/>
      <c r="DL605" s="1418"/>
      <c r="DM605" s="1418">
        <f t="shared" si="15"/>
        <v>0</v>
      </c>
      <c r="DN605" s="1418"/>
      <c r="DO605" s="1418"/>
      <c r="DP605" s="1418"/>
      <c r="DQ605" s="1418"/>
      <c r="DR605" s="1418">
        <f t="shared" si="16"/>
        <v>0</v>
      </c>
      <c r="DS605" s="1418"/>
      <c r="DT605" s="1418"/>
      <c r="DU605" s="1418"/>
      <c r="DV605" s="1418"/>
      <c r="DX605" s="1414" t="str">
        <f t="shared" si="17"/>
        <v xml:space="preserve"> </v>
      </c>
      <c r="DY605" s="1415"/>
      <c r="DZ605" s="1415"/>
      <c r="EA605" s="1415"/>
      <c r="EB605" s="1416"/>
      <c r="EC605" s="1414" t="str">
        <f t="shared" si="18"/>
        <v xml:space="preserve"> </v>
      </c>
      <c r="ED605" s="1415"/>
      <c r="EE605" s="1415"/>
      <c r="EF605" s="1415"/>
      <c r="EG605" s="1416"/>
      <c r="EH605" s="1414" t="str">
        <f t="shared" si="19"/>
        <v xml:space="preserve"> </v>
      </c>
      <c r="EI605" s="1415"/>
      <c r="EJ605" s="1415"/>
      <c r="EK605" s="1415"/>
      <c r="EL605" s="1416"/>
      <c r="EM605" s="1414">
        <f t="shared" si="20"/>
        <v>1799</v>
      </c>
      <c r="EN605" s="1415"/>
      <c r="EO605" s="1415"/>
      <c r="EP605" s="1415"/>
      <c r="EQ605" s="1416"/>
      <c r="ER605" s="1414" t="str">
        <f t="shared" si="21"/>
        <v xml:space="preserve"> </v>
      </c>
      <c r="ES605" s="1415"/>
      <c r="ET605" s="1415"/>
      <c r="EU605" s="1415"/>
      <c r="EV605" s="1416"/>
      <c r="EW605" s="1414" t="str">
        <f t="shared" si="22"/>
        <v xml:space="preserve"> </v>
      </c>
      <c r="EX605" s="1415"/>
      <c r="EY605" s="1415"/>
      <c r="EZ605" s="1415"/>
      <c r="FA605" s="1416"/>
    </row>
    <row r="606" spans="1:157" s="4" customFormat="1" ht="12.95" customHeight="1">
      <c r="A606"/>
      <c r="B606" t="s">
        <v>86</v>
      </c>
      <c r="C606"/>
      <c r="D606"/>
      <c r="E606"/>
      <c r="F606"/>
      <c r="G606" s="1354"/>
      <c r="H606" s="1354"/>
      <c r="I606" s="1354"/>
      <c r="J606" s="1354"/>
      <c r="K606" s="1354"/>
      <c r="L606" s="1354"/>
      <c r="M606" s="1354"/>
      <c r="N606" s="1354"/>
      <c r="O606" s="1354"/>
      <c r="P606" s="1354"/>
      <c r="Q606" s="1354"/>
      <c r="R606" s="1354"/>
      <c r="S606"/>
      <c r="T606"/>
      <c r="U606" t="s">
        <v>86</v>
      </c>
      <c r="V606"/>
      <c r="W606"/>
      <c r="X606"/>
      <c r="Y606"/>
      <c r="Z606" s="1354"/>
      <c r="AA606" s="1354"/>
      <c r="AB606" s="1354"/>
      <c r="AC606" s="1354"/>
      <c r="AD606" s="1354"/>
      <c r="AE606" s="1354"/>
      <c r="AF606" s="1354"/>
      <c r="AG606" s="1354"/>
      <c r="AH606" s="1354"/>
      <c r="AI606" s="1354"/>
      <c r="AJ606" s="1354"/>
      <c r="AK606" s="1354"/>
      <c r="AL606"/>
      <c r="AM606"/>
      <c r="AN606"/>
      <c r="AO606"/>
      <c r="AP606"/>
      <c r="AQ606"/>
      <c r="AR606"/>
      <c r="AS606"/>
      <c r="AT606"/>
      <c r="AU606"/>
      <c r="AV606"/>
      <c r="AW606"/>
      <c r="AX606"/>
      <c r="AY606"/>
      <c r="AZ606" s="3"/>
      <c r="BA606" s="3"/>
      <c r="BB606" s="3"/>
      <c r="BC606" s="3"/>
      <c r="BD606" s="3"/>
      <c r="BE606" s="1414">
        <f t="shared" si="1"/>
        <v>0</v>
      </c>
      <c r="BF606" s="1416"/>
      <c r="BG606" s="1430">
        <f t="shared" si="2"/>
        <v>0</v>
      </c>
      <c r="BH606" s="1431"/>
      <c r="BI606" s="1414">
        <f t="shared" si="3"/>
        <v>0</v>
      </c>
      <c r="BJ606" s="1416"/>
      <c r="BK606" s="1430">
        <f t="shared" si="4"/>
        <v>0</v>
      </c>
      <c r="BL606" s="1431"/>
      <c r="BM606" s="3"/>
      <c r="BN606" s="1408">
        <f t="shared" si="5"/>
        <v>0</v>
      </c>
      <c r="BO606" s="1409"/>
      <c r="BP606" s="1409"/>
      <c r="BQ606" s="1409"/>
      <c r="BR606" s="1410"/>
      <c r="BS606" s="1417">
        <f t="shared" si="6"/>
        <v>0</v>
      </c>
      <c r="BT606" s="1417"/>
      <c r="BU606" s="1417"/>
      <c r="BV606" s="1417"/>
      <c r="BW606" s="1417"/>
      <c r="BX606" s="1417">
        <f t="shared" si="7"/>
        <v>0</v>
      </c>
      <c r="BY606" s="1417"/>
      <c r="BZ606" s="1417"/>
      <c r="CA606" s="1417"/>
      <c r="CB606" s="1417"/>
      <c r="CC606" s="1417">
        <f t="shared" si="8"/>
        <v>16</v>
      </c>
      <c r="CD606" s="1417"/>
      <c r="CE606" s="1417"/>
      <c r="CF606" s="1417"/>
      <c r="CG606" s="1417"/>
      <c r="CH606" s="1417">
        <f t="shared" si="9"/>
        <v>0</v>
      </c>
      <c r="CI606" s="1417"/>
      <c r="CJ606" s="1417"/>
      <c r="CK606" s="1417"/>
      <c r="CL606" s="1417"/>
      <c r="CM606" s="1417">
        <f t="shared" si="10"/>
        <v>0</v>
      </c>
      <c r="CN606" s="1417"/>
      <c r="CO606" s="1417"/>
      <c r="CP606" s="1417"/>
      <c r="CQ606" s="1417"/>
      <c r="CR606" s="6"/>
      <c r="CS606" s="1418">
        <f t="shared" si="11"/>
        <v>0</v>
      </c>
      <c r="CT606" s="1418"/>
      <c r="CU606" s="1418"/>
      <c r="CV606" s="1418"/>
      <c r="CW606" s="1418"/>
      <c r="CX606" s="1418">
        <f t="shared" si="12"/>
        <v>0</v>
      </c>
      <c r="CY606" s="1418"/>
      <c r="CZ606" s="1418"/>
      <c r="DA606" s="1418"/>
      <c r="DB606" s="1418"/>
      <c r="DC606" s="1418">
        <f t="shared" si="13"/>
        <v>0</v>
      </c>
      <c r="DD606" s="1418"/>
      <c r="DE606" s="1418"/>
      <c r="DF606" s="1418"/>
      <c r="DG606" s="1418"/>
      <c r="DH606" s="1418">
        <f t="shared" si="14"/>
        <v>0</v>
      </c>
      <c r="DI606" s="1418"/>
      <c r="DJ606" s="1418"/>
      <c r="DK606" s="1418"/>
      <c r="DL606" s="1418"/>
      <c r="DM606" s="1418">
        <f t="shared" si="15"/>
        <v>0</v>
      </c>
      <c r="DN606" s="1418"/>
      <c r="DO606" s="1418"/>
      <c r="DP606" s="1418"/>
      <c r="DQ606" s="1418"/>
      <c r="DR606" s="1418">
        <f t="shared" si="16"/>
        <v>0</v>
      </c>
      <c r="DS606" s="1418"/>
      <c r="DT606" s="1418"/>
      <c r="DU606" s="1418"/>
      <c r="DV606" s="1418"/>
      <c r="DX606" s="1414" t="str">
        <f t="shared" si="17"/>
        <v xml:space="preserve"> </v>
      </c>
      <c r="DY606" s="1415"/>
      <c r="DZ606" s="1415"/>
      <c r="EA606" s="1415"/>
      <c r="EB606" s="1416"/>
      <c r="EC606" s="1414" t="str">
        <f t="shared" si="18"/>
        <v xml:space="preserve"> </v>
      </c>
      <c r="ED606" s="1415"/>
      <c r="EE606" s="1415"/>
      <c r="EF606" s="1415"/>
      <c r="EG606" s="1416"/>
      <c r="EH606" s="1414" t="str">
        <f t="shared" si="19"/>
        <v xml:space="preserve"> </v>
      </c>
      <c r="EI606" s="1415"/>
      <c r="EJ606" s="1415"/>
      <c r="EK606" s="1415"/>
      <c r="EL606" s="1416"/>
      <c r="EM606" s="1414">
        <f t="shared" si="20"/>
        <v>2108.1999999999998</v>
      </c>
      <c r="EN606" s="1415"/>
      <c r="EO606" s="1415"/>
      <c r="EP606" s="1415"/>
      <c r="EQ606" s="1416"/>
      <c r="ER606" s="1414" t="str">
        <f t="shared" si="21"/>
        <v xml:space="preserve"> </v>
      </c>
      <c r="ES606" s="1415"/>
      <c r="ET606" s="1415"/>
      <c r="EU606" s="1415"/>
      <c r="EV606" s="1416"/>
      <c r="EW606" s="1414" t="str">
        <f t="shared" si="22"/>
        <v xml:space="preserve"> </v>
      </c>
      <c r="EX606" s="1415"/>
      <c r="EY606" s="1415"/>
      <c r="EZ606" s="1415"/>
      <c r="FA606" s="1416"/>
    </row>
    <row r="607" spans="1:157" ht="12.95" customHeight="1">
      <c r="B607" t="s">
        <v>589</v>
      </c>
      <c r="G607" s="1354"/>
      <c r="H607" s="1354"/>
      <c r="I607" s="1354"/>
      <c r="J607" s="1354"/>
      <c r="K607" s="1354"/>
      <c r="L607" s="1354"/>
      <c r="M607" s="1354"/>
      <c r="N607" s="1354"/>
      <c r="O607" s="1354"/>
      <c r="P607" s="1354"/>
      <c r="Q607" s="1354"/>
      <c r="R607" s="1354"/>
      <c r="U607" t="s">
        <v>589</v>
      </c>
      <c r="Z607" s="1374"/>
      <c r="AA607" s="1374"/>
      <c r="AB607" s="1374"/>
      <c r="AC607" s="1374"/>
      <c r="AD607" s="1374"/>
      <c r="AE607" s="1374"/>
      <c r="AF607" s="1374"/>
      <c r="AG607" s="1374"/>
      <c r="AH607" s="1374"/>
      <c r="AI607" s="1374"/>
      <c r="AJ607" s="1374"/>
      <c r="AK607" s="1374"/>
      <c r="AZ607" s="3"/>
      <c r="BA607" s="3"/>
      <c r="BB607" s="3"/>
      <c r="BC607" s="3"/>
      <c r="BD607" s="3"/>
      <c r="BE607" s="1414">
        <f t="shared" si="1"/>
        <v>0</v>
      </c>
      <c r="BF607" s="1416"/>
      <c r="BG607" s="1430">
        <f t="shared" si="2"/>
        <v>0</v>
      </c>
      <c r="BH607" s="1431"/>
      <c r="BI607" s="1414">
        <f t="shared" si="3"/>
        <v>0</v>
      </c>
      <c r="BJ607" s="1416"/>
      <c r="BK607" s="1430">
        <f t="shared" si="4"/>
        <v>0</v>
      </c>
      <c r="BL607" s="1431"/>
      <c r="BM607" s="3"/>
      <c r="BN607" s="1408">
        <f t="shared" si="5"/>
        <v>0</v>
      </c>
      <c r="BO607" s="1409"/>
      <c r="BP607" s="1409"/>
      <c r="BQ607" s="1409"/>
      <c r="BR607" s="1410"/>
      <c r="BS607" s="1417">
        <f t="shared" si="6"/>
        <v>0</v>
      </c>
      <c r="BT607" s="1417"/>
      <c r="BU607" s="1417"/>
      <c r="BV607" s="1417"/>
      <c r="BW607" s="1417"/>
      <c r="BX607" s="1417">
        <f t="shared" si="7"/>
        <v>0</v>
      </c>
      <c r="BY607" s="1417"/>
      <c r="BZ607" s="1417"/>
      <c r="CA607" s="1417"/>
      <c r="CB607" s="1417"/>
      <c r="CC607" s="1417">
        <f t="shared" si="8"/>
        <v>0</v>
      </c>
      <c r="CD607" s="1417"/>
      <c r="CE607" s="1417"/>
      <c r="CF607" s="1417"/>
      <c r="CG607" s="1417"/>
      <c r="CH607" s="1417">
        <f t="shared" si="9"/>
        <v>0</v>
      </c>
      <c r="CI607" s="1417"/>
      <c r="CJ607" s="1417"/>
      <c r="CK607" s="1417"/>
      <c r="CL607" s="1417"/>
      <c r="CM607" s="1417">
        <f t="shared" si="10"/>
        <v>0</v>
      </c>
      <c r="CN607" s="1417"/>
      <c r="CO607" s="1417"/>
      <c r="CP607" s="1417"/>
      <c r="CQ607" s="1417"/>
      <c r="CR607" s="6"/>
      <c r="CS607" s="1418">
        <f t="shared" si="11"/>
        <v>0</v>
      </c>
      <c r="CT607" s="1418"/>
      <c r="CU607" s="1418"/>
      <c r="CV607" s="1418"/>
      <c r="CW607" s="1418"/>
      <c r="CX607" s="1418">
        <f t="shared" si="12"/>
        <v>0</v>
      </c>
      <c r="CY607" s="1418"/>
      <c r="CZ607" s="1418"/>
      <c r="DA607" s="1418"/>
      <c r="DB607" s="1418"/>
      <c r="DC607" s="1418">
        <f t="shared" si="13"/>
        <v>0</v>
      </c>
      <c r="DD607" s="1418"/>
      <c r="DE607" s="1418"/>
      <c r="DF607" s="1418"/>
      <c r="DG607" s="1418"/>
      <c r="DH607" s="1418">
        <f t="shared" si="14"/>
        <v>0</v>
      </c>
      <c r="DI607" s="1418"/>
      <c r="DJ607" s="1418"/>
      <c r="DK607" s="1418"/>
      <c r="DL607" s="1418"/>
      <c r="DM607" s="1418">
        <f t="shared" si="15"/>
        <v>0</v>
      </c>
      <c r="DN607" s="1418"/>
      <c r="DO607" s="1418"/>
      <c r="DP607" s="1418"/>
      <c r="DQ607" s="1418"/>
      <c r="DR607" s="1418">
        <f t="shared" si="16"/>
        <v>0</v>
      </c>
      <c r="DS607" s="1418"/>
      <c r="DT607" s="1418"/>
      <c r="DU607" s="1418"/>
      <c r="DV607" s="1418"/>
      <c r="DX607" s="1414" t="str">
        <f t="shared" si="17"/>
        <v xml:space="preserve"> </v>
      </c>
      <c r="DY607" s="1415"/>
      <c r="DZ607" s="1415"/>
      <c r="EA607" s="1415"/>
      <c r="EB607" s="1416"/>
      <c r="EC607" s="1414" t="str">
        <f t="shared" si="18"/>
        <v xml:space="preserve"> </v>
      </c>
      <c r="ED607" s="1415"/>
      <c r="EE607" s="1415"/>
      <c r="EF607" s="1415"/>
      <c r="EG607" s="1416"/>
      <c r="EH607" s="1414" t="str">
        <f t="shared" si="19"/>
        <v xml:space="preserve"> </v>
      </c>
      <c r="EI607" s="1415"/>
      <c r="EJ607" s="1415"/>
      <c r="EK607" s="1415"/>
      <c r="EL607" s="1416"/>
      <c r="EM607" s="1414" t="str">
        <f t="shared" si="20"/>
        <v xml:space="preserve"> </v>
      </c>
      <c r="EN607" s="1415"/>
      <c r="EO607" s="1415"/>
      <c r="EP607" s="1415"/>
      <c r="EQ607" s="1416"/>
      <c r="ER607" s="1414" t="str">
        <f t="shared" si="21"/>
        <v xml:space="preserve"> </v>
      </c>
      <c r="ES607" s="1415"/>
      <c r="ET607" s="1415"/>
      <c r="EU607" s="1415"/>
      <c r="EV607" s="1416"/>
      <c r="EW607" s="1414" t="str">
        <f t="shared" si="22"/>
        <v xml:space="preserve"> </v>
      </c>
      <c r="EX607" s="1415"/>
      <c r="EY607" s="1415"/>
      <c r="EZ607" s="1415"/>
      <c r="FA607" s="1416"/>
    </row>
    <row r="608" spans="1:157" ht="12.95" customHeight="1">
      <c r="B608" t="s">
        <v>17</v>
      </c>
      <c r="G608" s="1354"/>
      <c r="H608" s="1354"/>
      <c r="I608" s="1354"/>
      <c r="J608" s="1354"/>
      <c r="K608" s="1354"/>
      <c r="L608" s="1354"/>
      <c r="M608" s="1354"/>
      <c r="N608" s="1354"/>
      <c r="O608" s="1354"/>
      <c r="P608" s="1354"/>
      <c r="Q608" s="1354"/>
      <c r="R608" s="1354"/>
      <c r="U608" t="s">
        <v>17</v>
      </c>
      <c r="Z608" s="1374"/>
      <c r="AA608" s="1374"/>
      <c r="AB608" s="1374"/>
      <c r="AC608" s="1374"/>
      <c r="AD608" s="1374"/>
      <c r="AE608" s="1374"/>
      <c r="AF608" s="1374"/>
      <c r="AG608" s="1374"/>
      <c r="AH608" s="1374"/>
      <c r="AI608" s="1374"/>
      <c r="AJ608" s="1374"/>
      <c r="AK608" s="1374"/>
      <c r="AZ608" s="3"/>
      <c r="BA608" s="3"/>
      <c r="BB608" s="3"/>
      <c r="BC608" s="3"/>
      <c r="BD608" s="3"/>
      <c r="BE608" s="1414">
        <f t="shared" si="1"/>
        <v>0</v>
      </c>
      <c r="BF608" s="1416"/>
      <c r="BG608" s="1430">
        <f t="shared" si="2"/>
        <v>0</v>
      </c>
      <c r="BH608" s="1431"/>
      <c r="BI608" s="1414">
        <f t="shared" si="3"/>
        <v>0</v>
      </c>
      <c r="BJ608" s="1416"/>
      <c r="BK608" s="1430">
        <f t="shared" si="4"/>
        <v>0</v>
      </c>
      <c r="BL608" s="1431"/>
      <c r="BM608" s="3"/>
      <c r="BN608" s="1408">
        <f t="shared" si="5"/>
        <v>0</v>
      </c>
      <c r="BO608" s="1409"/>
      <c r="BP608" s="1409"/>
      <c r="BQ608" s="1409"/>
      <c r="BR608" s="1410"/>
      <c r="BS608" s="1417">
        <f t="shared" si="6"/>
        <v>0</v>
      </c>
      <c r="BT608" s="1417"/>
      <c r="BU608" s="1417"/>
      <c r="BV608" s="1417"/>
      <c r="BW608" s="1417"/>
      <c r="BX608" s="1417">
        <f t="shared" si="7"/>
        <v>0</v>
      </c>
      <c r="BY608" s="1417"/>
      <c r="BZ608" s="1417"/>
      <c r="CA608" s="1417"/>
      <c r="CB608" s="1417"/>
      <c r="CC608" s="1417">
        <f t="shared" si="8"/>
        <v>0</v>
      </c>
      <c r="CD608" s="1417"/>
      <c r="CE608" s="1417"/>
      <c r="CF608" s="1417"/>
      <c r="CG608" s="1417"/>
      <c r="CH608" s="1417">
        <f t="shared" si="9"/>
        <v>0</v>
      </c>
      <c r="CI608" s="1417"/>
      <c r="CJ608" s="1417"/>
      <c r="CK608" s="1417"/>
      <c r="CL608" s="1417"/>
      <c r="CM608" s="1417">
        <f t="shared" si="10"/>
        <v>0</v>
      </c>
      <c r="CN608" s="1417"/>
      <c r="CO608" s="1417"/>
      <c r="CP608" s="1417"/>
      <c r="CQ608" s="1417"/>
      <c r="CR608" s="6"/>
      <c r="CS608" s="1418">
        <f t="shared" si="11"/>
        <v>0</v>
      </c>
      <c r="CT608" s="1418"/>
      <c r="CU608" s="1418"/>
      <c r="CV608" s="1418"/>
      <c r="CW608" s="1418"/>
      <c r="CX608" s="1418">
        <f t="shared" si="12"/>
        <v>0</v>
      </c>
      <c r="CY608" s="1418"/>
      <c r="CZ608" s="1418"/>
      <c r="DA608" s="1418"/>
      <c r="DB608" s="1418"/>
      <c r="DC608" s="1418">
        <f t="shared" si="13"/>
        <v>0</v>
      </c>
      <c r="DD608" s="1418"/>
      <c r="DE608" s="1418"/>
      <c r="DF608" s="1418"/>
      <c r="DG608" s="1418"/>
      <c r="DH608" s="1418">
        <f t="shared" si="14"/>
        <v>0</v>
      </c>
      <c r="DI608" s="1418"/>
      <c r="DJ608" s="1418"/>
      <c r="DK608" s="1418"/>
      <c r="DL608" s="1418"/>
      <c r="DM608" s="1418">
        <f t="shared" si="15"/>
        <v>0</v>
      </c>
      <c r="DN608" s="1418"/>
      <c r="DO608" s="1418"/>
      <c r="DP608" s="1418"/>
      <c r="DQ608" s="1418"/>
      <c r="DR608" s="1418">
        <f t="shared" si="16"/>
        <v>0</v>
      </c>
      <c r="DS608" s="1418"/>
      <c r="DT608" s="1418"/>
      <c r="DU608" s="1418"/>
      <c r="DV608" s="1418"/>
      <c r="DX608" s="1414" t="str">
        <f t="shared" si="17"/>
        <v xml:space="preserve"> </v>
      </c>
      <c r="DY608" s="1415"/>
      <c r="DZ608" s="1415"/>
      <c r="EA608" s="1415"/>
      <c r="EB608" s="1416"/>
      <c r="EC608" s="1414" t="str">
        <f t="shared" si="18"/>
        <v xml:space="preserve"> </v>
      </c>
      <c r="ED608" s="1415"/>
      <c r="EE608" s="1415"/>
      <c r="EF608" s="1415"/>
      <c r="EG608" s="1416"/>
      <c r="EH608" s="1414" t="str">
        <f t="shared" si="19"/>
        <v xml:space="preserve"> </v>
      </c>
      <c r="EI608" s="1415"/>
      <c r="EJ608" s="1415"/>
      <c r="EK608" s="1415"/>
      <c r="EL608" s="1416"/>
      <c r="EM608" s="1414" t="str">
        <f t="shared" si="20"/>
        <v xml:space="preserve"> </v>
      </c>
      <c r="EN608" s="1415"/>
      <c r="EO608" s="1415"/>
      <c r="EP608" s="1415"/>
      <c r="EQ608" s="1416"/>
      <c r="ER608" s="1414" t="str">
        <f t="shared" si="21"/>
        <v xml:space="preserve"> </v>
      </c>
      <c r="ES608" s="1415"/>
      <c r="ET608" s="1415"/>
      <c r="EU608" s="1415"/>
      <c r="EV608" s="1416"/>
      <c r="EW608" s="1414" t="str">
        <f t="shared" si="22"/>
        <v xml:space="preserve"> </v>
      </c>
      <c r="EX608" s="1415"/>
      <c r="EY608" s="1415"/>
      <c r="EZ608" s="1415"/>
      <c r="FA608" s="1416"/>
    </row>
    <row r="609" spans="1:157" ht="12.95" customHeight="1">
      <c r="B609" t="s">
        <v>318</v>
      </c>
      <c r="G609" s="1380"/>
      <c r="H609" s="1380"/>
      <c r="I609" s="1380"/>
      <c r="J609" s="1380"/>
      <c r="K609" s="1380"/>
      <c r="L609" s="1380"/>
      <c r="O609" s="33" t="s">
        <v>208</v>
      </c>
      <c r="P609" s="1351"/>
      <c r="Q609" s="1351"/>
      <c r="R609" s="1351"/>
      <c r="U609" t="s">
        <v>318</v>
      </c>
      <c r="Z609" s="1380"/>
      <c r="AA609" s="1380"/>
      <c r="AB609" s="1380"/>
      <c r="AC609" s="1380"/>
      <c r="AD609" s="1380"/>
      <c r="AE609" s="1380"/>
      <c r="AH609" s="33" t="s">
        <v>208</v>
      </c>
      <c r="AI609" s="1351"/>
      <c r="AJ609" s="1351"/>
      <c r="AK609" s="1351"/>
      <c r="AZ609" s="3"/>
      <c r="BA609" s="3"/>
      <c r="BB609" s="3"/>
      <c r="BC609" s="3"/>
      <c r="BD609" s="3"/>
      <c r="BE609" s="1414">
        <f t="shared" si="1"/>
        <v>0</v>
      </c>
      <c r="BF609" s="1416"/>
      <c r="BG609" s="1430">
        <f t="shared" si="2"/>
        <v>0</v>
      </c>
      <c r="BH609" s="1431"/>
      <c r="BI609" s="1414">
        <f t="shared" si="3"/>
        <v>0</v>
      </c>
      <c r="BJ609" s="1416"/>
      <c r="BK609" s="1430">
        <f t="shared" si="4"/>
        <v>0</v>
      </c>
      <c r="BL609" s="1431"/>
      <c r="BM609" s="3"/>
      <c r="BN609" s="1408">
        <f t="shared" si="5"/>
        <v>0</v>
      </c>
      <c r="BO609" s="1409"/>
      <c r="BP609" s="1409"/>
      <c r="BQ609" s="1409"/>
      <c r="BR609" s="1410"/>
      <c r="BS609" s="1417">
        <f t="shared" si="6"/>
        <v>0</v>
      </c>
      <c r="BT609" s="1417"/>
      <c r="BU609" s="1417"/>
      <c r="BV609" s="1417"/>
      <c r="BW609" s="1417"/>
      <c r="BX609" s="1417">
        <f t="shared" si="7"/>
        <v>0</v>
      </c>
      <c r="BY609" s="1417"/>
      <c r="BZ609" s="1417"/>
      <c r="CA609" s="1417"/>
      <c r="CB609" s="1417"/>
      <c r="CC609" s="1417">
        <f t="shared" si="8"/>
        <v>0</v>
      </c>
      <c r="CD609" s="1417"/>
      <c r="CE609" s="1417"/>
      <c r="CF609" s="1417"/>
      <c r="CG609" s="1417"/>
      <c r="CH609" s="1417">
        <f t="shared" si="9"/>
        <v>0</v>
      </c>
      <c r="CI609" s="1417"/>
      <c r="CJ609" s="1417"/>
      <c r="CK609" s="1417"/>
      <c r="CL609" s="1417"/>
      <c r="CM609" s="1417">
        <f t="shared" si="10"/>
        <v>0</v>
      </c>
      <c r="CN609" s="1417"/>
      <c r="CO609" s="1417"/>
      <c r="CP609" s="1417"/>
      <c r="CQ609" s="1417"/>
      <c r="CR609" s="6"/>
      <c r="CS609" s="1418">
        <f t="shared" si="11"/>
        <v>0</v>
      </c>
      <c r="CT609" s="1418"/>
      <c r="CU609" s="1418"/>
      <c r="CV609" s="1418"/>
      <c r="CW609" s="1418"/>
      <c r="CX609" s="1418">
        <f t="shared" si="12"/>
        <v>0</v>
      </c>
      <c r="CY609" s="1418"/>
      <c r="CZ609" s="1418"/>
      <c r="DA609" s="1418"/>
      <c r="DB609" s="1418"/>
      <c r="DC609" s="1418">
        <f t="shared" si="13"/>
        <v>0</v>
      </c>
      <c r="DD609" s="1418"/>
      <c r="DE609" s="1418"/>
      <c r="DF609" s="1418"/>
      <c r="DG609" s="1418"/>
      <c r="DH609" s="1418">
        <f t="shared" si="14"/>
        <v>0</v>
      </c>
      <c r="DI609" s="1418"/>
      <c r="DJ609" s="1418"/>
      <c r="DK609" s="1418"/>
      <c r="DL609" s="1418"/>
      <c r="DM609" s="1418">
        <f t="shared" si="15"/>
        <v>0</v>
      </c>
      <c r="DN609" s="1418"/>
      <c r="DO609" s="1418"/>
      <c r="DP609" s="1418"/>
      <c r="DQ609" s="1418"/>
      <c r="DR609" s="1418">
        <f t="shared" si="16"/>
        <v>0</v>
      </c>
      <c r="DS609" s="1418"/>
      <c r="DT609" s="1418"/>
      <c r="DU609" s="1418"/>
      <c r="DV609" s="1418"/>
      <c r="DX609" s="1414" t="str">
        <f t="shared" si="17"/>
        <v xml:space="preserve"> </v>
      </c>
      <c r="DY609" s="1415"/>
      <c r="DZ609" s="1415"/>
      <c r="EA609" s="1415"/>
      <c r="EB609" s="1416"/>
      <c r="EC609" s="1414" t="str">
        <f t="shared" si="18"/>
        <v xml:space="preserve"> </v>
      </c>
      <c r="ED609" s="1415"/>
      <c r="EE609" s="1415"/>
      <c r="EF609" s="1415"/>
      <c r="EG609" s="1416"/>
      <c r="EH609" s="1414" t="str">
        <f t="shared" si="19"/>
        <v xml:space="preserve"> </v>
      </c>
      <c r="EI609" s="1415"/>
      <c r="EJ609" s="1415"/>
      <c r="EK609" s="1415"/>
      <c r="EL609" s="1416"/>
      <c r="EM609" s="1414" t="str">
        <f t="shared" si="20"/>
        <v xml:space="preserve"> </v>
      </c>
      <c r="EN609" s="1415"/>
      <c r="EO609" s="1415"/>
      <c r="EP609" s="1415"/>
      <c r="EQ609" s="1416"/>
      <c r="ER609" s="1414" t="str">
        <f t="shared" si="21"/>
        <v xml:space="preserve"> </v>
      </c>
      <c r="ES609" s="1415"/>
      <c r="ET609" s="1415"/>
      <c r="EU609" s="1415"/>
      <c r="EV609" s="1416"/>
      <c r="EW609" s="1414" t="str">
        <f t="shared" si="22"/>
        <v xml:space="preserve"> </v>
      </c>
      <c r="EX609" s="1415"/>
      <c r="EY609" s="1415"/>
      <c r="EZ609" s="1415"/>
      <c r="FA609" s="1416"/>
    </row>
    <row r="610" spans="1:157" ht="12.95" customHeight="1">
      <c r="B610" t="s">
        <v>18</v>
      </c>
      <c r="H610" s="1354"/>
      <c r="I610" s="1354"/>
      <c r="J610" s="1354"/>
      <c r="K610" s="1354"/>
      <c r="L610" s="1354"/>
      <c r="M610" s="1354"/>
      <c r="N610" s="1354"/>
      <c r="O610" s="1354"/>
      <c r="P610" s="1354"/>
      <c r="Q610" s="1354"/>
      <c r="R610" s="1354"/>
      <c r="U610" t="s">
        <v>18</v>
      </c>
      <c r="AA610" s="1354"/>
      <c r="AB610" s="1354"/>
      <c r="AC610" s="1354"/>
      <c r="AD610" s="1354"/>
      <c r="AE610" s="1354"/>
      <c r="AF610" s="1354"/>
      <c r="AG610" s="1354"/>
      <c r="AH610" s="1354"/>
      <c r="AI610" s="1354"/>
      <c r="AJ610" s="1354"/>
      <c r="AK610" s="1354"/>
      <c r="AZ610" s="3"/>
      <c r="BA610" s="3"/>
      <c r="BB610" s="3"/>
      <c r="BC610" s="3"/>
      <c r="BD610" s="3"/>
      <c r="BE610" s="1414">
        <f t="shared" si="1"/>
        <v>0</v>
      </c>
      <c r="BF610" s="1416"/>
      <c r="BG610" s="1430">
        <f t="shared" si="2"/>
        <v>0</v>
      </c>
      <c r="BH610" s="1431"/>
      <c r="BI610" s="1414">
        <f t="shared" si="3"/>
        <v>0</v>
      </c>
      <c r="BJ610" s="1416"/>
      <c r="BK610" s="1430">
        <f t="shared" si="4"/>
        <v>0</v>
      </c>
      <c r="BL610" s="1431"/>
      <c r="BM610" s="3"/>
      <c r="BN610" s="1408">
        <f t="shared" si="5"/>
        <v>0</v>
      </c>
      <c r="BO610" s="1409"/>
      <c r="BP610" s="1409"/>
      <c r="BQ610" s="1409"/>
      <c r="BR610" s="1410"/>
      <c r="BS610" s="1417">
        <f t="shared" si="6"/>
        <v>0</v>
      </c>
      <c r="BT610" s="1417"/>
      <c r="BU610" s="1417"/>
      <c r="BV610" s="1417"/>
      <c r="BW610" s="1417"/>
      <c r="BX610" s="1417">
        <f t="shared" si="7"/>
        <v>0</v>
      </c>
      <c r="BY610" s="1417"/>
      <c r="BZ610" s="1417"/>
      <c r="CA610" s="1417"/>
      <c r="CB610" s="1417"/>
      <c r="CC610" s="1417">
        <f t="shared" si="8"/>
        <v>0</v>
      </c>
      <c r="CD610" s="1417"/>
      <c r="CE610" s="1417"/>
      <c r="CF610" s="1417"/>
      <c r="CG610" s="1417"/>
      <c r="CH610" s="1417">
        <f t="shared" si="9"/>
        <v>0</v>
      </c>
      <c r="CI610" s="1417"/>
      <c r="CJ610" s="1417"/>
      <c r="CK610" s="1417"/>
      <c r="CL610" s="1417"/>
      <c r="CM610" s="1417">
        <f t="shared" si="10"/>
        <v>0</v>
      </c>
      <c r="CN610" s="1417"/>
      <c r="CO610" s="1417"/>
      <c r="CP610" s="1417"/>
      <c r="CQ610" s="1417"/>
      <c r="CR610" s="6"/>
      <c r="CS610" s="1418">
        <f t="shared" si="11"/>
        <v>0</v>
      </c>
      <c r="CT610" s="1418"/>
      <c r="CU610" s="1418"/>
      <c r="CV610" s="1418"/>
      <c r="CW610" s="1418"/>
      <c r="CX610" s="1418">
        <f t="shared" si="12"/>
        <v>0</v>
      </c>
      <c r="CY610" s="1418"/>
      <c r="CZ610" s="1418"/>
      <c r="DA610" s="1418"/>
      <c r="DB610" s="1418"/>
      <c r="DC610" s="1418">
        <f t="shared" si="13"/>
        <v>0</v>
      </c>
      <c r="DD610" s="1418"/>
      <c r="DE610" s="1418"/>
      <c r="DF610" s="1418"/>
      <c r="DG610" s="1418"/>
      <c r="DH610" s="1418">
        <f t="shared" si="14"/>
        <v>0</v>
      </c>
      <c r="DI610" s="1418"/>
      <c r="DJ610" s="1418"/>
      <c r="DK610" s="1418"/>
      <c r="DL610" s="1418"/>
      <c r="DM610" s="1418">
        <f t="shared" si="15"/>
        <v>0</v>
      </c>
      <c r="DN610" s="1418"/>
      <c r="DO610" s="1418"/>
      <c r="DP610" s="1418"/>
      <c r="DQ610" s="1418"/>
      <c r="DR610" s="1418">
        <f t="shared" si="16"/>
        <v>0</v>
      </c>
      <c r="DS610" s="1418"/>
      <c r="DT610" s="1418"/>
      <c r="DU610" s="1418"/>
      <c r="DV610" s="1418"/>
      <c r="DX610" s="1414" t="str">
        <f t="shared" si="17"/>
        <v xml:space="preserve"> </v>
      </c>
      <c r="DY610" s="1415"/>
      <c r="DZ610" s="1415"/>
      <c r="EA610" s="1415"/>
      <c r="EB610" s="1416"/>
      <c r="EC610" s="1414" t="str">
        <f t="shared" si="18"/>
        <v xml:space="preserve"> </v>
      </c>
      <c r="ED610" s="1415"/>
      <c r="EE610" s="1415"/>
      <c r="EF610" s="1415"/>
      <c r="EG610" s="1416"/>
      <c r="EH610" s="1414" t="str">
        <f t="shared" si="19"/>
        <v xml:space="preserve"> </v>
      </c>
      <c r="EI610" s="1415"/>
      <c r="EJ610" s="1415"/>
      <c r="EK610" s="1415"/>
      <c r="EL610" s="1416"/>
      <c r="EM610" s="1414" t="str">
        <f t="shared" si="20"/>
        <v xml:space="preserve"> </v>
      </c>
      <c r="EN610" s="1415"/>
      <c r="EO610" s="1415"/>
      <c r="EP610" s="1415"/>
      <c r="EQ610" s="1416"/>
      <c r="ER610" s="1414" t="str">
        <f t="shared" si="21"/>
        <v xml:space="preserve"> </v>
      </c>
      <c r="ES610" s="1415"/>
      <c r="ET610" s="1415"/>
      <c r="EU610" s="1415"/>
      <c r="EV610" s="1416"/>
      <c r="EW610" s="1414" t="str">
        <f t="shared" si="22"/>
        <v xml:space="preserve"> </v>
      </c>
      <c r="EX610" s="1415"/>
      <c r="EY610" s="1415"/>
      <c r="EZ610" s="1415"/>
      <c r="FA610" s="1416"/>
    </row>
    <row r="611" spans="1:157" ht="12.95" customHeight="1">
      <c r="B611" t="s">
        <v>20</v>
      </c>
      <c r="N611" s="1375" t="s">
        <v>678</v>
      </c>
      <c r="O611" s="1375"/>
      <c r="U611" t="s">
        <v>20</v>
      </c>
      <c r="AG611" s="1375" t="s">
        <v>678</v>
      </c>
      <c r="AH611" s="1375"/>
      <c r="AZ611" s="3"/>
      <c r="BA611" s="3"/>
      <c r="BB611" s="3"/>
      <c r="BC611" s="3"/>
      <c r="BD611" s="3"/>
      <c r="BE611" s="1414">
        <f t="shared" si="1"/>
        <v>0</v>
      </c>
      <c r="BF611" s="1416"/>
      <c r="BG611" s="1430">
        <f t="shared" si="2"/>
        <v>0</v>
      </c>
      <c r="BH611" s="1431"/>
      <c r="BI611" s="1414">
        <f t="shared" si="3"/>
        <v>0</v>
      </c>
      <c r="BJ611" s="1416"/>
      <c r="BK611" s="1430">
        <f t="shared" si="4"/>
        <v>0</v>
      </c>
      <c r="BL611" s="1431"/>
      <c r="BM611" s="3"/>
      <c r="BN611" s="1408">
        <f t="shared" si="5"/>
        <v>0</v>
      </c>
      <c r="BO611" s="1409"/>
      <c r="BP611" s="1409"/>
      <c r="BQ611" s="1409"/>
      <c r="BR611" s="1410"/>
      <c r="BS611" s="1417">
        <f t="shared" si="6"/>
        <v>0</v>
      </c>
      <c r="BT611" s="1417"/>
      <c r="BU611" s="1417"/>
      <c r="BV611" s="1417"/>
      <c r="BW611" s="1417"/>
      <c r="BX611" s="1417">
        <f t="shared" si="7"/>
        <v>0</v>
      </c>
      <c r="BY611" s="1417"/>
      <c r="BZ611" s="1417"/>
      <c r="CA611" s="1417"/>
      <c r="CB611" s="1417"/>
      <c r="CC611" s="1417">
        <f t="shared" si="8"/>
        <v>0</v>
      </c>
      <c r="CD611" s="1417"/>
      <c r="CE611" s="1417"/>
      <c r="CF611" s="1417"/>
      <c r="CG611" s="1417"/>
      <c r="CH611" s="1417">
        <f t="shared" si="9"/>
        <v>0</v>
      </c>
      <c r="CI611" s="1417"/>
      <c r="CJ611" s="1417"/>
      <c r="CK611" s="1417"/>
      <c r="CL611" s="1417"/>
      <c r="CM611" s="1417">
        <f t="shared" si="10"/>
        <v>0</v>
      </c>
      <c r="CN611" s="1417"/>
      <c r="CO611" s="1417"/>
      <c r="CP611" s="1417"/>
      <c r="CQ611" s="1417"/>
      <c r="CR611" s="6"/>
      <c r="CS611" s="1418">
        <f t="shared" si="11"/>
        <v>0</v>
      </c>
      <c r="CT611" s="1418"/>
      <c r="CU611" s="1418"/>
      <c r="CV611" s="1418"/>
      <c r="CW611" s="1418"/>
      <c r="CX611" s="1418">
        <f t="shared" si="12"/>
        <v>0</v>
      </c>
      <c r="CY611" s="1418"/>
      <c r="CZ611" s="1418"/>
      <c r="DA611" s="1418"/>
      <c r="DB611" s="1418"/>
      <c r="DC611" s="1418">
        <f t="shared" si="13"/>
        <v>0</v>
      </c>
      <c r="DD611" s="1418"/>
      <c r="DE611" s="1418"/>
      <c r="DF611" s="1418"/>
      <c r="DG611" s="1418"/>
      <c r="DH611" s="1418">
        <f t="shared" si="14"/>
        <v>0</v>
      </c>
      <c r="DI611" s="1418"/>
      <c r="DJ611" s="1418"/>
      <c r="DK611" s="1418"/>
      <c r="DL611" s="1418"/>
      <c r="DM611" s="1418">
        <f t="shared" si="15"/>
        <v>0</v>
      </c>
      <c r="DN611" s="1418"/>
      <c r="DO611" s="1418"/>
      <c r="DP611" s="1418"/>
      <c r="DQ611" s="1418"/>
      <c r="DR611" s="1418">
        <f t="shared" si="16"/>
        <v>0</v>
      </c>
      <c r="DS611" s="1418"/>
      <c r="DT611" s="1418"/>
      <c r="DU611" s="1418"/>
      <c r="DV611" s="1418"/>
      <c r="DX611" s="1414" t="str">
        <f t="shared" si="17"/>
        <v xml:space="preserve"> </v>
      </c>
      <c r="DY611" s="1415"/>
      <c r="DZ611" s="1415"/>
      <c r="EA611" s="1415"/>
      <c r="EB611" s="1416"/>
      <c r="EC611" s="1414" t="str">
        <f t="shared" si="18"/>
        <v xml:space="preserve"> </v>
      </c>
      <c r="ED611" s="1415"/>
      <c r="EE611" s="1415"/>
      <c r="EF611" s="1415"/>
      <c r="EG611" s="1416"/>
      <c r="EH611" s="1414" t="str">
        <f t="shared" si="19"/>
        <v xml:space="preserve"> </v>
      </c>
      <c r="EI611" s="1415"/>
      <c r="EJ611" s="1415"/>
      <c r="EK611" s="1415"/>
      <c r="EL611" s="1416"/>
      <c r="EM611" s="1414" t="str">
        <f t="shared" si="20"/>
        <v xml:space="preserve"> </v>
      </c>
      <c r="EN611" s="1415"/>
      <c r="EO611" s="1415"/>
      <c r="EP611" s="1415"/>
      <c r="EQ611" s="1416"/>
      <c r="ER611" s="1414" t="str">
        <f t="shared" si="21"/>
        <v xml:space="preserve"> </v>
      </c>
      <c r="ES611" s="1415"/>
      <c r="ET611" s="1415"/>
      <c r="EU611" s="1415"/>
      <c r="EV611" s="1416"/>
      <c r="EW611" s="1414" t="str">
        <f t="shared" si="22"/>
        <v xml:space="preserve"> </v>
      </c>
      <c r="EX611" s="1415"/>
      <c r="EY611" s="1415"/>
      <c r="EZ611" s="1415"/>
      <c r="FA611" s="1416"/>
    </row>
    <row r="612" spans="1:157" ht="12.95" customHeight="1">
      <c r="AZ612" s="3"/>
      <c r="BA612" s="3"/>
      <c r="BB612" s="3"/>
      <c r="BC612" s="3"/>
      <c r="BD612" s="3"/>
      <c r="BE612" s="1414">
        <f t="shared" si="1"/>
        <v>0</v>
      </c>
      <c r="BF612" s="1416"/>
      <c r="BG612" s="1430">
        <f t="shared" si="2"/>
        <v>0</v>
      </c>
      <c r="BH612" s="1431"/>
      <c r="BI612" s="1414">
        <f t="shared" si="3"/>
        <v>0</v>
      </c>
      <c r="BJ612" s="1416"/>
      <c r="BK612" s="1430">
        <f t="shared" si="4"/>
        <v>0</v>
      </c>
      <c r="BL612" s="1431"/>
      <c r="BM612" s="3"/>
      <c r="BN612" s="1408">
        <f t="shared" si="5"/>
        <v>0</v>
      </c>
      <c r="BO612" s="1409"/>
      <c r="BP612" s="1409"/>
      <c r="BQ612" s="1409"/>
      <c r="BR612" s="1410"/>
      <c r="BS612" s="1417">
        <f t="shared" si="6"/>
        <v>0</v>
      </c>
      <c r="BT612" s="1417"/>
      <c r="BU612" s="1417"/>
      <c r="BV612" s="1417"/>
      <c r="BW612" s="1417"/>
      <c r="BX612" s="1417">
        <f t="shared" si="7"/>
        <v>0</v>
      </c>
      <c r="BY612" s="1417"/>
      <c r="BZ612" s="1417"/>
      <c r="CA612" s="1417"/>
      <c r="CB612" s="1417"/>
      <c r="CC612" s="1417">
        <f t="shared" si="8"/>
        <v>0</v>
      </c>
      <c r="CD612" s="1417"/>
      <c r="CE612" s="1417"/>
      <c r="CF612" s="1417"/>
      <c r="CG612" s="1417"/>
      <c r="CH612" s="1417">
        <f t="shared" si="9"/>
        <v>0</v>
      </c>
      <c r="CI612" s="1417"/>
      <c r="CJ612" s="1417"/>
      <c r="CK612" s="1417"/>
      <c r="CL612" s="1417"/>
      <c r="CM612" s="1417">
        <f t="shared" si="10"/>
        <v>0</v>
      </c>
      <c r="CN612" s="1417"/>
      <c r="CO612" s="1417"/>
      <c r="CP612" s="1417"/>
      <c r="CQ612" s="1417"/>
      <c r="CR612" s="6"/>
      <c r="CS612" s="1418">
        <f t="shared" si="11"/>
        <v>0</v>
      </c>
      <c r="CT612" s="1418"/>
      <c r="CU612" s="1418"/>
      <c r="CV612" s="1418"/>
      <c r="CW612" s="1418"/>
      <c r="CX612" s="1418">
        <f t="shared" si="12"/>
        <v>0</v>
      </c>
      <c r="CY612" s="1418"/>
      <c r="CZ612" s="1418"/>
      <c r="DA612" s="1418"/>
      <c r="DB612" s="1418"/>
      <c r="DC612" s="1418">
        <f t="shared" si="13"/>
        <v>0</v>
      </c>
      <c r="DD612" s="1418"/>
      <c r="DE612" s="1418"/>
      <c r="DF612" s="1418"/>
      <c r="DG612" s="1418"/>
      <c r="DH612" s="1418">
        <f t="shared" si="14"/>
        <v>0</v>
      </c>
      <c r="DI612" s="1418"/>
      <c r="DJ612" s="1418"/>
      <c r="DK612" s="1418"/>
      <c r="DL612" s="1418"/>
      <c r="DM612" s="1418">
        <f t="shared" si="15"/>
        <v>0</v>
      </c>
      <c r="DN612" s="1418"/>
      <c r="DO612" s="1418"/>
      <c r="DP612" s="1418"/>
      <c r="DQ612" s="1418"/>
      <c r="DR612" s="1418">
        <f t="shared" si="16"/>
        <v>0</v>
      </c>
      <c r="DS612" s="1418"/>
      <c r="DT612" s="1418"/>
      <c r="DU612" s="1418"/>
      <c r="DV612" s="1418"/>
      <c r="DX612" s="1414" t="str">
        <f t="shared" si="17"/>
        <v xml:space="preserve"> </v>
      </c>
      <c r="DY612" s="1415"/>
      <c r="DZ612" s="1415"/>
      <c r="EA612" s="1415"/>
      <c r="EB612" s="1416"/>
      <c r="EC612" s="1414" t="str">
        <f t="shared" si="18"/>
        <v xml:space="preserve"> </v>
      </c>
      <c r="ED612" s="1415"/>
      <c r="EE612" s="1415"/>
      <c r="EF612" s="1415"/>
      <c r="EG612" s="1416"/>
      <c r="EH612" s="1414" t="str">
        <f t="shared" si="19"/>
        <v xml:space="preserve"> </v>
      </c>
      <c r="EI612" s="1415"/>
      <c r="EJ612" s="1415"/>
      <c r="EK612" s="1415"/>
      <c r="EL612" s="1416"/>
      <c r="EM612" s="1414" t="str">
        <f t="shared" si="20"/>
        <v xml:space="preserve"> </v>
      </c>
      <c r="EN612" s="1415"/>
      <c r="EO612" s="1415"/>
      <c r="EP612" s="1415"/>
      <c r="EQ612" s="1416"/>
      <c r="ER612" s="1414" t="str">
        <f t="shared" si="21"/>
        <v xml:space="preserve"> </v>
      </c>
      <c r="ES612" s="1415"/>
      <c r="ET612" s="1415"/>
      <c r="EU612" s="1415"/>
      <c r="EV612" s="1416"/>
      <c r="EW612" s="1414" t="str">
        <f t="shared" si="22"/>
        <v xml:space="preserve"> </v>
      </c>
      <c r="EX612" s="1415"/>
      <c r="EY612" s="1415"/>
      <c r="EZ612" s="1415"/>
      <c r="FA612" s="1416"/>
    </row>
    <row r="613" spans="1:157" ht="12.95" customHeight="1">
      <c r="A613" s="1261" t="s">
        <v>553</v>
      </c>
      <c r="B613" s="1261"/>
      <c r="C613" s="1261"/>
      <c r="D613" s="1261"/>
      <c r="E613" s="1261"/>
      <c r="F613" s="1261"/>
      <c r="G613" s="1261"/>
      <c r="H613" s="1261"/>
      <c r="I613" s="1261"/>
      <c r="J613" s="1261"/>
      <c r="K613" s="1261"/>
      <c r="L613" s="1261"/>
      <c r="M613" s="1261"/>
      <c r="N613" s="1261"/>
      <c r="O613" s="1261"/>
      <c r="P613" s="1261"/>
      <c r="Q613" s="1261"/>
      <c r="R613" s="1261"/>
      <c r="S613" s="1261"/>
      <c r="T613" s="1261"/>
      <c r="U613" s="1261"/>
      <c r="V613" s="1261"/>
      <c r="W613" s="1261"/>
      <c r="X613" s="1261"/>
      <c r="Y613" s="1261"/>
      <c r="Z613" s="1261"/>
      <c r="AA613" s="1261"/>
      <c r="AB613" s="1261"/>
      <c r="AC613" s="1261"/>
      <c r="AD613" s="1261"/>
      <c r="AE613" s="1261"/>
      <c r="AF613" s="1261"/>
      <c r="AG613" s="1261"/>
      <c r="AH613" s="1261"/>
      <c r="AI613" s="1261"/>
      <c r="AJ613" s="1261"/>
      <c r="AK613" s="1261"/>
      <c r="AL613" s="1261"/>
      <c r="AM613" s="1261"/>
      <c r="AN613" s="1261"/>
      <c r="AO613" s="1261"/>
      <c r="AP613" s="1261"/>
      <c r="AQ613" s="1261"/>
      <c r="AR613" s="1261"/>
      <c r="AS613" s="1261"/>
      <c r="AT613" s="936"/>
      <c r="AU613" s="936"/>
      <c r="AV613" s="936"/>
      <c r="AW613" s="936"/>
      <c r="AX613" s="936"/>
      <c r="AY613" s="936"/>
      <c r="AZ613" s="3"/>
      <c r="BA613" s="3"/>
      <c r="BB613" s="3"/>
      <c r="BC613" s="3"/>
      <c r="BD613" s="3"/>
      <c r="BE613" s="1414">
        <f t="shared" si="1"/>
        <v>0</v>
      </c>
      <c r="BF613" s="1416"/>
      <c r="BG613" s="1430">
        <f t="shared" si="2"/>
        <v>0</v>
      </c>
      <c r="BH613" s="1431"/>
      <c r="BI613" s="1414">
        <f t="shared" si="3"/>
        <v>0</v>
      </c>
      <c r="BJ613" s="1416"/>
      <c r="BK613" s="1430">
        <f t="shared" si="4"/>
        <v>0</v>
      </c>
      <c r="BL613" s="1431"/>
      <c r="BM613" s="3"/>
      <c r="BN613" s="1408">
        <f t="shared" si="5"/>
        <v>0</v>
      </c>
      <c r="BO613" s="1409"/>
      <c r="BP613" s="1409"/>
      <c r="BQ613" s="1409"/>
      <c r="BR613" s="1410"/>
      <c r="BS613" s="1417">
        <f t="shared" si="6"/>
        <v>0</v>
      </c>
      <c r="BT613" s="1417"/>
      <c r="BU613" s="1417"/>
      <c r="BV613" s="1417"/>
      <c r="BW613" s="1417"/>
      <c r="BX613" s="1417">
        <f t="shared" si="7"/>
        <v>0</v>
      </c>
      <c r="BY613" s="1417"/>
      <c r="BZ613" s="1417"/>
      <c r="CA613" s="1417"/>
      <c r="CB613" s="1417"/>
      <c r="CC613" s="1417">
        <f t="shared" si="8"/>
        <v>0</v>
      </c>
      <c r="CD613" s="1417"/>
      <c r="CE613" s="1417"/>
      <c r="CF613" s="1417"/>
      <c r="CG613" s="1417"/>
      <c r="CH613" s="1417">
        <f t="shared" si="9"/>
        <v>0</v>
      </c>
      <c r="CI613" s="1417"/>
      <c r="CJ613" s="1417"/>
      <c r="CK613" s="1417"/>
      <c r="CL613" s="1417"/>
      <c r="CM613" s="1417">
        <f t="shared" si="10"/>
        <v>0</v>
      </c>
      <c r="CN613" s="1417"/>
      <c r="CO613" s="1417"/>
      <c r="CP613" s="1417"/>
      <c r="CQ613" s="1417"/>
      <c r="CR613" s="6"/>
      <c r="CS613" s="1418">
        <f t="shared" si="11"/>
        <v>0</v>
      </c>
      <c r="CT613" s="1418"/>
      <c r="CU613" s="1418"/>
      <c r="CV613" s="1418"/>
      <c r="CW613" s="1418"/>
      <c r="CX613" s="1418">
        <f t="shared" si="12"/>
        <v>0</v>
      </c>
      <c r="CY613" s="1418"/>
      <c r="CZ613" s="1418"/>
      <c r="DA613" s="1418"/>
      <c r="DB613" s="1418"/>
      <c r="DC613" s="1418">
        <f t="shared" si="13"/>
        <v>0</v>
      </c>
      <c r="DD613" s="1418"/>
      <c r="DE613" s="1418"/>
      <c r="DF613" s="1418"/>
      <c r="DG613" s="1418"/>
      <c r="DH613" s="1418">
        <f t="shared" si="14"/>
        <v>0</v>
      </c>
      <c r="DI613" s="1418"/>
      <c r="DJ613" s="1418"/>
      <c r="DK613" s="1418"/>
      <c r="DL613" s="1418"/>
      <c r="DM613" s="1418">
        <f t="shared" si="15"/>
        <v>0</v>
      </c>
      <c r="DN613" s="1418"/>
      <c r="DO613" s="1418"/>
      <c r="DP613" s="1418"/>
      <c r="DQ613" s="1418"/>
      <c r="DR613" s="1418">
        <f t="shared" si="16"/>
        <v>0</v>
      </c>
      <c r="DS613" s="1418"/>
      <c r="DT613" s="1418"/>
      <c r="DU613" s="1418"/>
      <c r="DV613" s="1418"/>
      <c r="DX613" s="1414" t="str">
        <f t="shared" si="17"/>
        <v xml:space="preserve"> </v>
      </c>
      <c r="DY613" s="1415"/>
      <c r="DZ613" s="1415"/>
      <c r="EA613" s="1415"/>
      <c r="EB613" s="1416"/>
      <c r="EC613" s="1414" t="str">
        <f t="shared" si="18"/>
        <v xml:space="preserve"> </v>
      </c>
      <c r="ED613" s="1415"/>
      <c r="EE613" s="1415"/>
      <c r="EF613" s="1415"/>
      <c r="EG613" s="1416"/>
      <c r="EH613" s="1414" t="str">
        <f t="shared" si="19"/>
        <v xml:space="preserve"> </v>
      </c>
      <c r="EI613" s="1415"/>
      <c r="EJ613" s="1415"/>
      <c r="EK613" s="1415"/>
      <c r="EL613" s="1416"/>
      <c r="EM613" s="1414" t="str">
        <f t="shared" si="20"/>
        <v xml:space="preserve"> </v>
      </c>
      <c r="EN613" s="1415"/>
      <c r="EO613" s="1415"/>
      <c r="EP613" s="1415"/>
      <c r="EQ613" s="1416"/>
      <c r="ER613" s="1414" t="str">
        <f t="shared" si="21"/>
        <v xml:space="preserve"> </v>
      </c>
      <c r="ES613" s="1415"/>
      <c r="ET613" s="1415"/>
      <c r="EU613" s="1415"/>
      <c r="EV613" s="1416"/>
      <c r="EW613" s="1414" t="str">
        <f t="shared" si="22"/>
        <v xml:space="preserve"> </v>
      </c>
      <c r="EX613" s="1415"/>
      <c r="EY613" s="1415"/>
      <c r="EZ613" s="1415"/>
      <c r="FA613" s="1416"/>
    </row>
    <row r="614" spans="1:157" ht="12.95" customHeight="1">
      <c r="A614" s="1261"/>
      <c r="B614" s="1261"/>
      <c r="C614" s="1261"/>
      <c r="D614" s="1261"/>
      <c r="E614" s="1261"/>
      <c r="F614" s="1261"/>
      <c r="G614" s="1261"/>
      <c r="H614" s="1261"/>
      <c r="I614" s="1261"/>
      <c r="J614" s="1261"/>
      <c r="K614" s="1261"/>
      <c r="L614" s="1261"/>
      <c r="M614" s="1261"/>
      <c r="N614" s="1261"/>
      <c r="O614" s="1261"/>
      <c r="P614" s="1261"/>
      <c r="Q614" s="1261"/>
      <c r="R614" s="1261"/>
      <c r="S614" s="1261"/>
      <c r="T614" s="1261"/>
      <c r="U614" s="1261"/>
      <c r="V614" s="1261"/>
      <c r="W614" s="1261"/>
      <c r="X614" s="1261"/>
      <c r="Y614" s="1261"/>
      <c r="Z614" s="1261"/>
      <c r="AA614" s="1261"/>
      <c r="AB614" s="1261"/>
      <c r="AC614" s="1261"/>
      <c r="AD614" s="1261"/>
      <c r="AE614" s="1261"/>
      <c r="AF614" s="1261"/>
      <c r="AG614" s="1261"/>
      <c r="AH614" s="1261"/>
      <c r="AI614" s="1261"/>
      <c r="AJ614" s="1261"/>
      <c r="AK614" s="1261"/>
      <c r="AL614" s="1261"/>
      <c r="AM614" s="1261"/>
      <c r="AN614" s="1261"/>
      <c r="AO614" s="1261"/>
      <c r="AP614" s="1261"/>
      <c r="AQ614" s="1261"/>
      <c r="AR614" s="1261"/>
      <c r="AS614" s="1261"/>
      <c r="AT614" s="936"/>
      <c r="AU614" s="936"/>
      <c r="AV614" s="936"/>
      <c r="AW614" s="936"/>
      <c r="AX614" s="936"/>
      <c r="AY614" s="936"/>
      <c r="AZ614" s="3"/>
      <c r="BA614" s="3"/>
      <c r="BB614" s="3"/>
      <c r="BC614" s="3"/>
      <c r="BD614" s="3"/>
      <c r="BE614" s="1414">
        <f t="shared" si="1"/>
        <v>0</v>
      </c>
      <c r="BF614" s="1416"/>
      <c r="BG614" s="1430">
        <f t="shared" si="2"/>
        <v>0</v>
      </c>
      <c r="BH614" s="1431"/>
      <c r="BI614" s="1414">
        <f t="shared" si="3"/>
        <v>0</v>
      </c>
      <c r="BJ614" s="1416"/>
      <c r="BK614" s="1430">
        <f t="shared" si="4"/>
        <v>0</v>
      </c>
      <c r="BL614" s="1431"/>
      <c r="BM614" s="3"/>
      <c r="BN614" s="1408">
        <f t="shared" si="5"/>
        <v>0</v>
      </c>
      <c r="BO614" s="1409"/>
      <c r="BP614" s="1409"/>
      <c r="BQ614" s="1409"/>
      <c r="BR614" s="1410"/>
      <c r="BS614" s="1417">
        <f t="shared" si="6"/>
        <v>0</v>
      </c>
      <c r="BT614" s="1417"/>
      <c r="BU614" s="1417"/>
      <c r="BV614" s="1417"/>
      <c r="BW614" s="1417"/>
      <c r="BX614" s="1417">
        <f t="shared" si="7"/>
        <v>0</v>
      </c>
      <c r="BY614" s="1417"/>
      <c r="BZ614" s="1417"/>
      <c r="CA614" s="1417"/>
      <c r="CB614" s="1417"/>
      <c r="CC614" s="1417">
        <f t="shared" si="8"/>
        <v>0</v>
      </c>
      <c r="CD614" s="1417"/>
      <c r="CE614" s="1417"/>
      <c r="CF614" s="1417"/>
      <c r="CG614" s="1417"/>
      <c r="CH614" s="1417">
        <f t="shared" si="9"/>
        <v>0</v>
      </c>
      <c r="CI614" s="1417"/>
      <c r="CJ614" s="1417"/>
      <c r="CK614" s="1417"/>
      <c r="CL614" s="1417"/>
      <c r="CM614" s="1417">
        <f t="shared" si="10"/>
        <v>0</v>
      </c>
      <c r="CN614" s="1417"/>
      <c r="CO614" s="1417"/>
      <c r="CP614" s="1417"/>
      <c r="CQ614" s="1417"/>
      <c r="CR614" s="6"/>
      <c r="CS614" s="1418">
        <f t="shared" si="11"/>
        <v>0</v>
      </c>
      <c r="CT614" s="1418"/>
      <c r="CU614" s="1418"/>
      <c r="CV614" s="1418"/>
      <c r="CW614" s="1418"/>
      <c r="CX614" s="1418">
        <f t="shared" si="12"/>
        <v>0</v>
      </c>
      <c r="CY614" s="1418"/>
      <c r="CZ614" s="1418"/>
      <c r="DA614" s="1418"/>
      <c r="DB614" s="1418"/>
      <c r="DC614" s="1418">
        <f t="shared" si="13"/>
        <v>0</v>
      </c>
      <c r="DD614" s="1418"/>
      <c r="DE614" s="1418"/>
      <c r="DF614" s="1418"/>
      <c r="DG614" s="1418"/>
      <c r="DH614" s="1418">
        <f t="shared" si="14"/>
        <v>0</v>
      </c>
      <c r="DI614" s="1418"/>
      <c r="DJ614" s="1418"/>
      <c r="DK614" s="1418"/>
      <c r="DL614" s="1418"/>
      <c r="DM614" s="1418">
        <f t="shared" si="15"/>
        <v>0</v>
      </c>
      <c r="DN614" s="1418"/>
      <c r="DO614" s="1418"/>
      <c r="DP614" s="1418"/>
      <c r="DQ614" s="1418"/>
      <c r="DR614" s="1418">
        <f t="shared" si="16"/>
        <v>0</v>
      </c>
      <c r="DS614" s="1418"/>
      <c r="DT614" s="1418"/>
      <c r="DU614" s="1418"/>
      <c r="DV614" s="1418"/>
      <c r="DX614" s="1414" t="str">
        <f t="shared" si="17"/>
        <v xml:space="preserve"> </v>
      </c>
      <c r="DY614" s="1415"/>
      <c r="DZ614" s="1415"/>
      <c r="EA614" s="1415"/>
      <c r="EB614" s="1416"/>
      <c r="EC614" s="1414" t="str">
        <f t="shared" si="18"/>
        <v xml:space="preserve"> </v>
      </c>
      <c r="ED614" s="1415"/>
      <c r="EE614" s="1415"/>
      <c r="EF614" s="1415"/>
      <c r="EG614" s="1416"/>
      <c r="EH614" s="1414" t="str">
        <f t="shared" si="19"/>
        <v xml:space="preserve"> </v>
      </c>
      <c r="EI614" s="1415"/>
      <c r="EJ614" s="1415"/>
      <c r="EK614" s="1415"/>
      <c r="EL614" s="1416"/>
      <c r="EM614" s="1414" t="str">
        <f t="shared" si="20"/>
        <v xml:space="preserve"> </v>
      </c>
      <c r="EN614" s="1415"/>
      <c r="EO614" s="1415"/>
      <c r="EP614" s="1415"/>
      <c r="EQ614" s="1416"/>
      <c r="ER614" s="1414" t="str">
        <f t="shared" si="21"/>
        <v xml:space="preserve"> </v>
      </c>
      <c r="ES614" s="1415"/>
      <c r="ET614" s="1415"/>
      <c r="EU614" s="1415"/>
      <c r="EV614" s="1416"/>
      <c r="EW614" s="1414" t="str">
        <f t="shared" si="22"/>
        <v xml:space="preserve"> </v>
      </c>
      <c r="EX614" s="1415"/>
      <c r="EY614" s="1415"/>
      <c r="EZ614" s="1415"/>
      <c r="FA614" s="1416"/>
    </row>
    <row r="615" spans="1:157" ht="12.95" customHeight="1">
      <c r="AZ615" s="3"/>
      <c r="BA615" s="3"/>
      <c r="BB615" s="3"/>
      <c r="BC615" s="3"/>
      <c r="BD615" s="3"/>
      <c r="BE615" s="1414">
        <f t="shared" si="1"/>
        <v>0</v>
      </c>
      <c r="BF615" s="1416"/>
      <c r="BG615" s="1430">
        <f t="shared" si="2"/>
        <v>0</v>
      </c>
      <c r="BH615" s="1431"/>
      <c r="BI615" s="1414">
        <f t="shared" si="3"/>
        <v>0</v>
      </c>
      <c r="BJ615" s="1416"/>
      <c r="BK615" s="1430">
        <f t="shared" si="4"/>
        <v>0</v>
      </c>
      <c r="BL615" s="1431"/>
      <c r="BM615" s="3"/>
      <c r="BN615" s="1408">
        <f t="shared" si="5"/>
        <v>0</v>
      </c>
      <c r="BO615" s="1409"/>
      <c r="BP615" s="1409"/>
      <c r="BQ615" s="1409"/>
      <c r="BR615" s="1410"/>
      <c r="BS615" s="1417">
        <f t="shared" si="6"/>
        <v>0</v>
      </c>
      <c r="BT615" s="1417"/>
      <c r="BU615" s="1417"/>
      <c r="BV615" s="1417"/>
      <c r="BW615" s="1417"/>
      <c r="BX615" s="1417">
        <f t="shared" si="7"/>
        <v>0</v>
      </c>
      <c r="BY615" s="1417"/>
      <c r="BZ615" s="1417"/>
      <c r="CA615" s="1417"/>
      <c r="CB615" s="1417"/>
      <c r="CC615" s="1417">
        <f t="shared" si="8"/>
        <v>0</v>
      </c>
      <c r="CD615" s="1417"/>
      <c r="CE615" s="1417"/>
      <c r="CF615" s="1417"/>
      <c r="CG615" s="1417"/>
      <c r="CH615" s="1417">
        <f t="shared" si="9"/>
        <v>0</v>
      </c>
      <c r="CI615" s="1417"/>
      <c r="CJ615" s="1417"/>
      <c r="CK615" s="1417"/>
      <c r="CL615" s="1417"/>
      <c r="CM615" s="1417">
        <f t="shared" si="10"/>
        <v>0</v>
      </c>
      <c r="CN615" s="1417"/>
      <c r="CO615" s="1417"/>
      <c r="CP615" s="1417"/>
      <c r="CQ615" s="1417"/>
      <c r="CR615" s="6"/>
      <c r="CS615" s="1418">
        <f t="shared" si="11"/>
        <v>0</v>
      </c>
      <c r="CT615" s="1418"/>
      <c r="CU615" s="1418"/>
      <c r="CV615" s="1418"/>
      <c r="CW615" s="1418"/>
      <c r="CX615" s="1418">
        <f t="shared" si="12"/>
        <v>0</v>
      </c>
      <c r="CY615" s="1418"/>
      <c r="CZ615" s="1418"/>
      <c r="DA615" s="1418"/>
      <c r="DB615" s="1418"/>
      <c r="DC615" s="1418">
        <f t="shared" si="13"/>
        <v>0</v>
      </c>
      <c r="DD615" s="1418"/>
      <c r="DE615" s="1418"/>
      <c r="DF615" s="1418"/>
      <c r="DG615" s="1418"/>
      <c r="DH615" s="1418">
        <f t="shared" si="14"/>
        <v>0</v>
      </c>
      <c r="DI615" s="1418"/>
      <c r="DJ615" s="1418"/>
      <c r="DK615" s="1418"/>
      <c r="DL615" s="1418"/>
      <c r="DM615" s="1418">
        <f t="shared" si="15"/>
        <v>0</v>
      </c>
      <c r="DN615" s="1418"/>
      <c r="DO615" s="1418"/>
      <c r="DP615" s="1418"/>
      <c r="DQ615" s="1418"/>
      <c r="DR615" s="1418">
        <f t="shared" si="16"/>
        <v>0</v>
      </c>
      <c r="DS615" s="1418"/>
      <c r="DT615" s="1418"/>
      <c r="DU615" s="1418"/>
      <c r="DV615" s="1418"/>
      <c r="DX615" s="1414" t="str">
        <f t="shared" si="17"/>
        <v xml:space="preserve"> </v>
      </c>
      <c r="DY615" s="1415"/>
      <c r="DZ615" s="1415"/>
      <c r="EA615" s="1415"/>
      <c r="EB615" s="1416"/>
      <c r="EC615" s="1414" t="str">
        <f t="shared" si="18"/>
        <v xml:space="preserve"> </v>
      </c>
      <c r="ED615" s="1415"/>
      <c r="EE615" s="1415"/>
      <c r="EF615" s="1415"/>
      <c r="EG615" s="1416"/>
      <c r="EH615" s="1414" t="str">
        <f t="shared" si="19"/>
        <v xml:space="preserve"> </v>
      </c>
      <c r="EI615" s="1415"/>
      <c r="EJ615" s="1415"/>
      <c r="EK615" s="1415"/>
      <c r="EL615" s="1416"/>
      <c r="EM615" s="1414" t="str">
        <f t="shared" si="20"/>
        <v xml:space="preserve"> </v>
      </c>
      <c r="EN615" s="1415"/>
      <c r="EO615" s="1415"/>
      <c r="EP615" s="1415"/>
      <c r="EQ615" s="1416"/>
      <c r="ER615" s="1414" t="str">
        <f t="shared" si="21"/>
        <v xml:space="preserve"> </v>
      </c>
      <c r="ES615" s="1415"/>
      <c r="ET615" s="1415"/>
      <c r="EU615" s="1415"/>
      <c r="EV615" s="1416"/>
      <c r="EW615" s="1414" t="str">
        <f t="shared" si="22"/>
        <v xml:space="preserve"> </v>
      </c>
      <c r="EX615" s="1415"/>
      <c r="EY615" s="1415"/>
      <c r="EZ615" s="1415"/>
      <c r="FA615" s="1416"/>
    </row>
    <row r="616" spans="1:157" ht="12.95" customHeight="1">
      <c r="A616" s="2" t="s">
        <v>321</v>
      </c>
      <c r="B616" s="2"/>
      <c r="C616" s="2" t="s">
        <v>21</v>
      </c>
      <c r="AZ616" s="3"/>
      <c r="BA616" s="3"/>
      <c r="BB616" s="3"/>
      <c r="BC616" s="3"/>
      <c r="BD616" s="3"/>
      <c r="BE616" s="1414">
        <f t="shared" si="1"/>
        <v>0</v>
      </c>
      <c r="BF616" s="1416"/>
      <c r="BG616" s="1430">
        <f t="shared" si="2"/>
        <v>0</v>
      </c>
      <c r="BH616" s="1431"/>
      <c r="BI616" s="1414">
        <f t="shared" si="3"/>
        <v>0</v>
      </c>
      <c r="BJ616" s="1416"/>
      <c r="BK616" s="1430">
        <f t="shared" si="4"/>
        <v>0</v>
      </c>
      <c r="BL616" s="1431"/>
      <c r="BM616" s="3"/>
      <c r="BN616" s="1408">
        <f t="shared" si="5"/>
        <v>0</v>
      </c>
      <c r="BO616" s="1409"/>
      <c r="BP616" s="1409"/>
      <c r="BQ616" s="1409"/>
      <c r="BR616" s="1410"/>
      <c r="BS616" s="1417">
        <f t="shared" si="6"/>
        <v>0</v>
      </c>
      <c r="BT616" s="1417"/>
      <c r="BU616" s="1417"/>
      <c r="BV616" s="1417"/>
      <c r="BW616" s="1417"/>
      <c r="BX616" s="1417">
        <f t="shared" si="7"/>
        <v>0</v>
      </c>
      <c r="BY616" s="1417"/>
      <c r="BZ616" s="1417"/>
      <c r="CA616" s="1417"/>
      <c r="CB616" s="1417"/>
      <c r="CC616" s="1417">
        <f t="shared" si="8"/>
        <v>0</v>
      </c>
      <c r="CD616" s="1417"/>
      <c r="CE616" s="1417"/>
      <c r="CF616" s="1417"/>
      <c r="CG616" s="1417"/>
      <c r="CH616" s="1417">
        <f t="shared" si="9"/>
        <v>0</v>
      </c>
      <c r="CI616" s="1417"/>
      <c r="CJ616" s="1417"/>
      <c r="CK616" s="1417"/>
      <c r="CL616" s="1417"/>
      <c r="CM616" s="1417">
        <f t="shared" si="10"/>
        <v>0</v>
      </c>
      <c r="CN616" s="1417"/>
      <c r="CO616" s="1417"/>
      <c r="CP616" s="1417"/>
      <c r="CQ616" s="1417"/>
      <c r="CR616" s="6"/>
      <c r="CS616" s="1418">
        <f t="shared" si="11"/>
        <v>0</v>
      </c>
      <c r="CT616" s="1418"/>
      <c r="CU616" s="1418"/>
      <c r="CV616" s="1418"/>
      <c r="CW616" s="1418"/>
      <c r="CX616" s="1418">
        <f t="shared" si="12"/>
        <v>0</v>
      </c>
      <c r="CY616" s="1418"/>
      <c r="CZ616" s="1418"/>
      <c r="DA616" s="1418"/>
      <c r="DB616" s="1418"/>
      <c r="DC616" s="1418">
        <f t="shared" si="13"/>
        <v>0</v>
      </c>
      <c r="DD616" s="1418"/>
      <c r="DE616" s="1418"/>
      <c r="DF616" s="1418"/>
      <c r="DG616" s="1418"/>
      <c r="DH616" s="1418">
        <f t="shared" si="14"/>
        <v>0</v>
      </c>
      <c r="DI616" s="1418"/>
      <c r="DJ616" s="1418"/>
      <c r="DK616" s="1418"/>
      <c r="DL616" s="1418"/>
      <c r="DM616" s="1418">
        <f t="shared" si="15"/>
        <v>0</v>
      </c>
      <c r="DN616" s="1418"/>
      <c r="DO616" s="1418"/>
      <c r="DP616" s="1418"/>
      <c r="DQ616" s="1418"/>
      <c r="DR616" s="1418">
        <f t="shared" si="16"/>
        <v>0</v>
      </c>
      <c r="DS616" s="1418"/>
      <c r="DT616" s="1418"/>
      <c r="DU616" s="1418"/>
      <c r="DV616" s="1418"/>
      <c r="DX616" s="1414" t="str">
        <f t="shared" si="17"/>
        <v xml:space="preserve"> </v>
      </c>
      <c r="DY616" s="1415"/>
      <c r="DZ616" s="1415"/>
      <c r="EA616" s="1415"/>
      <c r="EB616" s="1416"/>
      <c r="EC616" s="1414" t="str">
        <f t="shared" si="18"/>
        <v xml:space="preserve"> </v>
      </c>
      <c r="ED616" s="1415"/>
      <c r="EE616" s="1415"/>
      <c r="EF616" s="1415"/>
      <c r="EG616" s="1416"/>
      <c r="EH616" s="1414" t="str">
        <f t="shared" si="19"/>
        <v xml:space="preserve"> </v>
      </c>
      <c r="EI616" s="1415"/>
      <c r="EJ616" s="1415"/>
      <c r="EK616" s="1415"/>
      <c r="EL616" s="1416"/>
      <c r="EM616" s="1414" t="str">
        <f t="shared" si="20"/>
        <v xml:space="preserve"> </v>
      </c>
      <c r="EN616" s="1415"/>
      <c r="EO616" s="1415"/>
      <c r="EP616" s="1415"/>
      <c r="EQ616" s="1416"/>
      <c r="ER616" s="1414" t="str">
        <f t="shared" si="21"/>
        <v xml:space="preserve"> </v>
      </c>
      <c r="ES616" s="1415"/>
      <c r="ET616" s="1415"/>
      <c r="EU616" s="1415"/>
      <c r="EV616" s="1416"/>
      <c r="EW616" s="1414" t="str">
        <f t="shared" si="22"/>
        <v xml:space="preserve"> </v>
      </c>
      <c r="EX616" s="1415"/>
      <c r="EY616" s="1415"/>
      <c r="EZ616" s="1415"/>
      <c r="FA616" s="1416"/>
    </row>
    <row r="617" spans="1:157" ht="12.95" customHeight="1">
      <c r="A617" s="2"/>
      <c r="B617" s="2"/>
      <c r="C617" s="2"/>
      <c r="AZ617" s="3"/>
      <c r="BA617" s="3"/>
      <c r="BB617" s="3"/>
      <c r="BC617" s="3"/>
      <c r="BD617" s="3"/>
      <c r="BE617" s="1414">
        <f t="shared" si="1"/>
        <v>0</v>
      </c>
      <c r="BF617" s="1416"/>
      <c r="BG617" s="1430">
        <f t="shared" si="2"/>
        <v>0</v>
      </c>
      <c r="BH617" s="1431"/>
      <c r="BI617" s="1414">
        <f t="shared" si="3"/>
        <v>0</v>
      </c>
      <c r="BJ617" s="1416"/>
      <c r="BK617" s="1430">
        <f t="shared" si="4"/>
        <v>0</v>
      </c>
      <c r="BL617" s="1431"/>
      <c r="BM617" s="3"/>
      <c r="BN617" s="1408">
        <f t="shared" si="5"/>
        <v>0</v>
      </c>
      <c r="BO617" s="1409"/>
      <c r="BP617" s="1409"/>
      <c r="BQ617" s="1409"/>
      <c r="BR617" s="1410"/>
      <c r="BS617" s="1417">
        <f t="shared" si="6"/>
        <v>0</v>
      </c>
      <c r="BT617" s="1417"/>
      <c r="BU617" s="1417"/>
      <c r="BV617" s="1417"/>
      <c r="BW617" s="1417"/>
      <c r="BX617" s="1417">
        <f t="shared" si="7"/>
        <v>0</v>
      </c>
      <c r="BY617" s="1417"/>
      <c r="BZ617" s="1417"/>
      <c r="CA617" s="1417"/>
      <c r="CB617" s="1417"/>
      <c r="CC617" s="1417">
        <f t="shared" si="8"/>
        <v>0</v>
      </c>
      <c r="CD617" s="1417"/>
      <c r="CE617" s="1417"/>
      <c r="CF617" s="1417"/>
      <c r="CG617" s="1417"/>
      <c r="CH617" s="1417">
        <f t="shared" si="9"/>
        <v>0</v>
      </c>
      <c r="CI617" s="1417"/>
      <c r="CJ617" s="1417"/>
      <c r="CK617" s="1417"/>
      <c r="CL617" s="1417"/>
      <c r="CM617" s="1417">
        <f t="shared" si="10"/>
        <v>0</v>
      </c>
      <c r="CN617" s="1417"/>
      <c r="CO617" s="1417"/>
      <c r="CP617" s="1417"/>
      <c r="CQ617" s="1417"/>
      <c r="CR617" s="6"/>
      <c r="CS617" s="1418">
        <f t="shared" si="11"/>
        <v>0</v>
      </c>
      <c r="CT617" s="1418"/>
      <c r="CU617" s="1418"/>
      <c r="CV617" s="1418"/>
      <c r="CW617" s="1418"/>
      <c r="CX617" s="1418">
        <f t="shared" si="12"/>
        <v>0</v>
      </c>
      <c r="CY617" s="1418"/>
      <c r="CZ617" s="1418"/>
      <c r="DA617" s="1418"/>
      <c r="DB617" s="1418"/>
      <c r="DC617" s="1418">
        <f t="shared" si="13"/>
        <v>0</v>
      </c>
      <c r="DD617" s="1418"/>
      <c r="DE617" s="1418"/>
      <c r="DF617" s="1418"/>
      <c r="DG617" s="1418"/>
      <c r="DH617" s="1418">
        <f t="shared" si="14"/>
        <v>0</v>
      </c>
      <c r="DI617" s="1418"/>
      <c r="DJ617" s="1418"/>
      <c r="DK617" s="1418"/>
      <c r="DL617" s="1418"/>
      <c r="DM617" s="1418">
        <f t="shared" si="15"/>
        <v>0</v>
      </c>
      <c r="DN617" s="1418"/>
      <c r="DO617" s="1418"/>
      <c r="DP617" s="1418"/>
      <c r="DQ617" s="1418"/>
      <c r="DR617" s="1418">
        <f t="shared" si="16"/>
        <v>0</v>
      </c>
      <c r="DS617" s="1418"/>
      <c r="DT617" s="1418"/>
      <c r="DU617" s="1418"/>
      <c r="DV617" s="1418"/>
      <c r="DX617" s="1414" t="str">
        <f t="shared" si="17"/>
        <v xml:space="preserve"> </v>
      </c>
      <c r="DY617" s="1415"/>
      <c r="DZ617" s="1415"/>
      <c r="EA617" s="1415"/>
      <c r="EB617" s="1416"/>
      <c r="EC617" s="1414" t="str">
        <f t="shared" si="18"/>
        <v xml:space="preserve"> </v>
      </c>
      <c r="ED617" s="1415"/>
      <c r="EE617" s="1415"/>
      <c r="EF617" s="1415"/>
      <c r="EG617" s="1416"/>
      <c r="EH617" s="1414" t="str">
        <f t="shared" si="19"/>
        <v xml:space="preserve"> </v>
      </c>
      <c r="EI617" s="1415"/>
      <c r="EJ617" s="1415"/>
      <c r="EK617" s="1415"/>
      <c r="EL617" s="1416"/>
      <c r="EM617" s="1414" t="str">
        <f t="shared" si="20"/>
        <v xml:space="preserve"> </v>
      </c>
      <c r="EN617" s="1415"/>
      <c r="EO617" s="1415"/>
      <c r="EP617" s="1415"/>
      <c r="EQ617" s="1416"/>
      <c r="ER617" s="1414" t="str">
        <f t="shared" si="21"/>
        <v xml:space="preserve"> </v>
      </c>
      <c r="ES617" s="1415"/>
      <c r="ET617" s="1415"/>
      <c r="EU617" s="1415"/>
      <c r="EV617" s="1416"/>
      <c r="EW617" s="1414" t="str">
        <f t="shared" si="22"/>
        <v xml:space="preserve"> </v>
      </c>
      <c r="EX617" s="1415"/>
      <c r="EY617" s="1415"/>
      <c r="EZ617" s="1415"/>
      <c r="FA617" s="1416"/>
    </row>
    <row r="618" spans="1:157" ht="12.95" customHeight="1">
      <c r="C618" s="2" t="s">
        <v>2526</v>
      </c>
      <c r="AZ618" s="3"/>
      <c r="BA618" s="3"/>
      <c r="BB618" s="3"/>
      <c r="BC618" s="3"/>
      <c r="BD618" s="3"/>
      <c r="BE618" s="1414">
        <f t="shared" si="1"/>
        <v>0</v>
      </c>
      <c r="BF618" s="1416"/>
      <c r="BG618" s="1430">
        <f t="shared" si="2"/>
        <v>0</v>
      </c>
      <c r="BH618" s="1431"/>
      <c r="BI618" s="1414">
        <f t="shared" si="3"/>
        <v>0</v>
      </c>
      <c r="BJ618" s="1416"/>
      <c r="BK618" s="1430">
        <f t="shared" si="4"/>
        <v>0</v>
      </c>
      <c r="BL618" s="1431"/>
      <c r="BM618" s="3"/>
      <c r="BN618" s="1408">
        <f t="shared" si="5"/>
        <v>0</v>
      </c>
      <c r="BO618" s="1409"/>
      <c r="BP618" s="1409"/>
      <c r="BQ618" s="1409"/>
      <c r="BR618" s="1410"/>
      <c r="BS618" s="1417">
        <f t="shared" si="6"/>
        <v>0</v>
      </c>
      <c r="BT618" s="1417"/>
      <c r="BU618" s="1417"/>
      <c r="BV618" s="1417"/>
      <c r="BW618" s="1417"/>
      <c r="BX618" s="1417">
        <f t="shared" si="7"/>
        <v>0</v>
      </c>
      <c r="BY618" s="1417"/>
      <c r="BZ618" s="1417"/>
      <c r="CA618" s="1417"/>
      <c r="CB618" s="1417"/>
      <c r="CC618" s="1417">
        <f t="shared" si="8"/>
        <v>0</v>
      </c>
      <c r="CD618" s="1417"/>
      <c r="CE618" s="1417"/>
      <c r="CF618" s="1417"/>
      <c r="CG618" s="1417"/>
      <c r="CH618" s="1417">
        <f t="shared" si="9"/>
        <v>0</v>
      </c>
      <c r="CI618" s="1417"/>
      <c r="CJ618" s="1417"/>
      <c r="CK618" s="1417"/>
      <c r="CL618" s="1417"/>
      <c r="CM618" s="1417">
        <f t="shared" si="10"/>
        <v>0</v>
      </c>
      <c r="CN618" s="1417"/>
      <c r="CO618" s="1417"/>
      <c r="CP618" s="1417"/>
      <c r="CQ618" s="1417"/>
      <c r="CR618" s="6"/>
      <c r="CS618" s="1418">
        <f t="shared" si="11"/>
        <v>0</v>
      </c>
      <c r="CT618" s="1418"/>
      <c r="CU618" s="1418"/>
      <c r="CV618" s="1418"/>
      <c r="CW618" s="1418"/>
      <c r="CX618" s="1418">
        <f t="shared" si="12"/>
        <v>0</v>
      </c>
      <c r="CY618" s="1418"/>
      <c r="CZ618" s="1418"/>
      <c r="DA618" s="1418"/>
      <c r="DB618" s="1418"/>
      <c r="DC618" s="1418">
        <f t="shared" si="13"/>
        <v>0</v>
      </c>
      <c r="DD618" s="1418"/>
      <c r="DE618" s="1418"/>
      <c r="DF618" s="1418"/>
      <c r="DG618" s="1418"/>
      <c r="DH618" s="1418">
        <f t="shared" si="14"/>
        <v>0</v>
      </c>
      <c r="DI618" s="1418"/>
      <c r="DJ618" s="1418"/>
      <c r="DK618" s="1418"/>
      <c r="DL618" s="1418"/>
      <c r="DM618" s="1418">
        <f t="shared" si="15"/>
        <v>0</v>
      </c>
      <c r="DN618" s="1418"/>
      <c r="DO618" s="1418"/>
      <c r="DP618" s="1418"/>
      <c r="DQ618" s="1418"/>
      <c r="DR618" s="1418">
        <f t="shared" si="16"/>
        <v>0</v>
      </c>
      <c r="DS618" s="1418"/>
      <c r="DT618" s="1418"/>
      <c r="DU618" s="1418"/>
      <c r="DV618" s="1418"/>
      <c r="DX618" s="1414" t="str">
        <f t="shared" si="17"/>
        <v xml:space="preserve"> </v>
      </c>
      <c r="DY618" s="1415"/>
      <c r="DZ618" s="1415"/>
      <c r="EA618" s="1415"/>
      <c r="EB618" s="1416"/>
      <c r="EC618" s="1414" t="str">
        <f t="shared" si="18"/>
        <v xml:space="preserve"> </v>
      </c>
      <c r="ED618" s="1415"/>
      <c r="EE618" s="1415"/>
      <c r="EF618" s="1415"/>
      <c r="EG618" s="1416"/>
      <c r="EH618" s="1414" t="str">
        <f t="shared" si="19"/>
        <v xml:space="preserve"> </v>
      </c>
      <c r="EI618" s="1415"/>
      <c r="EJ618" s="1415"/>
      <c r="EK618" s="1415"/>
      <c r="EL618" s="1416"/>
      <c r="EM618" s="1414" t="str">
        <f t="shared" si="20"/>
        <v xml:space="preserve"> </v>
      </c>
      <c r="EN618" s="1415"/>
      <c r="EO618" s="1415"/>
      <c r="EP618" s="1415"/>
      <c r="EQ618" s="1416"/>
      <c r="ER618" s="1414" t="str">
        <f t="shared" si="21"/>
        <v xml:space="preserve"> </v>
      </c>
      <c r="ES618" s="1415"/>
      <c r="ET618" s="1415"/>
      <c r="EU618" s="1415"/>
      <c r="EV618" s="1416"/>
      <c r="EW618" s="1414" t="str">
        <f t="shared" si="22"/>
        <v xml:space="preserve"> </v>
      </c>
      <c r="EX618" s="1415"/>
      <c r="EY618" s="1415"/>
      <c r="EZ618" s="1415"/>
      <c r="FA618" s="1416"/>
    </row>
    <row r="619" spans="1:157" ht="12.95" customHeight="1">
      <c r="B619" s="547"/>
      <c r="C619" s="2"/>
      <c r="AZ619" s="3"/>
      <c r="BA619" s="3"/>
      <c r="BB619" s="3"/>
      <c r="BC619" s="3"/>
      <c r="BD619" s="3"/>
      <c r="BE619" s="1414">
        <f t="shared" si="1"/>
        <v>0</v>
      </c>
      <c r="BF619" s="1416"/>
      <c r="BG619" s="1430">
        <f t="shared" si="2"/>
        <v>0</v>
      </c>
      <c r="BH619" s="1431"/>
      <c r="BI619" s="1414">
        <f t="shared" si="3"/>
        <v>0</v>
      </c>
      <c r="BJ619" s="1416"/>
      <c r="BK619" s="1430">
        <f t="shared" si="4"/>
        <v>0</v>
      </c>
      <c r="BL619" s="1431"/>
      <c r="BM619" s="3"/>
      <c r="BN619" s="1408">
        <f t="shared" si="5"/>
        <v>0</v>
      </c>
      <c r="BO619" s="1409"/>
      <c r="BP619" s="1409"/>
      <c r="BQ619" s="1409"/>
      <c r="BR619" s="1410"/>
      <c r="BS619" s="1417">
        <f t="shared" si="6"/>
        <v>0</v>
      </c>
      <c r="BT619" s="1417"/>
      <c r="BU619" s="1417"/>
      <c r="BV619" s="1417"/>
      <c r="BW619" s="1417"/>
      <c r="BX619" s="1417">
        <f t="shared" si="7"/>
        <v>0</v>
      </c>
      <c r="BY619" s="1417"/>
      <c r="BZ619" s="1417"/>
      <c r="CA619" s="1417"/>
      <c r="CB619" s="1417"/>
      <c r="CC619" s="1417">
        <f t="shared" si="8"/>
        <v>0</v>
      </c>
      <c r="CD619" s="1417"/>
      <c r="CE619" s="1417"/>
      <c r="CF619" s="1417"/>
      <c r="CG619" s="1417"/>
      <c r="CH619" s="1417">
        <f t="shared" si="9"/>
        <v>0</v>
      </c>
      <c r="CI619" s="1417"/>
      <c r="CJ619" s="1417"/>
      <c r="CK619" s="1417"/>
      <c r="CL619" s="1417"/>
      <c r="CM619" s="1417">
        <f t="shared" si="10"/>
        <v>0</v>
      </c>
      <c r="CN619" s="1417"/>
      <c r="CO619" s="1417"/>
      <c r="CP619" s="1417"/>
      <c r="CQ619" s="1417"/>
      <c r="CR619" s="6"/>
      <c r="CS619" s="1418">
        <f t="shared" si="11"/>
        <v>0</v>
      </c>
      <c r="CT619" s="1418"/>
      <c r="CU619" s="1418"/>
      <c r="CV619" s="1418"/>
      <c r="CW619" s="1418"/>
      <c r="CX619" s="1418">
        <f t="shared" si="12"/>
        <v>0</v>
      </c>
      <c r="CY619" s="1418"/>
      <c r="CZ619" s="1418"/>
      <c r="DA619" s="1418"/>
      <c r="DB619" s="1418"/>
      <c r="DC619" s="1418">
        <f t="shared" si="13"/>
        <v>0</v>
      </c>
      <c r="DD619" s="1418"/>
      <c r="DE619" s="1418"/>
      <c r="DF619" s="1418"/>
      <c r="DG619" s="1418"/>
      <c r="DH619" s="1418">
        <f t="shared" si="14"/>
        <v>0</v>
      </c>
      <c r="DI619" s="1418"/>
      <c r="DJ619" s="1418"/>
      <c r="DK619" s="1418"/>
      <c r="DL619" s="1418"/>
      <c r="DM619" s="1418">
        <f t="shared" si="15"/>
        <v>0</v>
      </c>
      <c r="DN619" s="1418"/>
      <c r="DO619" s="1418"/>
      <c r="DP619" s="1418"/>
      <c r="DQ619" s="1418"/>
      <c r="DR619" s="1418">
        <f t="shared" si="16"/>
        <v>0</v>
      </c>
      <c r="DS619" s="1418"/>
      <c r="DT619" s="1418"/>
      <c r="DU619" s="1418"/>
      <c r="DV619" s="1418"/>
      <c r="DX619" s="1414" t="str">
        <f t="shared" si="17"/>
        <v xml:space="preserve"> </v>
      </c>
      <c r="DY619" s="1415"/>
      <c r="DZ619" s="1415"/>
      <c r="EA619" s="1415"/>
      <c r="EB619" s="1416"/>
      <c r="EC619" s="1414" t="str">
        <f t="shared" si="18"/>
        <v xml:space="preserve"> </v>
      </c>
      <c r="ED619" s="1415"/>
      <c r="EE619" s="1415"/>
      <c r="EF619" s="1415"/>
      <c r="EG619" s="1416"/>
      <c r="EH619" s="1414" t="str">
        <f t="shared" si="19"/>
        <v xml:space="preserve"> </v>
      </c>
      <c r="EI619" s="1415"/>
      <c r="EJ619" s="1415"/>
      <c r="EK619" s="1415"/>
      <c r="EL619" s="1416"/>
      <c r="EM619" s="1414" t="str">
        <f t="shared" si="20"/>
        <v xml:space="preserve"> </v>
      </c>
      <c r="EN619" s="1415"/>
      <c r="EO619" s="1415"/>
      <c r="EP619" s="1415"/>
      <c r="EQ619" s="1416"/>
      <c r="ER619" s="1414" t="str">
        <f t="shared" si="21"/>
        <v xml:space="preserve"> </v>
      </c>
      <c r="ES619" s="1415"/>
      <c r="ET619" s="1415"/>
      <c r="EU619" s="1415"/>
      <c r="EV619" s="1416"/>
      <c r="EW619" s="1414" t="str">
        <f t="shared" si="22"/>
        <v xml:space="preserve"> </v>
      </c>
      <c r="EX619" s="1415"/>
      <c r="EY619" s="1415"/>
      <c r="EZ619" s="1415"/>
      <c r="FA619" s="1416"/>
    </row>
    <row r="620" spans="1:157" ht="12.95" customHeight="1">
      <c r="B620" s="1741" t="s">
        <v>2528</v>
      </c>
      <c r="C620" s="1741"/>
      <c r="D620" s="1741"/>
      <c r="E620" s="1741"/>
      <c r="F620" s="1741"/>
      <c r="G620" s="1741"/>
      <c r="H620" s="1741"/>
      <c r="I620" s="1741"/>
      <c r="J620" s="1741"/>
      <c r="K620" s="1741"/>
      <c r="L620" s="1741"/>
      <c r="M620" s="1381" t="s">
        <v>2529</v>
      </c>
      <c r="N620" s="1381"/>
      <c r="O620" s="1381"/>
      <c r="P620" s="1381"/>
      <c r="Q620" s="1381" t="s">
        <v>2113</v>
      </c>
      <c r="R620" s="1381"/>
      <c r="S620" s="1381"/>
      <c r="T620" s="1381" t="s">
        <v>2111</v>
      </c>
      <c r="U620" s="1381"/>
      <c r="V620" s="1381"/>
      <c r="W620" s="1743" t="s">
        <v>462</v>
      </c>
      <c r="X620" s="1743"/>
      <c r="Y620" s="1743"/>
      <c r="Z620" s="1361" t="s">
        <v>2558</v>
      </c>
      <c r="AA620" s="1361"/>
      <c r="AB620" s="1362"/>
      <c r="AC620" s="1613" t="s">
        <v>1933</v>
      </c>
      <c r="AD620" s="1614"/>
      <c r="AE620" s="1615"/>
      <c r="AF620" s="1736" t="s">
        <v>2311</v>
      </c>
      <c r="AG620" s="1361"/>
      <c r="AH620" s="1361"/>
      <c r="AI620" s="1361"/>
      <c r="AJ620" s="1362"/>
      <c r="AK620" s="1603" t="s">
        <v>2312</v>
      </c>
      <c r="AL620" s="1604"/>
      <c r="AM620" s="1604"/>
      <c r="AN620" s="1605"/>
      <c r="AO620" s="1381" t="s">
        <v>463</v>
      </c>
      <c r="AP620" s="1381"/>
      <c r="AQ620" s="1381"/>
      <c r="AR620" s="1381"/>
      <c r="AS620" s="1381"/>
      <c r="AZ620" s="3"/>
      <c r="BA620" s="3"/>
      <c r="BB620" s="3"/>
      <c r="BC620" s="3"/>
      <c r="BD620" s="3"/>
      <c r="BE620" s="1414">
        <f t="shared" si="1"/>
        <v>0</v>
      </c>
      <c r="BF620" s="1416"/>
      <c r="BG620" s="1430">
        <f t="shared" si="2"/>
        <v>0</v>
      </c>
      <c r="BH620" s="1431"/>
      <c r="BI620" s="1414">
        <f t="shared" si="3"/>
        <v>0</v>
      </c>
      <c r="BJ620" s="1416"/>
      <c r="BK620" s="1430">
        <f t="shared" si="4"/>
        <v>0</v>
      </c>
      <c r="BL620" s="1431"/>
      <c r="BM620" s="3"/>
      <c r="BN620" s="1408">
        <f t="shared" si="5"/>
        <v>0</v>
      </c>
      <c r="BO620" s="1409"/>
      <c r="BP620" s="1409"/>
      <c r="BQ620" s="1409"/>
      <c r="BR620" s="1410"/>
      <c r="BS620" s="1417">
        <f t="shared" si="6"/>
        <v>0</v>
      </c>
      <c r="BT620" s="1417"/>
      <c r="BU620" s="1417"/>
      <c r="BV620" s="1417"/>
      <c r="BW620" s="1417"/>
      <c r="BX620" s="1417">
        <f t="shared" si="7"/>
        <v>0</v>
      </c>
      <c r="BY620" s="1417"/>
      <c r="BZ620" s="1417"/>
      <c r="CA620" s="1417"/>
      <c r="CB620" s="1417"/>
      <c r="CC620" s="1417">
        <f t="shared" si="8"/>
        <v>0</v>
      </c>
      <c r="CD620" s="1417"/>
      <c r="CE620" s="1417"/>
      <c r="CF620" s="1417"/>
      <c r="CG620" s="1417"/>
      <c r="CH620" s="1417">
        <f t="shared" si="9"/>
        <v>0</v>
      </c>
      <c r="CI620" s="1417"/>
      <c r="CJ620" s="1417"/>
      <c r="CK620" s="1417"/>
      <c r="CL620" s="1417"/>
      <c r="CM620" s="1417">
        <f t="shared" si="10"/>
        <v>0</v>
      </c>
      <c r="CN620" s="1417"/>
      <c r="CO620" s="1417"/>
      <c r="CP620" s="1417"/>
      <c r="CQ620" s="1417"/>
      <c r="CR620" s="6"/>
      <c r="CS620" s="1418">
        <f t="shared" si="11"/>
        <v>0</v>
      </c>
      <c r="CT620" s="1418"/>
      <c r="CU620" s="1418"/>
      <c r="CV620" s="1418"/>
      <c r="CW620" s="1418"/>
      <c r="CX620" s="1418">
        <f t="shared" si="12"/>
        <v>0</v>
      </c>
      <c r="CY620" s="1418"/>
      <c r="CZ620" s="1418"/>
      <c r="DA620" s="1418"/>
      <c r="DB620" s="1418"/>
      <c r="DC620" s="1418">
        <f t="shared" si="13"/>
        <v>0</v>
      </c>
      <c r="DD620" s="1418"/>
      <c r="DE620" s="1418"/>
      <c r="DF620" s="1418"/>
      <c r="DG620" s="1418"/>
      <c r="DH620" s="1418">
        <f t="shared" si="14"/>
        <v>0</v>
      </c>
      <c r="DI620" s="1418"/>
      <c r="DJ620" s="1418"/>
      <c r="DK620" s="1418"/>
      <c r="DL620" s="1418"/>
      <c r="DM620" s="1418">
        <f t="shared" si="15"/>
        <v>0</v>
      </c>
      <c r="DN620" s="1418"/>
      <c r="DO620" s="1418"/>
      <c r="DP620" s="1418"/>
      <c r="DQ620" s="1418"/>
      <c r="DR620" s="1418">
        <f t="shared" si="16"/>
        <v>0</v>
      </c>
      <c r="DS620" s="1418"/>
      <c r="DT620" s="1418"/>
      <c r="DU620" s="1418"/>
      <c r="DV620" s="1418"/>
      <c r="DX620" s="1414" t="str">
        <f t="shared" si="17"/>
        <v xml:space="preserve"> </v>
      </c>
      <c r="DY620" s="1415"/>
      <c r="DZ620" s="1415"/>
      <c r="EA620" s="1415"/>
      <c r="EB620" s="1416"/>
      <c r="EC620" s="1414" t="str">
        <f t="shared" si="18"/>
        <v xml:space="preserve"> </v>
      </c>
      <c r="ED620" s="1415"/>
      <c r="EE620" s="1415"/>
      <c r="EF620" s="1415"/>
      <c r="EG620" s="1416"/>
      <c r="EH620" s="1414" t="str">
        <f t="shared" si="19"/>
        <v xml:space="preserve"> </v>
      </c>
      <c r="EI620" s="1415"/>
      <c r="EJ620" s="1415"/>
      <c r="EK620" s="1415"/>
      <c r="EL620" s="1416"/>
      <c r="EM620" s="1414" t="str">
        <f t="shared" si="20"/>
        <v xml:space="preserve"> </v>
      </c>
      <c r="EN620" s="1415"/>
      <c r="EO620" s="1415"/>
      <c r="EP620" s="1415"/>
      <c r="EQ620" s="1416"/>
      <c r="ER620" s="1414" t="str">
        <f t="shared" si="21"/>
        <v xml:space="preserve"> </v>
      </c>
      <c r="ES620" s="1415"/>
      <c r="ET620" s="1415"/>
      <c r="EU620" s="1415"/>
      <c r="EV620" s="1416"/>
      <c r="EW620" s="1414" t="str">
        <f t="shared" si="22"/>
        <v xml:space="preserve"> </v>
      </c>
      <c r="EX620" s="1415"/>
      <c r="EY620" s="1415"/>
      <c r="EZ620" s="1415"/>
      <c r="FA620" s="1416"/>
    </row>
    <row r="621" spans="1:157" ht="12.95" customHeight="1">
      <c r="B621" s="1741"/>
      <c r="C621" s="1741"/>
      <c r="D621" s="1741"/>
      <c r="E621" s="1741"/>
      <c r="F621" s="1741"/>
      <c r="G621" s="1741"/>
      <c r="H621" s="1741"/>
      <c r="I621" s="1741"/>
      <c r="J621" s="1741"/>
      <c r="K621" s="1741"/>
      <c r="L621" s="1741"/>
      <c r="M621" s="1381"/>
      <c r="N621" s="1381"/>
      <c r="O621" s="1381"/>
      <c r="P621" s="1381"/>
      <c r="Q621" s="1381"/>
      <c r="R621" s="1381"/>
      <c r="S621" s="1381"/>
      <c r="T621" s="1381"/>
      <c r="U621" s="1381"/>
      <c r="V621" s="1381"/>
      <c r="W621" s="1743"/>
      <c r="X621" s="1743"/>
      <c r="Y621" s="1743"/>
      <c r="Z621" s="1363"/>
      <c r="AA621" s="1363"/>
      <c r="AB621" s="1364"/>
      <c r="AC621" s="1616"/>
      <c r="AD621" s="1617"/>
      <c r="AE621" s="1618"/>
      <c r="AF621" s="1737"/>
      <c r="AG621" s="1363"/>
      <c r="AH621" s="1363"/>
      <c r="AI621" s="1363"/>
      <c r="AJ621" s="1364"/>
      <c r="AK621" s="1606"/>
      <c r="AL621" s="1607"/>
      <c r="AM621" s="1607"/>
      <c r="AN621" s="1608"/>
      <c r="AO621" s="1381"/>
      <c r="AP621" s="1381"/>
      <c r="AQ621" s="1381"/>
      <c r="AR621" s="1381"/>
      <c r="AS621" s="1381"/>
      <c r="AZ621" s="3"/>
      <c r="BA621" s="3"/>
      <c r="BB621" s="3"/>
      <c r="BC621" s="3"/>
      <c r="BD621" s="3"/>
      <c r="BE621" s="3"/>
      <c r="BF621" s="3"/>
      <c r="BG621" s="1414">
        <f>SUM(BG596:BH620)</f>
        <v>0</v>
      </c>
      <c r="BH621" s="1416"/>
      <c r="BI621" s="3"/>
      <c r="BJ621" s="3"/>
      <c r="BK621" s="1414">
        <f>SUM(BK596:BL620)</f>
        <v>37</v>
      </c>
      <c r="BL621" s="1416"/>
      <c r="BM621" s="3"/>
      <c r="BN621" s="1414">
        <f>SUM(BN596:BR620)</f>
        <v>40</v>
      </c>
      <c r="BO621" s="1415"/>
      <c r="BP621" s="1415"/>
      <c r="BQ621" s="1415"/>
      <c r="BR621" s="1416"/>
      <c r="BS621" s="1419">
        <f>SUM(BS596:BW620)</f>
        <v>41</v>
      </c>
      <c r="BT621" s="1419"/>
      <c r="BU621" s="1419"/>
      <c r="BV621" s="1419"/>
      <c r="BW621" s="1419"/>
      <c r="BX621" s="1419">
        <f>SUM(BX596:CB620)</f>
        <v>44</v>
      </c>
      <c r="BY621" s="1419"/>
      <c r="BZ621" s="1419"/>
      <c r="CA621" s="1419"/>
      <c r="CB621" s="1419"/>
      <c r="CC621" s="1419">
        <f>SUM(CC596:CG620)</f>
        <v>46</v>
      </c>
      <c r="CD621" s="1419"/>
      <c r="CE621" s="1419"/>
      <c r="CF621" s="1419"/>
      <c r="CG621" s="1419"/>
      <c r="CH621" s="1419">
        <f>SUM(CH596:CL620)</f>
        <v>0</v>
      </c>
      <c r="CI621" s="1419"/>
      <c r="CJ621" s="1419"/>
      <c r="CK621" s="1419"/>
      <c r="CL621" s="1419"/>
      <c r="CM621" s="1419">
        <f>SUM(CM596:CQ620)</f>
        <v>0</v>
      </c>
      <c r="CN621" s="1419"/>
      <c r="CO621" s="1419"/>
      <c r="CP621" s="1419"/>
      <c r="CQ621" s="1419"/>
      <c r="CR621" s="386"/>
      <c r="CS621" s="1419">
        <f>SUM(CS596:CW620)</f>
        <v>14</v>
      </c>
      <c r="CT621" s="1419"/>
      <c r="CU621" s="1419"/>
      <c r="CV621" s="1419"/>
      <c r="CW621" s="1419"/>
      <c r="CX621" s="1419">
        <f>SUM(CX596:DB620)</f>
        <v>13</v>
      </c>
      <c r="CY621" s="1419"/>
      <c r="CZ621" s="1419"/>
      <c r="DA621" s="1419"/>
      <c r="DB621" s="1419"/>
      <c r="DC621" s="1419">
        <f>SUM(DC596:DG620)</f>
        <v>5</v>
      </c>
      <c r="DD621" s="1419"/>
      <c r="DE621" s="1419"/>
      <c r="DF621" s="1419"/>
      <c r="DG621" s="1419"/>
      <c r="DH621" s="1419">
        <f>SUM(DH596:DL620)</f>
        <v>5</v>
      </c>
      <c r="DI621" s="1419"/>
      <c r="DJ621" s="1419"/>
      <c r="DK621" s="1419"/>
      <c r="DL621" s="1419"/>
      <c r="DM621" s="1419">
        <f>SUM(DM596:DQ620)</f>
        <v>0</v>
      </c>
      <c r="DN621" s="1419"/>
      <c r="DO621" s="1419"/>
      <c r="DP621" s="1419"/>
      <c r="DQ621" s="1419"/>
      <c r="DR621" s="1419">
        <f>SUM(DR596:DV620)</f>
        <v>0</v>
      </c>
      <c r="DS621" s="1419"/>
      <c r="DT621" s="1419"/>
      <c r="DU621" s="1419"/>
      <c r="DV621" s="1419"/>
      <c r="DX621" s="1419">
        <f>SUM(DX596:EB620)</f>
        <v>2031</v>
      </c>
      <c r="DY621" s="1419"/>
      <c r="DZ621" s="1419"/>
      <c r="EA621" s="1419"/>
      <c r="EB621" s="1419"/>
      <c r="EC621" s="1419">
        <f>SUM(EC596:EG620)</f>
        <v>2159</v>
      </c>
      <c r="ED621" s="1419"/>
      <c r="EE621" s="1419"/>
      <c r="EF621" s="1419"/>
      <c r="EG621" s="1419"/>
      <c r="EH621" s="1419">
        <f>SUM(EH596:EL620)</f>
        <v>6236</v>
      </c>
      <c r="EI621" s="1419"/>
      <c r="EJ621" s="1419"/>
      <c r="EK621" s="1419"/>
      <c r="EL621" s="1419"/>
      <c r="EM621" s="1419">
        <f>SUM(EM596:EQ620)</f>
        <v>4777.2</v>
      </c>
      <c r="EN621" s="1419"/>
      <c r="EO621" s="1419"/>
      <c r="EP621" s="1419"/>
      <c r="EQ621" s="1419"/>
      <c r="ER621" s="1419">
        <f>SUM(ER596:EV620)</f>
        <v>0</v>
      </c>
      <c r="ES621" s="1419"/>
      <c r="ET621" s="1419"/>
      <c r="EU621" s="1419"/>
      <c r="EV621" s="1419"/>
      <c r="EW621" s="1419">
        <f>SUM(EW596:FA620)</f>
        <v>0</v>
      </c>
      <c r="EX621" s="1419"/>
      <c r="EY621" s="1419"/>
      <c r="EZ621" s="1419"/>
      <c r="FA621" s="1419"/>
    </row>
    <row r="622" spans="1:157" ht="12.95" customHeight="1">
      <c r="B622" s="1741"/>
      <c r="C622" s="1741"/>
      <c r="D622" s="1741"/>
      <c r="E622" s="1741"/>
      <c r="F622" s="1741"/>
      <c r="G622" s="1741"/>
      <c r="H622" s="1741"/>
      <c r="I622" s="1741"/>
      <c r="J622" s="1741"/>
      <c r="K622" s="1741"/>
      <c r="L622" s="1741"/>
      <c r="M622" s="1381"/>
      <c r="N622" s="1381"/>
      <c r="O622" s="1381"/>
      <c r="P622" s="1381"/>
      <c r="Q622" s="1381"/>
      <c r="R622" s="1381"/>
      <c r="S622" s="1381"/>
      <c r="T622" s="1381"/>
      <c r="U622" s="1381"/>
      <c r="V622" s="1381"/>
      <c r="W622" s="1743"/>
      <c r="X622" s="1743"/>
      <c r="Y622" s="1743"/>
      <c r="Z622" s="1365"/>
      <c r="AA622" s="1365"/>
      <c r="AB622" s="1366"/>
      <c r="AC622" s="1619"/>
      <c r="AD622" s="1620"/>
      <c r="AE622" s="1621"/>
      <c r="AF622" s="1738"/>
      <c r="AG622" s="1365"/>
      <c r="AH622" s="1365"/>
      <c r="AI622" s="1365"/>
      <c r="AJ622" s="1366"/>
      <c r="AK622" s="1609"/>
      <c r="AL622" s="1610"/>
      <c r="AM622" s="1610"/>
      <c r="AN622" s="1611"/>
      <c r="AO622" s="1381"/>
      <c r="AP622" s="1381"/>
      <c r="AQ622" s="1381"/>
      <c r="AR622" s="1381"/>
      <c r="AS622" s="1381"/>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2121</v>
      </c>
      <c r="CM622" s="1414">
        <f>BN621+BS621+BX621+CC621+CH621+CM621</f>
        <v>171</v>
      </c>
      <c r="CN622" s="1415"/>
      <c r="CO622" s="1415"/>
      <c r="CP622" s="1415"/>
      <c r="CQ622" s="1416"/>
      <c r="CR622" s="386"/>
      <c r="CS622" s="3"/>
      <c r="CT622" s="3"/>
      <c r="CU622" s="3"/>
      <c r="CV622" s="3"/>
      <c r="CW622" s="3"/>
      <c r="CX622" s="3"/>
      <c r="CY622" s="3"/>
      <c r="CZ622" s="3"/>
      <c r="DA622" s="3"/>
      <c r="DB622" s="3"/>
      <c r="DC622" s="3"/>
      <c r="DD622" s="3"/>
      <c r="DE622" s="3"/>
      <c r="DF622" s="3"/>
    </row>
    <row r="623" spans="1:157" ht="12.95" customHeight="1">
      <c r="B623" s="51" t="s">
        <v>113</v>
      </c>
      <c r="C623" s="1389" t="s">
        <v>2757</v>
      </c>
      <c r="D623" s="1389"/>
      <c r="E623" s="1389"/>
      <c r="F623" s="1389"/>
      <c r="G623" s="1389"/>
      <c r="H623" s="1389"/>
      <c r="I623" s="1389"/>
      <c r="J623" s="1389"/>
      <c r="K623" s="1389"/>
      <c r="L623" s="1389"/>
      <c r="M623" s="1388" t="s">
        <v>2545</v>
      </c>
      <c r="N623" s="1388"/>
      <c r="O623" s="1388"/>
      <c r="P623" s="1388"/>
      <c r="Q623" s="1359">
        <v>216</v>
      </c>
      <c r="R623" s="1359"/>
      <c r="S623" s="1360"/>
      <c r="T623" s="1358">
        <v>480</v>
      </c>
      <c r="U623" s="1359"/>
      <c r="V623" s="1360"/>
      <c r="W623" s="1370">
        <v>5.0699999999999995E-2</v>
      </c>
      <c r="X623" s="1371"/>
      <c r="Y623" s="1372"/>
      <c r="Z623" s="1367" t="s">
        <v>2557</v>
      </c>
      <c r="AA623" s="1368"/>
      <c r="AB623" s="1369"/>
      <c r="AC623" s="1432">
        <v>1</v>
      </c>
      <c r="AD623" s="1433"/>
      <c r="AE623" s="1434"/>
      <c r="AF623" s="1423">
        <v>1730919.5897410852</v>
      </c>
      <c r="AG623" s="1424"/>
      <c r="AH623" s="1424"/>
      <c r="AI623" s="1424"/>
      <c r="AJ623" s="1425"/>
      <c r="AK623" s="1427"/>
      <c r="AL623" s="1428"/>
      <c r="AM623" s="1428"/>
      <c r="AN623" s="1429"/>
      <c r="AO623" s="1426">
        <v>29628363.579204351</v>
      </c>
      <c r="AP623" s="1426"/>
      <c r="AQ623" s="1426"/>
      <c r="AR623" s="1426"/>
      <c r="AS623" s="1426"/>
      <c r="AT623" s="3"/>
      <c r="AU623" s="3"/>
      <c r="AV623" s="3"/>
      <c r="AW623" s="3"/>
      <c r="AX623" s="3"/>
      <c r="AY623" s="3"/>
      <c r="AZ623" s="3"/>
      <c r="BA623" s="3" t="s">
        <v>1325</v>
      </c>
      <c r="BB623" s="3"/>
      <c r="BC623" s="3"/>
      <c r="BD623" s="3"/>
      <c r="BE623" s="3"/>
      <c r="BF623" s="3"/>
      <c r="BG623" s="3"/>
      <c r="BH623" s="3"/>
      <c r="BI623" s="3"/>
      <c r="BJ623" s="3"/>
      <c r="BK623" s="3"/>
      <c r="BL623" s="3"/>
      <c r="BM623" s="3"/>
      <c r="BR623" s="897">
        <f>BN621*1</f>
        <v>40</v>
      </c>
      <c r="BS623" s="3"/>
      <c r="BT623" s="3"/>
      <c r="BU623" s="3"/>
      <c r="BV623" s="3"/>
      <c r="BW623" s="897">
        <f>BS621*1</f>
        <v>41</v>
      </c>
      <c r="BX623" s="3"/>
      <c r="BY623" s="3"/>
      <c r="BZ623" s="3"/>
      <c r="CA623" s="3"/>
      <c r="CB623" s="897">
        <f>BX621*2</f>
        <v>88</v>
      </c>
      <c r="CC623" s="3"/>
      <c r="CD623" s="3"/>
      <c r="CE623" s="3"/>
      <c r="CF623" s="3"/>
      <c r="CG623" s="897">
        <f>CC621*3</f>
        <v>138</v>
      </c>
      <c r="CH623" s="3"/>
      <c r="CI623" s="3"/>
      <c r="CJ623" s="3"/>
      <c r="CK623" s="3"/>
      <c r="CL623" s="897">
        <f>CH621*4</f>
        <v>0</v>
      </c>
      <c r="CM623" s="3"/>
      <c r="CN623" s="3"/>
      <c r="CO623" s="3"/>
      <c r="CP623" s="3"/>
      <c r="CQ623" s="897">
        <f>CM621*5</f>
        <v>0</v>
      </c>
      <c r="CS623" s="897">
        <f>BR623+BW623+CB623+CG623+CL623+CQ623</f>
        <v>307</v>
      </c>
      <c r="CT623" s="57" t="s">
        <v>2123</v>
      </c>
      <c r="CU623" s="3"/>
      <c r="CV623" s="3"/>
      <c r="CW623" s="3"/>
      <c r="CX623" s="3"/>
      <c r="CY623" s="3"/>
      <c r="CZ623" s="3"/>
      <c r="DA623" s="3"/>
      <c r="DB623" s="3"/>
      <c r="DC623" s="3"/>
      <c r="DD623" s="3"/>
      <c r="DE623" s="3"/>
      <c r="DF623" s="3"/>
    </row>
    <row r="624" spans="1:157" ht="12.95" customHeight="1">
      <c r="B624" s="52" t="s">
        <v>114</v>
      </c>
      <c r="C624" s="1389" t="s">
        <v>1919</v>
      </c>
      <c r="D624" s="1389"/>
      <c r="E624" s="1389"/>
      <c r="F624" s="1389"/>
      <c r="G624" s="1389"/>
      <c r="H624" s="1389"/>
      <c r="I624" s="1389"/>
      <c r="J624" s="1389"/>
      <c r="K624" s="1389"/>
      <c r="L624" s="1389"/>
      <c r="M624" s="1388" t="s">
        <v>2532</v>
      </c>
      <c r="N624" s="1388"/>
      <c r="O624" s="1388"/>
      <c r="P624" s="1388"/>
      <c r="Q624" s="1358"/>
      <c r="R624" s="1359"/>
      <c r="S624" s="1360"/>
      <c r="T624" s="1358"/>
      <c r="U624" s="1359"/>
      <c r="V624" s="1360"/>
      <c r="W624" s="1370"/>
      <c r="X624" s="1371"/>
      <c r="Y624" s="1372"/>
      <c r="Z624" s="1367" t="s">
        <v>467</v>
      </c>
      <c r="AA624" s="1368"/>
      <c r="AB624" s="1369"/>
      <c r="AC624" s="1432"/>
      <c r="AD624" s="1433"/>
      <c r="AE624" s="1434"/>
      <c r="AF624" s="1423"/>
      <c r="AG624" s="1424"/>
      <c r="AH624" s="1424"/>
      <c r="AI624" s="1424"/>
      <c r="AJ624" s="1425"/>
      <c r="AK624" s="1427"/>
      <c r="AL624" s="1428"/>
      <c r="AM624" s="1428"/>
      <c r="AN624" s="1429"/>
      <c r="AO624" s="1420">
        <v>8153790.4622803628</v>
      </c>
      <c r="AP624" s="1421"/>
      <c r="AQ624" s="1421"/>
      <c r="AR624" s="1421"/>
      <c r="AS624" s="1422"/>
      <c r="AT624" s="1200"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06">
        <f t="shared" ref="DX624:DX648" si="23">DX596*(BN596/$BN$621)</f>
        <v>209.64999999999998</v>
      </c>
      <c r="DY624" s="1406"/>
      <c r="DZ624" s="1406"/>
      <c r="EA624" s="1406"/>
      <c r="EB624" s="1406"/>
      <c r="EC624" s="1406" t="e">
        <f t="shared" ref="EC624:EC648" si="24">EC596*(BS596/$BS$621)</f>
        <v>#VALUE!</v>
      </c>
      <c r="ED624" s="1406"/>
      <c r="EE624" s="1406"/>
      <c r="EF624" s="1406"/>
      <c r="EG624" s="1406"/>
      <c r="EH624" s="1406" t="e">
        <f t="shared" ref="EH624:EH648" si="25">EH596*(BX596/$BX$621)</f>
        <v>#VALUE!</v>
      </c>
      <c r="EI624" s="1406"/>
      <c r="EJ624" s="1406"/>
      <c r="EK624" s="1406"/>
      <c r="EL624" s="1406"/>
      <c r="EM624" s="1406" t="e">
        <f t="shared" ref="EM624:EM648" si="26">EM596*(CC596/$CC$621)</f>
        <v>#VALUE!</v>
      </c>
      <c r="EN624" s="1406"/>
      <c r="EO624" s="1406"/>
      <c r="EP624" s="1406"/>
      <c r="EQ624" s="1406"/>
      <c r="ER624" s="1406" t="e">
        <f t="shared" ref="ER624:ER648" si="27">ER596*(CH596/$CH$621)</f>
        <v>#VALUE!</v>
      </c>
      <c r="ES624" s="1406"/>
      <c r="ET624" s="1406"/>
      <c r="EU624" s="1406"/>
      <c r="EV624" s="1406"/>
      <c r="EW624" s="1406" t="e">
        <f t="shared" ref="EW624:EW648" si="28">EW596*(CM596/$CM$621)</f>
        <v>#VALUE!</v>
      </c>
      <c r="EX624" s="1406"/>
      <c r="EY624" s="1406"/>
      <c r="EZ624" s="1406"/>
      <c r="FA624" s="1406"/>
    </row>
    <row r="625" spans="1:157" ht="12.95" customHeight="1">
      <c r="B625" s="52" t="s">
        <v>120</v>
      </c>
      <c r="C625" s="1389"/>
      <c r="D625" s="1389"/>
      <c r="E625" s="1389"/>
      <c r="F625" s="1389"/>
      <c r="G625" s="1389"/>
      <c r="H625" s="1389"/>
      <c r="I625" s="1389"/>
      <c r="J625" s="1389"/>
      <c r="K625" s="1389"/>
      <c r="L625" s="1389"/>
      <c r="M625" s="1388"/>
      <c r="N625" s="1388"/>
      <c r="O625" s="1388"/>
      <c r="P625" s="1388"/>
      <c r="Q625" s="1358"/>
      <c r="R625" s="1359"/>
      <c r="S625" s="1360"/>
      <c r="T625" s="1358"/>
      <c r="U625" s="1359"/>
      <c r="V625" s="1360"/>
      <c r="W625" s="1370"/>
      <c r="X625" s="1371"/>
      <c r="Y625" s="1372"/>
      <c r="Z625" s="1367"/>
      <c r="AA625" s="1368"/>
      <c r="AB625" s="1369"/>
      <c r="AC625" s="1432"/>
      <c r="AD625" s="1433"/>
      <c r="AE625" s="1434"/>
      <c r="AF625" s="1423"/>
      <c r="AG625" s="1424"/>
      <c r="AH625" s="1424"/>
      <c r="AI625" s="1424"/>
      <c r="AJ625" s="1425"/>
      <c r="AK625" s="1427"/>
      <c r="AL625" s="1428"/>
      <c r="AM625" s="1428"/>
      <c r="AN625" s="1429"/>
      <c r="AO625" s="1420"/>
      <c r="AP625" s="1421"/>
      <c r="AQ625" s="1421"/>
      <c r="AR625" s="1421"/>
      <c r="AS625" s="1422"/>
      <c r="AT625" s="1200"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06">
        <f t="shared" si="23"/>
        <v>930.80000000000007</v>
      </c>
      <c r="DY625" s="1406"/>
      <c r="DZ625" s="1406"/>
      <c r="EA625" s="1406"/>
      <c r="EB625" s="1406"/>
      <c r="EC625" s="1406" t="e">
        <f t="shared" si="24"/>
        <v>#VALUE!</v>
      </c>
      <c r="ED625" s="1406"/>
      <c r="EE625" s="1406"/>
      <c r="EF625" s="1406"/>
      <c r="EG625" s="1406"/>
      <c r="EH625" s="1406" t="e">
        <f t="shared" si="25"/>
        <v>#VALUE!</v>
      </c>
      <c r="EI625" s="1406"/>
      <c r="EJ625" s="1406"/>
      <c r="EK625" s="1406"/>
      <c r="EL625" s="1406"/>
      <c r="EM625" s="1406" t="e">
        <f t="shared" si="26"/>
        <v>#VALUE!</v>
      </c>
      <c r="EN625" s="1406"/>
      <c r="EO625" s="1406"/>
      <c r="EP625" s="1406"/>
      <c r="EQ625" s="1406"/>
      <c r="ER625" s="1406" t="e">
        <f t="shared" si="27"/>
        <v>#VALUE!</v>
      </c>
      <c r="ES625" s="1406"/>
      <c r="ET625" s="1406"/>
      <c r="EU625" s="1406"/>
      <c r="EV625" s="1406"/>
      <c r="EW625" s="1406" t="e">
        <f t="shared" si="28"/>
        <v>#VALUE!</v>
      </c>
      <c r="EX625" s="1406"/>
      <c r="EY625" s="1406"/>
      <c r="EZ625" s="1406"/>
      <c r="FA625" s="1406"/>
    </row>
    <row r="626" spans="1:157" ht="12.95" customHeight="1">
      <c r="B626" s="52" t="s">
        <v>590</v>
      </c>
      <c r="C626" s="1350"/>
      <c r="D626" s="1350"/>
      <c r="E626" s="1350"/>
      <c r="F626" s="1350"/>
      <c r="G626" s="1350"/>
      <c r="H626" s="1350"/>
      <c r="I626" s="1350"/>
      <c r="J626" s="1350"/>
      <c r="K626" s="1350"/>
      <c r="L626" s="1350"/>
      <c r="M626" s="1388"/>
      <c r="N626" s="1388"/>
      <c r="O626" s="1388"/>
      <c r="P626" s="1388"/>
      <c r="Q626" s="1358"/>
      <c r="R626" s="1359"/>
      <c r="S626" s="1360"/>
      <c r="T626" s="1358"/>
      <c r="U626" s="1359"/>
      <c r="V626" s="1360"/>
      <c r="W626" s="1370"/>
      <c r="X626" s="1371"/>
      <c r="Y626" s="1372"/>
      <c r="Z626" s="1367"/>
      <c r="AA626" s="1368"/>
      <c r="AB626" s="1369"/>
      <c r="AC626" s="1432"/>
      <c r="AD626" s="1433"/>
      <c r="AE626" s="1434"/>
      <c r="AF626" s="1423"/>
      <c r="AG626" s="1424"/>
      <c r="AH626" s="1424"/>
      <c r="AI626" s="1424"/>
      <c r="AJ626" s="1425"/>
      <c r="AK626" s="1427"/>
      <c r="AL626" s="1428"/>
      <c r="AM626" s="1428"/>
      <c r="AN626" s="1429"/>
      <c r="AO626" s="1420"/>
      <c r="AP626" s="1421"/>
      <c r="AQ626" s="1421"/>
      <c r="AR626" s="1421"/>
      <c r="AS626" s="1422"/>
      <c r="AT626" s="1200" t="str">
        <f t="shared" si="29"/>
        <v/>
      </c>
      <c r="AU626" s="3"/>
      <c r="AV626" s="3"/>
      <c r="AW626" s="3"/>
      <c r="AX626" s="3"/>
      <c r="AY626" s="3"/>
      <c r="AZ626" s="34"/>
      <c r="BA626" s="3" t="s">
        <v>2557</v>
      </c>
      <c r="BB626" s="34"/>
      <c r="BC626" s="34"/>
      <c r="BD626" s="34"/>
      <c r="BE626" s="34"/>
      <c r="BF626" s="34"/>
      <c r="BG626" s="34"/>
      <c r="BH626" s="34"/>
      <c r="BI626" s="34"/>
      <c r="BJ626" s="34"/>
      <c r="BK626" s="34"/>
      <c r="BL626" s="34"/>
      <c r="BM626" s="34"/>
      <c r="BN626" s="1408">
        <f>IF(J758="SRO/Studio",O758,0)</f>
        <v>0</v>
      </c>
      <c r="BO626" s="1409"/>
      <c r="BP626" s="1409"/>
      <c r="BQ626" s="1409"/>
      <c r="BR626" s="1410"/>
      <c r="BS626" s="1417">
        <f>IF(J758="1 Bedroom",O758,0)</f>
        <v>0</v>
      </c>
      <c r="BT626" s="1417"/>
      <c r="BU626" s="1417"/>
      <c r="BV626" s="1417"/>
      <c r="BW626" s="1417"/>
      <c r="BX626" s="1417">
        <f>IF(J758="2 Bedrooms",O758,0)</f>
        <v>2</v>
      </c>
      <c r="BY626" s="1417"/>
      <c r="BZ626" s="1417"/>
      <c r="CA626" s="1417"/>
      <c r="CB626" s="1417"/>
      <c r="CC626" s="1417">
        <f>IF(J758="3 Bedrooms",O758,0)</f>
        <v>0</v>
      </c>
      <c r="CD626" s="1417"/>
      <c r="CE626" s="1417"/>
      <c r="CF626" s="1417"/>
      <c r="CG626" s="1417"/>
      <c r="CH626" s="1417">
        <f>IF(J758="4 Bedrooms",O758,0)</f>
        <v>0</v>
      </c>
      <c r="CI626" s="1417"/>
      <c r="CJ626" s="1417"/>
      <c r="CK626" s="1417"/>
      <c r="CL626" s="1417"/>
      <c r="CM626" s="1417">
        <f>IF(J758="5 Bedrooms",O758,0)</f>
        <v>0</v>
      </c>
      <c r="CN626" s="1417"/>
      <c r="CO626" s="1417"/>
      <c r="CP626" s="1417"/>
      <c r="CQ626" s="1417"/>
      <c r="CR626" s="6"/>
      <c r="CS626" s="3"/>
      <c r="CT626" s="3"/>
      <c r="CU626" s="3"/>
      <c r="CV626" s="3"/>
      <c r="CW626" s="3"/>
      <c r="CX626" s="3"/>
      <c r="CY626" s="3"/>
      <c r="CZ626" s="3"/>
      <c r="DA626" s="3"/>
      <c r="DB626" s="3"/>
      <c r="DC626" s="3"/>
      <c r="DD626" s="3"/>
      <c r="DE626" s="3"/>
      <c r="DF626" s="3"/>
      <c r="DX626" s="1406" t="e">
        <f t="shared" si="23"/>
        <v>#VALUE!</v>
      </c>
      <c r="DY626" s="1406"/>
      <c r="DZ626" s="1406"/>
      <c r="EA626" s="1406"/>
      <c r="EB626" s="1406"/>
      <c r="EC626" s="1406">
        <f t="shared" si="24"/>
        <v>200.70731707317074</v>
      </c>
      <c r="ED626" s="1406"/>
      <c r="EE626" s="1406"/>
      <c r="EF626" s="1406"/>
      <c r="EG626" s="1406"/>
      <c r="EH626" s="1406" t="e">
        <f t="shared" si="25"/>
        <v>#VALUE!</v>
      </c>
      <c r="EI626" s="1406"/>
      <c r="EJ626" s="1406"/>
      <c r="EK626" s="1406"/>
      <c r="EL626" s="1406"/>
      <c r="EM626" s="1406" t="e">
        <f t="shared" si="26"/>
        <v>#VALUE!</v>
      </c>
      <c r="EN626" s="1406"/>
      <c r="EO626" s="1406"/>
      <c r="EP626" s="1406"/>
      <c r="EQ626" s="1406"/>
      <c r="ER626" s="1406" t="e">
        <f t="shared" si="27"/>
        <v>#VALUE!</v>
      </c>
      <c r="ES626" s="1406"/>
      <c r="ET626" s="1406"/>
      <c r="EU626" s="1406"/>
      <c r="EV626" s="1406"/>
      <c r="EW626" s="1406" t="e">
        <f t="shared" si="28"/>
        <v>#VALUE!</v>
      </c>
      <c r="EX626" s="1406"/>
      <c r="EY626" s="1406"/>
      <c r="EZ626" s="1406"/>
      <c r="FA626" s="1406"/>
    </row>
    <row r="627" spans="1:157" ht="12.95" customHeight="1">
      <c r="B627" s="52" t="s">
        <v>787</v>
      </c>
      <c r="C627" s="1350"/>
      <c r="D627" s="1350"/>
      <c r="E627" s="1350"/>
      <c r="F627" s="1350"/>
      <c r="G627" s="1350"/>
      <c r="H627" s="1350"/>
      <c r="I627" s="1350"/>
      <c r="J627" s="1350"/>
      <c r="K627" s="1350"/>
      <c r="L627" s="1350"/>
      <c r="M627" s="1388"/>
      <c r="N627" s="1388"/>
      <c r="O627" s="1388"/>
      <c r="P627" s="1388"/>
      <c r="Q627" s="1358"/>
      <c r="R627" s="1359"/>
      <c r="S627" s="1360"/>
      <c r="T627" s="1358"/>
      <c r="U627" s="1359"/>
      <c r="V627" s="1360"/>
      <c r="W627" s="1370"/>
      <c r="X627" s="1371"/>
      <c r="Y627" s="1372"/>
      <c r="Z627" s="1367"/>
      <c r="AA627" s="1368"/>
      <c r="AB627" s="1369"/>
      <c r="AC627" s="1432"/>
      <c r="AD627" s="1433"/>
      <c r="AE627" s="1434"/>
      <c r="AF627" s="1423"/>
      <c r="AG627" s="1424"/>
      <c r="AH627" s="1424"/>
      <c r="AI627" s="1424"/>
      <c r="AJ627" s="1425"/>
      <c r="AK627" s="1427"/>
      <c r="AL627" s="1428"/>
      <c r="AM627" s="1428"/>
      <c r="AN627" s="1429"/>
      <c r="AO627" s="1420"/>
      <c r="AP627" s="1421"/>
      <c r="AQ627" s="1421"/>
      <c r="AR627" s="1421"/>
      <c r="AS627" s="1422"/>
      <c r="AT627" s="1200"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08">
        <f>IF(J759="SRO/Studio",O759,0)</f>
        <v>0</v>
      </c>
      <c r="BO627" s="1409"/>
      <c r="BP627" s="1409"/>
      <c r="BQ627" s="1409"/>
      <c r="BR627" s="1410"/>
      <c r="BS627" s="1417">
        <f>IF(J759="1 Bedroom",O759,0)</f>
        <v>0</v>
      </c>
      <c r="BT627" s="1417"/>
      <c r="BU627" s="1417"/>
      <c r="BV627" s="1417"/>
      <c r="BW627" s="1417"/>
      <c r="BX627" s="1417">
        <f>IF(J759="2 Bedrooms",O759,0)</f>
        <v>0</v>
      </c>
      <c r="BY627" s="1417"/>
      <c r="BZ627" s="1417"/>
      <c r="CA627" s="1417"/>
      <c r="CB627" s="1417"/>
      <c r="CC627" s="1417">
        <f>IF(J759="3 Bedrooms",O759,0)</f>
        <v>0</v>
      </c>
      <c r="CD627" s="1417"/>
      <c r="CE627" s="1417"/>
      <c r="CF627" s="1417"/>
      <c r="CG627" s="1417"/>
      <c r="CH627" s="1417">
        <f>IF(J759="4 Bedrooms",O759,0)</f>
        <v>0</v>
      </c>
      <c r="CI627" s="1417"/>
      <c r="CJ627" s="1417"/>
      <c r="CK627" s="1417"/>
      <c r="CL627" s="1417"/>
      <c r="CM627" s="1417">
        <f>IF(J759="5 Bedrooms",O759,0)</f>
        <v>0</v>
      </c>
      <c r="CN627" s="1417"/>
      <c r="CO627" s="1417"/>
      <c r="CP627" s="1417"/>
      <c r="CQ627" s="1417"/>
      <c r="CR627" s="6"/>
      <c r="CS627" s="3"/>
      <c r="CT627" s="3"/>
      <c r="CU627" s="3"/>
      <c r="CV627" s="3"/>
      <c r="CW627" s="3"/>
      <c r="CX627" s="3"/>
      <c r="CY627" s="3"/>
      <c r="CZ627" s="3"/>
      <c r="DA627" s="3"/>
      <c r="DB627" s="3"/>
      <c r="DC627" s="3"/>
      <c r="DD627" s="3"/>
      <c r="DE627" s="3"/>
      <c r="DF627" s="3"/>
      <c r="DX627" s="1406" t="e">
        <f t="shared" si="23"/>
        <v>#VALUE!</v>
      </c>
      <c r="DY627" s="1406"/>
      <c r="DZ627" s="1406"/>
      <c r="EA627" s="1406"/>
      <c r="EB627" s="1406"/>
      <c r="EC627" s="1406">
        <f t="shared" si="24"/>
        <v>1042.1463414634147</v>
      </c>
      <c r="ED627" s="1406"/>
      <c r="EE627" s="1406"/>
      <c r="EF627" s="1406"/>
      <c r="EG627" s="1406"/>
      <c r="EH627" s="1406" t="e">
        <f t="shared" si="25"/>
        <v>#VALUE!</v>
      </c>
      <c r="EI627" s="1406"/>
      <c r="EJ627" s="1406"/>
      <c r="EK627" s="1406"/>
      <c r="EL627" s="1406"/>
      <c r="EM627" s="1406" t="e">
        <f t="shared" si="26"/>
        <v>#VALUE!</v>
      </c>
      <c r="EN627" s="1406"/>
      <c r="EO627" s="1406"/>
      <c r="EP627" s="1406"/>
      <c r="EQ627" s="1406"/>
      <c r="ER627" s="1406" t="e">
        <f t="shared" si="27"/>
        <v>#VALUE!</v>
      </c>
      <c r="ES627" s="1406"/>
      <c r="ET627" s="1406"/>
      <c r="EU627" s="1406"/>
      <c r="EV627" s="1406"/>
      <c r="EW627" s="1406" t="e">
        <f t="shared" si="28"/>
        <v>#VALUE!</v>
      </c>
      <c r="EX627" s="1406"/>
      <c r="EY627" s="1406"/>
      <c r="EZ627" s="1406"/>
      <c r="FA627" s="1406"/>
    </row>
    <row r="628" spans="1:157" ht="12.95" customHeight="1">
      <c r="B628" s="52" t="s">
        <v>593</v>
      </c>
      <c r="C628" s="1350"/>
      <c r="D628" s="1350"/>
      <c r="E628" s="1350"/>
      <c r="F628" s="1350"/>
      <c r="G628" s="1350"/>
      <c r="H628" s="1350"/>
      <c r="I628" s="1350"/>
      <c r="J628" s="1350"/>
      <c r="K628" s="1350"/>
      <c r="L628" s="1350"/>
      <c r="M628" s="1388"/>
      <c r="N628" s="1388"/>
      <c r="O628" s="1388"/>
      <c r="P628" s="1388"/>
      <c r="Q628" s="1358"/>
      <c r="R628" s="1359"/>
      <c r="S628" s="1360"/>
      <c r="T628" s="1358"/>
      <c r="U628" s="1359"/>
      <c r="V628" s="1360"/>
      <c r="W628" s="1370"/>
      <c r="X628" s="1371"/>
      <c r="Y628" s="1372"/>
      <c r="Z628" s="1367"/>
      <c r="AA628" s="1368"/>
      <c r="AB628" s="1369"/>
      <c r="AC628" s="1432"/>
      <c r="AD628" s="1433"/>
      <c r="AE628" s="1434"/>
      <c r="AF628" s="1423"/>
      <c r="AG628" s="1424"/>
      <c r="AH628" s="1424"/>
      <c r="AI628" s="1424"/>
      <c r="AJ628" s="1425"/>
      <c r="AK628" s="1427"/>
      <c r="AL628" s="1428"/>
      <c r="AM628" s="1428"/>
      <c r="AN628" s="1429"/>
      <c r="AO628" s="1420"/>
      <c r="AP628" s="1421"/>
      <c r="AQ628" s="1421"/>
      <c r="AR628" s="1421"/>
      <c r="AS628" s="1422"/>
      <c r="AT628" s="1200" t="str">
        <f t="shared" si="29"/>
        <v/>
      </c>
      <c r="AU628" s="3"/>
      <c r="AV628" s="3"/>
      <c r="AW628" s="3"/>
      <c r="AX628" s="3"/>
      <c r="AY628" s="3"/>
      <c r="AZ628" s="34"/>
      <c r="BA628" s="34"/>
      <c r="BB628" s="34"/>
      <c r="BC628" s="34"/>
      <c r="BD628" s="34"/>
      <c r="BE628" s="34"/>
      <c r="BF628" s="34"/>
      <c r="BG628" s="34"/>
      <c r="BH628" s="34"/>
      <c r="BI628" s="34"/>
      <c r="BJ628" s="34"/>
      <c r="BK628" s="34"/>
      <c r="BL628" s="34"/>
      <c r="BM628" s="34"/>
      <c r="BN628" s="1408">
        <f>IF(J760="SRO/Studio",O760,0)</f>
        <v>0</v>
      </c>
      <c r="BO628" s="1409"/>
      <c r="BP628" s="1409"/>
      <c r="BQ628" s="1409"/>
      <c r="BR628" s="1410"/>
      <c r="BS628" s="1417">
        <f>IF(J760="1 Bedroom",O760,0)</f>
        <v>0</v>
      </c>
      <c r="BT628" s="1417"/>
      <c r="BU628" s="1417"/>
      <c r="BV628" s="1417"/>
      <c r="BW628" s="1417"/>
      <c r="BX628" s="1417">
        <f>IF(J760="2 Bedrooms",O760,0)</f>
        <v>0</v>
      </c>
      <c r="BY628" s="1417"/>
      <c r="BZ628" s="1417"/>
      <c r="CA628" s="1417"/>
      <c r="CB628" s="1417"/>
      <c r="CC628" s="1417">
        <f>IF(J760="3 Bedrooms",O760,0)</f>
        <v>0</v>
      </c>
      <c r="CD628" s="1417"/>
      <c r="CE628" s="1417"/>
      <c r="CF628" s="1417"/>
      <c r="CG628" s="1417"/>
      <c r="CH628" s="1417">
        <f>IF(J760="4 Bedrooms",O760,0)</f>
        <v>0</v>
      </c>
      <c r="CI628" s="1417"/>
      <c r="CJ628" s="1417"/>
      <c r="CK628" s="1417"/>
      <c r="CL628" s="1417"/>
      <c r="CM628" s="1417">
        <f>IF(J760="5 Bedrooms",O760,0)</f>
        <v>0</v>
      </c>
      <c r="CN628" s="1417"/>
      <c r="CO628" s="1417"/>
      <c r="CP628" s="1417"/>
      <c r="CQ628" s="1417"/>
      <c r="CR628" s="1048"/>
      <c r="CV628" s="3"/>
      <c r="CW628" s="3"/>
      <c r="CX628" s="3"/>
      <c r="CY628" s="3"/>
      <c r="CZ628" s="3"/>
      <c r="DA628" s="3"/>
      <c r="DB628" s="3"/>
      <c r="DC628" s="3"/>
      <c r="DD628" s="3"/>
      <c r="DE628" s="3"/>
      <c r="DF628" s="3"/>
      <c r="DX628" s="1406" t="e">
        <f t="shared" si="23"/>
        <v>#VALUE!</v>
      </c>
      <c r="DY628" s="1406"/>
      <c r="DZ628" s="1406"/>
      <c r="EA628" s="1406"/>
      <c r="EB628" s="1406"/>
      <c r="EC628" s="1406" t="e">
        <f t="shared" si="24"/>
        <v>#VALUE!</v>
      </c>
      <c r="ED628" s="1406"/>
      <c r="EE628" s="1406"/>
      <c r="EF628" s="1406"/>
      <c r="EG628" s="1406"/>
      <c r="EH628" s="1406">
        <f t="shared" si="25"/>
        <v>85.795454545454547</v>
      </c>
      <c r="EI628" s="1406"/>
      <c r="EJ628" s="1406"/>
      <c r="EK628" s="1406"/>
      <c r="EL628" s="1406"/>
      <c r="EM628" s="1406" t="e">
        <f t="shared" si="26"/>
        <v>#VALUE!</v>
      </c>
      <c r="EN628" s="1406"/>
      <c r="EO628" s="1406"/>
      <c r="EP628" s="1406"/>
      <c r="EQ628" s="1406"/>
      <c r="ER628" s="1406" t="e">
        <f t="shared" si="27"/>
        <v>#VALUE!</v>
      </c>
      <c r="ES628" s="1406"/>
      <c r="ET628" s="1406"/>
      <c r="EU628" s="1406"/>
      <c r="EV628" s="1406"/>
      <c r="EW628" s="1406" t="e">
        <f t="shared" si="28"/>
        <v>#VALUE!</v>
      </c>
      <c r="EX628" s="1406"/>
      <c r="EY628" s="1406"/>
      <c r="EZ628" s="1406"/>
      <c r="FA628" s="1406"/>
    </row>
    <row r="629" spans="1:157" ht="12.95" customHeight="1">
      <c r="B629" s="52" t="s">
        <v>464</v>
      </c>
      <c r="C629" s="1350"/>
      <c r="D629" s="1350"/>
      <c r="E629" s="1350"/>
      <c r="F629" s="1350"/>
      <c r="G629" s="1350"/>
      <c r="H629" s="1350"/>
      <c r="I629" s="1350"/>
      <c r="J629" s="1350"/>
      <c r="K629" s="1350"/>
      <c r="L629" s="1350"/>
      <c r="M629" s="1388"/>
      <c r="N629" s="1388"/>
      <c r="O629" s="1388"/>
      <c r="P629" s="1388"/>
      <c r="Q629" s="1358"/>
      <c r="R629" s="1359"/>
      <c r="S629" s="1360"/>
      <c r="T629" s="1358"/>
      <c r="U629" s="1359"/>
      <c r="V629" s="1360"/>
      <c r="W629" s="1370"/>
      <c r="X629" s="1371"/>
      <c r="Y629" s="1372"/>
      <c r="Z629" s="1367"/>
      <c r="AA629" s="1368"/>
      <c r="AB629" s="1369"/>
      <c r="AC629" s="1432"/>
      <c r="AD629" s="1433"/>
      <c r="AE629" s="1434"/>
      <c r="AF629" s="1423"/>
      <c r="AG629" s="1424"/>
      <c r="AH629" s="1424"/>
      <c r="AI629" s="1424"/>
      <c r="AJ629" s="1425"/>
      <c r="AK629" s="1427"/>
      <c r="AL629" s="1428"/>
      <c r="AM629" s="1428"/>
      <c r="AN629" s="1429"/>
      <c r="AO629" s="1420"/>
      <c r="AP629" s="1421"/>
      <c r="AQ629" s="1421"/>
      <c r="AR629" s="1421"/>
      <c r="AS629" s="1422"/>
      <c r="AT629" s="1200" t="str">
        <f t="shared" si="29"/>
        <v/>
      </c>
      <c r="AU629" s="3"/>
      <c r="AV629" s="3"/>
      <c r="AW629" s="3"/>
      <c r="AX629" s="3"/>
      <c r="AY629" s="3"/>
      <c r="AZ629" s="34"/>
      <c r="BA629" s="34"/>
      <c r="BB629" s="34"/>
      <c r="BC629" s="34"/>
      <c r="BD629" s="34"/>
      <c r="BE629" s="34"/>
      <c r="BF629" s="34"/>
      <c r="BG629" s="34"/>
      <c r="BH629" s="34"/>
      <c r="BI629" s="34"/>
      <c r="BJ629" s="34"/>
      <c r="BK629" s="34"/>
      <c r="BL629" s="34"/>
      <c r="BM629" s="34"/>
      <c r="BN629" s="1408">
        <f>IF(J761="SRO/Studio",O761,0)</f>
        <v>0</v>
      </c>
      <c r="BO629" s="1409"/>
      <c r="BP629" s="1409"/>
      <c r="BQ629" s="1409"/>
      <c r="BR629" s="1410"/>
      <c r="BS629" s="1417">
        <f>IF(J761="1 Bedroom",O761,0)</f>
        <v>0</v>
      </c>
      <c r="BT629" s="1417"/>
      <c r="BU629" s="1417"/>
      <c r="BV629" s="1417"/>
      <c r="BW629" s="1417"/>
      <c r="BX629" s="1417">
        <f>IF(J761="2 Bedrooms",O761,0)</f>
        <v>0</v>
      </c>
      <c r="BY629" s="1417"/>
      <c r="BZ629" s="1417"/>
      <c r="CA629" s="1417"/>
      <c r="CB629" s="1417"/>
      <c r="CC629" s="1417">
        <f>IF(J761="3 Bedrooms",O761,0)</f>
        <v>0</v>
      </c>
      <c r="CD629" s="1417"/>
      <c r="CE629" s="1417"/>
      <c r="CF629" s="1417"/>
      <c r="CG629" s="1417"/>
      <c r="CH629" s="1417">
        <f>IF(J761="4 Bedrooms",O761,0)</f>
        <v>0</v>
      </c>
      <c r="CI629" s="1417"/>
      <c r="CJ629" s="1417"/>
      <c r="CK629" s="1417"/>
      <c r="CL629" s="1417"/>
      <c r="CM629" s="1417">
        <f>IF(J761="5 Bedrooms",O761,0)</f>
        <v>0</v>
      </c>
      <c r="CN629" s="1417"/>
      <c r="CO629" s="1417"/>
      <c r="CP629" s="1417"/>
      <c r="CQ629" s="1417"/>
      <c r="CV629" s="3"/>
      <c r="CW629" s="3"/>
      <c r="CX629" s="3"/>
      <c r="CY629" s="3"/>
      <c r="CZ629" s="3"/>
      <c r="DA629" s="3"/>
      <c r="DB629" s="3"/>
      <c r="DC629" s="3"/>
      <c r="DD629" s="3"/>
      <c r="DE629" s="3"/>
      <c r="DF629" s="3"/>
      <c r="DX629" s="1406" t="e">
        <f t="shared" si="23"/>
        <v>#VALUE!</v>
      </c>
      <c r="DY629" s="1406"/>
      <c r="DZ629" s="1406"/>
      <c r="EA629" s="1406"/>
      <c r="EB629" s="1406"/>
      <c r="EC629" s="1406" t="e">
        <f t="shared" si="24"/>
        <v>#VALUE!</v>
      </c>
      <c r="ED629" s="1406"/>
      <c r="EE629" s="1406"/>
      <c r="EF629" s="1406"/>
      <c r="EG629" s="1406"/>
      <c r="EH629" s="1406">
        <f t="shared" si="25"/>
        <v>318.88636363636368</v>
      </c>
      <c r="EI629" s="1406"/>
      <c r="EJ629" s="1406"/>
      <c r="EK629" s="1406"/>
      <c r="EL629" s="1406"/>
      <c r="EM629" s="1406" t="e">
        <f t="shared" si="26"/>
        <v>#VALUE!</v>
      </c>
      <c r="EN629" s="1406"/>
      <c r="EO629" s="1406"/>
      <c r="EP629" s="1406"/>
      <c r="EQ629" s="1406"/>
      <c r="ER629" s="1406" t="e">
        <f t="shared" si="27"/>
        <v>#VALUE!</v>
      </c>
      <c r="ES629" s="1406"/>
      <c r="ET629" s="1406"/>
      <c r="EU629" s="1406"/>
      <c r="EV629" s="1406"/>
      <c r="EW629" s="1406" t="e">
        <f t="shared" si="28"/>
        <v>#VALUE!</v>
      </c>
      <c r="EX629" s="1406"/>
      <c r="EY629" s="1406"/>
      <c r="EZ629" s="1406"/>
      <c r="FA629" s="1406"/>
    </row>
    <row r="630" spans="1:157" ht="12.95" customHeight="1">
      <c r="B630" s="52" t="s">
        <v>465</v>
      </c>
      <c r="C630" s="1350"/>
      <c r="D630" s="1350"/>
      <c r="E630" s="1350"/>
      <c r="F630" s="1350"/>
      <c r="G630" s="1350"/>
      <c r="H630" s="1350"/>
      <c r="I630" s="1350"/>
      <c r="J630" s="1350"/>
      <c r="K630" s="1350"/>
      <c r="L630" s="1350"/>
      <c r="M630" s="1388"/>
      <c r="N630" s="1388"/>
      <c r="O630" s="1388"/>
      <c r="P630" s="1388"/>
      <c r="Q630" s="1358"/>
      <c r="R630" s="1359"/>
      <c r="S630" s="1360"/>
      <c r="T630" s="1358"/>
      <c r="U630" s="1359"/>
      <c r="V630" s="1360"/>
      <c r="W630" s="1370"/>
      <c r="X630" s="1371"/>
      <c r="Y630" s="1372"/>
      <c r="Z630" s="1367"/>
      <c r="AA630" s="1368"/>
      <c r="AB630" s="1369"/>
      <c r="AC630" s="1432"/>
      <c r="AD630" s="1433"/>
      <c r="AE630" s="1434"/>
      <c r="AF630" s="1423"/>
      <c r="AG630" s="1424"/>
      <c r="AH630" s="1424"/>
      <c r="AI630" s="1424"/>
      <c r="AJ630" s="1425"/>
      <c r="AK630" s="1427"/>
      <c r="AL630" s="1428"/>
      <c r="AM630" s="1428"/>
      <c r="AN630" s="1429"/>
      <c r="AO630" s="1420"/>
      <c r="AP630" s="1421"/>
      <c r="AQ630" s="1421"/>
      <c r="AR630" s="1421"/>
      <c r="AS630" s="1422"/>
      <c r="AT630" s="1200" t="str">
        <f t="shared" si="29"/>
        <v/>
      </c>
      <c r="AU630" s="3"/>
      <c r="AV630" s="3"/>
      <c r="AW630" s="3"/>
      <c r="AX630" s="3"/>
      <c r="AY630" s="3"/>
      <c r="AZ630" s="34"/>
      <c r="BA630" s="34"/>
      <c r="BB630" s="34"/>
      <c r="BC630" s="34"/>
      <c r="BD630" s="34"/>
      <c r="BE630" s="34"/>
      <c r="BF630" s="34"/>
      <c r="BG630" s="34"/>
      <c r="BH630" s="34"/>
      <c r="BI630" s="34"/>
      <c r="BJ630" s="34"/>
      <c r="BK630" s="34"/>
      <c r="BL630" s="34"/>
      <c r="BM630" s="34"/>
      <c r="BN630" s="1430">
        <f>SUM(BN626:BR629)</f>
        <v>0</v>
      </c>
      <c r="BO630" s="1594"/>
      <c r="BP630" s="1594"/>
      <c r="BQ630" s="1594"/>
      <c r="BR630" s="1431"/>
      <c r="BS630" s="1411">
        <f>SUM(BS626:BW629)</f>
        <v>0</v>
      </c>
      <c r="BT630" s="1412"/>
      <c r="BU630" s="1412"/>
      <c r="BV630" s="1412"/>
      <c r="BW630" s="1413"/>
      <c r="BX630" s="1411">
        <f>SUM(BX626:CB629)</f>
        <v>2</v>
      </c>
      <c r="BY630" s="1412"/>
      <c r="BZ630" s="1412"/>
      <c r="CA630" s="1412"/>
      <c r="CB630" s="1413"/>
      <c r="CC630" s="1411">
        <f>SUM(CC626:CG629)</f>
        <v>0</v>
      </c>
      <c r="CD630" s="1412"/>
      <c r="CE630" s="1412"/>
      <c r="CF630" s="1412"/>
      <c r="CG630" s="1413"/>
      <c r="CH630" s="1411">
        <f>SUM(CH626:CL629)</f>
        <v>0</v>
      </c>
      <c r="CI630" s="1412"/>
      <c r="CJ630" s="1412"/>
      <c r="CK630" s="1412"/>
      <c r="CL630" s="1413"/>
      <c r="CM630" s="1411">
        <f>SUM(CM626:CQ629)</f>
        <v>0</v>
      </c>
      <c r="CN630" s="1412"/>
      <c r="CO630" s="1412"/>
      <c r="CP630" s="1412"/>
      <c r="CQ630" s="1413"/>
      <c r="CS630" s="897">
        <f>BN630+BS630+BX630+CC630+CH630+CM630</f>
        <v>2</v>
      </c>
      <c r="CT630" s="57" t="s">
        <v>2120</v>
      </c>
      <c r="CU630" s="3"/>
      <c r="CV630" s="3"/>
      <c r="CW630" s="3"/>
      <c r="CX630" s="3"/>
      <c r="CY630" s="3"/>
      <c r="CZ630" s="3"/>
      <c r="DA630" s="3"/>
      <c r="DB630" s="3"/>
      <c r="DC630" s="3"/>
      <c r="DD630" s="3"/>
      <c r="DE630" s="3"/>
      <c r="DF630" s="3"/>
      <c r="DX630" s="1406" t="e">
        <f t="shared" si="23"/>
        <v>#VALUE!</v>
      </c>
      <c r="DY630" s="1406"/>
      <c r="DZ630" s="1406"/>
      <c r="EA630" s="1406"/>
      <c r="EB630" s="1406"/>
      <c r="EC630" s="1406" t="e">
        <f t="shared" si="24"/>
        <v>#VALUE!</v>
      </c>
      <c r="ED630" s="1406"/>
      <c r="EE630" s="1406"/>
      <c r="EF630" s="1406"/>
      <c r="EG630" s="1406"/>
      <c r="EH630" s="1406">
        <f t="shared" si="25"/>
        <v>788.93181818181813</v>
      </c>
      <c r="EI630" s="1406"/>
      <c r="EJ630" s="1406"/>
      <c r="EK630" s="1406"/>
      <c r="EL630" s="1406"/>
      <c r="EM630" s="1406" t="e">
        <f t="shared" si="26"/>
        <v>#VALUE!</v>
      </c>
      <c r="EN630" s="1406"/>
      <c r="EO630" s="1406"/>
      <c r="EP630" s="1406"/>
      <c r="EQ630" s="1406"/>
      <c r="ER630" s="1406" t="e">
        <f t="shared" si="27"/>
        <v>#VALUE!</v>
      </c>
      <c r="ES630" s="1406"/>
      <c r="ET630" s="1406"/>
      <c r="EU630" s="1406"/>
      <c r="EV630" s="1406"/>
      <c r="EW630" s="1406" t="e">
        <f t="shared" si="28"/>
        <v>#VALUE!</v>
      </c>
      <c r="EX630" s="1406"/>
      <c r="EY630" s="1406"/>
      <c r="EZ630" s="1406"/>
      <c r="FA630" s="1406"/>
    </row>
    <row r="631" spans="1:157" ht="12.95" customHeight="1">
      <c r="B631" s="52" t="s">
        <v>470</v>
      </c>
      <c r="C631" s="1350"/>
      <c r="D631" s="1350"/>
      <c r="E631" s="1350"/>
      <c r="F631" s="1350"/>
      <c r="G631" s="1350"/>
      <c r="H631" s="1350"/>
      <c r="I631" s="1350"/>
      <c r="J631" s="1350"/>
      <c r="K631" s="1350"/>
      <c r="L631" s="1350"/>
      <c r="M631" s="1388"/>
      <c r="N631" s="1388"/>
      <c r="O631" s="1388"/>
      <c r="P631" s="1388"/>
      <c r="Q631" s="1358"/>
      <c r="R631" s="1359"/>
      <c r="S631" s="1360"/>
      <c r="T631" s="1358"/>
      <c r="U631" s="1359"/>
      <c r="V631" s="1360"/>
      <c r="W631" s="1370"/>
      <c r="X631" s="1371"/>
      <c r="Y631" s="1372"/>
      <c r="Z631" s="1367"/>
      <c r="AA631" s="1368"/>
      <c r="AB631" s="1369"/>
      <c r="AC631" s="1432"/>
      <c r="AD631" s="1433"/>
      <c r="AE631" s="1434"/>
      <c r="AF631" s="1423"/>
      <c r="AG631" s="1424"/>
      <c r="AH631" s="1424"/>
      <c r="AI631" s="1424"/>
      <c r="AJ631" s="1425"/>
      <c r="AK631" s="1427"/>
      <c r="AL631" s="1428"/>
      <c r="AM631" s="1428"/>
      <c r="AN631" s="1429"/>
      <c r="AO631" s="1420"/>
      <c r="AP631" s="1421"/>
      <c r="AQ631" s="1421"/>
      <c r="AR631" s="1421"/>
      <c r="AS631" s="1422"/>
      <c r="AT631" s="1200"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4</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4</v>
      </c>
      <c r="CT631" s="57" t="s">
        <v>2122</v>
      </c>
      <c r="CU631" s="3"/>
      <c r="CV631" s="3"/>
      <c r="CW631" s="3"/>
      <c r="CX631" s="3"/>
      <c r="CY631" s="3"/>
      <c r="CZ631" s="3"/>
      <c r="DA631" s="3"/>
      <c r="DB631" s="3"/>
      <c r="DC631" s="3"/>
      <c r="DD631" s="3"/>
      <c r="DE631" s="3"/>
      <c r="DF631" s="3"/>
      <c r="DX631" s="1406" t="e">
        <f t="shared" si="23"/>
        <v>#VALUE!</v>
      </c>
      <c r="DY631" s="1406"/>
      <c r="DZ631" s="1406"/>
      <c r="EA631" s="1406"/>
      <c r="EB631" s="1406"/>
      <c r="EC631" s="1406" t="e">
        <f t="shared" si="24"/>
        <v>#VALUE!</v>
      </c>
      <c r="ED631" s="1406"/>
      <c r="EE631" s="1406"/>
      <c r="EF631" s="1406"/>
      <c r="EG631" s="1406"/>
      <c r="EH631" s="1406">
        <f t="shared" si="25"/>
        <v>523.75</v>
      </c>
      <c r="EI631" s="1406"/>
      <c r="EJ631" s="1406"/>
      <c r="EK631" s="1406"/>
      <c r="EL631" s="1406"/>
      <c r="EM631" s="1406" t="e">
        <f t="shared" si="26"/>
        <v>#VALUE!</v>
      </c>
      <c r="EN631" s="1406"/>
      <c r="EO631" s="1406"/>
      <c r="EP631" s="1406"/>
      <c r="EQ631" s="1406"/>
      <c r="ER631" s="1406" t="e">
        <f t="shared" si="27"/>
        <v>#VALUE!</v>
      </c>
      <c r="ES631" s="1406"/>
      <c r="ET631" s="1406"/>
      <c r="EU631" s="1406"/>
      <c r="EV631" s="1406"/>
      <c r="EW631" s="1406" t="e">
        <f t="shared" si="28"/>
        <v>#VALUE!</v>
      </c>
      <c r="EX631" s="1406"/>
      <c r="EY631" s="1406"/>
      <c r="EZ631" s="1406"/>
      <c r="FA631" s="1406"/>
    </row>
    <row r="632" spans="1:157" ht="12.95" customHeight="1">
      <c r="B632" s="52" t="s">
        <v>655</v>
      </c>
      <c r="C632" s="1350"/>
      <c r="D632" s="1350"/>
      <c r="E632" s="1350"/>
      <c r="F632" s="1350"/>
      <c r="G632" s="1350"/>
      <c r="H632" s="1350"/>
      <c r="I632" s="1350"/>
      <c r="J632" s="1350"/>
      <c r="K632" s="1350"/>
      <c r="L632" s="1350"/>
      <c r="M632" s="1388"/>
      <c r="N632" s="1388"/>
      <c r="O632" s="1388"/>
      <c r="P632" s="1388"/>
      <c r="Q632" s="1358"/>
      <c r="R632" s="1359"/>
      <c r="S632" s="1360"/>
      <c r="T632" s="1358"/>
      <c r="U632" s="1359"/>
      <c r="V632" s="1360"/>
      <c r="W632" s="1370"/>
      <c r="X632" s="1371"/>
      <c r="Y632" s="1372"/>
      <c r="Z632" s="1367"/>
      <c r="AA632" s="1368"/>
      <c r="AB632" s="1369"/>
      <c r="AC632" s="1432"/>
      <c r="AD632" s="1433"/>
      <c r="AE632" s="1434"/>
      <c r="AF632" s="1423"/>
      <c r="AG632" s="1424"/>
      <c r="AH632" s="1424"/>
      <c r="AI632" s="1424"/>
      <c r="AJ632" s="1425"/>
      <c r="AK632" s="1427"/>
      <c r="AL632" s="1428"/>
      <c r="AM632" s="1428"/>
      <c r="AN632" s="1429"/>
      <c r="AO632" s="1420"/>
      <c r="AP632" s="1421"/>
      <c r="AQ632" s="1421"/>
      <c r="AR632" s="1421"/>
      <c r="AS632" s="1422"/>
      <c r="AT632" s="1200"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06" t="e">
        <f t="shared" si="23"/>
        <v>#VALUE!</v>
      </c>
      <c r="DY632" s="1406"/>
      <c r="DZ632" s="1406"/>
      <c r="EA632" s="1406"/>
      <c r="EB632" s="1406"/>
      <c r="EC632" s="1406" t="e">
        <f t="shared" si="24"/>
        <v>#VALUE!</v>
      </c>
      <c r="ED632" s="1406"/>
      <c r="EE632" s="1406"/>
      <c r="EF632" s="1406"/>
      <c r="EG632" s="1406"/>
      <c r="EH632" s="1406" t="e">
        <f t="shared" si="25"/>
        <v>#VALUE!</v>
      </c>
      <c r="EI632" s="1406"/>
      <c r="EJ632" s="1406"/>
      <c r="EK632" s="1406"/>
      <c r="EL632" s="1406"/>
      <c r="EM632" s="1406">
        <f t="shared" si="26"/>
        <v>94.565217391304344</v>
      </c>
      <c r="EN632" s="1406"/>
      <c r="EO632" s="1406"/>
      <c r="EP632" s="1406"/>
      <c r="EQ632" s="1406"/>
      <c r="ER632" s="1406" t="e">
        <f t="shared" si="27"/>
        <v>#VALUE!</v>
      </c>
      <c r="ES632" s="1406"/>
      <c r="ET632" s="1406"/>
      <c r="EU632" s="1406"/>
      <c r="EV632" s="1406"/>
      <c r="EW632" s="1406" t="e">
        <f t="shared" si="28"/>
        <v>#VALUE!</v>
      </c>
      <c r="EX632" s="1406"/>
      <c r="EY632" s="1406"/>
      <c r="EZ632" s="1406"/>
      <c r="FA632" s="1406"/>
    </row>
    <row r="633" spans="1:157" ht="12.95" customHeight="1">
      <c r="B633" s="52" t="s">
        <v>364</v>
      </c>
      <c r="C633" s="1350"/>
      <c r="D633" s="1350"/>
      <c r="E633" s="1350"/>
      <c r="F633" s="1350"/>
      <c r="G633" s="1350"/>
      <c r="H633" s="1350"/>
      <c r="I633" s="1350"/>
      <c r="J633" s="1350"/>
      <c r="K633" s="1350"/>
      <c r="L633" s="1350"/>
      <c r="M633" s="1388"/>
      <c r="N633" s="1388"/>
      <c r="O633" s="1388"/>
      <c r="P633" s="1388"/>
      <c r="Q633" s="1358"/>
      <c r="R633" s="1359"/>
      <c r="S633" s="1360"/>
      <c r="T633" s="1358"/>
      <c r="U633" s="1359"/>
      <c r="V633" s="1360"/>
      <c r="W633" s="1370"/>
      <c r="X633" s="1371"/>
      <c r="Y633" s="1372"/>
      <c r="Z633" s="1367"/>
      <c r="AA633" s="1368"/>
      <c r="AB633" s="1369"/>
      <c r="AC633" s="1432"/>
      <c r="AD633" s="1433"/>
      <c r="AE633" s="1434"/>
      <c r="AF633" s="1423"/>
      <c r="AG633" s="1424"/>
      <c r="AH633" s="1424"/>
      <c r="AI633" s="1424"/>
      <c r="AJ633" s="1425"/>
      <c r="AK633" s="1427"/>
      <c r="AL633" s="1428"/>
      <c r="AM633" s="1428"/>
      <c r="AN633" s="1429"/>
      <c r="AO633" s="1420"/>
      <c r="AP633" s="1421"/>
      <c r="AQ633" s="1421"/>
      <c r="AR633" s="1421"/>
      <c r="AS633" s="1422"/>
      <c r="AT633" s="1200"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2130</v>
      </c>
      <c r="CT633" s="3"/>
      <c r="CU633" s="3"/>
      <c r="CV633" s="3"/>
      <c r="CW633" s="3"/>
      <c r="CX633" s="3"/>
      <c r="CY633" s="3"/>
      <c r="CZ633" s="3"/>
      <c r="DA633" s="3"/>
      <c r="DB633" s="3"/>
      <c r="DC633" s="3"/>
      <c r="DD633" s="3"/>
      <c r="DE633" s="3"/>
      <c r="DF633" s="3"/>
      <c r="DX633" s="1406" t="e">
        <f t="shared" si="23"/>
        <v>#VALUE!</v>
      </c>
      <c r="DY633" s="1406"/>
      <c r="DZ633" s="1406"/>
      <c r="EA633" s="1406"/>
      <c r="EB633" s="1406"/>
      <c r="EC633" s="1406" t="e">
        <f t="shared" si="24"/>
        <v>#VALUE!</v>
      </c>
      <c r="ED633" s="1406"/>
      <c r="EE633" s="1406"/>
      <c r="EF633" s="1406"/>
      <c r="EG633" s="1406"/>
      <c r="EH633" s="1406" t="e">
        <f t="shared" si="25"/>
        <v>#VALUE!</v>
      </c>
      <c r="EI633" s="1406"/>
      <c r="EJ633" s="1406"/>
      <c r="EK633" s="1406"/>
      <c r="EL633" s="1406"/>
      <c r="EM633" s="1406">
        <f t="shared" si="26"/>
        <v>977.71739130434776</v>
      </c>
      <c r="EN633" s="1406"/>
      <c r="EO633" s="1406"/>
      <c r="EP633" s="1406"/>
      <c r="EQ633" s="1406"/>
      <c r="ER633" s="1406" t="e">
        <f t="shared" si="27"/>
        <v>#VALUE!</v>
      </c>
      <c r="ES633" s="1406"/>
      <c r="ET633" s="1406"/>
      <c r="EU633" s="1406"/>
      <c r="EV633" s="1406"/>
      <c r="EW633" s="1406" t="e">
        <f t="shared" si="28"/>
        <v>#VALUE!</v>
      </c>
      <c r="EX633" s="1406"/>
      <c r="EY633" s="1406"/>
      <c r="EZ633" s="1406"/>
      <c r="FA633" s="1406"/>
    </row>
    <row r="634" spans="1:157" ht="12.95" customHeight="1">
      <c r="B634" s="52" t="s">
        <v>365</v>
      </c>
      <c r="C634" s="1350"/>
      <c r="D634" s="1350"/>
      <c r="E634" s="1350"/>
      <c r="F634" s="1350"/>
      <c r="G634" s="1350"/>
      <c r="H634" s="1350"/>
      <c r="I634" s="1350"/>
      <c r="J634" s="1350"/>
      <c r="K634" s="1350"/>
      <c r="L634" s="1350"/>
      <c r="M634" s="1388"/>
      <c r="N634" s="1388"/>
      <c r="O634" s="1388"/>
      <c r="P634" s="1388"/>
      <c r="Q634" s="1358"/>
      <c r="R634" s="1359"/>
      <c r="S634" s="1360"/>
      <c r="T634" s="1358"/>
      <c r="U634" s="1359"/>
      <c r="V634" s="1360"/>
      <c r="W634" s="1370"/>
      <c r="X634" s="1371"/>
      <c r="Y634" s="1372"/>
      <c r="Z634" s="1367"/>
      <c r="AA634" s="1368"/>
      <c r="AB634" s="1369"/>
      <c r="AC634" s="1432"/>
      <c r="AD634" s="1433"/>
      <c r="AE634" s="1434"/>
      <c r="AF634" s="1423"/>
      <c r="AG634" s="1424"/>
      <c r="AH634" s="1424"/>
      <c r="AI634" s="1424"/>
      <c r="AJ634" s="1425"/>
      <c r="AK634" s="1427"/>
      <c r="AL634" s="1428"/>
      <c r="AM634" s="1428"/>
      <c r="AN634" s="1429"/>
      <c r="AO634" s="1420"/>
      <c r="AP634" s="1421"/>
      <c r="AQ634" s="1421"/>
      <c r="AR634" s="1421"/>
      <c r="AS634" s="1422"/>
      <c r="AT634" s="1200" t="str">
        <f t="shared" si="29"/>
        <v/>
      </c>
      <c r="AU634" s="3"/>
      <c r="AV634" s="3"/>
      <c r="AW634" s="3"/>
      <c r="AX634" s="3"/>
      <c r="AY634" s="3"/>
      <c r="AZ634" s="3"/>
      <c r="BA634" s="3"/>
      <c r="BB634" s="3"/>
      <c r="BC634" s="3"/>
      <c r="BD634" s="3"/>
      <c r="BE634" s="3"/>
      <c r="BF634" s="3"/>
      <c r="BG634" s="3"/>
      <c r="BH634" s="3"/>
      <c r="BI634" s="3"/>
      <c r="BJ634" s="3"/>
      <c r="BK634" s="3"/>
      <c r="BL634" s="3"/>
      <c r="BM634" s="3"/>
      <c r="BN634" s="1408">
        <f t="shared" ref="BN634:BN643" si="30">IF(J772="SRO/Studio",O772,0)</f>
        <v>0</v>
      </c>
      <c r="BO634" s="1409"/>
      <c r="BP634" s="1409"/>
      <c r="BQ634" s="1409"/>
      <c r="BR634" s="1410"/>
      <c r="BS634" s="1417">
        <f t="shared" ref="BS634:BS643" si="31">IF(J772="1 Bedroom",O772,0)</f>
        <v>0</v>
      </c>
      <c r="BT634" s="1417"/>
      <c r="BU634" s="1417"/>
      <c r="BV634" s="1417"/>
      <c r="BW634" s="1417"/>
      <c r="BX634" s="1417">
        <f t="shared" ref="BX634:BX643" si="32">IF(J772="2 Bedrooms",O772,0)</f>
        <v>0</v>
      </c>
      <c r="BY634" s="1417"/>
      <c r="BZ634" s="1417"/>
      <c r="CA634" s="1417"/>
      <c r="CB634" s="1417"/>
      <c r="CC634" s="1417">
        <f t="shared" ref="CC634:CC643" si="33">IF(J772="3 Bedrooms",O772,0)</f>
        <v>0</v>
      </c>
      <c r="CD634" s="1417"/>
      <c r="CE634" s="1417"/>
      <c r="CF634" s="1417"/>
      <c r="CG634" s="1417"/>
      <c r="CH634" s="1417">
        <f t="shared" ref="CH634:CH643" si="34">IF(J772="4 Bedrooms",O772,0)</f>
        <v>0</v>
      </c>
      <c r="CI634" s="1417"/>
      <c r="CJ634" s="1417"/>
      <c r="CK634" s="1417"/>
      <c r="CL634" s="1417"/>
      <c r="CM634" s="1417">
        <f t="shared" ref="CM634:CM643" si="35">IF(J772="5 Bedrooms",O772,0)</f>
        <v>0</v>
      </c>
      <c r="CN634" s="1417"/>
      <c r="CO634" s="1417"/>
      <c r="CP634" s="1417"/>
      <c r="CQ634" s="1417"/>
      <c r="CR634" s="6"/>
      <c r="CS634" s="1408">
        <f>IF(AND(BN634&gt;=1,AH772&gt;=0.1,AH772&lt;=1),O772,0)</f>
        <v>0</v>
      </c>
      <c r="CT634" s="1409"/>
      <c r="CU634" s="1409"/>
      <c r="CV634" s="1409"/>
      <c r="CW634" s="1410"/>
      <c r="CX634" s="1408">
        <f>IF(AND(BS634&gt;=1,AH772&gt;=0.1,AH772&lt;=1),O772,0)</f>
        <v>0</v>
      </c>
      <c r="CY634" s="1409"/>
      <c r="CZ634" s="1409"/>
      <c r="DA634" s="1409"/>
      <c r="DB634" s="1410"/>
      <c r="DC634" s="1408">
        <f>IF(AND(BX634&gt;=1,AH772&gt;=0.1,AH772&lt;=1),O772,0)</f>
        <v>0</v>
      </c>
      <c r="DD634" s="1409"/>
      <c r="DE634" s="1409"/>
      <c r="DF634" s="1409"/>
      <c r="DG634" s="1410"/>
      <c r="DH634" s="1408">
        <f>IF(AND(CC634&gt;=1,AH772&gt;=0.1,AH772&lt;=1),O772,0)</f>
        <v>0</v>
      </c>
      <c r="DI634" s="1409"/>
      <c r="DJ634" s="1409"/>
      <c r="DK634" s="1409"/>
      <c r="DL634" s="1410"/>
      <c r="DM634" s="1408">
        <f>IF(AND(CH634&gt;=1,AH772&gt;=0.1,AH772&lt;=1),O772,0)</f>
        <v>0</v>
      </c>
      <c r="DN634" s="1409"/>
      <c r="DO634" s="1409"/>
      <c r="DP634" s="1409"/>
      <c r="DQ634" s="1410"/>
      <c r="DR634" s="1408">
        <f>IF(AND(CM634&gt;=1,AH772&gt;=0.1,AH772&lt;=1),O772,0)</f>
        <v>0</v>
      </c>
      <c r="DS634" s="1409"/>
      <c r="DT634" s="1409"/>
      <c r="DU634" s="1409"/>
      <c r="DV634" s="1410"/>
      <c r="DX634" s="1406" t="e">
        <f t="shared" si="23"/>
        <v>#VALUE!</v>
      </c>
      <c r="DY634" s="1406"/>
      <c r="DZ634" s="1406"/>
      <c r="EA634" s="1406"/>
      <c r="EB634" s="1406"/>
      <c r="EC634" s="1406" t="e">
        <f t="shared" si="24"/>
        <v>#VALUE!</v>
      </c>
      <c r="ED634" s="1406"/>
      <c r="EE634" s="1406"/>
      <c r="EF634" s="1406"/>
      <c r="EG634" s="1406"/>
      <c r="EH634" s="1406" t="e">
        <f t="shared" si="25"/>
        <v>#VALUE!</v>
      </c>
      <c r="EI634" s="1406"/>
      <c r="EJ634" s="1406"/>
      <c r="EK634" s="1406"/>
      <c r="EL634" s="1406"/>
      <c r="EM634" s="1406">
        <f t="shared" si="26"/>
        <v>733.28695652173906</v>
      </c>
      <c r="EN634" s="1406"/>
      <c r="EO634" s="1406"/>
      <c r="EP634" s="1406"/>
      <c r="EQ634" s="1406"/>
      <c r="ER634" s="1406" t="e">
        <f t="shared" si="27"/>
        <v>#VALUE!</v>
      </c>
      <c r="ES634" s="1406"/>
      <c r="ET634" s="1406"/>
      <c r="EU634" s="1406"/>
      <c r="EV634" s="1406"/>
      <c r="EW634" s="1406" t="e">
        <f t="shared" si="28"/>
        <v>#VALUE!</v>
      </c>
      <c r="EX634" s="1406"/>
      <c r="EY634" s="1406"/>
      <c r="EZ634" s="1406"/>
      <c r="FA634" s="1406"/>
    </row>
    <row r="635" spans="1:157" ht="12.95" customHeight="1">
      <c r="B635" s="1579" t="s">
        <v>129</v>
      </c>
      <c r="C635" s="1580"/>
      <c r="D635" s="1580"/>
      <c r="E635" s="1580"/>
      <c r="F635" s="1580"/>
      <c r="G635" s="1580"/>
      <c r="H635" s="1580"/>
      <c r="I635" s="1580"/>
      <c r="J635" s="1580"/>
      <c r="K635" s="1580"/>
      <c r="L635" s="1580"/>
      <c r="M635" s="1580"/>
      <c r="N635" s="1580"/>
      <c r="O635" s="1580"/>
      <c r="P635" s="1580"/>
      <c r="Q635" s="1580"/>
      <c r="R635" s="1580"/>
      <c r="S635" s="1580"/>
      <c r="T635" s="1580"/>
      <c r="U635" s="1580"/>
      <c r="V635" s="1580"/>
      <c r="W635" s="1580"/>
      <c r="X635" s="1580"/>
      <c r="Y635" s="1580"/>
      <c r="Z635" s="1580"/>
      <c r="AA635" s="1580"/>
      <c r="AB635" s="1580"/>
      <c r="AC635" s="1580"/>
      <c r="AD635" s="1580"/>
      <c r="AE635" s="1580"/>
      <c r="AF635" s="1580"/>
      <c r="AG635" s="1580"/>
      <c r="AH635" s="1580"/>
      <c r="AI635" s="1580"/>
      <c r="AJ635" s="1580"/>
      <c r="AK635" s="1580"/>
      <c r="AL635" s="1580"/>
      <c r="AM635" s="1580"/>
      <c r="AN635" s="1581"/>
      <c r="AO635" s="1591">
        <f>SUM(AO623:AR634)</f>
        <v>37782154.041484714</v>
      </c>
      <c r="AP635" s="1592"/>
      <c r="AQ635" s="1592"/>
      <c r="AR635" s="1592"/>
      <c r="AS635" s="1593"/>
      <c r="AZ635" s="3"/>
      <c r="BA635" s="3"/>
      <c r="BB635" s="3"/>
      <c r="BC635" s="3"/>
      <c r="BD635" s="3"/>
      <c r="BE635" s="3"/>
      <c r="BF635" s="3"/>
      <c r="BG635" s="3"/>
      <c r="BH635" s="3"/>
      <c r="BI635" s="3"/>
      <c r="BJ635" s="3"/>
      <c r="BK635" s="3"/>
      <c r="BL635" s="3"/>
      <c r="BM635" s="3"/>
      <c r="BN635" s="1408">
        <f t="shared" si="30"/>
        <v>0</v>
      </c>
      <c r="BO635" s="1409"/>
      <c r="BP635" s="1409"/>
      <c r="BQ635" s="1409"/>
      <c r="BR635" s="1410"/>
      <c r="BS635" s="1417">
        <f t="shared" si="31"/>
        <v>0</v>
      </c>
      <c r="BT635" s="1417"/>
      <c r="BU635" s="1417"/>
      <c r="BV635" s="1417"/>
      <c r="BW635" s="1417"/>
      <c r="BX635" s="1417">
        <f t="shared" si="32"/>
        <v>0</v>
      </c>
      <c r="BY635" s="1417"/>
      <c r="BZ635" s="1417"/>
      <c r="CA635" s="1417"/>
      <c r="CB635" s="1417"/>
      <c r="CC635" s="1417">
        <f t="shared" si="33"/>
        <v>0</v>
      </c>
      <c r="CD635" s="1417"/>
      <c r="CE635" s="1417"/>
      <c r="CF635" s="1417"/>
      <c r="CG635" s="1417"/>
      <c r="CH635" s="1417">
        <f t="shared" si="34"/>
        <v>0</v>
      </c>
      <c r="CI635" s="1417"/>
      <c r="CJ635" s="1417"/>
      <c r="CK635" s="1417"/>
      <c r="CL635" s="1417"/>
      <c r="CM635" s="1417">
        <f t="shared" si="35"/>
        <v>0</v>
      </c>
      <c r="CN635" s="1417"/>
      <c r="CO635" s="1417"/>
      <c r="CP635" s="1417"/>
      <c r="CQ635" s="1417"/>
      <c r="CR635" s="6"/>
      <c r="CS635" s="1408">
        <f t="shared" ref="CS635:CS643" si="36">IF(AND(BN635&gt;=1,AH773&gt;=0.1,AH773&lt;=1),O773,0)</f>
        <v>0</v>
      </c>
      <c r="CT635" s="1409"/>
      <c r="CU635" s="1409"/>
      <c r="CV635" s="1409"/>
      <c r="CW635" s="1410"/>
      <c r="CX635" s="1408">
        <f t="shared" ref="CX635:CX643" si="37">IF(AND(BS635&gt;=1,AH773&gt;=0.1,AH773&lt;=1),O773,0)</f>
        <v>0</v>
      </c>
      <c r="CY635" s="1409"/>
      <c r="CZ635" s="1409"/>
      <c r="DA635" s="1409"/>
      <c r="DB635" s="1410"/>
      <c r="DC635" s="1408">
        <f t="shared" ref="DC635:DC643" si="38">IF(AND(BX635&gt;=1,AH773&gt;=0.1,AH773&lt;=1),O773,0)</f>
        <v>0</v>
      </c>
      <c r="DD635" s="1409"/>
      <c r="DE635" s="1409"/>
      <c r="DF635" s="1409"/>
      <c r="DG635" s="1410"/>
      <c r="DH635" s="1408">
        <f t="shared" ref="DH635:DH643" si="39">IF(AND(CC635&gt;=1,AH773&gt;=0.1,AH773&lt;=1),O773,0)</f>
        <v>0</v>
      </c>
      <c r="DI635" s="1409"/>
      <c r="DJ635" s="1409"/>
      <c r="DK635" s="1409"/>
      <c r="DL635" s="1410"/>
      <c r="DM635" s="1408">
        <f t="shared" ref="DM635:DM643" si="40">IF(AND(CH635&gt;=1,AH773&gt;=0.1,AH773&lt;=1),O773,0)</f>
        <v>0</v>
      </c>
      <c r="DN635" s="1409"/>
      <c r="DO635" s="1409"/>
      <c r="DP635" s="1409"/>
      <c r="DQ635" s="1410"/>
      <c r="DR635" s="1408">
        <f t="shared" ref="DR635:DR643" si="41">IF(AND(CM635&gt;=1,AH773&gt;=0.1,AH773&lt;=1),O773,0)</f>
        <v>0</v>
      </c>
      <c r="DS635" s="1409"/>
      <c r="DT635" s="1409"/>
      <c r="DU635" s="1409"/>
      <c r="DV635" s="1410"/>
      <c r="DX635" s="1406" t="e">
        <f t="shared" si="23"/>
        <v>#VALUE!</v>
      </c>
      <c r="DY635" s="1406"/>
      <c r="DZ635" s="1406"/>
      <c r="EA635" s="1406"/>
      <c r="EB635" s="1406"/>
      <c r="EC635" s="1406" t="e">
        <f t="shared" si="24"/>
        <v>#VALUE!</v>
      </c>
      <c r="ED635" s="1406"/>
      <c r="EE635" s="1406"/>
      <c r="EF635" s="1406"/>
      <c r="EG635" s="1406"/>
      <c r="EH635" s="1406" t="e">
        <f t="shared" si="25"/>
        <v>#VALUE!</v>
      </c>
      <c r="EI635" s="1406"/>
      <c r="EJ635" s="1406"/>
      <c r="EK635" s="1406"/>
      <c r="EL635" s="1406"/>
      <c r="EM635" s="1406" t="e">
        <f t="shared" si="26"/>
        <v>#VALUE!</v>
      </c>
      <c r="EN635" s="1406"/>
      <c r="EO635" s="1406"/>
      <c r="EP635" s="1406"/>
      <c r="EQ635" s="1406"/>
      <c r="ER635" s="1406" t="e">
        <f t="shared" si="27"/>
        <v>#VALUE!</v>
      </c>
      <c r="ES635" s="1406"/>
      <c r="ET635" s="1406"/>
      <c r="EU635" s="1406"/>
      <c r="EV635" s="1406"/>
      <c r="EW635" s="1406" t="e">
        <f t="shared" si="28"/>
        <v>#VALUE!</v>
      </c>
      <c r="EX635" s="1406"/>
      <c r="EY635" s="1406"/>
      <c r="EZ635" s="1406"/>
      <c r="FA635" s="1406"/>
    </row>
    <row r="636" spans="1:157" ht="12.95" customHeight="1">
      <c r="B636" s="1579" t="s">
        <v>269</v>
      </c>
      <c r="C636" s="1580"/>
      <c r="D636" s="1580"/>
      <c r="E636" s="1580"/>
      <c r="F636" s="1580"/>
      <c r="G636" s="1580"/>
      <c r="H636" s="1580"/>
      <c r="I636" s="1580"/>
      <c r="J636" s="1580"/>
      <c r="K636" s="1580"/>
      <c r="L636" s="1580"/>
      <c r="M636" s="1580"/>
      <c r="N636" s="1580"/>
      <c r="O636" s="1580"/>
      <c r="P636" s="1580"/>
      <c r="Q636" s="1580"/>
      <c r="R636" s="1580"/>
      <c r="S636" s="1580"/>
      <c r="T636" s="1580"/>
      <c r="U636" s="1580"/>
      <c r="V636" s="1580"/>
      <c r="W636" s="1580"/>
      <c r="X636" s="1580"/>
      <c r="Y636" s="1580"/>
      <c r="Z636" s="1580"/>
      <c r="AA636" s="1580"/>
      <c r="AB636" s="1580"/>
      <c r="AC636" s="1580"/>
      <c r="AD636" s="1580"/>
      <c r="AE636" s="1580"/>
      <c r="AF636" s="1580"/>
      <c r="AG636" s="1580"/>
      <c r="AH636" s="1580"/>
      <c r="AI636" s="1580"/>
      <c r="AJ636" s="1580"/>
      <c r="AK636" s="1580"/>
      <c r="AL636" s="1580"/>
      <c r="AM636" s="1580"/>
      <c r="AN636" s="1581"/>
      <c r="AO636" s="1420">
        <v>62753087.823526397</v>
      </c>
      <c r="AP636" s="1421"/>
      <c r="AQ636" s="1421"/>
      <c r="AR636" s="1421"/>
      <c r="AS636" s="1422"/>
      <c r="AZ636" s="34"/>
      <c r="BA636" s="34"/>
      <c r="BB636" s="34"/>
      <c r="BC636" s="34"/>
      <c r="BD636" s="34"/>
      <c r="BE636" s="34"/>
      <c r="BF636" s="34"/>
      <c r="BG636" s="34"/>
      <c r="BH636" s="34"/>
      <c r="BI636" s="34"/>
      <c r="BJ636" s="34"/>
      <c r="BK636" s="34"/>
      <c r="BL636" s="34"/>
      <c r="BM636" s="34"/>
      <c r="BN636" s="1408">
        <f t="shared" si="30"/>
        <v>0</v>
      </c>
      <c r="BO636" s="1409"/>
      <c r="BP636" s="1409"/>
      <c r="BQ636" s="1409"/>
      <c r="BR636" s="1410"/>
      <c r="BS636" s="1417">
        <f t="shared" si="31"/>
        <v>0</v>
      </c>
      <c r="BT636" s="1417"/>
      <c r="BU636" s="1417"/>
      <c r="BV636" s="1417"/>
      <c r="BW636" s="1417"/>
      <c r="BX636" s="1417">
        <f t="shared" si="32"/>
        <v>0</v>
      </c>
      <c r="BY636" s="1417"/>
      <c r="BZ636" s="1417"/>
      <c r="CA636" s="1417"/>
      <c r="CB636" s="1417"/>
      <c r="CC636" s="1417">
        <f t="shared" si="33"/>
        <v>0</v>
      </c>
      <c r="CD636" s="1417"/>
      <c r="CE636" s="1417"/>
      <c r="CF636" s="1417"/>
      <c r="CG636" s="1417"/>
      <c r="CH636" s="1417">
        <f t="shared" si="34"/>
        <v>0</v>
      </c>
      <c r="CI636" s="1417"/>
      <c r="CJ636" s="1417"/>
      <c r="CK636" s="1417"/>
      <c r="CL636" s="1417"/>
      <c r="CM636" s="1417">
        <f t="shared" si="35"/>
        <v>0</v>
      </c>
      <c r="CN636" s="1417"/>
      <c r="CO636" s="1417"/>
      <c r="CP636" s="1417"/>
      <c r="CQ636" s="1417"/>
      <c r="CR636" s="6"/>
      <c r="CS636" s="1408">
        <f t="shared" si="36"/>
        <v>0</v>
      </c>
      <c r="CT636" s="1409"/>
      <c r="CU636" s="1409"/>
      <c r="CV636" s="1409"/>
      <c r="CW636" s="1410"/>
      <c r="CX636" s="1408">
        <f t="shared" si="37"/>
        <v>0</v>
      </c>
      <c r="CY636" s="1409"/>
      <c r="CZ636" s="1409"/>
      <c r="DA636" s="1409"/>
      <c r="DB636" s="1410"/>
      <c r="DC636" s="1408">
        <f t="shared" si="38"/>
        <v>0</v>
      </c>
      <c r="DD636" s="1409"/>
      <c r="DE636" s="1409"/>
      <c r="DF636" s="1409"/>
      <c r="DG636" s="1410"/>
      <c r="DH636" s="1408">
        <f t="shared" si="39"/>
        <v>0</v>
      </c>
      <c r="DI636" s="1409"/>
      <c r="DJ636" s="1409"/>
      <c r="DK636" s="1409"/>
      <c r="DL636" s="1410"/>
      <c r="DM636" s="1408">
        <f t="shared" si="40"/>
        <v>0</v>
      </c>
      <c r="DN636" s="1409"/>
      <c r="DO636" s="1409"/>
      <c r="DP636" s="1409"/>
      <c r="DQ636" s="1410"/>
      <c r="DR636" s="1408">
        <f t="shared" si="41"/>
        <v>0</v>
      </c>
      <c r="DS636" s="1409"/>
      <c r="DT636" s="1409"/>
      <c r="DU636" s="1409"/>
      <c r="DV636" s="1410"/>
      <c r="DX636" s="1406" t="e">
        <f t="shared" si="23"/>
        <v>#VALUE!</v>
      </c>
      <c r="DY636" s="1406"/>
      <c r="DZ636" s="1406"/>
      <c r="EA636" s="1406"/>
      <c r="EB636" s="1406"/>
      <c r="EC636" s="1406" t="e">
        <f t="shared" si="24"/>
        <v>#VALUE!</v>
      </c>
      <c r="ED636" s="1406"/>
      <c r="EE636" s="1406"/>
      <c r="EF636" s="1406"/>
      <c r="EG636" s="1406"/>
      <c r="EH636" s="1406" t="e">
        <f t="shared" si="25"/>
        <v>#VALUE!</v>
      </c>
      <c r="EI636" s="1406"/>
      <c r="EJ636" s="1406"/>
      <c r="EK636" s="1406"/>
      <c r="EL636" s="1406"/>
      <c r="EM636" s="1406" t="e">
        <f t="shared" si="26"/>
        <v>#VALUE!</v>
      </c>
      <c r="EN636" s="1406"/>
      <c r="EO636" s="1406"/>
      <c r="EP636" s="1406"/>
      <c r="EQ636" s="1406"/>
      <c r="ER636" s="1406" t="e">
        <f t="shared" si="27"/>
        <v>#VALUE!</v>
      </c>
      <c r="ES636" s="1406"/>
      <c r="ET636" s="1406"/>
      <c r="EU636" s="1406"/>
      <c r="EV636" s="1406"/>
      <c r="EW636" s="1406" t="e">
        <f t="shared" si="28"/>
        <v>#VALUE!</v>
      </c>
      <c r="EX636" s="1406"/>
      <c r="EY636" s="1406"/>
      <c r="EZ636" s="1406"/>
      <c r="FA636" s="1406"/>
    </row>
    <row r="637" spans="1:157" ht="12.95" customHeight="1">
      <c r="B637" s="1723" t="s">
        <v>270</v>
      </c>
      <c r="C637" s="1724"/>
      <c r="D637" s="1724"/>
      <c r="E637" s="1724"/>
      <c r="F637" s="1724"/>
      <c r="G637" s="1724"/>
      <c r="H637" s="1724"/>
      <c r="I637" s="1724"/>
      <c r="J637" s="1724"/>
      <c r="K637" s="1724"/>
      <c r="L637" s="1724"/>
      <c r="M637" s="1724"/>
      <c r="N637" s="1724"/>
      <c r="O637" s="1724"/>
      <c r="P637" s="1724"/>
      <c r="Q637" s="1724"/>
      <c r="R637" s="1724"/>
      <c r="S637" s="1724"/>
      <c r="T637" s="1724"/>
      <c r="U637" s="1724"/>
      <c r="V637" s="1724"/>
      <c r="W637" s="1724"/>
      <c r="X637" s="1724"/>
      <c r="Y637" s="1724"/>
      <c r="Z637" s="1724"/>
      <c r="AA637" s="1724"/>
      <c r="AB637" s="1724"/>
      <c r="AC637" s="1724"/>
      <c r="AD637" s="1724"/>
      <c r="AE637" s="1724"/>
      <c r="AF637" s="1724"/>
      <c r="AG637" s="1724"/>
      <c r="AH637" s="1724"/>
      <c r="AI637" s="1724"/>
      <c r="AJ637" s="1724"/>
      <c r="AK637" s="1724"/>
      <c r="AL637" s="1724"/>
      <c r="AM637" s="1724"/>
      <c r="AN637" s="1725"/>
      <c r="AO637" s="1591">
        <f>AO635+AO636</f>
        <v>100535241.86501111</v>
      </c>
      <c r="AP637" s="1592"/>
      <c r="AQ637" s="1592"/>
      <c r="AR637" s="1592"/>
      <c r="AS637" s="1593"/>
      <c r="AZ637" s="34"/>
      <c r="BA637" s="34"/>
      <c r="BB637" s="34"/>
      <c r="BC637" s="34"/>
      <c r="BD637" s="34"/>
      <c r="BE637" s="34"/>
      <c r="BF637" s="34"/>
      <c r="BG637" s="34"/>
      <c r="BH637" s="34"/>
      <c r="BI637" s="34"/>
      <c r="BJ637" s="34"/>
      <c r="BK637" s="34"/>
      <c r="BL637" s="34"/>
      <c r="BM637" s="34"/>
      <c r="BN637" s="1408">
        <f t="shared" si="30"/>
        <v>0</v>
      </c>
      <c r="BO637" s="1409"/>
      <c r="BP637" s="1409"/>
      <c r="BQ637" s="1409"/>
      <c r="BR637" s="1410"/>
      <c r="BS637" s="1417">
        <f t="shared" si="31"/>
        <v>0</v>
      </c>
      <c r="BT637" s="1417"/>
      <c r="BU637" s="1417"/>
      <c r="BV637" s="1417"/>
      <c r="BW637" s="1417"/>
      <c r="BX637" s="1417">
        <f t="shared" si="32"/>
        <v>0</v>
      </c>
      <c r="BY637" s="1417"/>
      <c r="BZ637" s="1417"/>
      <c r="CA637" s="1417"/>
      <c r="CB637" s="1417"/>
      <c r="CC637" s="1417">
        <f t="shared" si="33"/>
        <v>0</v>
      </c>
      <c r="CD637" s="1417"/>
      <c r="CE637" s="1417"/>
      <c r="CF637" s="1417"/>
      <c r="CG637" s="1417"/>
      <c r="CH637" s="1417">
        <f t="shared" si="34"/>
        <v>0</v>
      </c>
      <c r="CI637" s="1417"/>
      <c r="CJ637" s="1417"/>
      <c r="CK637" s="1417"/>
      <c r="CL637" s="1417"/>
      <c r="CM637" s="1417">
        <f t="shared" si="35"/>
        <v>0</v>
      </c>
      <c r="CN637" s="1417"/>
      <c r="CO637" s="1417"/>
      <c r="CP637" s="1417"/>
      <c r="CQ637" s="1417"/>
      <c r="CR637" s="6"/>
      <c r="CS637" s="1408">
        <f t="shared" si="36"/>
        <v>0</v>
      </c>
      <c r="CT637" s="1409"/>
      <c r="CU637" s="1409"/>
      <c r="CV637" s="1409"/>
      <c r="CW637" s="1410"/>
      <c r="CX637" s="1408">
        <f t="shared" si="37"/>
        <v>0</v>
      </c>
      <c r="CY637" s="1409"/>
      <c r="CZ637" s="1409"/>
      <c r="DA637" s="1409"/>
      <c r="DB637" s="1410"/>
      <c r="DC637" s="1408">
        <f t="shared" si="38"/>
        <v>0</v>
      </c>
      <c r="DD637" s="1409"/>
      <c r="DE637" s="1409"/>
      <c r="DF637" s="1409"/>
      <c r="DG637" s="1410"/>
      <c r="DH637" s="1408">
        <f t="shared" si="39"/>
        <v>0</v>
      </c>
      <c r="DI637" s="1409"/>
      <c r="DJ637" s="1409"/>
      <c r="DK637" s="1409"/>
      <c r="DL637" s="1410"/>
      <c r="DM637" s="1408">
        <f t="shared" si="40"/>
        <v>0</v>
      </c>
      <c r="DN637" s="1409"/>
      <c r="DO637" s="1409"/>
      <c r="DP637" s="1409"/>
      <c r="DQ637" s="1410"/>
      <c r="DR637" s="1408">
        <f t="shared" si="41"/>
        <v>0</v>
      </c>
      <c r="DS637" s="1409"/>
      <c r="DT637" s="1409"/>
      <c r="DU637" s="1409"/>
      <c r="DV637" s="1410"/>
      <c r="DX637" s="1406" t="e">
        <f t="shared" si="23"/>
        <v>#VALUE!</v>
      </c>
      <c r="DY637" s="1406"/>
      <c r="DZ637" s="1406"/>
      <c r="EA637" s="1406"/>
      <c r="EB637" s="1406"/>
      <c r="EC637" s="1406" t="e">
        <f t="shared" si="24"/>
        <v>#VALUE!</v>
      </c>
      <c r="ED637" s="1406"/>
      <c r="EE637" s="1406"/>
      <c r="EF637" s="1406"/>
      <c r="EG637" s="1406"/>
      <c r="EH637" s="1406" t="e">
        <f t="shared" si="25"/>
        <v>#VALUE!</v>
      </c>
      <c r="EI637" s="1406"/>
      <c r="EJ637" s="1406"/>
      <c r="EK637" s="1406"/>
      <c r="EL637" s="1406"/>
      <c r="EM637" s="1406" t="e">
        <f t="shared" si="26"/>
        <v>#VALUE!</v>
      </c>
      <c r="EN637" s="1406"/>
      <c r="EO637" s="1406"/>
      <c r="EP637" s="1406"/>
      <c r="EQ637" s="1406"/>
      <c r="ER637" s="1406" t="e">
        <f t="shared" si="27"/>
        <v>#VALUE!</v>
      </c>
      <c r="ES637" s="1406"/>
      <c r="ET637" s="1406"/>
      <c r="EU637" s="1406"/>
      <c r="EV637" s="1406"/>
      <c r="EW637" s="1406" t="e">
        <f t="shared" si="28"/>
        <v>#VALUE!</v>
      </c>
      <c r="EX637" s="1406"/>
      <c r="EY637" s="1406"/>
      <c r="EZ637" s="1406"/>
      <c r="FA637" s="1406"/>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08">
        <f t="shared" si="30"/>
        <v>0</v>
      </c>
      <c r="BO638" s="1409"/>
      <c r="BP638" s="1409"/>
      <c r="BQ638" s="1409"/>
      <c r="BR638" s="1410"/>
      <c r="BS638" s="1417">
        <f t="shared" si="31"/>
        <v>0</v>
      </c>
      <c r="BT638" s="1417"/>
      <c r="BU638" s="1417"/>
      <c r="BV638" s="1417"/>
      <c r="BW638" s="1417"/>
      <c r="BX638" s="1417">
        <f t="shared" si="32"/>
        <v>0</v>
      </c>
      <c r="BY638" s="1417"/>
      <c r="BZ638" s="1417"/>
      <c r="CA638" s="1417"/>
      <c r="CB638" s="1417"/>
      <c r="CC638" s="1417">
        <f t="shared" si="33"/>
        <v>0</v>
      </c>
      <c r="CD638" s="1417"/>
      <c r="CE638" s="1417"/>
      <c r="CF638" s="1417"/>
      <c r="CG638" s="1417"/>
      <c r="CH638" s="1417">
        <f t="shared" si="34"/>
        <v>0</v>
      </c>
      <c r="CI638" s="1417"/>
      <c r="CJ638" s="1417"/>
      <c r="CK638" s="1417"/>
      <c r="CL638" s="1417"/>
      <c r="CM638" s="1417">
        <f t="shared" si="35"/>
        <v>0</v>
      </c>
      <c r="CN638" s="1417"/>
      <c r="CO638" s="1417"/>
      <c r="CP638" s="1417"/>
      <c r="CQ638" s="1417"/>
      <c r="CR638" s="6"/>
      <c r="CS638" s="1408">
        <f t="shared" si="36"/>
        <v>0</v>
      </c>
      <c r="CT638" s="1409"/>
      <c r="CU638" s="1409"/>
      <c r="CV638" s="1409"/>
      <c r="CW638" s="1410"/>
      <c r="CX638" s="1408">
        <f t="shared" si="37"/>
        <v>0</v>
      </c>
      <c r="CY638" s="1409"/>
      <c r="CZ638" s="1409"/>
      <c r="DA638" s="1409"/>
      <c r="DB638" s="1410"/>
      <c r="DC638" s="1408">
        <f t="shared" si="38"/>
        <v>0</v>
      </c>
      <c r="DD638" s="1409"/>
      <c r="DE638" s="1409"/>
      <c r="DF638" s="1409"/>
      <c r="DG638" s="1410"/>
      <c r="DH638" s="1408">
        <f t="shared" si="39"/>
        <v>0</v>
      </c>
      <c r="DI638" s="1409"/>
      <c r="DJ638" s="1409"/>
      <c r="DK638" s="1409"/>
      <c r="DL638" s="1410"/>
      <c r="DM638" s="1408">
        <f t="shared" si="40"/>
        <v>0</v>
      </c>
      <c r="DN638" s="1409"/>
      <c r="DO638" s="1409"/>
      <c r="DP638" s="1409"/>
      <c r="DQ638" s="1410"/>
      <c r="DR638" s="1408">
        <f t="shared" si="41"/>
        <v>0</v>
      </c>
      <c r="DS638" s="1409"/>
      <c r="DT638" s="1409"/>
      <c r="DU638" s="1409"/>
      <c r="DV638" s="1410"/>
      <c r="DX638" s="1406" t="e">
        <f t="shared" si="23"/>
        <v>#VALUE!</v>
      </c>
      <c r="DY638" s="1406"/>
      <c r="DZ638" s="1406"/>
      <c r="EA638" s="1406"/>
      <c r="EB638" s="1406"/>
      <c r="EC638" s="1406" t="e">
        <f t="shared" si="24"/>
        <v>#VALUE!</v>
      </c>
      <c r="ED638" s="1406"/>
      <c r="EE638" s="1406"/>
      <c r="EF638" s="1406"/>
      <c r="EG638" s="1406"/>
      <c r="EH638" s="1406" t="e">
        <f t="shared" si="25"/>
        <v>#VALUE!</v>
      </c>
      <c r="EI638" s="1406"/>
      <c r="EJ638" s="1406"/>
      <c r="EK638" s="1406"/>
      <c r="EL638" s="1406"/>
      <c r="EM638" s="1406" t="e">
        <f t="shared" si="26"/>
        <v>#VALUE!</v>
      </c>
      <c r="EN638" s="1406"/>
      <c r="EO638" s="1406"/>
      <c r="EP638" s="1406"/>
      <c r="EQ638" s="1406"/>
      <c r="ER638" s="1406" t="e">
        <f t="shared" si="27"/>
        <v>#VALUE!</v>
      </c>
      <c r="ES638" s="1406"/>
      <c r="ET638" s="1406"/>
      <c r="EU638" s="1406"/>
      <c r="EV638" s="1406"/>
      <c r="EW638" s="1406" t="e">
        <f t="shared" si="28"/>
        <v>#VALUE!</v>
      </c>
      <c r="EX638" s="1406"/>
      <c r="EY638" s="1406"/>
      <c r="EZ638" s="1406"/>
      <c r="FA638" s="1406"/>
    </row>
    <row r="639" spans="1:157" ht="12.95" customHeight="1">
      <c r="A639" s="55" t="s">
        <v>113</v>
      </c>
      <c r="B639" t="s">
        <v>472</v>
      </c>
      <c r="G639" s="1352" t="str">
        <f>C623</f>
        <v>Citibank Tax-Exempt Loan</v>
      </c>
      <c r="H639" s="1352"/>
      <c r="I639" s="1352"/>
      <c r="J639" s="1352"/>
      <c r="K639" s="1352"/>
      <c r="L639" s="1352"/>
      <c r="M639" s="1352"/>
      <c r="N639" s="1352"/>
      <c r="O639" s="1352"/>
      <c r="P639" s="1352"/>
      <c r="Q639" s="1352"/>
      <c r="R639" s="1352"/>
      <c r="S639" s="8"/>
      <c r="T639" s="55" t="s">
        <v>114</v>
      </c>
      <c r="U639" t="s">
        <v>472</v>
      </c>
      <c r="Z639" s="1352" t="str">
        <f>C624</f>
        <v>Deferred Developer Fee</v>
      </c>
      <c r="AA639" s="1352"/>
      <c r="AB639" s="1352"/>
      <c r="AC639" s="1352"/>
      <c r="AD639" s="1352"/>
      <c r="AE639" s="1352"/>
      <c r="AF639" s="1352"/>
      <c r="AG639" s="1352"/>
      <c r="AH639" s="1352"/>
      <c r="AI639" s="1352"/>
      <c r="AJ639" s="1352"/>
      <c r="AK639" s="1352"/>
      <c r="AZ639" s="34"/>
      <c r="BA639" s="34"/>
      <c r="BB639" s="34"/>
      <c r="BC639" s="34"/>
      <c r="BD639" s="34"/>
      <c r="BE639" s="34"/>
      <c r="BF639" s="34"/>
      <c r="BG639" s="34"/>
      <c r="BH639" s="34"/>
      <c r="BI639" s="34"/>
      <c r="BJ639" s="34"/>
      <c r="BK639" s="34"/>
      <c r="BL639" s="34"/>
      <c r="BM639" s="34"/>
      <c r="BN639" s="1408">
        <f t="shared" si="30"/>
        <v>0</v>
      </c>
      <c r="BO639" s="1409"/>
      <c r="BP639" s="1409"/>
      <c r="BQ639" s="1409"/>
      <c r="BR639" s="1410"/>
      <c r="BS639" s="1417">
        <f t="shared" si="31"/>
        <v>0</v>
      </c>
      <c r="BT639" s="1417"/>
      <c r="BU639" s="1417"/>
      <c r="BV639" s="1417"/>
      <c r="BW639" s="1417"/>
      <c r="BX639" s="1417">
        <f t="shared" si="32"/>
        <v>0</v>
      </c>
      <c r="BY639" s="1417"/>
      <c r="BZ639" s="1417"/>
      <c r="CA639" s="1417"/>
      <c r="CB639" s="1417"/>
      <c r="CC639" s="1417">
        <f t="shared" si="33"/>
        <v>0</v>
      </c>
      <c r="CD639" s="1417"/>
      <c r="CE639" s="1417"/>
      <c r="CF639" s="1417"/>
      <c r="CG639" s="1417"/>
      <c r="CH639" s="1417">
        <f t="shared" si="34"/>
        <v>0</v>
      </c>
      <c r="CI639" s="1417"/>
      <c r="CJ639" s="1417"/>
      <c r="CK639" s="1417"/>
      <c r="CL639" s="1417"/>
      <c r="CM639" s="1417">
        <f t="shared" si="35"/>
        <v>0</v>
      </c>
      <c r="CN639" s="1417"/>
      <c r="CO639" s="1417"/>
      <c r="CP639" s="1417"/>
      <c r="CQ639" s="1417"/>
      <c r="CR639" s="6"/>
      <c r="CS639" s="1408">
        <f t="shared" si="36"/>
        <v>0</v>
      </c>
      <c r="CT639" s="1409"/>
      <c r="CU639" s="1409"/>
      <c r="CV639" s="1409"/>
      <c r="CW639" s="1410"/>
      <c r="CX639" s="1408">
        <f t="shared" si="37"/>
        <v>0</v>
      </c>
      <c r="CY639" s="1409"/>
      <c r="CZ639" s="1409"/>
      <c r="DA639" s="1409"/>
      <c r="DB639" s="1410"/>
      <c r="DC639" s="1408">
        <f t="shared" si="38"/>
        <v>0</v>
      </c>
      <c r="DD639" s="1409"/>
      <c r="DE639" s="1409"/>
      <c r="DF639" s="1409"/>
      <c r="DG639" s="1410"/>
      <c r="DH639" s="1408">
        <f t="shared" si="39"/>
        <v>0</v>
      </c>
      <c r="DI639" s="1409"/>
      <c r="DJ639" s="1409"/>
      <c r="DK639" s="1409"/>
      <c r="DL639" s="1410"/>
      <c r="DM639" s="1408">
        <f t="shared" si="40"/>
        <v>0</v>
      </c>
      <c r="DN639" s="1409"/>
      <c r="DO639" s="1409"/>
      <c r="DP639" s="1409"/>
      <c r="DQ639" s="1410"/>
      <c r="DR639" s="1408">
        <f t="shared" si="41"/>
        <v>0</v>
      </c>
      <c r="DS639" s="1409"/>
      <c r="DT639" s="1409"/>
      <c r="DU639" s="1409"/>
      <c r="DV639" s="1410"/>
      <c r="DX639" s="1406" t="e">
        <f t="shared" si="23"/>
        <v>#VALUE!</v>
      </c>
      <c r="DY639" s="1406"/>
      <c r="DZ639" s="1406"/>
      <c r="EA639" s="1406"/>
      <c r="EB639" s="1406"/>
      <c r="EC639" s="1406" t="e">
        <f t="shared" si="24"/>
        <v>#VALUE!</v>
      </c>
      <c r="ED639" s="1406"/>
      <c r="EE639" s="1406"/>
      <c r="EF639" s="1406"/>
      <c r="EG639" s="1406"/>
      <c r="EH639" s="1406" t="e">
        <f t="shared" si="25"/>
        <v>#VALUE!</v>
      </c>
      <c r="EI639" s="1406"/>
      <c r="EJ639" s="1406"/>
      <c r="EK639" s="1406"/>
      <c r="EL639" s="1406"/>
      <c r="EM639" s="1406" t="e">
        <f t="shared" si="26"/>
        <v>#VALUE!</v>
      </c>
      <c r="EN639" s="1406"/>
      <c r="EO639" s="1406"/>
      <c r="EP639" s="1406"/>
      <c r="EQ639" s="1406"/>
      <c r="ER639" s="1406" t="e">
        <f t="shared" si="27"/>
        <v>#VALUE!</v>
      </c>
      <c r="ES639" s="1406"/>
      <c r="ET639" s="1406"/>
      <c r="EU639" s="1406"/>
      <c r="EV639" s="1406"/>
      <c r="EW639" s="1406" t="e">
        <f t="shared" si="28"/>
        <v>#VALUE!</v>
      </c>
      <c r="EX639" s="1406"/>
      <c r="EY639" s="1406"/>
      <c r="EZ639" s="1406"/>
      <c r="FA639" s="1406"/>
    </row>
    <row r="640" spans="1:157" ht="12.95" customHeight="1">
      <c r="A640" s="22"/>
      <c r="B640" t="s">
        <v>86</v>
      </c>
      <c r="G640" s="1354" t="s">
        <v>2754</v>
      </c>
      <c r="H640" s="1354"/>
      <c r="I640" s="1354"/>
      <c r="J640" s="1354"/>
      <c r="K640" s="1354"/>
      <c r="L640" s="1354"/>
      <c r="M640" s="1354"/>
      <c r="N640" s="1354"/>
      <c r="O640" s="1354"/>
      <c r="P640" s="1354"/>
      <c r="Q640" s="1354"/>
      <c r="R640" s="1354"/>
      <c r="S640" s="8"/>
      <c r="T640" s="22"/>
      <c r="U640" t="s">
        <v>86</v>
      </c>
      <c r="Z640" s="1354" t="s">
        <v>2738</v>
      </c>
      <c r="AA640" s="1354"/>
      <c r="AB640" s="1354"/>
      <c r="AC640" s="1354"/>
      <c r="AD640" s="1354"/>
      <c r="AE640" s="1354"/>
      <c r="AF640" s="1354"/>
      <c r="AG640" s="1354"/>
      <c r="AH640" s="1354"/>
      <c r="AI640" s="1354"/>
      <c r="AJ640" s="1354"/>
      <c r="AK640" s="1354"/>
      <c r="AZ640" s="34"/>
      <c r="BA640" s="34"/>
      <c r="BB640" s="34"/>
      <c r="BC640" s="34"/>
      <c r="BD640" s="34"/>
      <c r="BE640" s="34"/>
      <c r="BF640" s="34"/>
      <c r="BG640" s="34"/>
      <c r="BH640" s="34"/>
      <c r="BI640" s="34"/>
      <c r="BJ640" s="34"/>
      <c r="BK640" s="34"/>
      <c r="BL640" s="34"/>
      <c r="BM640" s="34"/>
      <c r="BN640" s="1408">
        <f t="shared" si="30"/>
        <v>0</v>
      </c>
      <c r="BO640" s="1409"/>
      <c r="BP640" s="1409"/>
      <c r="BQ640" s="1409"/>
      <c r="BR640" s="1410"/>
      <c r="BS640" s="1417">
        <f t="shared" si="31"/>
        <v>0</v>
      </c>
      <c r="BT640" s="1417"/>
      <c r="BU640" s="1417"/>
      <c r="BV640" s="1417"/>
      <c r="BW640" s="1417"/>
      <c r="BX640" s="1417">
        <f t="shared" si="32"/>
        <v>0</v>
      </c>
      <c r="BY640" s="1417"/>
      <c r="BZ640" s="1417"/>
      <c r="CA640" s="1417"/>
      <c r="CB640" s="1417"/>
      <c r="CC640" s="1417">
        <f t="shared" si="33"/>
        <v>0</v>
      </c>
      <c r="CD640" s="1417"/>
      <c r="CE640" s="1417"/>
      <c r="CF640" s="1417"/>
      <c r="CG640" s="1417"/>
      <c r="CH640" s="1417">
        <f t="shared" si="34"/>
        <v>0</v>
      </c>
      <c r="CI640" s="1417"/>
      <c r="CJ640" s="1417"/>
      <c r="CK640" s="1417"/>
      <c r="CL640" s="1417"/>
      <c r="CM640" s="1417">
        <f t="shared" si="35"/>
        <v>0</v>
      </c>
      <c r="CN640" s="1417"/>
      <c r="CO640" s="1417"/>
      <c r="CP640" s="1417"/>
      <c r="CQ640" s="1417"/>
      <c r="CR640" s="6"/>
      <c r="CS640" s="1408">
        <f t="shared" si="36"/>
        <v>0</v>
      </c>
      <c r="CT640" s="1409"/>
      <c r="CU640" s="1409"/>
      <c r="CV640" s="1409"/>
      <c r="CW640" s="1410"/>
      <c r="CX640" s="1408">
        <f t="shared" si="37"/>
        <v>0</v>
      </c>
      <c r="CY640" s="1409"/>
      <c r="CZ640" s="1409"/>
      <c r="DA640" s="1409"/>
      <c r="DB640" s="1410"/>
      <c r="DC640" s="1408">
        <f t="shared" si="38"/>
        <v>0</v>
      </c>
      <c r="DD640" s="1409"/>
      <c r="DE640" s="1409"/>
      <c r="DF640" s="1409"/>
      <c r="DG640" s="1410"/>
      <c r="DH640" s="1408">
        <f t="shared" si="39"/>
        <v>0</v>
      </c>
      <c r="DI640" s="1409"/>
      <c r="DJ640" s="1409"/>
      <c r="DK640" s="1409"/>
      <c r="DL640" s="1410"/>
      <c r="DM640" s="1408">
        <f t="shared" si="40"/>
        <v>0</v>
      </c>
      <c r="DN640" s="1409"/>
      <c r="DO640" s="1409"/>
      <c r="DP640" s="1409"/>
      <c r="DQ640" s="1410"/>
      <c r="DR640" s="1408">
        <f t="shared" si="41"/>
        <v>0</v>
      </c>
      <c r="DS640" s="1409"/>
      <c r="DT640" s="1409"/>
      <c r="DU640" s="1409"/>
      <c r="DV640" s="1410"/>
      <c r="DX640" s="1406" t="e">
        <f t="shared" si="23"/>
        <v>#VALUE!</v>
      </c>
      <c r="DY640" s="1406"/>
      <c r="DZ640" s="1406"/>
      <c r="EA640" s="1406"/>
      <c r="EB640" s="1406"/>
      <c r="EC640" s="1406" t="e">
        <f t="shared" si="24"/>
        <v>#VALUE!</v>
      </c>
      <c r="ED640" s="1406"/>
      <c r="EE640" s="1406"/>
      <c r="EF640" s="1406"/>
      <c r="EG640" s="1406"/>
      <c r="EH640" s="1406" t="e">
        <f t="shared" si="25"/>
        <v>#VALUE!</v>
      </c>
      <c r="EI640" s="1406"/>
      <c r="EJ640" s="1406"/>
      <c r="EK640" s="1406"/>
      <c r="EL640" s="1406"/>
      <c r="EM640" s="1406" t="e">
        <f t="shared" si="26"/>
        <v>#VALUE!</v>
      </c>
      <c r="EN640" s="1406"/>
      <c r="EO640" s="1406"/>
      <c r="EP640" s="1406"/>
      <c r="EQ640" s="1406"/>
      <c r="ER640" s="1406" t="e">
        <f t="shared" si="27"/>
        <v>#VALUE!</v>
      </c>
      <c r="ES640" s="1406"/>
      <c r="ET640" s="1406"/>
      <c r="EU640" s="1406"/>
      <c r="EV640" s="1406"/>
      <c r="EW640" s="1406" t="e">
        <f t="shared" si="28"/>
        <v>#VALUE!</v>
      </c>
      <c r="EX640" s="1406"/>
      <c r="EY640" s="1406"/>
      <c r="EZ640" s="1406"/>
      <c r="FA640" s="1406"/>
    </row>
    <row r="641" spans="1:157" ht="12.95" customHeight="1">
      <c r="A641" s="22"/>
      <c r="B641" t="s">
        <v>589</v>
      </c>
      <c r="G641" s="1354" t="s">
        <v>503</v>
      </c>
      <c r="H641" s="1354"/>
      <c r="I641" s="1354"/>
      <c r="J641" s="1354"/>
      <c r="K641" s="1354"/>
      <c r="L641" s="1354"/>
      <c r="M641" s="1354"/>
      <c r="N641" s="1354"/>
      <c r="O641" s="1354"/>
      <c r="P641" s="1354"/>
      <c r="Q641" s="1354"/>
      <c r="R641" s="1354"/>
      <c r="T641" s="22"/>
      <c r="U641" t="s">
        <v>589</v>
      </c>
      <c r="Z641" s="1374" t="s">
        <v>503</v>
      </c>
      <c r="AA641" s="1374"/>
      <c r="AB641" s="1374"/>
      <c r="AC641" s="1374"/>
      <c r="AD641" s="1374"/>
      <c r="AE641" s="1374"/>
      <c r="AF641" s="1374"/>
      <c r="AG641" s="1374"/>
      <c r="AH641" s="1374"/>
      <c r="AI641" s="1374"/>
      <c r="AJ641" s="1374"/>
      <c r="AK641" s="1374"/>
      <c r="AZ641" s="34"/>
      <c r="BA641" s="34"/>
      <c r="BB641" s="34"/>
      <c r="BC641" s="34"/>
      <c r="BD641" s="34"/>
      <c r="BE641" s="34"/>
      <c r="BF641" s="34"/>
      <c r="BG641" s="34"/>
      <c r="BH641" s="34"/>
      <c r="BI641" s="34"/>
      <c r="BJ641" s="34"/>
      <c r="BK641" s="34"/>
      <c r="BL641" s="34"/>
      <c r="BM641" s="34"/>
      <c r="BN641" s="1408">
        <f t="shared" si="30"/>
        <v>0</v>
      </c>
      <c r="BO641" s="1409"/>
      <c r="BP641" s="1409"/>
      <c r="BQ641" s="1409"/>
      <c r="BR641" s="1410"/>
      <c r="BS641" s="1417">
        <f t="shared" si="31"/>
        <v>0</v>
      </c>
      <c r="BT641" s="1417"/>
      <c r="BU641" s="1417"/>
      <c r="BV641" s="1417"/>
      <c r="BW641" s="1417"/>
      <c r="BX641" s="1417">
        <f t="shared" si="32"/>
        <v>0</v>
      </c>
      <c r="BY641" s="1417"/>
      <c r="BZ641" s="1417"/>
      <c r="CA641" s="1417"/>
      <c r="CB641" s="1417"/>
      <c r="CC641" s="1417">
        <f t="shared" si="33"/>
        <v>0</v>
      </c>
      <c r="CD641" s="1417"/>
      <c r="CE641" s="1417"/>
      <c r="CF641" s="1417"/>
      <c r="CG641" s="1417"/>
      <c r="CH641" s="1417">
        <f t="shared" si="34"/>
        <v>0</v>
      </c>
      <c r="CI641" s="1417"/>
      <c r="CJ641" s="1417"/>
      <c r="CK641" s="1417"/>
      <c r="CL641" s="1417"/>
      <c r="CM641" s="1417">
        <f t="shared" si="35"/>
        <v>0</v>
      </c>
      <c r="CN641" s="1417"/>
      <c r="CO641" s="1417"/>
      <c r="CP641" s="1417"/>
      <c r="CQ641" s="1417"/>
      <c r="CR641" s="6"/>
      <c r="CS641" s="1408">
        <f t="shared" si="36"/>
        <v>0</v>
      </c>
      <c r="CT641" s="1409"/>
      <c r="CU641" s="1409"/>
      <c r="CV641" s="1409"/>
      <c r="CW641" s="1410"/>
      <c r="CX641" s="1408">
        <f t="shared" si="37"/>
        <v>0</v>
      </c>
      <c r="CY641" s="1409"/>
      <c r="CZ641" s="1409"/>
      <c r="DA641" s="1409"/>
      <c r="DB641" s="1410"/>
      <c r="DC641" s="1408">
        <f t="shared" si="38"/>
        <v>0</v>
      </c>
      <c r="DD641" s="1409"/>
      <c r="DE641" s="1409"/>
      <c r="DF641" s="1409"/>
      <c r="DG641" s="1410"/>
      <c r="DH641" s="1408">
        <f t="shared" si="39"/>
        <v>0</v>
      </c>
      <c r="DI641" s="1409"/>
      <c r="DJ641" s="1409"/>
      <c r="DK641" s="1409"/>
      <c r="DL641" s="1410"/>
      <c r="DM641" s="1408">
        <f t="shared" si="40"/>
        <v>0</v>
      </c>
      <c r="DN641" s="1409"/>
      <c r="DO641" s="1409"/>
      <c r="DP641" s="1409"/>
      <c r="DQ641" s="1410"/>
      <c r="DR641" s="1408">
        <f t="shared" si="41"/>
        <v>0</v>
      </c>
      <c r="DS641" s="1409"/>
      <c r="DT641" s="1409"/>
      <c r="DU641" s="1409"/>
      <c r="DV641" s="1410"/>
      <c r="DX641" s="1406" t="e">
        <f t="shared" si="23"/>
        <v>#VALUE!</v>
      </c>
      <c r="DY641" s="1406"/>
      <c r="DZ641" s="1406"/>
      <c r="EA641" s="1406"/>
      <c r="EB641" s="1406"/>
      <c r="EC641" s="1406" t="e">
        <f t="shared" si="24"/>
        <v>#VALUE!</v>
      </c>
      <c r="ED641" s="1406"/>
      <c r="EE641" s="1406"/>
      <c r="EF641" s="1406"/>
      <c r="EG641" s="1406"/>
      <c r="EH641" s="1406" t="e">
        <f t="shared" si="25"/>
        <v>#VALUE!</v>
      </c>
      <c r="EI641" s="1406"/>
      <c r="EJ641" s="1406"/>
      <c r="EK641" s="1406"/>
      <c r="EL641" s="1406"/>
      <c r="EM641" s="1406" t="e">
        <f t="shared" si="26"/>
        <v>#VALUE!</v>
      </c>
      <c r="EN641" s="1406"/>
      <c r="EO641" s="1406"/>
      <c r="EP641" s="1406"/>
      <c r="EQ641" s="1406"/>
      <c r="ER641" s="1406" t="e">
        <f t="shared" si="27"/>
        <v>#VALUE!</v>
      </c>
      <c r="ES641" s="1406"/>
      <c r="ET641" s="1406"/>
      <c r="EU641" s="1406"/>
      <c r="EV641" s="1406"/>
      <c r="EW641" s="1406" t="e">
        <f t="shared" si="28"/>
        <v>#VALUE!</v>
      </c>
      <c r="EX641" s="1406"/>
      <c r="EY641" s="1406"/>
      <c r="EZ641" s="1406"/>
      <c r="FA641" s="1406"/>
    </row>
    <row r="642" spans="1:157" ht="12.95" customHeight="1">
      <c r="A642" s="22"/>
      <c r="B642" t="s">
        <v>17</v>
      </c>
      <c r="G642" s="1354" t="s">
        <v>2755</v>
      </c>
      <c r="H642" s="1354"/>
      <c r="I642" s="1354"/>
      <c r="J642" s="1354"/>
      <c r="K642" s="1354"/>
      <c r="L642" s="1354"/>
      <c r="M642" s="1354"/>
      <c r="N642" s="1354"/>
      <c r="O642" s="1354"/>
      <c r="P642" s="1354"/>
      <c r="Q642" s="1354"/>
      <c r="R642" s="1354"/>
      <c r="S642" s="8"/>
      <c r="T642" s="22"/>
      <c r="U642" t="s">
        <v>17</v>
      </c>
      <c r="Z642" s="1374" t="s">
        <v>2724</v>
      </c>
      <c r="AA642" s="1374"/>
      <c r="AB642" s="1374"/>
      <c r="AC642" s="1374"/>
      <c r="AD642" s="1374"/>
      <c r="AE642" s="1374"/>
      <c r="AF642" s="1374"/>
      <c r="AG642" s="1374"/>
      <c r="AH642" s="1374"/>
      <c r="AI642" s="1374"/>
      <c r="AJ642" s="1374"/>
      <c r="AK642" s="1374"/>
      <c r="AZ642" s="34"/>
      <c r="BA642" s="34"/>
      <c r="BB642" s="34"/>
      <c r="BC642" s="34"/>
      <c r="BD642" s="34"/>
      <c r="BE642" s="34"/>
      <c r="BF642" s="34"/>
      <c r="BG642" s="34"/>
      <c r="BH642" s="34"/>
      <c r="BI642" s="34"/>
      <c r="BJ642" s="34"/>
      <c r="BK642" s="34"/>
      <c r="BL642" s="34"/>
      <c r="BM642" s="34"/>
      <c r="BN642" s="1408">
        <f t="shared" si="30"/>
        <v>0</v>
      </c>
      <c r="BO642" s="1409"/>
      <c r="BP642" s="1409"/>
      <c r="BQ642" s="1409"/>
      <c r="BR642" s="1410"/>
      <c r="BS642" s="1417">
        <f t="shared" si="31"/>
        <v>0</v>
      </c>
      <c r="BT642" s="1417"/>
      <c r="BU642" s="1417"/>
      <c r="BV642" s="1417"/>
      <c r="BW642" s="1417"/>
      <c r="BX642" s="1417">
        <f t="shared" si="32"/>
        <v>0</v>
      </c>
      <c r="BY642" s="1417"/>
      <c r="BZ642" s="1417"/>
      <c r="CA642" s="1417"/>
      <c r="CB642" s="1417"/>
      <c r="CC642" s="1417">
        <f t="shared" si="33"/>
        <v>0</v>
      </c>
      <c r="CD642" s="1417"/>
      <c r="CE642" s="1417"/>
      <c r="CF642" s="1417"/>
      <c r="CG642" s="1417"/>
      <c r="CH642" s="1417">
        <f t="shared" si="34"/>
        <v>0</v>
      </c>
      <c r="CI642" s="1417"/>
      <c r="CJ642" s="1417"/>
      <c r="CK642" s="1417"/>
      <c r="CL642" s="1417"/>
      <c r="CM642" s="1417">
        <f t="shared" si="35"/>
        <v>0</v>
      </c>
      <c r="CN642" s="1417"/>
      <c r="CO642" s="1417"/>
      <c r="CP642" s="1417"/>
      <c r="CQ642" s="1417"/>
      <c r="CR642" s="6"/>
      <c r="CS642" s="1408">
        <f t="shared" si="36"/>
        <v>0</v>
      </c>
      <c r="CT642" s="1409"/>
      <c r="CU642" s="1409"/>
      <c r="CV642" s="1409"/>
      <c r="CW642" s="1410"/>
      <c r="CX642" s="1408">
        <f t="shared" si="37"/>
        <v>0</v>
      </c>
      <c r="CY642" s="1409"/>
      <c r="CZ642" s="1409"/>
      <c r="DA642" s="1409"/>
      <c r="DB642" s="1410"/>
      <c r="DC642" s="1408">
        <f t="shared" si="38"/>
        <v>0</v>
      </c>
      <c r="DD642" s="1409"/>
      <c r="DE642" s="1409"/>
      <c r="DF642" s="1409"/>
      <c r="DG642" s="1410"/>
      <c r="DH642" s="1408">
        <f t="shared" si="39"/>
        <v>0</v>
      </c>
      <c r="DI642" s="1409"/>
      <c r="DJ642" s="1409"/>
      <c r="DK642" s="1409"/>
      <c r="DL642" s="1410"/>
      <c r="DM642" s="1408">
        <f t="shared" si="40"/>
        <v>0</v>
      </c>
      <c r="DN642" s="1409"/>
      <c r="DO642" s="1409"/>
      <c r="DP642" s="1409"/>
      <c r="DQ642" s="1410"/>
      <c r="DR642" s="1408">
        <f t="shared" si="41"/>
        <v>0</v>
      </c>
      <c r="DS642" s="1409"/>
      <c r="DT642" s="1409"/>
      <c r="DU642" s="1409"/>
      <c r="DV642" s="1410"/>
      <c r="DX642" s="1406" t="e">
        <f t="shared" si="23"/>
        <v>#VALUE!</v>
      </c>
      <c r="DY642" s="1406"/>
      <c r="DZ642" s="1406"/>
      <c r="EA642" s="1406"/>
      <c r="EB642" s="1406"/>
      <c r="EC642" s="1406" t="e">
        <f t="shared" si="24"/>
        <v>#VALUE!</v>
      </c>
      <c r="ED642" s="1406"/>
      <c r="EE642" s="1406"/>
      <c r="EF642" s="1406"/>
      <c r="EG642" s="1406"/>
      <c r="EH642" s="1406" t="e">
        <f t="shared" si="25"/>
        <v>#VALUE!</v>
      </c>
      <c r="EI642" s="1406"/>
      <c r="EJ642" s="1406"/>
      <c r="EK642" s="1406"/>
      <c r="EL642" s="1406"/>
      <c r="EM642" s="1406" t="e">
        <f t="shared" si="26"/>
        <v>#VALUE!</v>
      </c>
      <c r="EN642" s="1406"/>
      <c r="EO642" s="1406"/>
      <c r="EP642" s="1406"/>
      <c r="EQ642" s="1406"/>
      <c r="ER642" s="1406" t="e">
        <f t="shared" si="27"/>
        <v>#VALUE!</v>
      </c>
      <c r="ES642" s="1406"/>
      <c r="ET642" s="1406"/>
      <c r="EU642" s="1406"/>
      <c r="EV642" s="1406"/>
      <c r="EW642" s="1406" t="e">
        <f t="shared" si="28"/>
        <v>#VALUE!</v>
      </c>
      <c r="EX642" s="1406"/>
      <c r="EY642" s="1406"/>
      <c r="EZ642" s="1406"/>
      <c r="FA642" s="1406"/>
    </row>
    <row r="643" spans="1:157" ht="12.95" customHeight="1">
      <c r="A643" s="22"/>
      <c r="B643" t="s">
        <v>318</v>
      </c>
      <c r="G643" s="1380" t="s">
        <v>2756</v>
      </c>
      <c r="H643" s="1380"/>
      <c r="I643" s="1380"/>
      <c r="J643" s="1380"/>
      <c r="K643" s="1380"/>
      <c r="L643" s="1380"/>
      <c r="O643" s="33" t="s">
        <v>208</v>
      </c>
      <c r="P643" s="1351"/>
      <c r="Q643" s="1351"/>
      <c r="R643" s="1351"/>
      <c r="S643" s="10"/>
      <c r="T643" s="22"/>
      <c r="U643" t="s">
        <v>318</v>
      </c>
      <c r="Z643" s="1380" t="s">
        <v>2728</v>
      </c>
      <c r="AA643" s="1380"/>
      <c r="AB643" s="1380"/>
      <c r="AC643" s="1380"/>
      <c r="AD643" s="1380"/>
      <c r="AE643" s="1380"/>
      <c r="AH643" s="33" t="s">
        <v>208</v>
      </c>
      <c r="AI643" s="1351">
        <v>106</v>
      </c>
      <c r="AJ643" s="1351"/>
      <c r="AK643" s="1351"/>
      <c r="AZ643" s="34"/>
      <c r="BA643" s="34"/>
      <c r="BB643" s="34"/>
      <c r="BC643" s="34"/>
      <c r="BD643" s="34"/>
      <c r="BE643" s="34"/>
      <c r="BF643" s="34"/>
      <c r="BG643" s="34"/>
      <c r="BH643" s="34"/>
      <c r="BI643" s="34"/>
      <c r="BJ643" s="34"/>
      <c r="BK643" s="34"/>
      <c r="BL643" s="34"/>
      <c r="BM643" s="34"/>
      <c r="BN643" s="1408">
        <f t="shared" si="30"/>
        <v>0</v>
      </c>
      <c r="BO643" s="1409"/>
      <c r="BP643" s="1409"/>
      <c r="BQ643" s="1409"/>
      <c r="BR643" s="1410"/>
      <c r="BS643" s="1417">
        <f t="shared" si="31"/>
        <v>0</v>
      </c>
      <c r="BT643" s="1417"/>
      <c r="BU643" s="1417"/>
      <c r="BV643" s="1417"/>
      <c r="BW643" s="1417"/>
      <c r="BX643" s="1417">
        <f t="shared" si="32"/>
        <v>0</v>
      </c>
      <c r="BY643" s="1417"/>
      <c r="BZ643" s="1417"/>
      <c r="CA643" s="1417"/>
      <c r="CB643" s="1417"/>
      <c r="CC643" s="1417">
        <f t="shared" si="33"/>
        <v>0</v>
      </c>
      <c r="CD643" s="1417"/>
      <c r="CE643" s="1417"/>
      <c r="CF643" s="1417"/>
      <c r="CG643" s="1417"/>
      <c r="CH643" s="1417">
        <f t="shared" si="34"/>
        <v>0</v>
      </c>
      <c r="CI643" s="1417"/>
      <c r="CJ643" s="1417"/>
      <c r="CK643" s="1417"/>
      <c r="CL643" s="1417"/>
      <c r="CM643" s="1417">
        <f t="shared" si="35"/>
        <v>0</v>
      </c>
      <c r="CN643" s="1417"/>
      <c r="CO643" s="1417"/>
      <c r="CP643" s="1417"/>
      <c r="CQ643" s="1417"/>
      <c r="CR643" s="6"/>
      <c r="CS643" s="1408">
        <f t="shared" si="36"/>
        <v>0</v>
      </c>
      <c r="CT643" s="1409"/>
      <c r="CU643" s="1409"/>
      <c r="CV643" s="1409"/>
      <c r="CW643" s="1410"/>
      <c r="CX643" s="1408">
        <f t="shared" si="37"/>
        <v>0</v>
      </c>
      <c r="CY643" s="1409"/>
      <c r="CZ643" s="1409"/>
      <c r="DA643" s="1409"/>
      <c r="DB643" s="1410"/>
      <c r="DC643" s="1408">
        <f t="shared" si="38"/>
        <v>0</v>
      </c>
      <c r="DD643" s="1409"/>
      <c r="DE643" s="1409"/>
      <c r="DF643" s="1409"/>
      <c r="DG643" s="1410"/>
      <c r="DH643" s="1408">
        <f t="shared" si="39"/>
        <v>0</v>
      </c>
      <c r="DI643" s="1409"/>
      <c r="DJ643" s="1409"/>
      <c r="DK643" s="1409"/>
      <c r="DL643" s="1410"/>
      <c r="DM643" s="1408">
        <f t="shared" si="40"/>
        <v>0</v>
      </c>
      <c r="DN643" s="1409"/>
      <c r="DO643" s="1409"/>
      <c r="DP643" s="1409"/>
      <c r="DQ643" s="1410"/>
      <c r="DR643" s="1408">
        <f t="shared" si="41"/>
        <v>0</v>
      </c>
      <c r="DS643" s="1409"/>
      <c r="DT643" s="1409"/>
      <c r="DU643" s="1409"/>
      <c r="DV643" s="1410"/>
      <c r="DX643" s="1406" t="e">
        <f t="shared" si="23"/>
        <v>#VALUE!</v>
      </c>
      <c r="DY643" s="1406"/>
      <c r="DZ643" s="1406"/>
      <c r="EA643" s="1406"/>
      <c r="EB643" s="1406"/>
      <c r="EC643" s="1406" t="e">
        <f t="shared" si="24"/>
        <v>#VALUE!</v>
      </c>
      <c r="ED643" s="1406"/>
      <c r="EE643" s="1406"/>
      <c r="EF643" s="1406"/>
      <c r="EG643" s="1406"/>
      <c r="EH643" s="1406" t="e">
        <f t="shared" si="25"/>
        <v>#VALUE!</v>
      </c>
      <c r="EI643" s="1406"/>
      <c r="EJ643" s="1406"/>
      <c r="EK643" s="1406"/>
      <c r="EL643" s="1406"/>
      <c r="EM643" s="1406" t="e">
        <f t="shared" si="26"/>
        <v>#VALUE!</v>
      </c>
      <c r="EN643" s="1406"/>
      <c r="EO643" s="1406"/>
      <c r="EP643" s="1406"/>
      <c r="EQ643" s="1406"/>
      <c r="ER643" s="1406" t="e">
        <f t="shared" si="27"/>
        <v>#VALUE!</v>
      </c>
      <c r="ES643" s="1406"/>
      <c r="ET643" s="1406"/>
      <c r="EU643" s="1406"/>
      <c r="EV643" s="1406"/>
      <c r="EW643" s="1406" t="e">
        <f t="shared" si="28"/>
        <v>#VALUE!</v>
      </c>
      <c r="EX643" s="1406"/>
      <c r="EY643" s="1406"/>
      <c r="EZ643" s="1406"/>
      <c r="FA643" s="1406"/>
    </row>
    <row r="644" spans="1:157" ht="12.95" customHeight="1">
      <c r="A644" s="22"/>
      <c r="B644" t="s">
        <v>18</v>
      </c>
      <c r="H644" s="1353" t="s">
        <v>2737</v>
      </c>
      <c r="I644" s="1354"/>
      <c r="J644" s="1354"/>
      <c r="K644" s="1354"/>
      <c r="L644" s="1354"/>
      <c r="M644" s="1354"/>
      <c r="N644" s="1354"/>
      <c r="O644" s="1354"/>
      <c r="P644" s="1354"/>
      <c r="Q644" s="1354"/>
      <c r="R644" s="1354"/>
      <c r="S644" s="8"/>
      <c r="T644" s="22"/>
      <c r="U644" t="s">
        <v>18</v>
      </c>
      <c r="AA644" s="1353" t="s">
        <v>1919</v>
      </c>
      <c r="AB644" s="1354"/>
      <c r="AC644" s="1354"/>
      <c r="AD644" s="1354"/>
      <c r="AE644" s="1354"/>
      <c r="AF644" s="1354"/>
      <c r="AG644" s="1354"/>
      <c r="AH644" s="1354"/>
      <c r="AI644" s="1354"/>
      <c r="AJ644" s="1354"/>
      <c r="AK644" s="1354"/>
      <c r="AZ644" s="34"/>
      <c r="BA644" s="34"/>
      <c r="BB644" s="34"/>
      <c r="BC644" s="34"/>
      <c r="BD644" s="34"/>
      <c r="BE644" s="34"/>
      <c r="BF644" s="34"/>
      <c r="BG644" s="34"/>
      <c r="BH644" s="34"/>
      <c r="BI644" s="34"/>
      <c r="BJ644" s="34"/>
      <c r="BK644" s="34"/>
      <c r="BL644" s="34"/>
      <c r="BM644" s="34"/>
      <c r="BN644" s="1430">
        <f>SUM(BN634:BR643)</f>
        <v>0</v>
      </c>
      <c r="BO644" s="1594"/>
      <c r="BP644" s="1594"/>
      <c r="BQ644" s="1594"/>
      <c r="BR644" s="1431"/>
      <c r="BS644" s="1411">
        <f>SUM(BS634:BW643)</f>
        <v>0</v>
      </c>
      <c r="BT644" s="1412"/>
      <c r="BU644" s="1412"/>
      <c r="BV644" s="1412"/>
      <c r="BW644" s="1413"/>
      <c r="BX644" s="1411">
        <f>SUM(BX634:CB643)</f>
        <v>0</v>
      </c>
      <c r="BY644" s="1412"/>
      <c r="BZ644" s="1412"/>
      <c r="CA644" s="1412"/>
      <c r="CB644" s="1413"/>
      <c r="CC644" s="1411">
        <f>SUM(CC634:CG643)</f>
        <v>0</v>
      </c>
      <c r="CD644" s="1412"/>
      <c r="CE644" s="1412"/>
      <c r="CF644" s="1412"/>
      <c r="CG644" s="1413"/>
      <c r="CH644" s="1411">
        <f>SUM(CH634:CL643)</f>
        <v>0</v>
      </c>
      <c r="CI644" s="1412"/>
      <c r="CJ644" s="1412"/>
      <c r="CK644" s="1412"/>
      <c r="CL644" s="1413"/>
      <c r="CM644" s="1411">
        <f>SUM(CM634:CQ643)</f>
        <v>0</v>
      </c>
      <c r="CN644" s="1412"/>
      <c r="CO644" s="1412"/>
      <c r="CP644" s="1412"/>
      <c r="CQ644" s="1413"/>
      <c r="CR644" s="1048"/>
      <c r="CS644" s="1407">
        <f>SUM(CS634:CW643)</f>
        <v>0</v>
      </c>
      <c r="CT644" s="1407"/>
      <c r="CU644" s="1407"/>
      <c r="CV644" s="1407"/>
      <c r="CW644" s="1407"/>
      <c r="CX644" s="1407">
        <f>SUM(CX634:DB643)</f>
        <v>0</v>
      </c>
      <c r="CY644" s="1407"/>
      <c r="CZ644" s="1407"/>
      <c r="DA644" s="1407"/>
      <c r="DB644" s="1407"/>
      <c r="DC644" s="1407">
        <f>SUM(DC634:DG643)</f>
        <v>0</v>
      </c>
      <c r="DD644" s="1407"/>
      <c r="DE644" s="1407"/>
      <c r="DF644" s="1407"/>
      <c r="DG644" s="1407"/>
      <c r="DH644" s="1407">
        <f>SUM(DH634:DL643)</f>
        <v>0</v>
      </c>
      <c r="DI644" s="1407"/>
      <c r="DJ644" s="1407"/>
      <c r="DK644" s="1407"/>
      <c r="DL644" s="1407"/>
      <c r="DM644" s="1407">
        <f>SUM(DM634:DQ643)</f>
        <v>0</v>
      </c>
      <c r="DN644" s="1407"/>
      <c r="DO644" s="1407"/>
      <c r="DP644" s="1407"/>
      <c r="DQ644" s="1407"/>
      <c r="DR644" s="1407">
        <f>SUM(DR634:DV643)</f>
        <v>0</v>
      </c>
      <c r="DS644" s="1407"/>
      <c r="DT644" s="1407"/>
      <c r="DU644" s="1407"/>
      <c r="DV644" s="1407"/>
      <c r="DX644" s="1406" t="e">
        <f t="shared" si="23"/>
        <v>#VALUE!</v>
      </c>
      <c r="DY644" s="1406"/>
      <c r="DZ644" s="1406"/>
      <c r="EA644" s="1406"/>
      <c r="EB644" s="1406"/>
      <c r="EC644" s="1406" t="e">
        <f t="shared" si="24"/>
        <v>#VALUE!</v>
      </c>
      <c r="ED644" s="1406"/>
      <c r="EE644" s="1406"/>
      <c r="EF644" s="1406"/>
      <c r="EG644" s="1406"/>
      <c r="EH644" s="1406" t="e">
        <f t="shared" si="25"/>
        <v>#VALUE!</v>
      </c>
      <c r="EI644" s="1406"/>
      <c r="EJ644" s="1406"/>
      <c r="EK644" s="1406"/>
      <c r="EL644" s="1406"/>
      <c r="EM644" s="1406" t="e">
        <f t="shared" si="26"/>
        <v>#VALUE!</v>
      </c>
      <c r="EN644" s="1406"/>
      <c r="EO644" s="1406"/>
      <c r="EP644" s="1406"/>
      <c r="EQ644" s="1406"/>
      <c r="ER644" s="1406" t="e">
        <f t="shared" si="27"/>
        <v>#VALUE!</v>
      </c>
      <c r="ES644" s="1406"/>
      <c r="ET644" s="1406"/>
      <c r="EU644" s="1406"/>
      <c r="EV644" s="1406"/>
      <c r="EW644" s="1406" t="e">
        <f t="shared" si="28"/>
        <v>#VALUE!</v>
      </c>
      <c r="EX644" s="1406"/>
      <c r="EY644" s="1406"/>
      <c r="EZ644" s="1406"/>
      <c r="FA644" s="1406"/>
    </row>
    <row r="645" spans="1:157" ht="12.95" customHeight="1">
      <c r="A645" s="22"/>
      <c r="B645" t="s">
        <v>20</v>
      </c>
      <c r="N645" s="1375" t="s">
        <v>554</v>
      </c>
      <c r="O645" s="1375"/>
      <c r="T645" s="22"/>
      <c r="U645" t="s">
        <v>20</v>
      </c>
      <c r="AG645" s="1375" t="s">
        <v>554</v>
      </c>
      <c r="AH645" s="1375"/>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06" t="e">
        <f t="shared" si="23"/>
        <v>#VALUE!</v>
      </c>
      <c r="DY645" s="1406"/>
      <c r="DZ645" s="1406"/>
      <c r="EA645" s="1406"/>
      <c r="EB645" s="1406"/>
      <c r="EC645" s="1406" t="e">
        <f t="shared" si="24"/>
        <v>#VALUE!</v>
      </c>
      <c r="ED645" s="1406"/>
      <c r="EE645" s="1406"/>
      <c r="EF645" s="1406"/>
      <c r="EG645" s="1406"/>
      <c r="EH645" s="1406" t="e">
        <f t="shared" si="25"/>
        <v>#VALUE!</v>
      </c>
      <c r="EI645" s="1406"/>
      <c r="EJ645" s="1406"/>
      <c r="EK645" s="1406"/>
      <c r="EL645" s="1406"/>
      <c r="EM645" s="1406" t="e">
        <f t="shared" si="26"/>
        <v>#VALUE!</v>
      </c>
      <c r="EN645" s="1406"/>
      <c r="EO645" s="1406"/>
      <c r="EP645" s="1406"/>
      <c r="EQ645" s="1406"/>
      <c r="ER645" s="1406" t="e">
        <f t="shared" si="27"/>
        <v>#VALUE!</v>
      </c>
      <c r="ES645" s="1406"/>
      <c r="ET645" s="1406"/>
      <c r="EU645" s="1406"/>
      <c r="EV645" s="1406"/>
      <c r="EW645" s="1406" t="e">
        <f t="shared" si="28"/>
        <v>#VALUE!</v>
      </c>
      <c r="EX645" s="1406"/>
      <c r="EY645" s="1406"/>
      <c r="EZ645" s="1406"/>
      <c r="FA645" s="1406"/>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2119</v>
      </c>
      <c r="CU646" s="3"/>
      <c r="CV646" s="3"/>
      <c r="CW646" s="3"/>
      <c r="CX646" s="3"/>
      <c r="CY646" s="3"/>
      <c r="CZ646" s="3"/>
      <c r="DA646" s="3"/>
      <c r="DB646" s="3"/>
      <c r="DC646" s="3"/>
      <c r="DD646" s="3"/>
      <c r="DE646" s="3"/>
      <c r="DF646" s="3"/>
      <c r="DQ646" s="56" t="s">
        <v>2131</v>
      </c>
      <c r="DR646" s="1406">
        <f>SUM(CS644:DV644)</f>
        <v>0</v>
      </c>
      <c r="DS646" s="1406"/>
      <c r="DT646" s="1406"/>
      <c r="DU646" s="1406"/>
      <c r="DV646" s="1406"/>
      <c r="DX646" s="1406" t="e">
        <f t="shared" si="23"/>
        <v>#VALUE!</v>
      </c>
      <c r="DY646" s="1406"/>
      <c r="DZ646" s="1406"/>
      <c r="EA646" s="1406"/>
      <c r="EB646" s="1406"/>
      <c r="EC646" s="1406" t="e">
        <f t="shared" si="24"/>
        <v>#VALUE!</v>
      </c>
      <c r="ED646" s="1406"/>
      <c r="EE646" s="1406"/>
      <c r="EF646" s="1406"/>
      <c r="EG646" s="1406"/>
      <c r="EH646" s="1406" t="e">
        <f t="shared" si="25"/>
        <v>#VALUE!</v>
      </c>
      <c r="EI646" s="1406"/>
      <c r="EJ646" s="1406"/>
      <c r="EK646" s="1406"/>
      <c r="EL646" s="1406"/>
      <c r="EM646" s="1406" t="e">
        <f t="shared" si="26"/>
        <v>#VALUE!</v>
      </c>
      <c r="EN646" s="1406"/>
      <c r="EO646" s="1406"/>
      <c r="EP646" s="1406"/>
      <c r="EQ646" s="1406"/>
      <c r="ER646" s="1406" t="e">
        <f t="shared" si="27"/>
        <v>#VALUE!</v>
      </c>
      <c r="ES646" s="1406"/>
      <c r="ET646" s="1406"/>
      <c r="EU646" s="1406"/>
      <c r="EV646" s="1406"/>
      <c r="EW646" s="1406" t="e">
        <f t="shared" si="28"/>
        <v>#VALUE!</v>
      </c>
      <c r="EX646" s="1406"/>
      <c r="EY646" s="1406"/>
      <c r="EZ646" s="1406"/>
      <c r="FA646" s="1406"/>
    </row>
    <row r="647" spans="1:157" ht="12.95" customHeight="1">
      <c r="A647" s="55" t="s">
        <v>120</v>
      </c>
      <c r="B647" t="s">
        <v>472</v>
      </c>
      <c r="G647" s="1352">
        <f>C625</f>
        <v>0</v>
      </c>
      <c r="H647" s="1352"/>
      <c r="I647" s="1352"/>
      <c r="J647" s="1352"/>
      <c r="K647" s="1352"/>
      <c r="L647" s="1352"/>
      <c r="M647" s="1352"/>
      <c r="N647" s="1352"/>
      <c r="O647" s="1352"/>
      <c r="P647" s="1352"/>
      <c r="Q647" s="1352"/>
      <c r="R647" s="1352"/>
      <c r="T647" s="55" t="s">
        <v>590</v>
      </c>
      <c r="U647" t="s">
        <v>472</v>
      </c>
      <c r="Z647" s="1352">
        <f>C626</f>
        <v>0</v>
      </c>
      <c r="AA647" s="1352"/>
      <c r="AB647" s="1352"/>
      <c r="AC647" s="1352"/>
      <c r="AD647" s="1352"/>
      <c r="AE647" s="1352"/>
      <c r="AF647" s="1352"/>
      <c r="AG647" s="1352"/>
      <c r="AH647" s="1352"/>
      <c r="AI647" s="1352"/>
      <c r="AJ647" s="1352"/>
      <c r="AK647" s="1352"/>
      <c r="AZ647" s="34"/>
      <c r="BA647" s="34"/>
      <c r="BB647" s="34"/>
      <c r="BC647" s="34"/>
      <c r="BD647" s="34"/>
      <c r="BE647" s="34"/>
      <c r="BF647" s="34"/>
      <c r="BG647" s="34"/>
      <c r="BH647" s="34"/>
      <c r="BI647" s="34"/>
      <c r="BJ647" s="34"/>
      <c r="BK647" s="34"/>
      <c r="BL647" s="34"/>
      <c r="BM647" s="34"/>
      <c r="CR647" s="3"/>
      <c r="CS647" s="897">
        <f>BR645+BW645+CB645+CG645+CL645+CQ645</f>
        <v>0</v>
      </c>
      <c r="CT647" s="57" t="s">
        <v>1807</v>
      </c>
      <c r="CU647" s="3"/>
      <c r="CV647" s="3"/>
      <c r="CW647" s="3"/>
      <c r="CX647" s="3"/>
      <c r="CY647" s="3"/>
      <c r="CZ647" s="3"/>
      <c r="DA647" s="3"/>
      <c r="DB647" s="3"/>
      <c r="DC647" s="3"/>
      <c r="DD647" s="3"/>
      <c r="DE647" s="3"/>
      <c r="DF647" s="3"/>
      <c r="DX647" s="1406" t="e">
        <f t="shared" si="23"/>
        <v>#VALUE!</v>
      </c>
      <c r="DY647" s="1406"/>
      <c r="DZ647" s="1406"/>
      <c r="EA647" s="1406"/>
      <c r="EB647" s="1406"/>
      <c r="EC647" s="1406" t="e">
        <f t="shared" si="24"/>
        <v>#VALUE!</v>
      </c>
      <c r="ED647" s="1406"/>
      <c r="EE647" s="1406"/>
      <c r="EF647" s="1406"/>
      <c r="EG647" s="1406"/>
      <c r="EH647" s="1406" t="e">
        <f t="shared" si="25"/>
        <v>#VALUE!</v>
      </c>
      <c r="EI647" s="1406"/>
      <c r="EJ647" s="1406"/>
      <c r="EK647" s="1406"/>
      <c r="EL647" s="1406"/>
      <c r="EM647" s="1406" t="e">
        <f t="shared" si="26"/>
        <v>#VALUE!</v>
      </c>
      <c r="EN647" s="1406"/>
      <c r="EO647" s="1406"/>
      <c r="EP647" s="1406"/>
      <c r="EQ647" s="1406"/>
      <c r="ER647" s="1406" t="e">
        <f t="shared" si="27"/>
        <v>#VALUE!</v>
      </c>
      <c r="ES647" s="1406"/>
      <c r="ET647" s="1406"/>
      <c r="EU647" s="1406"/>
      <c r="EV647" s="1406"/>
      <c r="EW647" s="1406" t="e">
        <f t="shared" si="28"/>
        <v>#VALUE!</v>
      </c>
      <c r="EX647" s="1406"/>
      <c r="EY647" s="1406"/>
      <c r="EZ647" s="1406"/>
      <c r="FA647" s="1406"/>
    </row>
    <row r="648" spans="1:157" ht="12.95" customHeight="1">
      <c r="A648" s="22"/>
      <c r="B648" t="s">
        <v>86</v>
      </c>
      <c r="G648" s="1354"/>
      <c r="H648" s="1354"/>
      <c r="I648" s="1354"/>
      <c r="J648" s="1354"/>
      <c r="K648" s="1354"/>
      <c r="L648" s="1354"/>
      <c r="M648" s="1354"/>
      <c r="N648" s="1354"/>
      <c r="O648" s="1354"/>
      <c r="P648" s="1354"/>
      <c r="Q648" s="1354"/>
      <c r="R648" s="1354"/>
      <c r="T648" s="22"/>
      <c r="U648" t="s">
        <v>86</v>
      </c>
      <c r="Z648" s="1354"/>
      <c r="AA648" s="1354"/>
      <c r="AB648" s="1354"/>
      <c r="AC648" s="1354"/>
      <c r="AD648" s="1354"/>
      <c r="AE648" s="1354"/>
      <c r="AF648" s="1354"/>
      <c r="AG648" s="1354"/>
      <c r="AH648" s="1354"/>
      <c r="AI648" s="1354"/>
      <c r="AJ648" s="1354"/>
      <c r="AK648" s="1354"/>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06" t="e">
        <f t="shared" si="23"/>
        <v>#VALUE!</v>
      </c>
      <c r="DY648" s="1406"/>
      <c r="DZ648" s="1406"/>
      <c r="EA648" s="1406"/>
      <c r="EB648" s="1406"/>
      <c r="EC648" s="1406" t="e">
        <f t="shared" si="24"/>
        <v>#VALUE!</v>
      </c>
      <c r="ED648" s="1406"/>
      <c r="EE648" s="1406"/>
      <c r="EF648" s="1406"/>
      <c r="EG648" s="1406"/>
      <c r="EH648" s="1406" t="e">
        <f t="shared" si="25"/>
        <v>#VALUE!</v>
      </c>
      <c r="EI648" s="1406"/>
      <c r="EJ648" s="1406"/>
      <c r="EK648" s="1406"/>
      <c r="EL648" s="1406"/>
      <c r="EM648" s="1406" t="e">
        <f t="shared" si="26"/>
        <v>#VALUE!</v>
      </c>
      <c r="EN648" s="1406"/>
      <c r="EO648" s="1406"/>
      <c r="EP648" s="1406"/>
      <c r="EQ648" s="1406"/>
      <c r="ER648" s="1406" t="e">
        <f t="shared" si="27"/>
        <v>#VALUE!</v>
      </c>
      <c r="ES648" s="1406"/>
      <c r="ET648" s="1406"/>
      <c r="EU648" s="1406"/>
      <c r="EV648" s="1406"/>
      <c r="EW648" s="1406" t="e">
        <f t="shared" si="28"/>
        <v>#VALUE!</v>
      </c>
      <c r="EX648" s="1406"/>
      <c r="EY648" s="1406"/>
      <c r="EZ648" s="1406"/>
      <c r="FA648" s="1406"/>
    </row>
    <row r="649" spans="1:157" ht="12.95" customHeight="1">
      <c r="A649" s="22"/>
      <c r="B649" t="s">
        <v>589</v>
      </c>
      <c r="G649" s="1374"/>
      <c r="H649" s="1374"/>
      <c r="I649" s="1374"/>
      <c r="J649" s="1374"/>
      <c r="K649" s="1374"/>
      <c r="L649" s="1374"/>
      <c r="M649" s="1374"/>
      <c r="N649" s="1374"/>
      <c r="O649" s="1374"/>
      <c r="P649" s="1374"/>
      <c r="Q649" s="1374"/>
      <c r="R649" s="1374"/>
      <c r="T649" s="22"/>
      <c r="U649" t="s">
        <v>589</v>
      </c>
      <c r="Z649" s="1374"/>
      <c r="AA649" s="1374"/>
      <c r="AB649" s="1374"/>
      <c r="AC649" s="1374"/>
      <c r="AD649" s="1374"/>
      <c r="AE649" s="1374"/>
      <c r="AF649" s="1374"/>
      <c r="AG649" s="1374"/>
      <c r="AH649" s="1374"/>
      <c r="AI649" s="1374"/>
      <c r="AJ649" s="1374"/>
      <c r="AK649" s="1374"/>
      <c r="AZ649" s="34"/>
      <c r="BA649" s="34"/>
      <c r="BB649" s="34"/>
      <c r="BC649" s="34"/>
      <c r="BD649" s="34"/>
      <c r="BE649" s="34"/>
      <c r="BF649" s="34"/>
      <c r="BG649" s="34"/>
      <c r="BH649" s="34"/>
      <c r="BI649" s="34"/>
      <c r="BJ649" s="34"/>
      <c r="BK649" s="34"/>
      <c r="BL649" s="34"/>
      <c r="BM649" s="34"/>
      <c r="BN649" s="1411">
        <f>BN621+BN630+BN644</f>
        <v>40</v>
      </c>
      <c r="BO649" s="1412"/>
      <c r="BP649" s="1412"/>
      <c r="BQ649" s="1412"/>
      <c r="BR649" s="1413"/>
      <c r="BS649" s="1411">
        <f>BS621+BS630+BS644</f>
        <v>41</v>
      </c>
      <c r="BT649" s="1412"/>
      <c r="BU649" s="1412"/>
      <c r="BV649" s="1412"/>
      <c r="BW649" s="1413"/>
      <c r="BX649" s="1411">
        <f>BX621+BX630+BX644</f>
        <v>46</v>
      </c>
      <c r="BY649" s="1412"/>
      <c r="BZ649" s="1412"/>
      <c r="CA649" s="1412"/>
      <c r="CB649" s="1413"/>
      <c r="CC649" s="1411">
        <f>CC621+CC630+CC644</f>
        <v>46</v>
      </c>
      <c r="CD649" s="1412"/>
      <c r="CE649" s="1412"/>
      <c r="CF649" s="1412"/>
      <c r="CG649" s="1413"/>
      <c r="CH649" s="1411">
        <f>CH621+CH630+CH644</f>
        <v>0</v>
      </c>
      <c r="CI649" s="1412"/>
      <c r="CJ649" s="1412"/>
      <c r="CK649" s="1412"/>
      <c r="CL649" s="1413"/>
      <c r="CM649" s="1414">
        <f>CM644+CM630+CM621</f>
        <v>0</v>
      </c>
      <c r="CN649" s="1415"/>
      <c r="CO649" s="1415"/>
      <c r="CP649" s="1415"/>
      <c r="CQ649" s="1416"/>
      <c r="CR649" s="3"/>
      <c r="CS649" s="897">
        <f>CS623+CS647</f>
        <v>307</v>
      </c>
      <c r="CT649" s="57" t="s">
        <v>2124</v>
      </c>
      <c r="CU649" s="3"/>
      <c r="CV649" s="3"/>
      <c r="CW649" s="3"/>
      <c r="CX649" s="3"/>
      <c r="CY649" s="3"/>
      <c r="CZ649" s="3"/>
      <c r="DA649" s="3"/>
      <c r="DB649" s="3"/>
      <c r="DC649" s="3"/>
      <c r="DD649" s="3"/>
      <c r="DE649" s="3"/>
      <c r="DF649" s="3"/>
      <c r="DX649" s="1406">
        <f>SUMIF(DX624:EB648,"&gt;0")</f>
        <v>1140.45</v>
      </c>
      <c r="DY649" s="1406"/>
      <c r="DZ649" s="1406"/>
      <c r="EA649" s="1406"/>
      <c r="EB649" s="1406"/>
      <c r="EC649" s="1406">
        <f>SUMIF(EC624:EG648,"&gt;0")</f>
        <v>1242.8536585365855</v>
      </c>
      <c r="ED649" s="1406"/>
      <c r="EE649" s="1406"/>
      <c r="EF649" s="1406"/>
      <c r="EG649" s="1406"/>
      <c r="EH649" s="1406">
        <f>SUMIF(EH624:EL648,"&gt;0")</f>
        <v>1717.3636363636365</v>
      </c>
      <c r="EI649" s="1406"/>
      <c r="EJ649" s="1406"/>
      <c r="EK649" s="1406"/>
      <c r="EL649" s="1406"/>
      <c r="EM649" s="1406">
        <f>SUMIF(EM624:EQ648,"&gt;0")</f>
        <v>1805.5695652173911</v>
      </c>
      <c r="EN649" s="1406"/>
      <c r="EO649" s="1406"/>
      <c r="EP649" s="1406"/>
      <c r="EQ649" s="1406"/>
      <c r="ER649" s="1406">
        <f>SUMIF(ER624:EV648,"&gt;0")</f>
        <v>0</v>
      </c>
      <c r="ES649" s="1406"/>
      <c r="ET649" s="1406"/>
      <c r="EU649" s="1406"/>
      <c r="EV649" s="1406"/>
      <c r="EW649" s="1406">
        <f>SUMIF(EW624:FA648,"&gt;0")</f>
        <v>0</v>
      </c>
      <c r="EX649" s="1406"/>
      <c r="EY649" s="1406"/>
      <c r="EZ649" s="1406"/>
      <c r="FA649" s="1406"/>
    </row>
    <row r="650" spans="1:157" ht="12.95" customHeight="1">
      <c r="A650" s="22"/>
      <c r="B650" t="s">
        <v>17</v>
      </c>
      <c r="G650" s="1374"/>
      <c r="H650" s="1374"/>
      <c r="I650" s="1374"/>
      <c r="J650" s="1374"/>
      <c r="K650" s="1374"/>
      <c r="L650" s="1374"/>
      <c r="M650" s="1374"/>
      <c r="N650" s="1374"/>
      <c r="O650" s="1374"/>
      <c r="P650" s="1374"/>
      <c r="Q650" s="1374"/>
      <c r="R650" s="1374"/>
      <c r="T650" s="22"/>
      <c r="U650" t="s">
        <v>17</v>
      </c>
      <c r="Z650" s="1374"/>
      <c r="AA650" s="1374"/>
      <c r="AB650" s="1374"/>
      <c r="AC650" s="1374"/>
      <c r="AD650" s="1374"/>
      <c r="AE650" s="1374"/>
      <c r="AF650" s="1374"/>
      <c r="AG650" s="1374"/>
      <c r="AH650" s="1374"/>
      <c r="AI650" s="1374"/>
      <c r="AJ650" s="1374"/>
      <c r="AK650" s="1374"/>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380"/>
      <c r="H651" s="1380"/>
      <c r="I651" s="1380"/>
      <c r="J651" s="1380"/>
      <c r="K651" s="1380"/>
      <c r="L651" s="1380"/>
      <c r="O651" s="33" t="s">
        <v>208</v>
      </c>
      <c r="P651" s="1351"/>
      <c r="Q651" s="1351"/>
      <c r="R651" s="1351"/>
      <c r="T651" s="22"/>
      <c r="U651" t="s">
        <v>318</v>
      </c>
      <c r="Z651" s="1380"/>
      <c r="AA651" s="1380"/>
      <c r="AB651" s="1380"/>
      <c r="AC651" s="1380"/>
      <c r="AD651" s="1380"/>
      <c r="AE651" s="1380"/>
      <c r="AH651" s="33" t="s">
        <v>208</v>
      </c>
      <c r="AI651" s="1351"/>
      <c r="AJ651" s="1351"/>
      <c r="AK651" s="1351"/>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54"/>
      <c r="I652" s="1354"/>
      <c r="J652" s="1354"/>
      <c r="K652" s="1354"/>
      <c r="L652" s="1354"/>
      <c r="M652" s="1354"/>
      <c r="N652" s="1354"/>
      <c r="O652" s="1354"/>
      <c r="P652" s="1354"/>
      <c r="Q652" s="1354"/>
      <c r="R652" s="1354"/>
      <c r="T652" s="22"/>
      <c r="U652" t="s">
        <v>18</v>
      </c>
      <c r="AA652" s="1354"/>
      <c r="AB652" s="1354"/>
      <c r="AC652" s="1354"/>
      <c r="AD652" s="1354"/>
      <c r="AE652" s="1354"/>
      <c r="AF652" s="1354"/>
      <c r="AG652" s="1354"/>
      <c r="AH652" s="1354"/>
      <c r="AI652" s="1354"/>
      <c r="AJ652" s="1354"/>
      <c r="AK652" s="1354"/>
      <c r="AZ652" s="3"/>
      <c r="BA652" s="3"/>
      <c r="BB652" s="3"/>
      <c r="BC652" s="3"/>
      <c r="BD652" s="3"/>
      <c r="BE652" s="3"/>
      <c r="BF652" s="3"/>
      <c r="BG652" s="3"/>
      <c r="BH652" s="3"/>
      <c r="BI652" s="3"/>
      <c r="BJ652" s="3"/>
      <c r="BK652" s="3"/>
      <c r="BL652" s="3"/>
      <c r="BM652" s="3"/>
      <c r="BN652" s="3"/>
      <c r="BO652" s="3"/>
      <c r="BP652" s="207" t="s">
        <v>2310</v>
      </c>
      <c r="BQ652" s="208"/>
      <c r="BR652" s="208"/>
      <c r="BS652" s="208"/>
      <c r="BT652" s="208"/>
      <c r="BU652" s="208"/>
      <c r="BV652" s="208"/>
      <c r="BW652" s="3"/>
      <c r="BX652" s="207" t="s">
        <v>2313</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75" t="s">
        <v>678</v>
      </c>
      <c r="O653" s="1375"/>
      <c r="T653" s="22"/>
      <c r="U653" t="s">
        <v>20</v>
      </c>
      <c r="AG653" s="1375" t="s">
        <v>678</v>
      </c>
      <c r="AH653" s="1375"/>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2314</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787</v>
      </c>
      <c r="B655" t="s">
        <v>472</v>
      </c>
      <c r="G655" s="1352">
        <f>C627</f>
        <v>0</v>
      </c>
      <c r="H655" s="1352"/>
      <c r="I655" s="1352"/>
      <c r="J655" s="1352"/>
      <c r="K655" s="1352"/>
      <c r="L655" s="1352"/>
      <c r="M655" s="1352"/>
      <c r="N655" s="1352"/>
      <c r="O655" s="1352"/>
      <c r="P655" s="1352"/>
      <c r="Q655" s="1352"/>
      <c r="R655" s="1352"/>
      <c r="T655" s="55" t="s">
        <v>593</v>
      </c>
      <c r="U655" t="s">
        <v>472</v>
      </c>
      <c r="Z655" s="1352">
        <f>C628</f>
        <v>0</v>
      </c>
      <c r="AA655" s="1352"/>
      <c r="AB655" s="1352"/>
      <c r="AC655" s="1352"/>
      <c r="AD655" s="1352"/>
      <c r="AE655" s="1352"/>
      <c r="AF655" s="1352"/>
      <c r="AG655" s="1352"/>
      <c r="AH655" s="1352"/>
      <c r="AI655" s="1352"/>
      <c r="AJ655" s="1352"/>
      <c r="AK655" s="1352"/>
      <c r="AZ655" s="3"/>
      <c r="BA655" s="166" t="s">
        <v>658</v>
      </c>
      <c r="BB655" s="3"/>
      <c r="BC655" s="3"/>
      <c r="BD655" s="3"/>
      <c r="BE655" s="3"/>
      <c r="BF655" s="218"/>
      <c r="BG655" s="219" t="s">
        <v>928</v>
      </c>
      <c r="BH655" s="218"/>
      <c r="BI655" s="218"/>
      <c r="BJ655" s="3"/>
      <c r="BK655" s="3"/>
      <c r="BL655" s="3"/>
      <c r="BM655" s="3"/>
      <c r="BN655" s="3"/>
      <c r="BO655" s="3"/>
      <c r="BP655" s="376" t="s">
        <v>657</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54"/>
      <c r="H656" s="1354"/>
      <c r="I656" s="1354"/>
      <c r="J656" s="1354"/>
      <c r="K656" s="1354"/>
      <c r="L656" s="1354"/>
      <c r="M656" s="1354"/>
      <c r="N656" s="1354"/>
      <c r="O656" s="1354"/>
      <c r="P656" s="1354"/>
      <c r="Q656" s="1354"/>
      <c r="R656" s="1354"/>
      <c r="T656" s="22"/>
      <c r="U656" t="s">
        <v>86</v>
      </c>
      <c r="Z656" s="1354"/>
      <c r="AA656" s="1354"/>
      <c r="AB656" s="1354"/>
      <c r="AC656" s="1354"/>
      <c r="AD656" s="1354"/>
      <c r="AE656" s="1354"/>
      <c r="AF656" s="1354"/>
      <c r="AG656" s="1354"/>
      <c r="AH656" s="1354"/>
      <c r="AI656" s="1354"/>
      <c r="AJ656" s="1354"/>
      <c r="AK656" s="1354"/>
      <c r="AZ656" s="3"/>
      <c r="BA656" s="118">
        <f t="shared" ref="BA656:BA680" si="42">IF($G714=0,"N/A",VLOOKUP($T$189,TC_Rent,(MATCH($B714,bedrooms,FALSE))))</f>
        <v>2084</v>
      </c>
      <c r="BB656" s="3"/>
      <c r="BC656" s="3"/>
      <c r="BD656" s="3"/>
      <c r="BE656" s="3"/>
      <c r="BF656" s="218"/>
      <c r="BG656" s="313" t="s">
        <v>929</v>
      </c>
      <c r="BH656" s="318" t="s">
        <v>930</v>
      </c>
      <c r="BI656" s="317" t="s">
        <v>931</v>
      </c>
      <c r="BJ656" s="3"/>
      <c r="BK656" s="3"/>
      <c r="BL656" s="3"/>
      <c r="BM656" s="3"/>
      <c r="BN656" s="3"/>
      <c r="BO656" s="3"/>
      <c r="BP656" s="378" t="s">
        <v>485</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589</v>
      </c>
      <c r="G657" s="1354"/>
      <c r="H657" s="1354"/>
      <c r="I657" s="1354"/>
      <c r="J657" s="1354"/>
      <c r="K657" s="1354"/>
      <c r="L657" s="1354"/>
      <c r="M657" s="1354"/>
      <c r="N657" s="1354"/>
      <c r="O657" s="1354"/>
      <c r="P657" s="1354"/>
      <c r="Q657" s="1354"/>
      <c r="R657" s="1354"/>
      <c r="T657" s="22"/>
      <c r="U657" t="s">
        <v>589</v>
      </c>
      <c r="Z657" s="1374"/>
      <c r="AA657" s="1374"/>
      <c r="AB657" s="1374"/>
      <c r="AC657" s="1374"/>
      <c r="AD657" s="1374"/>
      <c r="AE657" s="1374"/>
      <c r="AF657" s="1374"/>
      <c r="AG657" s="1374"/>
      <c r="AH657" s="1374"/>
      <c r="AI657" s="1374"/>
      <c r="AJ657" s="1374"/>
      <c r="AK657" s="1374"/>
      <c r="AZ657" s="3"/>
      <c r="BA657" s="118">
        <f t="shared" si="42"/>
        <v>2084</v>
      </c>
      <c r="BB657" s="3"/>
      <c r="BC657" s="3"/>
      <c r="BD657" s="3"/>
      <c r="BE657" s="3"/>
      <c r="BF657" s="218"/>
      <c r="BG657" s="315">
        <f t="shared" ref="BG657:BG681" si="43">G714</f>
        <v>14</v>
      </c>
      <c r="BH657" s="319">
        <f>BG657/$BG$682</f>
        <v>8.1871345029239762E-2</v>
      </c>
      <c r="BI657" s="320">
        <f t="shared" ref="BI657:BI681" si="44">IF(BH657=0," ",BH657*AC714)</f>
        <v>2.4561403508771926E-2</v>
      </c>
      <c r="BJ657" s="3"/>
      <c r="BK657" s="3"/>
      <c r="BL657" s="3"/>
      <c r="BM657" s="3"/>
      <c r="BN657" s="3"/>
      <c r="BO657" s="3"/>
      <c r="BP657" s="379" t="s">
        <v>486</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54"/>
      <c r="H658" s="1354"/>
      <c r="I658" s="1354"/>
      <c r="J658" s="1354"/>
      <c r="K658" s="1354"/>
      <c r="L658" s="1354"/>
      <c r="M658" s="1354"/>
      <c r="N658" s="1354"/>
      <c r="O658" s="1354"/>
      <c r="P658" s="1354"/>
      <c r="Q658" s="1354"/>
      <c r="R658" s="1354"/>
      <c r="T658" s="22"/>
      <c r="U658" t="s">
        <v>17</v>
      </c>
      <c r="Z658" s="1374"/>
      <c r="AA658" s="1374"/>
      <c r="AB658" s="1374"/>
      <c r="AC658" s="1374"/>
      <c r="AD658" s="1374"/>
      <c r="AE658" s="1374"/>
      <c r="AF658" s="1374"/>
      <c r="AG658" s="1374"/>
      <c r="AH658" s="1374"/>
      <c r="AI658" s="1374"/>
      <c r="AJ658" s="1374"/>
      <c r="AK658" s="1374"/>
      <c r="AZ658" s="3"/>
      <c r="BA658" s="118">
        <f t="shared" si="42"/>
        <v>2232</v>
      </c>
      <c r="BB658" s="3"/>
      <c r="BC658" s="3"/>
      <c r="BD658" s="3"/>
      <c r="BE658" s="3"/>
      <c r="BF658" s="218"/>
      <c r="BG658" s="316">
        <f t="shared" si="43"/>
        <v>26</v>
      </c>
      <c r="BH658" s="319">
        <f t="shared" ref="BH658:BH681" si="45">BG658/$BG$682</f>
        <v>0.15204678362573099</v>
      </c>
      <c r="BI658" s="320">
        <f t="shared" si="44"/>
        <v>0.10643274853801168</v>
      </c>
      <c r="BJ658" s="3"/>
      <c r="BK658" s="3"/>
      <c r="BL658" s="3"/>
      <c r="BM658" s="3"/>
      <c r="BN658" s="3"/>
      <c r="BO658" s="3"/>
      <c r="BP658" s="379" t="s">
        <v>487</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380"/>
      <c r="H659" s="1380"/>
      <c r="I659" s="1380"/>
      <c r="J659" s="1380"/>
      <c r="K659" s="1380"/>
      <c r="L659" s="1380"/>
      <c r="O659" s="33" t="s">
        <v>208</v>
      </c>
      <c r="P659" s="1351"/>
      <c r="Q659" s="1351"/>
      <c r="R659" s="1351"/>
      <c r="T659" s="22"/>
      <c r="U659" t="s">
        <v>318</v>
      </c>
      <c r="Z659" s="1380"/>
      <c r="AA659" s="1380"/>
      <c r="AB659" s="1380"/>
      <c r="AC659" s="1380"/>
      <c r="AD659" s="1380"/>
      <c r="AE659" s="1380"/>
      <c r="AH659" s="33" t="s">
        <v>208</v>
      </c>
      <c r="AI659" s="1351"/>
      <c r="AJ659" s="1351"/>
      <c r="AK659" s="1351"/>
      <c r="AZ659" s="3"/>
      <c r="BA659" s="118">
        <f t="shared" si="42"/>
        <v>2232</v>
      </c>
      <c r="BB659" s="3"/>
      <c r="BC659" s="3"/>
      <c r="BD659" s="3"/>
      <c r="BE659" s="3"/>
      <c r="BF659" s="218"/>
      <c r="BG659" s="316">
        <f t="shared" si="43"/>
        <v>13</v>
      </c>
      <c r="BH659" s="319">
        <f t="shared" si="45"/>
        <v>7.6023391812865493E-2</v>
      </c>
      <c r="BI659" s="320">
        <f t="shared" si="44"/>
        <v>2.2807017543859647E-2</v>
      </c>
      <c r="BJ659" s="3"/>
      <c r="BK659" s="3"/>
      <c r="BL659" s="3"/>
      <c r="BM659" s="3"/>
      <c r="BN659" s="3"/>
      <c r="BO659" s="3"/>
      <c r="BP659" s="379" t="s">
        <v>488</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54"/>
      <c r="I660" s="1354"/>
      <c r="J660" s="1354"/>
      <c r="K660" s="1354"/>
      <c r="L660" s="1354"/>
      <c r="M660" s="1354"/>
      <c r="N660" s="1354"/>
      <c r="O660" s="1354"/>
      <c r="P660" s="1354"/>
      <c r="Q660" s="1354"/>
      <c r="R660" s="1354"/>
      <c r="T660" s="22"/>
      <c r="U660" t="s">
        <v>18</v>
      </c>
      <c r="AA660" s="1354"/>
      <c r="AB660" s="1354"/>
      <c r="AC660" s="1354"/>
      <c r="AD660" s="1354"/>
      <c r="AE660" s="1354"/>
      <c r="AF660" s="1354"/>
      <c r="AG660" s="1354"/>
      <c r="AH660" s="1354"/>
      <c r="AI660" s="1354"/>
      <c r="AJ660" s="1354"/>
      <c r="AK660" s="1354"/>
      <c r="AZ660" s="3"/>
      <c r="BA660" s="118">
        <f t="shared" si="42"/>
        <v>2680</v>
      </c>
      <c r="BB660" s="3"/>
      <c r="BC660" s="3"/>
      <c r="BD660" s="3"/>
      <c r="BE660" s="3"/>
      <c r="BF660" s="218"/>
      <c r="BG660" s="316">
        <f t="shared" si="43"/>
        <v>28</v>
      </c>
      <c r="BH660" s="319">
        <f t="shared" si="45"/>
        <v>0.16374269005847952</v>
      </c>
      <c r="BI660" s="320">
        <f t="shared" si="44"/>
        <v>0.11461988304093566</v>
      </c>
      <c r="BJ660" s="3"/>
      <c r="BK660" s="3"/>
      <c r="BL660" s="3"/>
      <c r="BM660" s="3"/>
      <c r="BN660" s="3"/>
      <c r="BO660" s="3"/>
      <c r="BP660" s="379" t="s">
        <v>489</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75" t="s">
        <v>678</v>
      </c>
      <c r="O661" s="1375"/>
      <c r="T661" s="22"/>
      <c r="U661" t="s">
        <v>20</v>
      </c>
      <c r="AG661" s="1375" t="s">
        <v>678</v>
      </c>
      <c r="AH661" s="1375"/>
      <c r="AZ661" s="3"/>
      <c r="BA661" s="118">
        <f t="shared" si="42"/>
        <v>2680</v>
      </c>
      <c r="BB661" s="3"/>
      <c r="BC661" s="3"/>
      <c r="BD661" s="3"/>
      <c r="BE661" s="3"/>
      <c r="BF661" s="218"/>
      <c r="BG661" s="316">
        <f t="shared" si="43"/>
        <v>5</v>
      </c>
      <c r="BH661" s="319">
        <f t="shared" si="45"/>
        <v>2.9239766081871343E-2</v>
      </c>
      <c r="BI661" s="320">
        <f t="shared" si="44"/>
        <v>8.771929824561403E-3</v>
      </c>
      <c r="BJ661" s="3"/>
      <c r="BK661" s="3"/>
      <c r="BL661" s="3"/>
      <c r="BM661" s="3"/>
      <c r="BN661" s="3"/>
      <c r="BO661" s="3"/>
      <c r="BP661" s="379" t="s">
        <v>490</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2"/>
        <v>2680</v>
      </c>
      <c r="BB662" s="3"/>
      <c r="BC662" s="3"/>
      <c r="BD662" s="3"/>
      <c r="BE662" s="3"/>
      <c r="BF662" s="218"/>
      <c r="BG662" s="316">
        <f t="shared" si="43"/>
        <v>9</v>
      </c>
      <c r="BH662" s="319">
        <f t="shared" si="45"/>
        <v>5.2631578947368418E-2</v>
      </c>
      <c r="BI662" s="320">
        <f t="shared" si="44"/>
        <v>3.1578947368421047E-2</v>
      </c>
      <c r="BJ662" s="3"/>
      <c r="BK662" s="3"/>
      <c r="BL662" s="3"/>
      <c r="BM662" s="3"/>
      <c r="BN662" s="3"/>
      <c r="BO662" s="3"/>
      <c r="BP662" s="379" t="s">
        <v>491</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464</v>
      </c>
      <c r="B663" t="s">
        <v>472</v>
      </c>
      <c r="G663" s="1352">
        <f>C629</f>
        <v>0</v>
      </c>
      <c r="H663" s="1352"/>
      <c r="I663" s="1352"/>
      <c r="J663" s="1352"/>
      <c r="K663" s="1352"/>
      <c r="L663" s="1352"/>
      <c r="M663" s="1352"/>
      <c r="N663" s="1352"/>
      <c r="O663" s="1352"/>
      <c r="P663" s="1352"/>
      <c r="Q663" s="1352"/>
      <c r="R663" s="1352"/>
      <c r="T663" s="55" t="s">
        <v>465</v>
      </c>
      <c r="U663" t="s">
        <v>472</v>
      </c>
      <c r="Z663" s="1352">
        <f>C630</f>
        <v>0</v>
      </c>
      <c r="AA663" s="1352"/>
      <c r="AB663" s="1352"/>
      <c r="AC663" s="1352"/>
      <c r="AD663" s="1352"/>
      <c r="AE663" s="1352"/>
      <c r="AF663" s="1352"/>
      <c r="AG663" s="1352"/>
      <c r="AH663" s="1352"/>
      <c r="AI663" s="1352"/>
      <c r="AJ663" s="1352"/>
      <c r="AK663" s="1352"/>
      <c r="AZ663" s="3"/>
      <c r="BA663" s="118">
        <f t="shared" si="42"/>
        <v>2680</v>
      </c>
      <c r="BB663" s="3"/>
      <c r="BC663" s="3"/>
      <c r="BD663" s="3"/>
      <c r="BE663" s="3"/>
      <c r="BF663" s="218"/>
      <c r="BG663" s="316">
        <f t="shared" si="43"/>
        <v>19</v>
      </c>
      <c r="BH663" s="319">
        <f t="shared" si="45"/>
        <v>0.1111111111111111</v>
      </c>
      <c r="BI663" s="320">
        <f t="shared" si="44"/>
        <v>7.7777777777777765E-2</v>
      </c>
      <c r="BJ663" s="3"/>
      <c r="BK663" s="3"/>
      <c r="BL663" s="3"/>
      <c r="BM663" s="3"/>
      <c r="BN663" s="3"/>
      <c r="BO663" s="3"/>
      <c r="BP663" s="379" t="s">
        <v>492</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54"/>
      <c r="H664" s="1354"/>
      <c r="I664" s="1354"/>
      <c r="J664" s="1354"/>
      <c r="K664" s="1354"/>
      <c r="L664" s="1354"/>
      <c r="M664" s="1354"/>
      <c r="N664" s="1354"/>
      <c r="O664" s="1354"/>
      <c r="P664" s="1354"/>
      <c r="Q664" s="1354"/>
      <c r="R664" s="1354"/>
      <c r="T664" s="22"/>
      <c r="U664" t="s">
        <v>86</v>
      </c>
      <c r="Z664" s="1354"/>
      <c r="AA664" s="1354"/>
      <c r="AB664" s="1354"/>
      <c r="AC664" s="1354"/>
      <c r="AD664" s="1354"/>
      <c r="AE664" s="1354"/>
      <c r="AF664" s="1354"/>
      <c r="AG664" s="1354"/>
      <c r="AH664" s="1354"/>
      <c r="AI664" s="1354"/>
      <c r="AJ664" s="1354"/>
      <c r="AK664" s="1354"/>
      <c r="AZ664" s="3"/>
      <c r="BA664" s="118">
        <f t="shared" si="42"/>
        <v>3096</v>
      </c>
      <c r="BB664" s="3"/>
      <c r="BC664" s="3"/>
      <c r="BD664" s="3"/>
      <c r="BE664" s="3"/>
      <c r="BF664" s="218"/>
      <c r="BG664" s="316">
        <f t="shared" si="43"/>
        <v>11</v>
      </c>
      <c r="BH664" s="319">
        <f t="shared" si="45"/>
        <v>6.4327485380116955E-2</v>
      </c>
      <c r="BI664" s="320">
        <f t="shared" si="44"/>
        <v>5.146198830409357E-2</v>
      </c>
      <c r="BJ664" s="3"/>
      <c r="BK664" s="3"/>
      <c r="BL664" s="3"/>
      <c r="BM664" s="3"/>
      <c r="BN664" s="3"/>
      <c r="BO664" s="3"/>
      <c r="BP664" s="379" t="s">
        <v>493</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589</v>
      </c>
      <c r="G665" s="1354"/>
      <c r="H665" s="1354"/>
      <c r="I665" s="1354"/>
      <c r="J665" s="1354"/>
      <c r="K665" s="1354"/>
      <c r="L665" s="1354"/>
      <c r="M665" s="1354"/>
      <c r="N665" s="1354"/>
      <c r="O665" s="1354"/>
      <c r="P665" s="1354"/>
      <c r="Q665" s="1354"/>
      <c r="R665" s="1354"/>
      <c r="T665" s="22"/>
      <c r="U665" t="s">
        <v>589</v>
      </c>
      <c r="Z665" s="1374"/>
      <c r="AA665" s="1374"/>
      <c r="AB665" s="1374"/>
      <c r="AC665" s="1374"/>
      <c r="AD665" s="1374"/>
      <c r="AE665" s="1374"/>
      <c r="AF665" s="1374"/>
      <c r="AG665" s="1374"/>
      <c r="AH665" s="1374"/>
      <c r="AI665" s="1374"/>
      <c r="AJ665" s="1374"/>
      <c r="AK665" s="1374"/>
      <c r="AZ665" s="3"/>
      <c r="BA665" s="118">
        <f t="shared" si="42"/>
        <v>3096</v>
      </c>
      <c r="BB665" s="3"/>
      <c r="BC665" s="3"/>
      <c r="BD665" s="3"/>
      <c r="BE665" s="3"/>
      <c r="BF665" s="218"/>
      <c r="BG665" s="316">
        <f t="shared" si="43"/>
        <v>5</v>
      </c>
      <c r="BH665" s="319">
        <f t="shared" si="45"/>
        <v>2.9239766081871343E-2</v>
      </c>
      <c r="BI665" s="320">
        <f t="shared" si="44"/>
        <v>8.771929824561403E-3</v>
      </c>
      <c r="BJ665" s="3"/>
      <c r="BK665" s="3"/>
      <c r="BL665" s="3"/>
      <c r="BM665" s="3"/>
      <c r="BN665" s="3"/>
      <c r="BO665" s="3"/>
      <c r="BP665" s="379" t="s">
        <v>494</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54"/>
      <c r="H666" s="1354"/>
      <c r="I666" s="1354"/>
      <c r="J666" s="1354"/>
      <c r="K666" s="1354"/>
      <c r="L666" s="1354"/>
      <c r="M666" s="1354"/>
      <c r="N666" s="1354"/>
      <c r="O666" s="1354"/>
      <c r="P666" s="1354"/>
      <c r="Q666" s="1354"/>
      <c r="R666" s="1354"/>
      <c r="T666" s="22"/>
      <c r="U666" t="s">
        <v>17</v>
      </c>
      <c r="Z666" s="1374"/>
      <c r="AA666" s="1374"/>
      <c r="AB666" s="1374"/>
      <c r="AC666" s="1374"/>
      <c r="AD666" s="1374"/>
      <c r="AE666" s="1374"/>
      <c r="AF666" s="1374"/>
      <c r="AG666" s="1374"/>
      <c r="AH666" s="1374"/>
      <c r="AI666" s="1374"/>
      <c r="AJ666" s="1374"/>
      <c r="AK666" s="1374"/>
      <c r="AZ666" s="3"/>
      <c r="BA666" s="118">
        <f t="shared" si="42"/>
        <v>3096</v>
      </c>
      <c r="BB666" s="3"/>
      <c r="BC666" s="3"/>
      <c r="BD666" s="3"/>
      <c r="BE666" s="3"/>
      <c r="BF666" s="218"/>
      <c r="BG666" s="316">
        <f t="shared" si="43"/>
        <v>25</v>
      </c>
      <c r="BH666" s="319">
        <f t="shared" si="45"/>
        <v>0.14619883040935672</v>
      </c>
      <c r="BI666" s="320">
        <f t="shared" si="44"/>
        <v>8.771929824561403E-2</v>
      </c>
      <c r="BJ666" s="3"/>
      <c r="BK666" s="3"/>
      <c r="BL666" s="3"/>
      <c r="BM666" s="3"/>
      <c r="BN666" s="3"/>
      <c r="BO666" s="3"/>
      <c r="BP666" s="379" t="s">
        <v>495</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380"/>
      <c r="H667" s="1380"/>
      <c r="I667" s="1380"/>
      <c r="J667" s="1380"/>
      <c r="K667" s="1380"/>
      <c r="L667" s="1380"/>
      <c r="O667" s="33" t="s">
        <v>208</v>
      </c>
      <c r="P667" s="1351"/>
      <c r="Q667" s="1351"/>
      <c r="R667" s="1351"/>
      <c r="T667" s="22"/>
      <c r="U667" t="s">
        <v>318</v>
      </c>
      <c r="Z667" s="1380"/>
      <c r="AA667" s="1380"/>
      <c r="AB667" s="1380"/>
      <c r="AC667" s="1380"/>
      <c r="AD667" s="1380"/>
      <c r="AE667" s="1380"/>
      <c r="AH667" s="33" t="s">
        <v>208</v>
      </c>
      <c r="AI667" s="1351"/>
      <c r="AJ667" s="1351"/>
      <c r="AK667" s="1351"/>
      <c r="AZ667" s="3"/>
      <c r="BA667" s="118" t="str">
        <f t="shared" si="42"/>
        <v>N/A</v>
      </c>
      <c r="BB667" s="3"/>
      <c r="BC667" s="3"/>
      <c r="BD667" s="3"/>
      <c r="BE667" s="3"/>
      <c r="BF667" s="218"/>
      <c r="BG667" s="316">
        <f t="shared" si="43"/>
        <v>16</v>
      </c>
      <c r="BH667" s="319">
        <f t="shared" si="45"/>
        <v>9.3567251461988299E-2</v>
      </c>
      <c r="BI667" s="320">
        <f t="shared" si="44"/>
        <v>6.5497076023391804E-2</v>
      </c>
      <c r="BJ667" s="3"/>
      <c r="BK667" s="3"/>
      <c r="BL667" s="3"/>
      <c r="BM667" s="3"/>
      <c r="BN667" s="3"/>
      <c r="BO667" s="3"/>
      <c r="BP667" s="379" t="s">
        <v>496</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54"/>
      <c r="I668" s="1354"/>
      <c r="J668" s="1354"/>
      <c r="K668" s="1354"/>
      <c r="L668" s="1354"/>
      <c r="M668" s="1354"/>
      <c r="N668" s="1354"/>
      <c r="O668" s="1354"/>
      <c r="P668" s="1354"/>
      <c r="Q668" s="1354"/>
      <c r="R668" s="1354"/>
      <c r="T668" s="22"/>
      <c r="U668" t="s">
        <v>18</v>
      </c>
      <c r="AA668" s="1354"/>
      <c r="AB668" s="1354"/>
      <c r="AC668" s="1354"/>
      <c r="AD668" s="1354"/>
      <c r="AE668" s="1354"/>
      <c r="AF668" s="1354"/>
      <c r="AG668" s="1354"/>
      <c r="AH668" s="1354"/>
      <c r="AI668" s="1354"/>
      <c r="AJ668" s="1354"/>
      <c r="AK668" s="1354"/>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497</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75" t="s">
        <v>678</v>
      </c>
      <c r="O669" s="1375"/>
      <c r="T669" s="22"/>
      <c r="U669" t="s">
        <v>20</v>
      </c>
      <c r="AG669" s="1375" t="s">
        <v>678</v>
      </c>
      <c r="AH669" s="1375"/>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498</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499</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470</v>
      </c>
      <c r="B671" t="s">
        <v>472</v>
      </c>
      <c r="G671" s="1352">
        <f>C631</f>
        <v>0</v>
      </c>
      <c r="H671" s="1352"/>
      <c r="I671" s="1352"/>
      <c r="J671" s="1352"/>
      <c r="K671" s="1352"/>
      <c r="L671" s="1352"/>
      <c r="M671" s="1352"/>
      <c r="N671" s="1352"/>
      <c r="O671" s="1352"/>
      <c r="P671" s="1352"/>
      <c r="Q671" s="1352"/>
      <c r="R671" s="1352"/>
      <c r="T671" s="55" t="s">
        <v>655</v>
      </c>
      <c r="U671" t="s">
        <v>472</v>
      </c>
      <c r="Z671" s="1352">
        <f>C632</f>
        <v>0</v>
      </c>
      <c r="AA671" s="1352"/>
      <c r="AB671" s="1352"/>
      <c r="AC671" s="1352"/>
      <c r="AD671" s="1352"/>
      <c r="AE671" s="1352"/>
      <c r="AF671" s="1352"/>
      <c r="AG671" s="1352"/>
      <c r="AH671" s="1352"/>
      <c r="AI671" s="1352"/>
      <c r="AJ671" s="1352"/>
      <c r="AK671" s="1352"/>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500</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54"/>
      <c r="H672" s="1354"/>
      <c r="I672" s="1354"/>
      <c r="J672" s="1354"/>
      <c r="K672" s="1354"/>
      <c r="L672" s="1354"/>
      <c r="M672" s="1354"/>
      <c r="N672" s="1354"/>
      <c r="O672" s="1354"/>
      <c r="P672" s="1354"/>
      <c r="Q672" s="1354"/>
      <c r="R672" s="1354"/>
      <c r="T672" s="22"/>
      <c r="U672" t="s">
        <v>86</v>
      </c>
      <c r="Z672" s="1354"/>
      <c r="AA672" s="1354"/>
      <c r="AB672" s="1354"/>
      <c r="AC672" s="1354"/>
      <c r="AD672" s="1354"/>
      <c r="AE672" s="1354"/>
      <c r="AF672" s="1354"/>
      <c r="AG672" s="1354"/>
      <c r="AH672" s="1354"/>
      <c r="AI672" s="1354"/>
      <c r="AJ672" s="1354"/>
      <c r="AK672" s="1354"/>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501</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589</v>
      </c>
      <c r="G673" s="1354"/>
      <c r="H673" s="1354"/>
      <c r="I673" s="1354"/>
      <c r="J673" s="1354"/>
      <c r="K673" s="1354"/>
      <c r="L673" s="1354"/>
      <c r="M673" s="1354"/>
      <c r="N673" s="1354"/>
      <c r="O673" s="1354"/>
      <c r="P673" s="1354"/>
      <c r="Q673" s="1354"/>
      <c r="R673" s="1354"/>
      <c r="T673" s="22"/>
      <c r="U673" t="s">
        <v>589</v>
      </c>
      <c r="Z673" s="1374"/>
      <c r="AA673" s="1374"/>
      <c r="AB673" s="1374"/>
      <c r="AC673" s="1374"/>
      <c r="AD673" s="1374"/>
      <c r="AE673" s="1374"/>
      <c r="AF673" s="1374"/>
      <c r="AG673" s="1374"/>
      <c r="AH673" s="1374"/>
      <c r="AI673" s="1374"/>
      <c r="AJ673" s="1374"/>
      <c r="AK673" s="1374"/>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502</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54"/>
      <c r="H674" s="1354"/>
      <c r="I674" s="1354"/>
      <c r="J674" s="1354"/>
      <c r="K674" s="1354"/>
      <c r="L674" s="1354"/>
      <c r="M674" s="1354"/>
      <c r="N674" s="1354"/>
      <c r="O674" s="1354"/>
      <c r="P674" s="1354"/>
      <c r="Q674" s="1354"/>
      <c r="R674" s="1354"/>
      <c r="T674" s="22"/>
      <c r="U674" t="s">
        <v>17</v>
      </c>
      <c r="Z674" s="1374"/>
      <c r="AA674" s="1374"/>
      <c r="AB674" s="1374"/>
      <c r="AC674" s="1374"/>
      <c r="AD674" s="1374"/>
      <c r="AE674" s="1374"/>
      <c r="AF674" s="1374"/>
      <c r="AG674" s="1374"/>
      <c r="AH674" s="1374"/>
      <c r="AI674" s="1374"/>
      <c r="AJ674" s="1374"/>
      <c r="AK674" s="1374"/>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503</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380"/>
      <c r="H675" s="1380"/>
      <c r="I675" s="1380"/>
      <c r="J675" s="1380"/>
      <c r="K675" s="1380"/>
      <c r="L675" s="1380"/>
      <c r="O675" s="33" t="s">
        <v>208</v>
      </c>
      <c r="P675" s="1351"/>
      <c r="Q675" s="1351"/>
      <c r="R675" s="1351"/>
      <c r="T675" s="22"/>
      <c r="U675" t="s">
        <v>318</v>
      </c>
      <c r="Z675" s="1380"/>
      <c r="AA675" s="1380"/>
      <c r="AB675" s="1380"/>
      <c r="AC675" s="1380"/>
      <c r="AD675" s="1380"/>
      <c r="AE675" s="1380"/>
      <c r="AH675" s="33" t="s">
        <v>208</v>
      </c>
      <c r="AI675" s="1351"/>
      <c r="AJ675" s="1351"/>
      <c r="AK675" s="1351"/>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54"/>
      <c r="I676" s="1354"/>
      <c r="J676" s="1354"/>
      <c r="K676" s="1354"/>
      <c r="L676" s="1354"/>
      <c r="M676" s="1354"/>
      <c r="N676" s="1354"/>
      <c r="O676" s="1354"/>
      <c r="P676" s="1354"/>
      <c r="Q676" s="1354"/>
      <c r="R676" s="1354"/>
      <c r="T676" s="22"/>
      <c r="U676" t="s">
        <v>18</v>
      </c>
      <c r="AA676" s="1354"/>
      <c r="AB676" s="1354"/>
      <c r="AC676" s="1354"/>
      <c r="AD676" s="1354"/>
      <c r="AE676" s="1354"/>
      <c r="AF676" s="1354"/>
      <c r="AG676" s="1354"/>
      <c r="AH676" s="1354"/>
      <c r="AI676" s="1354"/>
      <c r="AJ676" s="1354"/>
      <c r="AK676" s="1354"/>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75" t="s">
        <v>678</v>
      </c>
      <c r="O677" s="1375"/>
      <c r="T677" s="22"/>
      <c r="U677" t="s">
        <v>20</v>
      </c>
      <c r="AG677" s="1375" t="s">
        <v>678</v>
      </c>
      <c r="AH677" s="1375"/>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472</v>
      </c>
      <c r="G679" s="1352">
        <f>C633</f>
        <v>0</v>
      </c>
      <c r="H679" s="1352"/>
      <c r="I679" s="1352"/>
      <c r="J679" s="1352"/>
      <c r="K679" s="1352"/>
      <c r="L679" s="1352"/>
      <c r="M679" s="1352"/>
      <c r="N679" s="1352"/>
      <c r="O679" s="1352"/>
      <c r="P679" s="1352"/>
      <c r="Q679" s="1352"/>
      <c r="R679" s="1352"/>
      <c r="T679" s="55" t="s">
        <v>365</v>
      </c>
      <c r="U679" t="s">
        <v>472</v>
      </c>
      <c r="Z679" s="1352">
        <f>C634</f>
        <v>0</v>
      </c>
      <c r="AA679" s="1352"/>
      <c r="AB679" s="1352"/>
      <c r="AC679" s="1352"/>
      <c r="AD679" s="1352"/>
      <c r="AE679" s="1352"/>
      <c r="AF679" s="1352"/>
      <c r="AG679" s="1352"/>
      <c r="AH679" s="1352"/>
      <c r="AI679" s="1352"/>
      <c r="AJ679" s="1352"/>
      <c r="AK679" s="1352"/>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54"/>
      <c r="H680" s="1354"/>
      <c r="I680" s="1354"/>
      <c r="J680" s="1354"/>
      <c r="K680" s="1354"/>
      <c r="L680" s="1354"/>
      <c r="M680" s="1354"/>
      <c r="N680" s="1354"/>
      <c r="O680" s="1354"/>
      <c r="P680" s="1354"/>
      <c r="Q680" s="1354"/>
      <c r="R680" s="1354"/>
      <c r="T680" s="22"/>
      <c r="U680" t="s">
        <v>86</v>
      </c>
      <c r="Z680" s="1354"/>
      <c r="AA680" s="1354"/>
      <c r="AB680" s="1354"/>
      <c r="AC680" s="1354"/>
      <c r="AD680" s="1354"/>
      <c r="AE680" s="1354"/>
      <c r="AF680" s="1354"/>
      <c r="AG680" s="1354"/>
      <c r="AH680" s="1354"/>
      <c r="AI680" s="1354"/>
      <c r="AJ680" s="1354"/>
      <c r="AK680" s="1354"/>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589</v>
      </c>
      <c r="G681" s="1354"/>
      <c r="H681" s="1354"/>
      <c r="I681" s="1354"/>
      <c r="J681" s="1354"/>
      <c r="K681" s="1354"/>
      <c r="L681" s="1354"/>
      <c r="M681" s="1354"/>
      <c r="N681" s="1354"/>
      <c r="O681" s="1354"/>
      <c r="P681" s="1354"/>
      <c r="Q681" s="1354"/>
      <c r="R681" s="1354"/>
      <c r="U681" t="s">
        <v>589</v>
      </c>
      <c r="Z681" s="1374"/>
      <c r="AA681" s="1374"/>
      <c r="AB681" s="1374"/>
      <c r="AC681" s="1374"/>
      <c r="AD681" s="1374"/>
      <c r="AE681" s="1374"/>
      <c r="AF681" s="1374"/>
      <c r="AG681" s="1374"/>
      <c r="AH681" s="1374"/>
      <c r="AI681" s="1374"/>
      <c r="AJ681" s="1374"/>
      <c r="AK681" s="1374"/>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54"/>
      <c r="H682" s="1354"/>
      <c r="I682" s="1354"/>
      <c r="J682" s="1354"/>
      <c r="K682" s="1354"/>
      <c r="L682" s="1354"/>
      <c r="M682" s="1354"/>
      <c r="N682" s="1354"/>
      <c r="O682" s="1354"/>
      <c r="P682" s="1354"/>
      <c r="Q682" s="1354"/>
      <c r="R682" s="1354"/>
      <c r="U682" t="s">
        <v>17</v>
      </c>
      <c r="Z682" s="1374"/>
      <c r="AA682" s="1374"/>
      <c r="AB682" s="1374"/>
      <c r="AC682" s="1374"/>
      <c r="AD682" s="1374"/>
      <c r="AE682" s="1374"/>
      <c r="AF682" s="1374"/>
      <c r="AG682" s="1374"/>
      <c r="AH682" s="1374"/>
      <c r="AI682" s="1374"/>
      <c r="AJ682" s="1374"/>
      <c r="AK682" s="1374"/>
      <c r="AZ682" s="3"/>
      <c r="BA682" s="3"/>
      <c r="BB682" s="3"/>
      <c r="BC682" s="3"/>
      <c r="BD682" s="3"/>
      <c r="BF682" s="312" t="s">
        <v>932</v>
      </c>
      <c r="BG682" s="321">
        <f>SUM(BG657:BG681)</f>
        <v>171</v>
      </c>
      <c r="BH682" s="322">
        <f>SUM(BH657:BH681)</f>
        <v>1</v>
      </c>
      <c r="BI682" s="322">
        <f>SUM(BI657:BI681)</f>
        <v>0.6</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380"/>
      <c r="H683" s="1380"/>
      <c r="I683" s="1380"/>
      <c r="J683" s="1380"/>
      <c r="K683" s="1380"/>
      <c r="L683" s="1380"/>
      <c r="O683" s="33" t="s">
        <v>208</v>
      </c>
      <c r="P683" s="1351"/>
      <c r="Q683" s="1351"/>
      <c r="R683" s="1351"/>
      <c r="U683" t="s">
        <v>318</v>
      </c>
      <c r="Z683" s="1380"/>
      <c r="AA683" s="1380"/>
      <c r="AB683" s="1380"/>
      <c r="AC683" s="1380"/>
      <c r="AD683" s="1380"/>
      <c r="AE683" s="1380"/>
      <c r="AH683" s="33" t="s">
        <v>208</v>
      </c>
      <c r="AI683" s="1351"/>
      <c r="AJ683" s="1351"/>
      <c r="AK683" s="1351"/>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54"/>
      <c r="I684" s="1354"/>
      <c r="J684" s="1354"/>
      <c r="K684" s="1354"/>
      <c r="L684" s="1354"/>
      <c r="M684" s="1354"/>
      <c r="N684" s="1354"/>
      <c r="O684" s="1354"/>
      <c r="P684" s="1354"/>
      <c r="Q684" s="1354"/>
      <c r="R684" s="1354"/>
      <c r="U684" t="s">
        <v>18</v>
      </c>
      <c r="AA684" s="1354"/>
      <c r="AB684" s="1354"/>
      <c r="AC684" s="1354"/>
      <c r="AD684" s="1354"/>
      <c r="AE684" s="1354"/>
      <c r="AF684" s="1354"/>
      <c r="AG684" s="1354"/>
      <c r="AH684" s="1354"/>
      <c r="AI684" s="1354"/>
      <c r="AJ684" s="1354"/>
      <c r="AK684" s="1354"/>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75" t="s">
        <v>678</v>
      </c>
      <c r="O685" s="1375"/>
      <c r="U685" t="s">
        <v>20</v>
      </c>
      <c r="AG685" s="1375" t="s">
        <v>678</v>
      </c>
      <c r="AH685" s="1375"/>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4">
        <v>1716</v>
      </c>
      <c r="BY685" s="1084">
        <v>1905</v>
      </c>
      <c r="BZ685" s="1084">
        <v>2324</v>
      </c>
      <c r="CA685" s="1084">
        <v>3178</v>
      </c>
      <c r="CB685" s="1084">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4">
        <v>1108</v>
      </c>
      <c r="BY686" s="1084">
        <v>1228</v>
      </c>
      <c r="BZ686" s="1084">
        <v>1543</v>
      </c>
      <c r="CA686" s="1084">
        <v>2192</v>
      </c>
      <c r="CB686" s="1084">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585</v>
      </c>
      <c r="C687" s="2" t="s">
        <v>329</v>
      </c>
      <c r="E687" s="130"/>
      <c r="F687" s="130"/>
      <c r="G687" s="130"/>
      <c r="H687" s="130"/>
      <c r="AZ687" s="34"/>
      <c r="BA687" s="34"/>
      <c r="BB687" s="34"/>
      <c r="BC687" s="34"/>
      <c r="BD687" s="34"/>
      <c r="BE687" s="34"/>
      <c r="BF687" s="34"/>
      <c r="BG687" s="219" t="s">
        <v>1803</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4">
        <v>608</v>
      </c>
      <c r="BY687" s="1084">
        <v>716</v>
      </c>
      <c r="BZ687" s="1084">
        <v>915</v>
      </c>
      <c r="CA687" s="1084">
        <v>1300</v>
      </c>
      <c r="CB687" s="1084">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1540</v>
      </c>
      <c r="BR688" s="500">
        <v>1650</v>
      </c>
      <c r="BS688" s="499">
        <v>1980</v>
      </c>
      <c r="BT688" s="500">
        <v>2288</v>
      </c>
      <c r="BU688" s="500">
        <v>2552</v>
      </c>
      <c r="BV688" s="501">
        <v>2816</v>
      </c>
      <c r="BW688" s="34"/>
      <c r="BX688" s="1084">
        <v>1062</v>
      </c>
      <c r="BY688" s="1084">
        <v>1202</v>
      </c>
      <c r="BZ688" s="1084">
        <v>1509</v>
      </c>
      <c r="CA688" s="1084">
        <v>2065</v>
      </c>
      <c r="CB688" s="1084">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75" t="s">
        <v>554</v>
      </c>
      <c r="AF689" s="1375"/>
      <c r="AZ689" s="34"/>
      <c r="BA689" s="34"/>
      <c r="BB689" s="34"/>
      <c r="BC689" s="34"/>
      <c r="BD689" s="34"/>
      <c r="BE689" s="34"/>
      <c r="BF689" s="34"/>
      <c r="BG689" s="315">
        <f t="shared" ref="BG689:BG713" si="46">G714</f>
        <v>14</v>
      </c>
      <c r="BH689" s="319">
        <f>BG689/$BG$714</f>
        <v>8.1871345029239762E-2</v>
      </c>
      <c r="BI689" s="320">
        <f t="shared" ref="BI689:BI713" si="47">IF(BH689=0," ",BH689*AH714)</f>
        <v>2.455354637393227E-2</v>
      </c>
      <c r="BJ689" s="3"/>
      <c r="BK689" s="34"/>
      <c r="BL689" s="34"/>
      <c r="BM689" s="34"/>
      <c r="BN689" s="34"/>
      <c r="BO689" s="34"/>
      <c r="BP689" s="379" t="s">
        <v>68</v>
      </c>
      <c r="BQ689" s="499">
        <v>1774</v>
      </c>
      <c r="BR689" s="500">
        <v>1900</v>
      </c>
      <c r="BS689" s="499">
        <v>2280</v>
      </c>
      <c r="BT689" s="500">
        <v>2634</v>
      </c>
      <c r="BU689" s="500">
        <v>2940</v>
      </c>
      <c r="BV689" s="501">
        <v>3242</v>
      </c>
      <c r="BW689" s="34"/>
      <c r="BX689" s="1084">
        <v>1108</v>
      </c>
      <c r="BY689" s="1084">
        <v>1228</v>
      </c>
      <c r="BZ689" s="1084">
        <v>1543</v>
      </c>
      <c r="CA689" s="1084">
        <v>2192</v>
      </c>
      <c r="CB689" s="1084">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75" t="s">
        <v>554</v>
      </c>
      <c r="AF690" s="1375"/>
      <c r="AZ690" s="34"/>
      <c r="BA690" s="34"/>
      <c r="BB690" s="34"/>
      <c r="BC690" s="34"/>
      <c r="BD690" s="34"/>
      <c r="BE690" s="34"/>
      <c r="BF690" s="34"/>
      <c r="BG690" s="316">
        <f t="shared" si="46"/>
        <v>26</v>
      </c>
      <c r="BH690" s="319">
        <f t="shared" ref="BH690:BH713" si="48">BG690/$BG$714</f>
        <v>0.15204678362573099</v>
      </c>
      <c r="BI690" s="320">
        <f t="shared" si="47"/>
        <v>0.10637438125063137</v>
      </c>
      <c r="BJ690" s="3"/>
      <c r="BK690" s="34"/>
      <c r="BL690" s="34"/>
      <c r="BM690" s="34"/>
      <c r="BN690" s="34"/>
      <c r="BO690" s="34"/>
      <c r="BP690" s="379" t="s">
        <v>739</v>
      </c>
      <c r="BQ690" s="499">
        <v>1840</v>
      </c>
      <c r="BR690" s="500">
        <v>1970</v>
      </c>
      <c r="BS690" s="499">
        <v>2364</v>
      </c>
      <c r="BT690" s="500">
        <v>2732</v>
      </c>
      <c r="BU690" s="500">
        <v>3050</v>
      </c>
      <c r="BV690" s="501">
        <v>3364</v>
      </c>
      <c r="BW690" s="34"/>
      <c r="BX690" s="1084">
        <v>1096</v>
      </c>
      <c r="BY690" s="1084">
        <v>1253</v>
      </c>
      <c r="BZ690" s="1084">
        <v>1649</v>
      </c>
      <c r="CA690" s="1084">
        <v>2342</v>
      </c>
      <c r="CB690" s="1084">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959</v>
      </c>
      <c r="E691" s="135"/>
      <c r="F691" s="135"/>
      <c r="G691" s="135"/>
      <c r="H691" s="135"/>
      <c r="AE691" s="1636">
        <v>44964</v>
      </c>
      <c r="AF691" s="1636"/>
      <c r="AG691" s="1636"/>
      <c r="AH691" s="1636"/>
      <c r="AI691" s="1636"/>
      <c r="AZ691" s="34"/>
      <c r="BA691" s="34"/>
      <c r="BB691" s="34"/>
      <c r="BC691" s="34"/>
      <c r="BD691" s="34"/>
      <c r="BE691" s="3"/>
      <c r="BF691" s="3"/>
      <c r="BG691" s="316">
        <f t="shared" si="46"/>
        <v>13</v>
      </c>
      <c r="BH691" s="319">
        <f t="shared" si="48"/>
        <v>7.6023391812865493E-2</v>
      </c>
      <c r="BI691" s="320">
        <f t="shared" si="47"/>
        <v>2.2820641807625393E-2</v>
      </c>
      <c r="BJ691" s="3"/>
      <c r="BK691" s="3"/>
      <c r="BL691" s="3"/>
      <c r="BM691" s="3"/>
      <c r="BN691" s="34"/>
      <c r="BO691" s="34"/>
      <c r="BP691" s="379" t="s">
        <v>740</v>
      </c>
      <c r="BQ691" s="499">
        <v>1540</v>
      </c>
      <c r="BR691" s="500">
        <v>1650</v>
      </c>
      <c r="BS691" s="499">
        <v>1980</v>
      </c>
      <c r="BT691" s="500">
        <v>2288</v>
      </c>
      <c r="BU691" s="500">
        <v>2552</v>
      </c>
      <c r="BV691" s="501">
        <v>2816</v>
      </c>
      <c r="BW691" s="34"/>
      <c r="BX691" s="1084">
        <v>1062</v>
      </c>
      <c r="BY691" s="1084">
        <v>1202</v>
      </c>
      <c r="BZ691" s="1084">
        <v>1509</v>
      </c>
      <c r="CA691" s="1084">
        <v>2065</v>
      </c>
      <c r="CB691" s="1084">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1021</v>
      </c>
      <c r="E692" s="135"/>
      <c r="F692" s="135"/>
      <c r="G692" s="135"/>
      <c r="H692" s="135"/>
      <c r="AE692" s="1638">
        <v>45056</v>
      </c>
      <c r="AF692" s="1638"/>
      <c r="AG692" s="1638"/>
      <c r="AH692" s="1638"/>
      <c r="AI692" s="1638"/>
      <c r="AZ692" s="34"/>
      <c r="BA692" s="34"/>
      <c r="BB692" s="34"/>
      <c r="BC692" s="34"/>
      <c r="BD692" s="34"/>
      <c r="BE692" s="3"/>
      <c r="BF692" s="2"/>
      <c r="BG692" s="316">
        <f t="shared" si="46"/>
        <v>28</v>
      </c>
      <c r="BH692" s="319">
        <f t="shared" si="48"/>
        <v>0.16374269005847952</v>
      </c>
      <c r="BI692" s="320">
        <f t="shared" si="47"/>
        <v>0.11466389989310193</v>
      </c>
      <c r="BJ692" s="3"/>
      <c r="BK692" s="3"/>
      <c r="BL692" s="3"/>
      <c r="BM692" s="3"/>
      <c r="BN692" s="34"/>
      <c r="BO692" s="34"/>
      <c r="BP692" s="379" t="s">
        <v>741</v>
      </c>
      <c r="BQ692" s="499">
        <v>2276</v>
      </c>
      <c r="BR692" s="500">
        <v>2440</v>
      </c>
      <c r="BS692" s="499">
        <v>2926</v>
      </c>
      <c r="BT692" s="500">
        <v>3382</v>
      </c>
      <c r="BU692" s="500">
        <v>3774</v>
      </c>
      <c r="BV692" s="501">
        <v>4164</v>
      </c>
      <c r="BW692" s="34"/>
      <c r="BX692" s="1084">
        <v>1394</v>
      </c>
      <c r="BY692" s="1084">
        <v>1542</v>
      </c>
      <c r="BZ692" s="1084">
        <v>1979</v>
      </c>
      <c r="CA692" s="1084">
        <v>2748</v>
      </c>
      <c r="CB692" s="1084">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5</v>
      </c>
      <c r="BH693" s="319">
        <f t="shared" si="48"/>
        <v>2.9239766081871343E-2</v>
      </c>
      <c r="BI693" s="320">
        <f t="shared" si="47"/>
        <v>8.771929824561403E-3</v>
      </c>
      <c r="BJ693" s="3"/>
      <c r="BK693" s="3"/>
      <c r="BL693" s="3"/>
      <c r="BM693" s="3"/>
      <c r="BN693" s="34"/>
      <c r="BO693" s="34"/>
      <c r="BP693" s="379" t="s">
        <v>742</v>
      </c>
      <c r="BQ693" s="499">
        <v>3262</v>
      </c>
      <c r="BR693" s="500">
        <v>3496</v>
      </c>
      <c r="BS693" s="499">
        <v>4194</v>
      </c>
      <c r="BT693" s="500">
        <v>4846</v>
      </c>
      <c r="BU693" s="500">
        <v>5406</v>
      </c>
      <c r="BV693" s="501">
        <v>5966</v>
      </c>
      <c r="BW693" s="34"/>
      <c r="BX693" s="1084">
        <v>2115</v>
      </c>
      <c r="BY693" s="1084">
        <v>2631</v>
      </c>
      <c r="BZ693" s="1084">
        <v>3198</v>
      </c>
      <c r="CA693" s="1084">
        <v>4111</v>
      </c>
      <c r="CB693" s="1084">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842</v>
      </c>
      <c r="E694" s="135"/>
      <c r="F694" s="135"/>
      <c r="G694" s="135"/>
      <c r="H694" s="135"/>
      <c r="AE694" s="1636">
        <v>45230</v>
      </c>
      <c r="AF694" s="1636"/>
      <c r="AG694" s="1636"/>
      <c r="AH694" s="1636"/>
      <c r="AI694" s="1636"/>
      <c r="AZ694" s="3"/>
      <c r="BA694" s="3"/>
      <c r="BB694" s="3"/>
      <c r="BC694" s="3"/>
      <c r="BD694" s="3"/>
      <c r="BE694" s="3"/>
      <c r="BF694" s="3"/>
      <c r="BG694" s="316">
        <f t="shared" si="46"/>
        <v>9</v>
      </c>
      <c r="BH694" s="319">
        <f t="shared" si="48"/>
        <v>5.2631578947368418E-2</v>
      </c>
      <c r="BI694" s="320">
        <f t="shared" si="47"/>
        <v>3.1578947368421047E-2</v>
      </c>
      <c r="BJ694" s="3"/>
      <c r="BK694" s="3"/>
      <c r="BL694" s="3"/>
      <c r="BM694" s="3"/>
      <c r="BN694" s="3"/>
      <c r="BO694" s="3"/>
      <c r="BP694" s="379" t="s">
        <v>743</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664">
        <v>0.53959999999999997</v>
      </c>
      <c r="AF695" s="1664"/>
      <c r="AG695" s="1664"/>
      <c r="AH695" s="1664"/>
      <c r="AI695" s="1664"/>
      <c r="AZ695" s="3"/>
      <c r="BA695" s="3"/>
      <c r="BB695" s="3"/>
      <c r="BC695" s="3"/>
      <c r="BD695" s="3"/>
      <c r="BE695" s="3"/>
      <c r="BF695" s="3"/>
      <c r="BG695" s="316">
        <f t="shared" si="46"/>
        <v>19</v>
      </c>
      <c r="BH695" s="319">
        <f t="shared" si="48"/>
        <v>0.1111111111111111</v>
      </c>
      <c r="BI695" s="320">
        <f t="shared" si="47"/>
        <v>7.7777777777777765E-2</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352" t="str">
        <f>H334</f>
        <v>California Municipal Finance Authority</v>
      </c>
      <c r="X696" s="1352"/>
      <c r="Y696" s="1352"/>
      <c r="Z696" s="1352"/>
      <c r="AA696" s="1352"/>
      <c r="AB696" s="1352"/>
      <c r="AC696" s="1352"/>
      <c r="AD696" s="1352"/>
      <c r="AE696" s="1352"/>
      <c r="AF696" s="1352"/>
      <c r="AG696" s="1352"/>
      <c r="AH696" s="1352"/>
      <c r="AI696" s="1352"/>
      <c r="AJ696" s="1352"/>
      <c r="AK696" s="1352"/>
      <c r="AZ696" s="3"/>
      <c r="BA696" s="3"/>
      <c r="BB696" s="3"/>
      <c r="BC696" s="3"/>
      <c r="BD696" s="3"/>
      <c r="BE696" s="3"/>
      <c r="BF696" s="3"/>
      <c r="BG696" s="316">
        <f t="shared" si="46"/>
        <v>11</v>
      </c>
      <c r="BH696" s="319">
        <f t="shared" si="48"/>
        <v>6.4327485380116955E-2</v>
      </c>
      <c r="BI696" s="320">
        <f t="shared" si="47"/>
        <v>5.146198830409357E-2</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5</v>
      </c>
      <c r="BH697" s="319">
        <f t="shared" si="48"/>
        <v>2.9239766081871343E-2</v>
      </c>
      <c r="BI697" s="320">
        <f t="shared" si="47"/>
        <v>8.7738186983393023E-3</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75" t="s">
        <v>678</v>
      </c>
      <c r="AF698" s="1375"/>
      <c r="AZ698" s="3"/>
      <c r="BA698" s="3"/>
      <c r="BB698" s="3"/>
      <c r="BC698" s="3"/>
      <c r="BD698" s="3"/>
      <c r="BE698" s="3"/>
      <c r="BF698" s="3"/>
      <c r="BG698" s="316">
        <f t="shared" si="46"/>
        <v>25</v>
      </c>
      <c r="BH698" s="319">
        <f t="shared" si="48"/>
        <v>0.14619883040935672</v>
      </c>
      <c r="BI698" s="320">
        <f t="shared" si="47"/>
        <v>8.7738186983393016E-2</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445</v>
      </c>
      <c r="E699" s="135"/>
      <c r="F699" s="135"/>
      <c r="G699" s="135"/>
      <c r="H699" s="135"/>
      <c r="W699" s="1354"/>
      <c r="X699" s="1354"/>
      <c r="Y699" s="1354"/>
      <c r="Z699" s="1354"/>
      <c r="AA699" s="1354"/>
      <c r="AB699" s="1354"/>
      <c r="AC699" s="1354"/>
      <c r="AD699" s="1354"/>
      <c r="AE699" s="1354"/>
      <c r="AF699" s="1354"/>
      <c r="AG699" s="1354"/>
      <c r="AH699" s="1354"/>
      <c r="AI699" s="1354"/>
      <c r="AJ699" s="1354"/>
      <c r="AK699" s="1354"/>
      <c r="AZ699" s="3"/>
      <c r="BA699" s="3"/>
      <c r="BB699" s="3"/>
      <c r="BC699" s="3"/>
      <c r="BD699" s="3"/>
      <c r="BE699" s="3"/>
      <c r="BF699" s="3"/>
      <c r="BG699" s="316">
        <f t="shared" si="46"/>
        <v>16</v>
      </c>
      <c r="BH699" s="319">
        <f t="shared" si="48"/>
        <v>9.3567251461988299E-2</v>
      </c>
      <c r="BI699" s="320">
        <f t="shared" si="47"/>
        <v>6.5497076023391804E-2</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54"/>
      <c r="K700" s="1354"/>
      <c r="L700" s="1354"/>
      <c r="M700" s="1354"/>
      <c r="N700" s="1354"/>
      <c r="O700" s="1354"/>
      <c r="P700" s="1354"/>
      <c r="Q700" s="1354"/>
      <c r="R700" s="1354"/>
      <c r="S700" s="1354"/>
      <c r="T700" s="1354"/>
      <c r="U700" s="1354"/>
      <c r="V700" s="1354"/>
      <c r="W700" s="1354"/>
      <c r="X700" s="1354"/>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380"/>
      <c r="K701" s="1380"/>
      <c r="L701" s="1380"/>
      <c r="M701" s="1380"/>
      <c r="N701" s="1380"/>
      <c r="O701" s="1380"/>
      <c r="P701" s="4" t="s">
        <v>208</v>
      </c>
      <c r="Q701" s="4"/>
      <c r="R701" s="1351"/>
      <c r="S701" s="1351"/>
      <c r="T701" s="1351"/>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446</v>
      </c>
      <c r="W702" s="1354" t="s">
        <v>309</v>
      </c>
      <c r="X702" s="1354"/>
      <c r="Y702" s="1354"/>
      <c r="Z702" s="1354"/>
      <c r="AA702" s="1354"/>
      <c r="AB702" s="1354"/>
      <c r="AC702" s="1354"/>
      <c r="AD702" s="1354"/>
      <c r="AE702" s="1354"/>
      <c r="AF702" s="1354"/>
      <c r="AG702" s="1354"/>
      <c r="AH702" s="1354"/>
      <c r="AI702" s="1354"/>
      <c r="AJ702" s="1354"/>
      <c r="AK702" s="1354"/>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54" t="s">
        <v>336</v>
      </c>
      <c r="F703" s="1354"/>
      <c r="G703" s="1354"/>
      <c r="H703" s="1354"/>
      <c r="I703" s="1354"/>
      <c r="J703" s="1354"/>
      <c r="K703" s="1354"/>
      <c r="L703" s="1354"/>
      <c r="M703" s="1354"/>
      <c r="N703" s="1354"/>
      <c r="O703" s="1354"/>
      <c r="P703" s="1354"/>
      <c r="Q703" s="1354"/>
      <c r="R703" s="1354"/>
      <c r="S703" s="1354"/>
      <c r="T703" s="1354"/>
      <c r="U703" s="1354"/>
      <c r="V703" s="1354"/>
      <c r="W703" s="1354"/>
      <c r="X703" s="1354"/>
      <c r="Y703" s="1354"/>
      <c r="Z703" s="1354"/>
      <c r="AA703" s="1354"/>
      <c r="AB703" s="1354"/>
      <c r="AC703" s="1354"/>
      <c r="AD703" s="1354"/>
      <c r="AE703" s="1354"/>
      <c r="AF703" s="1354"/>
      <c r="AG703" s="1354"/>
      <c r="AH703" s="1354"/>
      <c r="AI703" s="1354"/>
      <c r="AJ703" s="1354"/>
      <c r="AK703" s="1354"/>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61" t="s">
        <v>96</v>
      </c>
      <c r="B705" s="1261"/>
      <c r="C705" s="1261"/>
      <c r="D705" s="1261"/>
      <c r="E705" s="1261"/>
      <c r="F705" s="1261"/>
      <c r="G705" s="1261"/>
      <c r="H705" s="1261"/>
      <c r="I705" s="1261"/>
      <c r="J705" s="1261"/>
      <c r="K705" s="1261"/>
      <c r="L705" s="1261"/>
      <c r="M705" s="1261"/>
      <c r="N705" s="1261"/>
      <c r="O705" s="1261"/>
      <c r="P705" s="1261"/>
      <c r="Q705" s="1261"/>
      <c r="R705" s="1261"/>
      <c r="S705" s="1261"/>
      <c r="T705" s="1261"/>
      <c r="U705" s="1261"/>
      <c r="V705" s="1261"/>
      <c r="W705" s="1261"/>
      <c r="X705" s="1261"/>
      <c r="Y705" s="1261"/>
      <c r="Z705" s="1261"/>
      <c r="AA705" s="1261"/>
      <c r="AB705" s="1261"/>
      <c r="AC705" s="1261"/>
      <c r="AD705" s="1261"/>
      <c r="AE705" s="1261"/>
      <c r="AF705" s="1261"/>
      <c r="AG705" s="1261"/>
      <c r="AH705" s="1261"/>
      <c r="AI705" s="1261"/>
      <c r="AJ705" s="1261"/>
      <c r="AK705" s="1261"/>
      <c r="AL705" s="1261"/>
      <c r="AM705" s="1261"/>
      <c r="AN705" s="1261"/>
      <c r="AO705" s="1261"/>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61"/>
      <c r="B706" s="1261"/>
      <c r="C706" s="1261"/>
      <c r="D706" s="1261"/>
      <c r="E706" s="1261"/>
      <c r="F706" s="1261"/>
      <c r="G706" s="1261"/>
      <c r="H706" s="1261"/>
      <c r="I706" s="1261"/>
      <c r="J706" s="1261"/>
      <c r="K706" s="1261"/>
      <c r="L706" s="1261"/>
      <c r="M706" s="1261"/>
      <c r="N706" s="1261"/>
      <c r="O706" s="1261"/>
      <c r="P706" s="1261"/>
      <c r="Q706" s="1261"/>
      <c r="R706" s="1261"/>
      <c r="S706" s="1261"/>
      <c r="T706" s="1261"/>
      <c r="U706" s="1261"/>
      <c r="V706" s="1261"/>
      <c r="W706" s="1261"/>
      <c r="X706" s="1261"/>
      <c r="Y706" s="1261"/>
      <c r="Z706" s="1261"/>
      <c r="AA706" s="1261"/>
      <c r="AB706" s="1261"/>
      <c r="AC706" s="1261"/>
      <c r="AD706" s="1261"/>
      <c r="AE706" s="1261"/>
      <c r="AF706" s="1261"/>
      <c r="AG706" s="1261"/>
      <c r="AH706" s="1261"/>
      <c r="AI706" s="1261"/>
      <c r="AJ706" s="1261"/>
      <c r="AK706" s="1261"/>
      <c r="AL706" s="1261"/>
      <c r="AM706" s="1261"/>
      <c r="AN706" s="1261"/>
      <c r="AO706" s="1261"/>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61"/>
      <c r="B707" s="1261"/>
      <c r="C707" s="1261"/>
      <c r="D707" s="1261"/>
      <c r="E707" s="1261"/>
      <c r="F707" s="1261"/>
      <c r="G707" s="1261"/>
      <c r="H707" s="1261"/>
      <c r="I707" s="1261"/>
      <c r="J707" s="1261"/>
      <c r="K707" s="1261"/>
      <c r="L707" s="1261"/>
      <c r="M707" s="1261"/>
      <c r="N707" s="1261"/>
      <c r="O707" s="1261"/>
      <c r="P707" s="1261"/>
      <c r="Q707" s="1261"/>
      <c r="R707" s="1261"/>
      <c r="S707" s="1261"/>
      <c r="T707" s="1261"/>
      <c r="U707" s="1261"/>
      <c r="V707" s="1261"/>
      <c r="W707" s="1261"/>
      <c r="X707" s="1261"/>
      <c r="Y707" s="1261"/>
      <c r="Z707" s="1261"/>
      <c r="AA707" s="1261"/>
      <c r="AB707" s="1261"/>
      <c r="AC707" s="1261"/>
      <c r="AD707" s="1261"/>
      <c r="AE707" s="1261"/>
      <c r="AF707" s="1261"/>
      <c r="AG707" s="1261"/>
      <c r="AH707" s="1261"/>
      <c r="AI707" s="1261"/>
      <c r="AJ707" s="1261"/>
      <c r="AK707" s="1261"/>
      <c r="AL707" s="1261"/>
      <c r="AM707" s="1261"/>
      <c r="AN707" s="1261"/>
      <c r="AO707" s="1261"/>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05" t="s">
        <v>391</v>
      </c>
      <c r="C710" s="1394"/>
      <c r="D710" s="1394"/>
      <c r="E710" s="1394"/>
      <c r="F710" s="1395"/>
      <c r="G710" s="1405" t="s">
        <v>287</v>
      </c>
      <c r="H710" s="1394"/>
      <c r="I710" s="1394"/>
      <c r="J710" s="1395"/>
      <c r="K710" s="1630" t="s">
        <v>1936</v>
      </c>
      <c r="L710" s="1631"/>
      <c r="M710" s="1631"/>
      <c r="N710" s="1632"/>
      <c r="O710" s="1405" t="s">
        <v>456</v>
      </c>
      <c r="P710" s="1394"/>
      <c r="Q710" s="1394"/>
      <c r="R710" s="1394"/>
      <c r="S710" s="1395"/>
      <c r="T710" s="1393" t="s">
        <v>2333</v>
      </c>
      <c r="U710" s="1394"/>
      <c r="V710" s="1394"/>
      <c r="W710" s="1395"/>
      <c r="X710" s="1393" t="s">
        <v>2335</v>
      </c>
      <c r="Y710" s="1394"/>
      <c r="Z710" s="1394"/>
      <c r="AA710" s="1394"/>
      <c r="AB710" s="1395"/>
      <c r="AC710" s="1393" t="s">
        <v>2334</v>
      </c>
      <c r="AD710" s="1394"/>
      <c r="AE710" s="1394"/>
      <c r="AF710" s="1394"/>
      <c r="AG710" s="1395"/>
      <c r="AH710" s="1393" t="s">
        <v>2336</v>
      </c>
      <c r="AI710" s="1394"/>
      <c r="AJ710" s="1395"/>
      <c r="AK710" s="1393" t="s">
        <v>2370</v>
      </c>
      <c r="AL710" s="1394"/>
      <c r="AM710" s="1394"/>
      <c r="AN710" s="1394"/>
      <c r="AO710" s="1395"/>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396"/>
      <c r="C711" s="1397"/>
      <c r="D711" s="1397"/>
      <c r="E711" s="1397"/>
      <c r="F711" s="1398"/>
      <c r="G711" s="1396"/>
      <c r="H711" s="1397"/>
      <c r="I711" s="1397"/>
      <c r="J711" s="1398"/>
      <c r="K711" s="1633"/>
      <c r="L711" s="1634"/>
      <c r="M711" s="1634"/>
      <c r="N711" s="1635"/>
      <c r="O711" s="1396"/>
      <c r="P711" s="1397"/>
      <c r="Q711" s="1397"/>
      <c r="R711" s="1397"/>
      <c r="S711" s="1398"/>
      <c r="T711" s="1396"/>
      <c r="U711" s="1397"/>
      <c r="V711" s="1397"/>
      <c r="W711" s="1398"/>
      <c r="X711" s="1396"/>
      <c r="Y711" s="1397"/>
      <c r="Z711" s="1397"/>
      <c r="AA711" s="1397"/>
      <c r="AB711" s="1398"/>
      <c r="AC711" s="1396"/>
      <c r="AD711" s="1397"/>
      <c r="AE711" s="1397"/>
      <c r="AF711" s="1397"/>
      <c r="AG711" s="1398"/>
      <c r="AH711" s="1396"/>
      <c r="AI711" s="1397"/>
      <c r="AJ711" s="1398"/>
      <c r="AK711" s="1396"/>
      <c r="AL711" s="1397"/>
      <c r="AM711" s="1397"/>
      <c r="AN711" s="1397"/>
      <c r="AO711" s="1398"/>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396"/>
      <c r="C712" s="1397"/>
      <c r="D712" s="1397"/>
      <c r="E712" s="1397"/>
      <c r="F712" s="1398"/>
      <c r="G712" s="1396"/>
      <c r="H712" s="1397"/>
      <c r="I712" s="1397"/>
      <c r="J712" s="1398"/>
      <c r="K712" s="1633"/>
      <c r="L712" s="1634"/>
      <c r="M712" s="1634"/>
      <c r="N712" s="1635"/>
      <c r="O712" s="1396"/>
      <c r="P712" s="1397"/>
      <c r="Q712" s="1397"/>
      <c r="R712" s="1397"/>
      <c r="S712" s="1398"/>
      <c r="T712" s="1396"/>
      <c r="U712" s="1397"/>
      <c r="V712" s="1397"/>
      <c r="W712" s="1398"/>
      <c r="X712" s="1396"/>
      <c r="Y712" s="1397"/>
      <c r="Z712" s="1397"/>
      <c r="AA712" s="1397"/>
      <c r="AB712" s="1398"/>
      <c r="AC712" s="1396"/>
      <c r="AD712" s="1397"/>
      <c r="AE712" s="1397"/>
      <c r="AF712" s="1397"/>
      <c r="AG712" s="1398"/>
      <c r="AH712" s="1396"/>
      <c r="AI712" s="1397"/>
      <c r="AJ712" s="1398"/>
      <c r="AK712" s="1396"/>
      <c r="AL712" s="1397"/>
      <c r="AM712" s="1397"/>
      <c r="AN712" s="1397"/>
      <c r="AO712" s="1398"/>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399"/>
      <c r="C713" s="1400"/>
      <c r="D713" s="1400"/>
      <c r="E713" s="1400"/>
      <c r="F713" s="1401"/>
      <c r="G713" s="1399"/>
      <c r="H713" s="1400"/>
      <c r="I713" s="1400"/>
      <c r="J713" s="1401"/>
      <c r="K713" s="1633"/>
      <c r="L713" s="1634"/>
      <c r="M713" s="1634"/>
      <c r="N713" s="1635"/>
      <c r="O713" s="1399"/>
      <c r="P713" s="1400"/>
      <c r="Q713" s="1400"/>
      <c r="R713" s="1400"/>
      <c r="S713" s="1401"/>
      <c r="T713" s="1399"/>
      <c r="U713" s="1400"/>
      <c r="V713" s="1400"/>
      <c r="W713" s="1401"/>
      <c r="X713" s="1399"/>
      <c r="Y713" s="1400"/>
      <c r="Z713" s="1400"/>
      <c r="AA713" s="1400"/>
      <c r="AB713" s="1401"/>
      <c r="AC713" s="1399"/>
      <c r="AD713" s="1400"/>
      <c r="AE713" s="1400"/>
      <c r="AF713" s="1400"/>
      <c r="AG713" s="1401"/>
      <c r="AH713" s="1399"/>
      <c r="AI713" s="1400"/>
      <c r="AJ713" s="1401"/>
      <c r="AK713" s="1399"/>
      <c r="AL713" s="1400"/>
      <c r="AM713" s="1400"/>
      <c r="AN713" s="1400"/>
      <c r="AO713" s="1401"/>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82" t="s">
        <v>326</v>
      </c>
      <c r="C714" s="1383"/>
      <c r="D714" s="1383"/>
      <c r="E714" s="1383"/>
      <c r="F714" s="1384"/>
      <c r="G714" s="1572">
        <v>14</v>
      </c>
      <c r="H714" s="1573"/>
      <c r="I714" s="1573"/>
      <c r="J714" s="1574"/>
      <c r="K714" s="1569">
        <v>400</v>
      </c>
      <c r="L714" s="1570"/>
      <c r="M714" s="1570"/>
      <c r="N714" s="1571"/>
      <c r="O714" s="1566">
        <v>599</v>
      </c>
      <c r="P714" s="1567"/>
      <c r="Q714" s="1567"/>
      <c r="R714" s="1567"/>
      <c r="S714" s="1568"/>
      <c r="T714" s="1566">
        <v>26</v>
      </c>
      <c r="U714" s="1567"/>
      <c r="V714" s="1567"/>
      <c r="W714" s="1568"/>
      <c r="X714" s="1390">
        <f t="shared" ref="X714:X738" si="49">O714+T714</f>
        <v>625</v>
      </c>
      <c r="Y714" s="1391"/>
      <c r="Z714" s="1391"/>
      <c r="AA714" s="1391"/>
      <c r="AB714" s="1392"/>
      <c r="AC714" s="1402">
        <v>0.3</v>
      </c>
      <c r="AD714" s="1403"/>
      <c r="AE714" s="1403"/>
      <c r="AF714" s="1403"/>
      <c r="AG714" s="1404"/>
      <c r="AH714" s="1385">
        <f t="shared" ref="AH714:AH738" si="50">IF($AC714&gt;0,($X714/$BA656), " ")</f>
        <v>0.29990403071017274</v>
      </c>
      <c r="AI714" s="1386"/>
      <c r="AJ714" s="1387"/>
      <c r="AK714" s="1382" t="s">
        <v>600</v>
      </c>
      <c r="AL714" s="1383"/>
      <c r="AM714" s="1383"/>
      <c r="AN714" s="1383"/>
      <c r="AO714" s="1384"/>
      <c r="AP714" s="3"/>
      <c r="AQ714" s="3"/>
      <c r="AR714" s="3"/>
      <c r="AS714" s="3"/>
      <c r="AY714" s="1133"/>
      <c r="AZ714" s="1133"/>
      <c r="BA714" s="1133"/>
      <c r="BB714" s="1133"/>
      <c r="BC714" s="1133"/>
      <c r="BD714" s="3"/>
      <c r="BE714" s="3"/>
      <c r="BF714" s="3"/>
      <c r="BG714" s="895">
        <f>SUM(BG689:BG713)</f>
        <v>171</v>
      </c>
      <c r="BH714" s="322">
        <f>SUM(BH689:BH713)</f>
        <v>1</v>
      </c>
      <c r="BI714" s="322">
        <f>SUM(BI689:BI713)</f>
        <v>0.60001219430526898</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82" t="s">
        <v>326</v>
      </c>
      <c r="C715" s="1383"/>
      <c r="D715" s="1383"/>
      <c r="E715" s="1383"/>
      <c r="F715" s="1384"/>
      <c r="G715" s="1572">
        <v>26</v>
      </c>
      <c r="H715" s="1573"/>
      <c r="I715" s="1573"/>
      <c r="J715" s="1574"/>
      <c r="K715" s="1569">
        <v>400</v>
      </c>
      <c r="L715" s="1570"/>
      <c r="M715" s="1570"/>
      <c r="N715" s="1571"/>
      <c r="O715" s="1566">
        <v>1432</v>
      </c>
      <c r="P715" s="1567"/>
      <c r="Q715" s="1567"/>
      <c r="R715" s="1567"/>
      <c r="S715" s="1568"/>
      <c r="T715" s="1566">
        <v>26</v>
      </c>
      <c r="U715" s="1567"/>
      <c r="V715" s="1567"/>
      <c r="W715" s="1568"/>
      <c r="X715" s="1390">
        <f t="shared" si="49"/>
        <v>1458</v>
      </c>
      <c r="Y715" s="1391"/>
      <c r="Z715" s="1391"/>
      <c r="AA715" s="1391"/>
      <c r="AB715" s="1392"/>
      <c r="AC715" s="1402">
        <v>0.7</v>
      </c>
      <c r="AD715" s="1403"/>
      <c r="AE715" s="1403"/>
      <c r="AF715" s="1403"/>
      <c r="AG715" s="1404"/>
      <c r="AH715" s="1385">
        <f t="shared" si="50"/>
        <v>0.69961612284069097</v>
      </c>
      <c r="AI715" s="1386"/>
      <c r="AJ715" s="1387"/>
      <c r="AK715" s="1382" t="s">
        <v>600</v>
      </c>
      <c r="AL715" s="1383"/>
      <c r="AM715" s="1383"/>
      <c r="AN715" s="1383"/>
      <c r="AO715" s="1384"/>
      <c r="AP715" s="3"/>
      <c r="AQ715" s="3"/>
      <c r="AR715" s="3"/>
      <c r="AS715" s="3"/>
      <c r="AY715" s="1133"/>
      <c r="AZ715" s="1133"/>
      <c r="BA715" s="1133"/>
      <c r="BB715" s="1133"/>
      <c r="BC715" s="113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2" t="s">
        <v>327</v>
      </c>
      <c r="C716" s="1383"/>
      <c r="D716" s="1383"/>
      <c r="E716" s="1383"/>
      <c r="F716" s="1384"/>
      <c r="G716" s="1572">
        <v>13</v>
      </c>
      <c r="H716" s="1573"/>
      <c r="I716" s="1573"/>
      <c r="J716" s="1574"/>
      <c r="K716" s="1569">
        <v>655</v>
      </c>
      <c r="L716" s="1570"/>
      <c r="M716" s="1570"/>
      <c r="N716" s="1571"/>
      <c r="O716" s="1566">
        <v>633</v>
      </c>
      <c r="P716" s="1567"/>
      <c r="Q716" s="1567"/>
      <c r="R716" s="1567"/>
      <c r="S716" s="1568"/>
      <c r="T716" s="1566">
        <v>37</v>
      </c>
      <c r="U716" s="1567"/>
      <c r="V716" s="1567"/>
      <c r="W716" s="1568"/>
      <c r="X716" s="1390">
        <f t="shared" si="49"/>
        <v>670</v>
      </c>
      <c r="Y716" s="1391"/>
      <c r="Z716" s="1391"/>
      <c r="AA716" s="1391"/>
      <c r="AB716" s="1392"/>
      <c r="AC716" s="1402">
        <v>0.3</v>
      </c>
      <c r="AD716" s="1403"/>
      <c r="AE716" s="1403"/>
      <c r="AF716" s="1403"/>
      <c r="AG716" s="1404"/>
      <c r="AH716" s="1385">
        <f t="shared" si="50"/>
        <v>0.30017921146953402</v>
      </c>
      <c r="AI716" s="1386"/>
      <c r="AJ716" s="1387"/>
      <c r="AK716" s="1382" t="s">
        <v>600</v>
      </c>
      <c r="AL716" s="1383"/>
      <c r="AM716" s="1383"/>
      <c r="AN716" s="1383"/>
      <c r="AO716" s="1384"/>
      <c r="AP716" s="3"/>
      <c r="AQ716" s="3"/>
      <c r="AR716" s="3"/>
      <c r="AS716" s="3"/>
      <c r="AY716" s="1133"/>
      <c r="AZ716" s="1133"/>
      <c r="BA716" s="1133"/>
      <c r="BB716" s="1133"/>
      <c r="BC716" s="113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82" t="s">
        <v>327</v>
      </c>
      <c r="C717" s="1383"/>
      <c r="D717" s="1383"/>
      <c r="E717" s="1383"/>
      <c r="F717" s="1384"/>
      <c r="G717" s="1572">
        <v>28</v>
      </c>
      <c r="H717" s="1573"/>
      <c r="I717" s="1573"/>
      <c r="J717" s="1574"/>
      <c r="K717" s="1569">
        <v>655</v>
      </c>
      <c r="L717" s="1570"/>
      <c r="M717" s="1570"/>
      <c r="N717" s="1571"/>
      <c r="O717" s="1566">
        <v>1526</v>
      </c>
      <c r="P717" s="1567"/>
      <c r="Q717" s="1567"/>
      <c r="R717" s="1567"/>
      <c r="S717" s="1568"/>
      <c r="T717" s="1566">
        <v>37</v>
      </c>
      <c r="U717" s="1567"/>
      <c r="V717" s="1567"/>
      <c r="W717" s="1568"/>
      <c r="X717" s="1390">
        <f t="shared" si="49"/>
        <v>1563</v>
      </c>
      <c r="Y717" s="1391"/>
      <c r="Z717" s="1391"/>
      <c r="AA717" s="1391"/>
      <c r="AB717" s="1392"/>
      <c r="AC717" s="1402">
        <v>0.7</v>
      </c>
      <c r="AD717" s="1403"/>
      <c r="AE717" s="1403"/>
      <c r="AF717" s="1403"/>
      <c r="AG717" s="1404"/>
      <c r="AH717" s="1385">
        <f t="shared" si="50"/>
        <v>0.70026881720430112</v>
      </c>
      <c r="AI717" s="1386"/>
      <c r="AJ717" s="1387"/>
      <c r="AK717" s="1382" t="s">
        <v>600</v>
      </c>
      <c r="AL717" s="1383"/>
      <c r="AM717" s="1383"/>
      <c r="AN717" s="1383"/>
      <c r="AO717" s="1384"/>
      <c r="AP717" s="3"/>
      <c r="AQ717" s="3"/>
      <c r="AR717" s="3"/>
      <c r="AS717" s="3"/>
      <c r="AY717" s="1133"/>
      <c r="AZ717" s="1133"/>
      <c r="BA717" s="1133"/>
      <c r="BB717" s="1133"/>
      <c r="BC717" s="113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82" t="s">
        <v>164</v>
      </c>
      <c r="C718" s="1383"/>
      <c r="D718" s="1383"/>
      <c r="E718" s="1383"/>
      <c r="F718" s="1384"/>
      <c r="G718" s="1572">
        <v>5</v>
      </c>
      <c r="H718" s="1573"/>
      <c r="I718" s="1573"/>
      <c r="J718" s="1574"/>
      <c r="K718" s="1569">
        <v>655</v>
      </c>
      <c r="L718" s="1570"/>
      <c r="M718" s="1570"/>
      <c r="N718" s="1571"/>
      <c r="O718" s="1566">
        <v>755</v>
      </c>
      <c r="P718" s="1567"/>
      <c r="Q718" s="1567"/>
      <c r="R718" s="1567"/>
      <c r="S718" s="1568"/>
      <c r="T718" s="1566">
        <v>49</v>
      </c>
      <c r="U718" s="1567"/>
      <c r="V718" s="1567"/>
      <c r="W718" s="1568"/>
      <c r="X718" s="1390">
        <f t="shared" si="49"/>
        <v>804</v>
      </c>
      <c r="Y718" s="1391"/>
      <c r="Z718" s="1391"/>
      <c r="AA718" s="1391"/>
      <c r="AB718" s="1392"/>
      <c r="AC718" s="1402">
        <v>0.3</v>
      </c>
      <c r="AD718" s="1403"/>
      <c r="AE718" s="1403"/>
      <c r="AF718" s="1403"/>
      <c r="AG718" s="1404"/>
      <c r="AH718" s="1385">
        <f t="shared" si="50"/>
        <v>0.3</v>
      </c>
      <c r="AI718" s="1386"/>
      <c r="AJ718" s="1387"/>
      <c r="AK718" s="1382" t="s">
        <v>600</v>
      </c>
      <c r="AL718" s="1383"/>
      <c r="AM718" s="1383"/>
      <c r="AN718" s="1383"/>
      <c r="AO718" s="1384"/>
      <c r="AP718" s="3"/>
      <c r="AQ718" s="3"/>
      <c r="AR718" s="3"/>
      <c r="AS718" s="3"/>
      <c r="AY718" s="1133"/>
      <c r="AZ718" s="1133"/>
      <c r="BA718" s="1133"/>
      <c r="BB718" s="1133"/>
      <c r="BC718" s="113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82" t="s">
        <v>164</v>
      </c>
      <c r="C719" s="1383"/>
      <c r="D719" s="1383"/>
      <c r="E719" s="1383"/>
      <c r="F719" s="1384"/>
      <c r="G719" s="1572">
        <v>9</v>
      </c>
      <c r="H719" s="1573"/>
      <c r="I719" s="1573"/>
      <c r="J719" s="1574"/>
      <c r="K719" s="1569">
        <v>655</v>
      </c>
      <c r="L719" s="1570"/>
      <c r="M719" s="1570"/>
      <c r="N719" s="1571"/>
      <c r="O719" s="1566">
        <v>1559</v>
      </c>
      <c r="P719" s="1567"/>
      <c r="Q719" s="1567"/>
      <c r="R719" s="1567"/>
      <c r="S719" s="1568"/>
      <c r="T719" s="1566">
        <v>49</v>
      </c>
      <c r="U719" s="1567"/>
      <c r="V719" s="1567"/>
      <c r="W719" s="1568"/>
      <c r="X719" s="1390">
        <f t="shared" si="49"/>
        <v>1608</v>
      </c>
      <c r="Y719" s="1391"/>
      <c r="Z719" s="1391"/>
      <c r="AA719" s="1391"/>
      <c r="AB719" s="1392"/>
      <c r="AC719" s="1402">
        <v>0.6</v>
      </c>
      <c r="AD719" s="1403"/>
      <c r="AE719" s="1403"/>
      <c r="AF719" s="1403"/>
      <c r="AG719" s="1404"/>
      <c r="AH719" s="1385">
        <f t="shared" si="50"/>
        <v>0.6</v>
      </c>
      <c r="AI719" s="1386"/>
      <c r="AJ719" s="1387"/>
      <c r="AK719" s="1382" t="s">
        <v>600</v>
      </c>
      <c r="AL719" s="1383"/>
      <c r="AM719" s="1383"/>
      <c r="AN719" s="1383"/>
      <c r="AO719" s="1384"/>
      <c r="AP719" s="3"/>
      <c r="AQ719" s="3"/>
      <c r="AR719" s="3"/>
      <c r="AS719" s="3"/>
      <c r="AY719" s="1133"/>
      <c r="AZ719" s="1133"/>
      <c r="BA719" s="1133"/>
      <c r="BB719" s="1133"/>
      <c r="BC719" s="113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82" t="s">
        <v>164</v>
      </c>
      <c r="C720" s="1383"/>
      <c r="D720" s="1383"/>
      <c r="E720" s="1383"/>
      <c r="F720" s="1384"/>
      <c r="G720" s="1572">
        <v>19</v>
      </c>
      <c r="H720" s="1573"/>
      <c r="I720" s="1573"/>
      <c r="J720" s="1574"/>
      <c r="K720" s="1569">
        <v>1105</v>
      </c>
      <c r="L720" s="1570"/>
      <c r="M720" s="1570"/>
      <c r="N720" s="1571"/>
      <c r="O720" s="1566">
        <v>1826.9999999999998</v>
      </c>
      <c r="P720" s="1567"/>
      <c r="Q720" s="1567"/>
      <c r="R720" s="1567"/>
      <c r="S720" s="1568"/>
      <c r="T720" s="1566">
        <v>49</v>
      </c>
      <c r="U720" s="1567"/>
      <c r="V720" s="1567"/>
      <c r="W720" s="1568"/>
      <c r="X720" s="1390">
        <f t="shared" si="49"/>
        <v>1875.9999999999998</v>
      </c>
      <c r="Y720" s="1391"/>
      <c r="Z720" s="1391"/>
      <c r="AA720" s="1391"/>
      <c r="AB720" s="1392"/>
      <c r="AC720" s="1402">
        <v>0.7</v>
      </c>
      <c r="AD720" s="1403"/>
      <c r="AE720" s="1403"/>
      <c r="AF720" s="1403"/>
      <c r="AG720" s="1404"/>
      <c r="AH720" s="1385">
        <f t="shared" si="50"/>
        <v>0.7</v>
      </c>
      <c r="AI720" s="1386"/>
      <c r="AJ720" s="1387"/>
      <c r="AK720" s="1382" t="s">
        <v>600</v>
      </c>
      <c r="AL720" s="1383"/>
      <c r="AM720" s="1383"/>
      <c r="AN720" s="1383"/>
      <c r="AO720" s="1384"/>
      <c r="AP720" s="3"/>
      <c r="AQ720" s="3"/>
      <c r="AR720" s="3"/>
      <c r="AS720" s="3"/>
      <c r="AY720" s="1133"/>
      <c r="AZ720" s="1133"/>
      <c r="BA720" s="1133"/>
      <c r="BB720" s="1133"/>
      <c r="BC720" s="113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82" t="s">
        <v>164</v>
      </c>
      <c r="C721" s="1383"/>
      <c r="D721" s="1383"/>
      <c r="E721" s="1383"/>
      <c r="F721" s="1384"/>
      <c r="G721" s="1572">
        <v>11</v>
      </c>
      <c r="H721" s="1573"/>
      <c r="I721" s="1573"/>
      <c r="J721" s="1574"/>
      <c r="K721" s="1569">
        <v>1105</v>
      </c>
      <c r="L721" s="1570"/>
      <c r="M721" s="1570"/>
      <c r="N721" s="1571"/>
      <c r="O721" s="1566">
        <v>2095</v>
      </c>
      <c r="P721" s="1567"/>
      <c r="Q721" s="1567"/>
      <c r="R721" s="1567"/>
      <c r="S721" s="1568"/>
      <c r="T721" s="1566">
        <v>49</v>
      </c>
      <c r="U721" s="1567"/>
      <c r="V721" s="1567"/>
      <c r="W721" s="1568"/>
      <c r="X721" s="1390">
        <f t="shared" si="49"/>
        <v>2144</v>
      </c>
      <c r="Y721" s="1391"/>
      <c r="Z721" s="1391"/>
      <c r="AA721" s="1391"/>
      <c r="AB721" s="1392"/>
      <c r="AC721" s="1402">
        <v>0.8</v>
      </c>
      <c r="AD721" s="1403"/>
      <c r="AE721" s="1403"/>
      <c r="AF721" s="1403"/>
      <c r="AG721" s="1404"/>
      <c r="AH721" s="1385">
        <f t="shared" si="50"/>
        <v>0.8</v>
      </c>
      <c r="AI721" s="1386"/>
      <c r="AJ721" s="1387"/>
      <c r="AK721" s="1382" t="s">
        <v>600</v>
      </c>
      <c r="AL721" s="1383"/>
      <c r="AM721" s="1383"/>
      <c r="AN721" s="1383"/>
      <c r="AO721" s="1384"/>
      <c r="AP721" s="3"/>
      <c r="AQ721" s="3"/>
      <c r="AR721" s="3"/>
      <c r="AS721" s="3"/>
      <c r="AY721" s="1133"/>
      <c r="AZ721" s="1133"/>
      <c r="BA721" s="1133"/>
      <c r="BB721" s="1133"/>
      <c r="BC721" s="113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82" t="s">
        <v>165</v>
      </c>
      <c r="C722" s="1383"/>
      <c r="D722" s="1383"/>
      <c r="E722" s="1383"/>
      <c r="F722" s="1384"/>
      <c r="G722" s="1572">
        <v>5</v>
      </c>
      <c r="H722" s="1573"/>
      <c r="I722" s="1573"/>
      <c r="J722" s="1574"/>
      <c r="K722" s="1569">
        <v>1225</v>
      </c>
      <c r="L722" s="1570"/>
      <c r="M722" s="1570"/>
      <c r="N722" s="1571"/>
      <c r="O722" s="1566">
        <v>870</v>
      </c>
      <c r="P722" s="1567"/>
      <c r="Q722" s="1567"/>
      <c r="R722" s="1567"/>
      <c r="S722" s="1568"/>
      <c r="T722" s="1566">
        <v>59</v>
      </c>
      <c r="U722" s="1567"/>
      <c r="V722" s="1567"/>
      <c r="W722" s="1568"/>
      <c r="X722" s="1390">
        <f t="shared" si="49"/>
        <v>929</v>
      </c>
      <c r="Y722" s="1391"/>
      <c r="Z722" s="1391"/>
      <c r="AA722" s="1391"/>
      <c r="AB722" s="1392"/>
      <c r="AC722" s="1402">
        <v>0.3</v>
      </c>
      <c r="AD722" s="1403"/>
      <c r="AE722" s="1403"/>
      <c r="AF722" s="1403"/>
      <c r="AG722" s="1404"/>
      <c r="AH722" s="1385">
        <f t="shared" si="50"/>
        <v>0.30006459948320413</v>
      </c>
      <c r="AI722" s="1386"/>
      <c r="AJ722" s="1387"/>
      <c r="AK722" s="1382" t="s">
        <v>600</v>
      </c>
      <c r="AL722" s="1383"/>
      <c r="AM722" s="1383"/>
      <c r="AN722" s="1383"/>
      <c r="AO722" s="1384"/>
      <c r="AP722" s="3"/>
      <c r="AQ722" s="3"/>
      <c r="AR722" s="3"/>
      <c r="AS722" s="3"/>
      <c r="AY722" s="1133"/>
      <c r="AZ722" s="1133"/>
      <c r="BA722" s="1133"/>
      <c r="BB722" s="1133"/>
      <c r="BC722" s="113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82" t="s">
        <v>165</v>
      </c>
      <c r="C723" s="1383"/>
      <c r="D723" s="1383"/>
      <c r="E723" s="1383"/>
      <c r="F723" s="1384"/>
      <c r="G723" s="1572">
        <v>25</v>
      </c>
      <c r="H723" s="1573"/>
      <c r="I723" s="1573"/>
      <c r="J723" s="1574"/>
      <c r="K723" s="1569">
        <v>1225</v>
      </c>
      <c r="L723" s="1570"/>
      <c r="M723" s="1570"/>
      <c r="N723" s="1571"/>
      <c r="O723" s="1566">
        <v>1799</v>
      </c>
      <c r="P723" s="1567"/>
      <c r="Q723" s="1567"/>
      <c r="R723" s="1567"/>
      <c r="S723" s="1568"/>
      <c r="T723" s="1566">
        <v>59</v>
      </c>
      <c r="U723" s="1567"/>
      <c r="V723" s="1567"/>
      <c r="W723" s="1568"/>
      <c r="X723" s="1390">
        <f t="shared" si="49"/>
        <v>1858</v>
      </c>
      <c r="Y723" s="1391"/>
      <c r="Z723" s="1391"/>
      <c r="AA723" s="1391"/>
      <c r="AB723" s="1392"/>
      <c r="AC723" s="1402">
        <v>0.6</v>
      </c>
      <c r="AD723" s="1403"/>
      <c r="AE723" s="1403"/>
      <c r="AF723" s="1403"/>
      <c r="AG723" s="1404"/>
      <c r="AH723" s="1385">
        <f t="shared" si="50"/>
        <v>0.60012919896640826</v>
      </c>
      <c r="AI723" s="1386"/>
      <c r="AJ723" s="1387"/>
      <c r="AK723" s="1382" t="s">
        <v>600</v>
      </c>
      <c r="AL723" s="1383"/>
      <c r="AM723" s="1383"/>
      <c r="AN723" s="1383"/>
      <c r="AO723" s="1384"/>
      <c r="AP723" s="3"/>
      <c r="AQ723" s="3"/>
      <c r="AR723" s="3"/>
      <c r="AS723" s="3"/>
      <c r="AY723" s="1133"/>
      <c r="AZ723" s="1133"/>
      <c r="BA723" s="1133"/>
      <c r="BB723" s="1133"/>
      <c r="BC723" s="113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82" t="s">
        <v>165</v>
      </c>
      <c r="C724" s="1383"/>
      <c r="D724" s="1383"/>
      <c r="E724" s="1383"/>
      <c r="F724" s="1384"/>
      <c r="G724" s="1572">
        <v>16</v>
      </c>
      <c r="H724" s="1573"/>
      <c r="I724" s="1573"/>
      <c r="J724" s="1574"/>
      <c r="K724" s="1569">
        <v>1225</v>
      </c>
      <c r="L724" s="1570"/>
      <c r="M724" s="1570"/>
      <c r="N724" s="1571"/>
      <c r="O724" s="1566">
        <v>2108.1999999999998</v>
      </c>
      <c r="P724" s="1567"/>
      <c r="Q724" s="1567"/>
      <c r="R724" s="1567"/>
      <c r="S724" s="1568"/>
      <c r="T724" s="1566">
        <v>59</v>
      </c>
      <c r="U724" s="1567"/>
      <c r="V724" s="1567"/>
      <c r="W724" s="1568"/>
      <c r="X724" s="1390">
        <f t="shared" si="49"/>
        <v>2167.1999999999998</v>
      </c>
      <c r="Y724" s="1391"/>
      <c r="Z724" s="1391"/>
      <c r="AA724" s="1391"/>
      <c r="AB724" s="1392"/>
      <c r="AC724" s="1402">
        <v>0.7</v>
      </c>
      <c r="AD724" s="1403"/>
      <c r="AE724" s="1403"/>
      <c r="AF724" s="1403"/>
      <c r="AG724" s="1404"/>
      <c r="AH724" s="1385">
        <f t="shared" si="50"/>
        <v>0.7</v>
      </c>
      <c r="AI724" s="1386"/>
      <c r="AJ724" s="1387"/>
      <c r="AK724" s="1382" t="s">
        <v>600</v>
      </c>
      <c r="AL724" s="1383"/>
      <c r="AM724" s="1383"/>
      <c r="AN724" s="1383"/>
      <c r="AO724" s="1384"/>
      <c r="AP724" s="3"/>
      <c r="AQ724" s="3"/>
      <c r="AR724" s="3"/>
      <c r="AS724" s="3"/>
      <c r="AY724" s="1133"/>
      <c r="AZ724" s="1133"/>
      <c r="BA724" s="1133"/>
      <c r="BB724" s="1133"/>
      <c r="BC724" s="113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82"/>
      <c r="C725" s="1383"/>
      <c r="D725" s="1383"/>
      <c r="E725" s="1383"/>
      <c r="F725" s="1384"/>
      <c r="G725" s="1572">
        <v>0</v>
      </c>
      <c r="H725" s="1573"/>
      <c r="I725" s="1573"/>
      <c r="J725" s="1574"/>
      <c r="K725" s="1569"/>
      <c r="L725" s="1570"/>
      <c r="M725" s="1570"/>
      <c r="N725" s="1571"/>
      <c r="O725" s="1566"/>
      <c r="P725" s="1567"/>
      <c r="Q725" s="1567"/>
      <c r="R725" s="1567"/>
      <c r="S725" s="1568"/>
      <c r="T725" s="1566"/>
      <c r="U725" s="1567"/>
      <c r="V725" s="1567"/>
      <c r="W725" s="1568"/>
      <c r="X725" s="1390">
        <f t="shared" si="49"/>
        <v>0</v>
      </c>
      <c r="Y725" s="1391"/>
      <c r="Z725" s="1391"/>
      <c r="AA725" s="1391"/>
      <c r="AB725" s="1392"/>
      <c r="AC725" s="1402"/>
      <c r="AD725" s="1403"/>
      <c r="AE725" s="1403"/>
      <c r="AF725" s="1403"/>
      <c r="AG725" s="1404"/>
      <c r="AH725" s="1385" t="str">
        <f t="shared" si="50"/>
        <v xml:space="preserve"> </v>
      </c>
      <c r="AI725" s="1386"/>
      <c r="AJ725" s="1387"/>
      <c r="AK725" s="1382"/>
      <c r="AL725" s="1383"/>
      <c r="AM725" s="1383"/>
      <c r="AN725" s="1383"/>
      <c r="AO725" s="1384"/>
      <c r="AP725" s="3"/>
      <c r="AQ725" s="3"/>
      <c r="AR725" s="3"/>
      <c r="AS725" s="3"/>
      <c r="AY725" s="1133"/>
      <c r="AZ725" s="1133"/>
      <c r="BA725" s="1133"/>
      <c r="BB725" s="1133"/>
      <c r="BC725" s="113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2"/>
      <c r="C726" s="1383"/>
      <c r="D726" s="1383"/>
      <c r="E726" s="1383"/>
      <c r="F726" s="1384"/>
      <c r="G726" s="1572"/>
      <c r="H726" s="1573"/>
      <c r="I726" s="1573"/>
      <c r="J726" s="1574"/>
      <c r="K726" s="1569"/>
      <c r="L726" s="1570"/>
      <c r="M726" s="1570"/>
      <c r="N726" s="1571"/>
      <c r="O726" s="1566"/>
      <c r="P726" s="1567"/>
      <c r="Q726" s="1567"/>
      <c r="R726" s="1567"/>
      <c r="S726" s="1568"/>
      <c r="T726" s="1566"/>
      <c r="U726" s="1567"/>
      <c r="V726" s="1567"/>
      <c r="W726" s="1568"/>
      <c r="X726" s="1390">
        <f t="shared" si="49"/>
        <v>0</v>
      </c>
      <c r="Y726" s="1391"/>
      <c r="Z726" s="1391"/>
      <c r="AA726" s="1391"/>
      <c r="AB726" s="1392"/>
      <c r="AC726" s="1402"/>
      <c r="AD726" s="1403"/>
      <c r="AE726" s="1403"/>
      <c r="AF726" s="1403"/>
      <c r="AG726" s="1404"/>
      <c r="AH726" s="1385" t="str">
        <f t="shared" si="50"/>
        <v xml:space="preserve"> </v>
      </c>
      <c r="AI726" s="1386"/>
      <c r="AJ726" s="1387"/>
      <c r="AK726" s="1382"/>
      <c r="AL726" s="1383"/>
      <c r="AM726" s="1383"/>
      <c r="AN726" s="1383"/>
      <c r="AO726" s="1384"/>
      <c r="AP726" s="3"/>
      <c r="AQ726" s="3"/>
      <c r="AR726" s="3"/>
      <c r="AS726" s="3"/>
      <c r="AY726" s="1133"/>
      <c r="AZ726" s="1133"/>
      <c r="BA726" s="1133"/>
      <c r="BB726" s="1133"/>
      <c r="BC726" s="113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82"/>
      <c r="C727" s="1383"/>
      <c r="D727" s="1383"/>
      <c r="E727" s="1383"/>
      <c r="F727" s="1384"/>
      <c r="G727" s="1572"/>
      <c r="H727" s="1573"/>
      <c r="I727" s="1573"/>
      <c r="J727" s="1574"/>
      <c r="K727" s="1569"/>
      <c r="L727" s="1570"/>
      <c r="M727" s="1570"/>
      <c r="N727" s="1571"/>
      <c r="O727" s="1566"/>
      <c r="P727" s="1567"/>
      <c r="Q727" s="1567"/>
      <c r="R727" s="1567"/>
      <c r="S727" s="1568"/>
      <c r="T727" s="1566"/>
      <c r="U727" s="1567"/>
      <c r="V727" s="1567"/>
      <c r="W727" s="1568"/>
      <c r="X727" s="1390">
        <f t="shared" si="49"/>
        <v>0</v>
      </c>
      <c r="Y727" s="1391"/>
      <c r="Z727" s="1391"/>
      <c r="AA727" s="1391"/>
      <c r="AB727" s="1392"/>
      <c r="AC727" s="1402"/>
      <c r="AD727" s="1403"/>
      <c r="AE727" s="1403"/>
      <c r="AF727" s="1403"/>
      <c r="AG727" s="1404"/>
      <c r="AH727" s="1385" t="str">
        <f t="shared" si="50"/>
        <v xml:space="preserve"> </v>
      </c>
      <c r="AI727" s="1386"/>
      <c r="AJ727" s="1387"/>
      <c r="AK727" s="1382"/>
      <c r="AL727" s="1383"/>
      <c r="AM727" s="1383"/>
      <c r="AN727" s="1383"/>
      <c r="AO727" s="1384"/>
      <c r="AP727" s="3"/>
      <c r="AQ727" s="3"/>
      <c r="AR727" s="3"/>
      <c r="AS727" s="3"/>
      <c r="AY727" s="1133"/>
      <c r="AZ727" s="1133"/>
      <c r="BA727" s="1133"/>
      <c r="BB727" s="1133"/>
      <c r="BC727" s="113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82"/>
      <c r="C728" s="1383"/>
      <c r="D728" s="1383"/>
      <c r="E728" s="1383"/>
      <c r="F728" s="1384"/>
      <c r="G728" s="1572"/>
      <c r="H728" s="1573"/>
      <c r="I728" s="1573"/>
      <c r="J728" s="1574"/>
      <c r="K728" s="1569"/>
      <c r="L728" s="1570"/>
      <c r="M728" s="1570"/>
      <c r="N728" s="1571"/>
      <c r="O728" s="1566"/>
      <c r="P728" s="1567"/>
      <c r="Q728" s="1567"/>
      <c r="R728" s="1567"/>
      <c r="S728" s="1568"/>
      <c r="T728" s="1566"/>
      <c r="U728" s="1567"/>
      <c r="V728" s="1567"/>
      <c r="W728" s="1568"/>
      <c r="X728" s="1390">
        <f t="shared" si="49"/>
        <v>0</v>
      </c>
      <c r="Y728" s="1391"/>
      <c r="Z728" s="1391"/>
      <c r="AA728" s="1391"/>
      <c r="AB728" s="1392"/>
      <c r="AC728" s="1402">
        <v>0</v>
      </c>
      <c r="AD728" s="1403"/>
      <c r="AE728" s="1403"/>
      <c r="AF728" s="1403"/>
      <c r="AG728" s="1404"/>
      <c r="AH728" s="1385" t="str">
        <f t="shared" si="50"/>
        <v xml:space="preserve"> </v>
      </c>
      <c r="AI728" s="1386"/>
      <c r="AJ728" s="1387"/>
      <c r="AK728" s="1382"/>
      <c r="AL728" s="1383"/>
      <c r="AM728" s="1383"/>
      <c r="AN728" s="1383"/>
      <c r="AO728" s="1384"/>
      <c r="AP728" s="3"/>
      <c r="AQ728" s="3"/>
      <c r="AR728" s="3"/>
      <c r="AS728" s="3"/>
      <c r="AY728" s="1133"/>
      <c r="AZ728" s="1133"/>
      <c r="BA728" s="1133"/>
      <c r="BB728" s="1133"/>
      <c r="BC728" s="113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82"/>
      <c r="C729" s="1383"/>
      <c r="D729" s="1383"/>
      <c r="E729" s="1383"/>
      <c r="F729" s="1384"/>
      <c r="G729" s="1572"/>
      <c r="H729" s="1573"/>
      <c r="I729" s="1573"/>
      <c r="J729" s="1574"/>
      <c r="K729" s="1569"/>
      <c r="L729" s="1570"/>
      <c r="M729" s="1570"/>
      <c r="N729" s="1571"/>
      <c r="O729" s="1566"/>
      <c r="P729" s="1567"/>
      <c r="Q729" s="1567"/>
      <c r="R729" s="1567"/>
      <c r="S729" s="1568"/>
      <c r="T729" s="1566"/>
      <c r="U729" s="1567"/>
      <c r="V729" s="1567"/>
      <c r="W729" s="1568"/>
      <c r="X729" s="1390">
        <f t="shared" si="49"/>
        <v>0</v>
      </c>
      <c r="Y729" s="1391"/>
      <c r="Z729" s="1391"/>
      <c r="AA729" s="1391"/>
      <c r="AB729" s="1392"/>
      <c r="AC729" s="1402">
        <v>0</v>
      </c>
      <c r="AD729" s="1403"/>
      <c r="AE729" s="1403"/>
      <c r="AF729" s="1403"/>
      <c r="AG729" s="1404"/>
      <c r="AH729" s="1385" t="str">
        <f t="shared" si="50"/>
        <v xml:space="preserve"> </v>
      </c>
      <c r="AI729" s="1386"/>
      <c r="AJ729" s="1387"/>
      <c r="AK729" s="1382"/>
      <c r="AL729" s="1383"/>
      <c r="AM729" s="1383"/>
      <c r="AN729" s="1383"/>
      <c r="AO729" s="1384"/>
      <c r="AP729" s="3"/>
      <c r="AQ729" s="3"/>
      <c r="AR729" s="3"/>
      <c r="AS729" s="3"/>
      <c r="AY729" s="1133"/>
      <c r="AZ729" s="1133"/>
      <c r="BA729" s="1133"/>
      <c r="BB729" s="1133"/>
      <c r="BC729" s="113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82"/>
      <c r="C730" s="1383"/>
      <c r="D730" s="1383"/>
      <c r="E730" s="1383"/>
      <c r="F730" s="1384"/>
      <c r="G730" s="1572"/>
      <c r="H730" s="1573"/>
      <c r="I730" s="1573"/>
      <c r="J730" s="1574"/>
      <c r="K730" s="1569"/>
      <c r="L730" s="1570"/>
      <c r="M730" s="1570"/>
      <c r="N730" s="1571"/>
      <c r="O730" s="1566"/>
      <c r="P730" s="1567"/>
      <c r="Q730" s="1567"/>
      <c r="R730" s="1567"/>
      <c r="S730" s="1568"/>
      <c r="T730" s="1566"/>
      <c r="U730" s="1567"/>
      <c r="V730" s="1567"/>
      <c r="W730" s="1568"/>
      <c r="X730" s="1390">
        <f t="shared" si="49"/>
        <v>0</v>
      </c>
      <c r="Y730" s="1391"/>
      <c r="Z730" s="1391"/>
      <c r="AA730" s="1391"/>
      <c r="AB730" s="1392"/>
      <c r="AC730" s="1402">
        <v>0</v>
      </c>
      <c r="AD730" s="1403"/>
      <c r="AE730" s="1403"/>
      <c r="AF730" s="1403"/>
      <c r="AG730" s="1404"/>
      <c r="AH730" s="1385" t="str">
        <f t="shared" si="50"/>
        <v xml:space="preserve"> </v>
      </c>
      <c r="AI730" s="1386"/>
      <c r="AJ730" s="1387"/>
      <c r="AK730" s="1382"/>
      <c r="AL730" s="1383"/>
      <c r="AM730" s="1383"/>
      <c r="AN730" s="1383"/>
      <c r="AO730" s="1384"/>
      <c r="AP730" s="3"/>
      <c r="AQ730" s="3"/>
      <c r="AR730" s="3"/>
      <c r="AS730" s="3"/>
      <c r="AY730" s="1133"/>
      <c r="AZ730" s="1133"/>
      <c r="BA730" s="1133"/>
      <c r="BB730" s="1133"/>
      <c r="BC730" s="113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2"/>
      <c r="C731" s="1383"/>
      <c r="D731" s="1383"/>
      <c r="E731" s="1383"/>
      <c r="F731" s="1384"/>
      <c r="G731" s="1572"/>
      <c r="H731" s="1573"/>
      <c r="I731" s="1573"/>
      <c r="J731" s="1574"/>
      <c r="K731" s="1569"/>
      <c r="L731" s="1570"/>
      <c r="M731" s="1570"/>
      <c r="N731" s="1571"/>
      <c r="O731" s="1566"/>
      <c r="P731" s="1567"/>
      <c r="Q731" s="1567"/>
      <c r="R731" s="1567"/>
      <c r="S731" s="1568"/>
      <c r="T731" s="1566"/>
      <c r="U731" s="1567"/>
      <c r="V731" s="1567"/>
      <c r="W731" s="1568"/>
      <c r="X731" s="1390">
        <f t="shared" si="49"/>
        <v>0</v>
      </c>
      <c r="Y731" s="1391"/>
      <c r="Z731" s="1391"/>
      <c r="AA731" s="1391"/>
      <c r="AB731" s="1392"/>
      <c r="AC731" s="1402">
        <v>0</v>
      </c>
      <c r="AD731" s="1403"/>
      <c r="AE731" s="1403"/>
      <c r="AF731" s="1403"/>
      <c r="AG731" s="1404"/>
      <c r="AH731" s="1385" t="str">
        <f t="shared" si="50"/>
        <v xml:space="preserve"> </v>
      </c>
      <c r="AI731" s="1386"/>
      <c r="AJ731" s="1387"/>
      <c r="AK731" s="1382"/>
      <c r="AL731" s="1383"/>
      <c r="AM731" s="1383"/>
      <c r="AN731" s="1383"/>
      <c r="AO731" s="1384"/>
      <c r="AP731" s="3"/>
      <c r="AQ731" s="3"/>
      <c r="AR731" s="3"/>
      <c r="AS731" s="3"/>
      <c r="AY731" s="1133"/>
      <c r="AZ731" s="1133"/>
      <c r="BA731" s="1133"/>
      <c r="BB731" s="1133"/>
      <c r="BC731" s="113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2"/>
      <c r="C732" s="1383"/>
      <c r="D732" s="1383"/>
      <c r="E732" s="1383"/>
      <c r="F732" s="1384"/>
      <c r="G732" s="1572"/>
      <c r="H732" s="1573"/>
      <c r="I732" s="1573"/>
      <c r="J732" s="1574"/>
      <c r="K732" s="1569"/>
      <c r="L732" s="1570"/>
      <c r="M732" s="1570"/>
      <c r="N732" s="1571"/>
      <c r="O732" s="1566"/>
      <c r="P732" s="1567"/>
      <c r="Q732" s="1567"/>
      <c r="R732" s="1567"/>
      <c r="S732" s="1568"/>
      <c r="T732" s="1566"/>
      <c r="U732" s="1567"/>
      <c r="V732" s="1567"/>
      <c r="W732" s="1568"/>
      <c r="X732" s="1390">
        <f t="shared" si="49"/>
        <v>0</v>
      </c>
      <c r="Y732" s="1391"/>
      <c r="Z732" s="1391"/>
      <c r="AA732" s="1391"/>
      <c r="AB732" s="1392"/>
      <c r="AC732" s="1402">
        <v>0</v>
      </c>
      <c r="AD732" s="1403"/>
      <c r="AE732" s="1403"/>
      <c r="AF732" s="1403"/>
      <c r="AG732" s="1404"/>
      <c r="AH732" s="1385" t="str">
        <f t="shared" si="50"/>
        <v xml:space="preserve"> </v>
      </c>
      <c r="AI732" s="1386"/>
      <c r="AJ732" s="1387"/>
      <c r="AK732" s="1382"/>
      <c r="AL732" s="1383"/>
      <c r="AM732" s="1383"/>
      <c r="AN732" s="1383"/>
      <c r="AO732" s="1384"/>
      <c r="AP732" s="3"/>
      <c r="AQ732" s="3"/>
      <c r="AR732" s="3"/>
      <c r="AS732" s="3"/>
      <c r="AY732" s="1133"/>
      <c r="AZ732" s="1133"/>
      <c r="BA732" s="1133"/>
      <c r="BB732" s="1133"/>
      <c r="BC732" s="113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2"/>
      <c r="C733" s="1383"/>
      <c r="D733" s="1383"/>
      <c r="E733" s="1383"/>
      <c r="F733" s="1384"/>
      <c r="G733" s="1572"/>
      <c r="H733" s="1573"/>
      <c r="I733" s="1573"/>
      <c r="J733" s="1574"/>
      <c r="K733" s="1569"/>
      <c r="L733" s="1570"/>
      <c r="M733" s="1570"/>
      <c r="N733" s="1571"/>
      <c r="O733" s="1566"/>
      <c r="P733" s="1567"/>
      <c r="Q733" s="1567"/>
      <c r="R733" s="1567"/>
      <c r="S733" s="1568"/>
      <c r="T733" s="1566"/>
      <c r="U733" s="1567"/>
      <c r="V733" s="1567"/>
      <c r="W733" s="1568"/>
      <c r="X733" s="1390">
        <f t="shared" si="49"/>
        <v>0</v>
      </c>
      <c r="Y733" s="1391"/>
      <c r="Z733" s="1391"/>
      <c r="AA733" s="1391"/>
      <c r="AB733" s="1392"/>
      <c r="AC733" s="1402">
        <v>0</v>
      </c>
      <c r="AD733" s="1403"/>
      <c r="AE733" s="1403"/>
      <c r="AF733" s="1403"/>
      <c r="AG733" s="1404"/>
      <c r="AH733" s="1385" t="str">
        <f t="shared" si="50"/>
        <v xml:space="preserve"> </v>
      </c>
      <c r="AI733" s="1386"/>
      <c r="AJ733" s="1387"/>
      <c r="AK733" s="1382"/>
      <c r="AL733" s="1383"/>
      <c r="AM733" s="1383"/>
      <c r="AN733" s="1383"/>
      <c r="AO733" s="1384"/>
      <c r="AP733" s="3"/>
      <c r="AQ733" s="3"/>
      <c r="AR733" s="3"/>
      <c r="AS733" s="3"/>
      <c r="AY733" s="1133"/>
      <c r="AZ733" s="1133"/>
      <c r="BA733" s="1133"/>
      <c r="BB733" s="1133"/>
      <c r="BC733" s="113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2"/>
      <c r="C734" s="1383"/>
      <c r="D734" s="1383"/>
      <c r="E734" s="1383"/>
      <c r="F734" s="1384"/>
      <c r="G734" s="1572"/>
      <c r="H734" s="1573"/>
      <c r="I734" s="1573"/>
      <c r="J734" s="1574"/>
      <c r="K734" s="1569"/>
      <c r="L734" s="1570"/>
      <c r="M734" s="1570"/>
      <c r="N734" s="1571"/>
      <c r="O734" s="1566"/>
      <c r="P734" s="1567"/>
      <c r="Q734" s="1567"/>
      <c r="R734" s="1567"/>
      <c r="S734" s="1568"/>
      <c r="T734" s="1566"/>
      <c r="U734" s="1567"/>
      <c r="V734" s="1567"/>
      <c r="W734" s="1568"/>
      <c r="X734" s="1390">
        <f t="shared" si="49"/>
        <v>0</v>
      </c>
      <c r="Y734" s="1391"/>
      <c r="Z734" s="1391"/>
      <c r="AA734" s="1391"/>
      <c r="AB734" s="1392"/>
      <c r="AC734" s="1402">
        <v>0</v>
      </c>
      <c r="AD734" s="1403"/>
      <c r="AE734" s="1403"/>
      <c r="AF734" s="1403"/>
      <c r="AG734" s="1404"/>
      <c r="AH734" s="1385" t="str">
        <f t="shared" si="50"/>
        <v xml:space="preserve"> </v>
      </c>
      <c r="AI734" s="1386"/>
      <c r="AJ734" s="1387"/>
      <c r="AK734" s="1382"/>
      <c r="AL734" s="1383"/>
      <c r="AM734" s="1383"/>
      <c r="AN734" s="1383"/>
      <c r="AO734" s="1384"/>
      <c r="AP734" s="3"/>
      <c r="AQ734" s="3"/>
      <c r="AR734" s="3"/>
      <c r="AS734" s="3"/>
      <c r="AY734" s="1133"/>
      <c r="AZ734" s="1133"/>
      <c r="BA734" s="1133"/>
      <c r="BB734" s="1133"/>
      <c r="BC734" s="113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2"/>
      <c r="C735" s="1383"/>
      <c r="D735" s="1383"/>
      <c r="E735" s="1383"/>
      <c r="F735" s="1384"/>
      <c r="G735" s="1572"/>
      <c r="H735" s="1573"/>
      <c r="I735" s="1573"/>
      <c r="J735" s="1574"/>
      <c r="K735" s="1569"/>
      <c r="L735" s="1570"/>
      <c r="M735" s="1570"/>
      <c r="N735" s="1571"/>
      <c r="O735" s="1566"/>
      <c r="P735" s="1567"/>
      <c r="Q735" s="1567"/>
      <c r="R735" s="1567"/>
      <c r="S735" s="1568"/>
      <c r="T735" s="1566"/>
      <c r="U735" s="1567"/>
      <c r="V735" s="1567"/>
      <c r="W735" s="1568"/>
      <c r="X735" s="1390">
        <f t="shared" si="49"/>
        <v>0</v>
      </c>
      <c r="Y735" s="1391"/>
      <c r="Z735" s="1391"/>
      <c r="AA735" s="1391"/>
      <c r="AB735" s="1392"/>
      <c r="AC735" s="1402">
        <v>0</v>
      </c>
      <c r="AD735" s="1403"/>
      <c r="AE735" s="1403"/>
      <c r="AF735" s="1403"/>
      <c r="AG735" s="1404"/>
      <c r="AH735" s="1385" t="str">
        <f t="shared" si="50"/>
        <v xml:space="preserve"> </v>
      </c>
      <c r="AI735" s="1386"/>
      <c r="AJ735" s="1387"/>
      <c r="AK735" s="1382"/>
      <c r="AL735" s="1383"/>
      <c r="AM735" s="1383"/>
      <c r="AN735" s="1383"/>
      <c r="AO735" s="1384"/>
      <c r="AP735" s="3"/>
      <c r="AQ735" s="3"/>
      <c r="AR735" s="3"/>
      <c r="AS735" s="3"/>
      <c r="AY735" s="1133"/>
      <c r="AZ735" s="1133"/>
      <c r="BA735" s="1133"/>
      <c r="BB735" s="1133"/>
      <c r="BC735" s="113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2"/>
      <c r="C736" s="1383"/>
      <c r="D736" s="1383"/>
      <c r="E736" s="1383"/>
      <c r="F736" s="1384"/>
      <c r="G736" s="1572"/>
      <c r="H736" s="1573"/>
      <c r="I736" s="1573"/>
      <c r="J736" s="1574"/>
      <c r="K736" s="1569"/>
      <c r="L736" s="1570"/>
      <c r="M736" s="1570"/>
      <c r="N736" s="1571"/>
      <c r="O736" s="1566"/>
      <c r="P736" s="1567"/>
      <c r="Q736" s="1567"/>
      <c r="R736" s="1567"/>
      <c r="S736" s="1568"/>
      <c r="T736" s="1566"/>
      <c r="U736" s="1567"/>
      <c r="V736" s="1567"/>
      <c r="W736" s="1568"/>
      <c r="X736" s="1390">
        <f t="shared" si="49"/>
        <v>0</v>
      </c>
      <c r="Y736" s="1391"/>
      <c r="Z736" s="1391"/>
      <c r="AA736" s="1391"/>
      <c r="AB736" s="1392"/>
      <c r="AC736" s="1402">
        <v>0</v>
      </c>
      <c r="AD736" s="1403"/>
      <c r="AE736" s="1403"/>
      <c r="AF736" s="1403"/>
      <c r="AG736" s="1404"/>
      <c r="AH736" s="1385" t="str">
        <f t="shared" si="50"/>
        <v xml:space="preserve"> </v>
      </c>
      <c r="AI736" s="1386"/>
      <c r="AJ736" s="1387"/>
      <c r="AK736" s="1382"/>
      <c r="AL736" s="1383"/>
      <c r="AM736" s="1383"/>
      <c r="AN736" s="1383"/>
      <c r="AO736" s="1384"/>
      <c r="AP736" s="3"/>
      <c r="AQ736" s="3"/>
      <c r="AR736" s="3"/>
      <c r="AS736" s="3"/>
      <c r="AY736" s="1133"/>
      <c r="AZ736" s="1133"/>
      <c r="BA736" s="1133"/>
      <c r="BB736" s="1133"/>
      <c r="BC736" s="113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82"/>
      <c r="C737" s="1383"/>
      <c r="D737" s="1383"/>
      <c r="E737" s="1383"/>
      <c r="F737" s="1384"/>
      <c r="G737" s="1572"/>
      <c r="H737" s="1573"/>
      <c r="I737" s="1573"/>
      <c r="J737" s="1574"/>
      <c r="K737" s="1569"/>
      <c r="L737" s="1570"/>
      <c r="M737" s="1570"/>
      <c r="N737" s="1571"/>
      <c r="O737" s="1566"/>
      <c r="P737" s="1567"/>
      <c r="Q737" s="1567"/>
      <c r="R737" s="1567"/>
      <c r="S737" s="1568"/>
      <c r="T737" s="1566"/>
      <c r="U737" s="1567"/>
      <c r="V737" s="1567"/>
      <c r="W737" s="1568"/>
      <c r="X737" s="1390">
        <f t="shared" si="49"/>
        <v>0</v>
      </c>
      <c r="Y737" s="1391"/>
      <c r="Z737" s="1391"/>
      <c r="AA737" s="1391"/>
      <c r="AB737" s="1392"/>
      <c r="AC737" s="1402">
        <v>0</v>
      </c>
      <c r="AD737" s="1403"/>
      <c r="AE737" s="1403"/>
      <c r="AF737" s="1403"/>
      <c r="AG737" s="1404"/>
      <c r="AH737" s="1385" t="str">
        <f t="shared" si="50"/>
        <v xml:space="preserve"> </v>
      </c>
      <c r="AI737" s="1386"/>
      <c r="AJ737" s="1387"/>
      <c r="AK737" s="1382"/>
      <c r="AL737" s="1383"/>
      <c r="AM737" s="1383"/>
      <c r="AN737" s="1383"/>
      <c r="AO737" s="1384"/>
      <c r="AP737" s="3"/>
      <c r="AQ737" s="3"/>
      <c r="AR737" s="3"/>
      <c r="AS737" s="3"/>
      <c r="AY737" s="1133"/>
      <c r="AZ737" s="1133"/>
      <c r="BA737" s="1133"/>
      <c r="BB737" s="1133"/>
      <c r="BC737" s="113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82"/>
      <c r="C738" s="1383"/>
      <c r="D738" s="1383"/>
      <c r="E738" s="1383"/>
      <c r="F738" s="1384"/>
      <c r="G738" s="1572"/>
      <c r="H738" s="1573"/>
      <c r="I738" s="1573"/>
      <c r="J738" s="1574"/>
      <c r="K738" s="1569"/>
      <c r="L738" s="1570"/>
      <c r="M738" s="1570"/>
      <c r="N738" s="1571"/>
      <c r="O738" s="1566"/>
      <c r="P738" s="1567"/>
      <c r="Q738" s="1567"/>
      <c r="R738" s="1567"/>
      <c r="S738" s="1568"/>
      <c r="T738" s="1566"/>
      <c r="U738" s="1567"/>
      <c r="V738" s="1567"/>
      <c r="W738" s="1568"/>
      <c r="X738" s="1390">
        <f t="shared" si="49"/>
        <v>0</v>
      </c>
      <c r="Y738" s="1391"/>
      <c r="Z738" s="1391"/>
      <c r="AA738" s="1391"/>
      <c r="AB738" s="1392"/>
      <c r="AC738" s="1402">
        <v>0</v>
      </c>
      <c r="AD738" s="1403"/>
      <c r="AE738" s="1403"/>
      <c r="AF738" s="1403"/>
      <c r="AG738" s="1404"/>
      <c r="AH738" s="1385" t="str">
        <f t="shared" si="50"/>
        <v xml:space="preserve"> </v>
      </c>
      <c r="AI738" s="1386"/>
      <c r="AJ738" s="1387"/>
      <c r="AK738" s="1382"/>
      <c r="AL738" s="1383"/>
      <c r="AM738" s="1383"/>
      <c r="AN738" s="1383"/>
      <c r="AO738" s="1384"/>
      <c r="AP738" s="3"/>
      <c r="AQ738" s="3"/>
      <c r="AR738" s="3"/>
      <c r="AS738" s="3"/>
      <c r="AY738" s="1133"/>
      <c r="AZ738" s="1133"/>
      <c r="BA738" s="1133"/>
      <c r="BB738" s="1133"/>
      <c r="BC738" s="113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79" t="s">
        <v>126</v>
      </c>
      <c r="C739" s="1580"/>
      <c r="D739" s="1580"/>
      <c r="E739" s="1580"/>
      <c r="F739" s="1581"/>
      <c r="G739" s="1576">
        <f>SUM(G714:J738)</f>
        <v>171</v>
      </c>
      <c r="H739" s="1577"/>
      <c r="I739" s="1577"/>
      <c r="J739" s="1578"/>
      <c r="K739" s="939" t="s">
        <v>125</v>
      </c>
      <c r="L739" s="5"/>
      <c r="M739" s="5"/>
      <c r="N739" s="46"/>
      <c r="O739" s="1390">
        <f>SUMPRODUCT(G714:G738,O714:O738)</f>
        <v>255195.2</v>
      </c>
      <c r="P739" s="1391"/>
      <c r="Q739" s="1391"/>
      <c r="R739" s="1391"/>
      <c r="S739" s="1392"/>
      <c r="X739" s="941" t="s">
        <v>933</v>
      </c>
      <c r="Y739" s="940"/>
      <c r="Z739" s="940"/>
      <c r="AA739" s="940"/>
      <c r="AB739" s="942"/>
      <c r="AC739" s="1582">
        <f>BI682</f>
        <v>0.6</v>
      </c>
      <c r="AD739" s="1583"/>
      <c r="AE739" s="1583"/>
      <c r="AF739" s="1583"/>
      <c r="AG739" s="1584"/>
      <c r="AH739" s="1582">
        <f>BI714</f>
        <v>0.60001219430526898</v>
      </c>
      <c r="AI739" s="1583"/>
      <c r="AJ739" s="1584"/>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819" t="s">
        <v>2255</v>
      </c>
      <c r="C740" s="1819"/>
      <c r="D740" s="1819"/>
      <c r="E740" s="1819"/>
      <c r="F740" s="1819"/>
      <c r="G740" s="1819"/>
      <c r="H740" s="1819"/>
      <c r="I740" s="1819"/>
      <c r="J740" s="1819"/>
      <c r="K740" s="1819"/>
      <c r="L740" s="1819"/>
      <c r="M740" s="1819"/>
      <c r="N740" s="1819"/>
      <c r="O740" s="1819"/>
      <c r="P740" s="1819"/>
      <c r="Q740" s="1819"/>
      <c r="R740" s="1819"/>
      <c r="S740" s="1819"/>
      <c r="T740" s="1819"/>
      <c r="U740" s="1819"/>
      <c r="V740" s="1819"/>
      <c r="W740" s="1819"/>
      <c r="X740" s="1819"/>
      <c r="Y740" s="1819"/>
      <c r="Z740" s="1819"/>
      <c r="AA740" s="1819"/>
      <c r="AB740" s="1819"/>
      <c r="AC740" s="1819"/>
      <c r="AD740" s="1819"/>
      <c r="AE740" s="1819"/>
      <c r="AF740" s="1819"/>
      <c r="AG740" s="1819"/>
      <c r="AH740" s="1819"/>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819"/>
      <c r="C741" s="1819"/>
      <c r="D741" s="1819"/>
      <c r="E741" s="1819"/>
      <c r="F741" s="1819"/>
      <c r="G741" s="1819"/>
      <c r="H741" s="1819"/>
      <c r="I741" s="1819"/>
      <c r="J741" s="1819"/>
      <c r="K741" s="1819"/>
      <c r="L741" s="1819"/>
      <c r="M741" s="1819"/>
      <c r="N741" s="1819"/>
      <c r="O741" s="1819"/>
      <c r="P741" s="1819"/>
      <c r="Q741" s="1819"/>
      <c r="R741" s="1819"/>
      <c r="S741" s="1819"/>
      <c r="T741" s="1819"/>
      <c r="U741" s="1819"/>
      <c r="V741" s="1819"/>
      <c r="W741" s="1819"/>
      <c r="X741" s="1819"/>
      <c r="Y741" s="1819"/>
      <c r="Z741" s="1819"/>
      <c r="AA741" s="1819"/>
      <c r="AB741" s="1819"/>
      <c r="AC741" s="1819"/>
      <c r="AD741" s="1819"/>
      <c r="AE741" s="1819"/>
      <c r="AF741" s="1819"/>
      <c r="AG741" s="1819"/>
      <c r="AH741" s="1819"/>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2253</v>
      </c>
      <c r="D742" s="1075"/>
      <c r="E742" s="1075"/>
      <c r="F742" s="1075"/>
      <c r="G742" s="1076"/>
      <c r="H742" s="1076"/>
      <c r="I742" s="1076"/>
      <c r="J742" s="1076"/>
      <c r="K742" s="1075"/>
      <c r="L742" s="1075"/>
      <c r="M742" s="1075"/>
      <c r="N742" s="1075"/>
      <c r="O742" s="1419">
        <f>CS623</f>
        <v>307</v>
      </c>
      <c r="P742" s="1419"/>
      <c r="Q742" s="1419"/>
      <c r="R742" s="1419"/>
      <c r="S742" s="1005"/>
      <c r="T742" s="1005"/>
      <c r="U742" s="118" t="s">
        <v>2254</v>
      </c>
      <c r="V742" s="1075"/>
      <c r="W742" s="1075"/>
      <c r="X742" s="1075"/>
      <c r="Y742" s="1076"/>
      <c r="Z742" s="1076"/>
      <c r="AA742" s="1076"/>
      <c r="AB742" s="1076"/>
      <c r="AC742" s="1075"/>
      <c r="AD742" s="1075"/>
      <c r="AE742" s="1075"/>
      <c r="AF742" s="1075"/>
      <c r="AG742" s="1682"/>
      <c r="AH742" s="1682"/>
      <c r="AI742" s="1682"/>
      <c r="AJ742" s="1682"/>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2252</v>
      </c>
      <c r="D744" s="1077"/>
      <c r="E744" s="1077"/>
      <c r="F744" s="1077"/>
      <c r="G744" s="1077"/>
      <c r="H744" s="1077"/>
      <c r="I744" s="1077"/>
      <c r="J744" s="1077"/>
      <c r="K744" s="1077"/>
      <c r="L744" s="1077"/>
      <c r="M744" s="1077"/>
      <c r="N744" s="1077"/>
      <c r="O744" s="1077"/>
      <c r="P744" s="1077"/>
      <c r="Q744" s="1077"/>
      <c r="R744" s="1077"/>
      <c r="S744" s="1077"/>
      <c r="T744" s="1077"/>
      <c r="U744" s="1077"/>
      <c r="V744" s="1077"/>
      <c r="W744" s="1077"/>
      <c r="X744" s="1077"/>
      <c r="Y744" s="1077"/>
      <c r="Z744" s="1077"/>
      <c r="AA744" s="1077"/>
      <c r="AB744" s="1077"/>
      <c r="AC744" s="1077"/>
      <c r="AD744" s="1820" t="s">
        <v>600</v>
      </c>
      <c r="AE744" s="1820"/>
      <c r="AF744" s="1820"/>
      <c r="AG744" s="1077"/>
      <c r="AH744" s="1077"/>
      <c r="AI744" s="1077"/>
      <c r="AJ744" s="1077"/>
      <c r="AK744" s="1077"/>
      <c r="AL744" s="1077"/>
      <c r="AM744" s="1077"/>
      <c r="AN744" s="1077"/>
      <c r="AO744" s="1077"/>
      <c r="AP744" s="1077"/>
      <c r="AQ744" s="1077"/>
      <c r="AR744" s="1077"/>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8" t="s">
        <v>2509</v>
      </c>
      <c r="D745" s="1077"/>
      <c r="E745" s="1077"/>
      <c r="F745" s="1077"/>
      <c r="G745" s="1077"/>
      <c r="H745" s="1077"/>
      <c r="I745" s="1077"/>
      <c r="J745" s="1077"/>
      <c r="K745" s="1077"/>
      <c r="L745" s="1077"/>
      <c r="M745" s="1077"/>
      <c r="N745" s="1077"/>
      <c r="O745" s="1077"/>
      <c r="P745" s="1077"/>
      <c r="Q745" s="1077"/>
      <c r="R745" s="1077"/>
      <c r="S745" s="1077"/>
      <c r="T745" s="1077"/>
      <c r="U745" s="1077"/>
      <c r="V745" s="1077"/>
      <c r="W745" s="1077"/>
      <c r="X745" s="1077"/>
      <c r="Y745" s="1077"/>
      <c r="Z745" s="1077"/>
      <c r="AA745" s="1077"/>
      <c r="AB745" s="1077"/>
      <c r="AC745" s="1077"/>
      <c r="AD745" s="1077"/>
      <c r="AE745" s="1077"/>
      <c r="AF745" s="1077"/>
      <c r="AG745" s="1077"/>
      <c r="AH745" s="1077"/>
      <c r="AI745" s="1077"/>
      <c r="AJ745" s="1077"/>
      <c r="AK745" s="1077"/>
      <c r="AL745" s="1077"/>
      <c r="AM745" s="1077"/>
      <c r="AN745" s="1077"/>
      <c r="AO745" s="1077"/>
      <c r="AP745" s="1077"/>
      <c r="AQ745" s="1077"/>
      <c r="AR745" s="1077"/>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585</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5"/>
      <c r="C747" s="118" t="s">
        <v>178</v>
      </c>
      <c r="D747" s="1075"/>
      <c r="E747" s="1075"/>
      <c r="F747" s="1075"/>
      <c r="G747" s="386"/>
      <c r="H747" s="386"/>
      <c r="I747" s="386"/>
      <c r="J747" s="386"/>
      <c r="K747" s="386"/>
      <c r="L747" s="1075"/>
      <c r="M747" s="1075"/>
      <c r="N747" s="1075"/>
      <c r="O747" s="1075"/>
      <c r="P747" s="1075"/>
      <c r="Q747" s="386"/>
      <c r="R747" s="386"/>
      <c r="S747" s="386"/>
      <c r="T747" s="386"/>
      <c r="U747" s="386"/>
      <c r="AT747"/>
      <c r="AU747"/>
      <c r="AV747"/>
      <c r="AW747"/>
      <c r="AX747"/>
      <c r="AY747"/>
    </row>
    <row r="748" spans="1:16383" s="3" customFormat="1" ht="12.95" customHeight="1">
      <c r="B748" s="1075"/>
      <c r="C748" s="1267" t="s">
        <v>2510</v>
      </c>
      <c r="D748" s="1267"/>
      <c r="E748" s="1267"/>
      <c r="F748" s="1267"/>
      <c r="G748" s="1267"/>
      <c r="H748" s="1267"/>
      <c r="I748" s="1267"/>
      <c r="J748" s="1267"/>
      <c r="K748" s="1267"/>
      <c r="L748" s="1267"/>
      <c r="M748" s="1267"/>
      <c r="N748" s="1267"/>
      <c r="O748" s="1267"/>
      <c r="P748" s="1267"/>
      <c r="Q748" s="1267"/>
      <c r="R748" s="1267"/>
      <c r="S748" s="1267"/>
      <c r="T748" s="1267"/>
      <c r="U748" s="1267"/>
      <c r="V748" s="1267"/>
      <c r="W748" s="1267"/>
      <c r="X748" s="1267"/>
      <c r="Y748" s="1267"/>
      <c r="Z748" s="1267"/>
      <c r="AA748" s="1267"/>
      <c r="AB748" s="1267"/>
      <c r="AC748" s="1267"/>
      <c r="AD748" s="1267"/>
      <c r="AE748" s="1267"/>
      <c r="AF748" s="1267"/>
      <c r="AG748" s="1267"/>
      <c r="AH748" s="1267"/>
      <c r="AI748" s="1267"/>
      <c r="AJ748" s="1267"/>
      <c r="AK748" s="1267"/>
      <c r="AL748" s="1267"/>
      <c r="AM748" s="1267"/>
      <c r="AN748" s="1267"/>
      <c r="AO748" s="1267"/>
      <c r="AP748" s="1267"/>
      <c r="AQ748" s="1267"/>
      <c r="AR748" s="1267"/>
      <c r="AT748"/>
      <c r="AU748"/>
      <c r="AV748"/>
      <c r="AW748"/>
      <c r="AX748"/>
      <c r="AY748"/>
    </row>
    <row r="749" spans="1:16383" s="3" customFormat="1" ht="12.95" customHeight="1">
      <c r="B749" s="1075"/>
      <c r="C749" s="1267"/>
      <c r="D749" s="1267"/>
      <c r="E749" s="1267"/>
      <c r="F749" s="1267"/>
      <c r="G749" s="1267"/>
      <c r="H749" s="1267"/>
      <c r="I749" s="1267"/>
      <c r="J749" s="1267"/>
      <c r="K749" s="1267"/>
      <c r="L749" s="1267"/>
      <c r="M749" s="1267"/>
      <c r="N749" s="1267"/>
      <c r="O749" s="1267"/>
      <c r="P749" s="1267"/>
      <c r="Q749" s="1267"/>
      <c r="R749" s="1267"/>
      <c r="S749" s="1267"/>
      <c r="T749" s="1267"/>
      <c r="U749" s="1267"/>
      <c r="V749" s="1267"/>
      <c r="W749" s="1267"/>
      <c r="X749" s="1267"/>
      <c r="Y749" s="1267"/>
      <c r="Z749" s="1267"/>
      <c r="AA749" s="1267"/>
      <c r="AB749" s="1267"/>
      <c r="AC749" s="1267"/>
      <c r="AD749" s="1267"/>
      <c r="AE749" s="1267"/>
      <c r="AF749" s="1267"/>
      <c r="AG749" s="1267"/>
      <c r="AH749" s="1267"/>
      <c r="AI749" s="1267"/>
      <c r="AJ749" s="1267"/>
      <c r="AK749" s="1267"/>
      <c r="AL749" s="1267"/>
      <c r="AM749" s="1267"/>
      <c r="AN749" s="1267"/>
      <c r="AO749" s="1267"/>
      <c r="AP749" s="1267"/>
      <c r="AQ749" s="1267"/>
      <c r="AR749" s="1267"/>
      <c r="AT749"/>
      <c r="AU749"/>
      <c r="AV749"/>
      <c r="AW749"/>
      <c r="AX749"/>
      <c r="AY749"/>
    </row>
    <row r="750" spans="1:16383" s="3" customFormat="1" ht="12.95" customHeight="1">
      <c r="B750" s="1075"/>
      <c r="C750" s="1267"/>
      <c r="D750" s="1267"/>
      <c r="E750" s="1267"/>
      <c r="F750" s="1267"/>
      <c r="G750" s="1267"/>
      <c r="H750" s="1267"/>
      <c r="I750" s="1267"/>
      <c r="J750" s="1267"/>
      <c r="K750" s="1267"/>
      <c r="L750" s="1267"/>
      <c r="M750" s="1267"/>
      <c r="N750" s="1267"/>
      <c r="O750" s="1267"/>
      <c r="P750" s="1267"/>
      <c r="Q750" s="1267"/>
      <c r="R750" s="1267"/>
      <c r="S750" s="1267"/>
      <c r="T750" s="1267"/>
      <c r="U750" s="1267"/>
      <c r="V750" s="1267"/>
      <c r="W750" s="1267"/>
      <c r="X750" s="1267"/>
      <c r="Y750" s="1267"/>
      <c r="Z750" s="1267"/>
      <c r="AA750" s="1267"/>
      <c r="AB750" s="1267"/>
      <c r="AC750" s="1267"/>
      <c r="AD750" s="1267"/>
      <c r="AE750" s="1267"/>
      <c r="AF750" s="1267"/>
      <c r="AG750" s="1267"/>
      <c r="AH750" s="1267"/>
      <c r="AI750" s="1267"/>
      <c r="AJ750" s="1267"/>
      <c r="AK750" s="1267"/>
      <c r="AL750" s="1267"/>
      <c r="AM750" s="1267"/>
      <c r="AN750" s="1267"/>
      <c r="AO750" s="1267"/>
      <c r="AP750" s="1267"/>
      <c r="AQ750" s="1267"/>
      <c r="AR750" s="1267"/>
      <c r="AT750"/>
      <c r="AU750"/>
      <c r="AV750"/>
      <c r="AW750"/>
      <c r="AX750"/>
      <c r="AY750"/>
    </row>
    <row r="751" spans="1:16383" s="3" customFormat="1" ht="12.95" customHeight="1">
      <c r="B751" s="1075"/>
      <c r="C751" s="1267" t="s">
        <v>2511</v>
      </c>
      <c r="D751" s="1267"/>
      <c r="E751" s="1267"/>
      <c r="F751" s="1267"/>
      <c r="G751" s="1267"/>
      <c r="H751" s="1267"/>
      <c r="I751" s="1267"/>
      <c r="J751" s="1267"/>
      <c r="K751" s="1267"/>
      <c r="L751" s="1267"/>
      <c r="M751" s="1267"/>
      <c r="N751" s="1267"/>
      <c r="O751" s="1267"/>
      <c r="P751" s="1267"/>
      <c r="Q751" s="1267"/>
      <c r="R751" s="1267"/>
      <c r="S751" s="1267"/>
      <c r="T751" s="1267"/>
      <c r="U751" s="1267"/>
      <c r="V751" s="1267"/>
      <c r="W751" s="1267"/>
      <c r="X751" s="1267"/>
      <c r="Y751" s="1267"/>
      <c r="Z751" s="1267"/>
      <c r="AA751" s="1267"/>
      <c r="AB751" s="1267"/>
      <c r="AC751" s="1267"/>
      <c r="AD751" s="1267"/>
      <c r="AE751" s="1267"/>
      <c r="AF751" s="1267"/>
      <c r="AG751" s="1267"/>
      <c r="AH751" s="1267"/>
      <c r="AI751" s="1267"/>
      <c r="AJ751" s="1267"/>
      <c r="AK751" s="1267"/>
      <c r="AL751" s="1267"/>
      <c r="AM751" s="1267"/>
      <c r="AN751" s="1267"/>
      <c r="AO751" s="1267"/>
      <c r="AP751" s="1267"/>
      <c r="AQ751" s="1267"/>
      <c r="AR751" s="1267"/>
      <c r="AT751"/>
      <c r="AU751"/>
      <c r="AV751"/>
      <c r="AW751"/>
      <c r="AX751"/>
      <c r="AY751"/>
    </row>
    <row r="752" spans="1:16383" s="3" customFormat="1" ht="12.95" customHeight="1">
      <c r="B752" s="1075"/>
      <c r="C752" s="1267"/>
      <c r="D752" s="1267"/>
      <c r="E752" s="1267"/>
      <c r="F752" s="1267"/>
      <c r="G752" s="1267"/>
      <c r="H752" s="1267"/>
      <c r="I752" s="1267"/>
      <c r="J752" s="1267"/>
      <c r="K752" s="1267"/>
      <c r="L752" s="1267"/>
      <c r="M752" s="1267"/>
      <c r="N752" s="1267"/>
      <c r="O752" s="1267"/>
      <c r="P752" s="1267"/>
      <c r="Q752" s="1267"/>
      <c r="R752" s="1267"/>
      <c r="S752" s="1267"/>
      <c r="T752" s="1267"/>
      <c r="U752" s="1267"/>
      <c r="V752" s="1267"/>
      <c r="W752" s="1267"/>
      <c r="X752" s="1267"/>
      <c r="Y752" s="1267"/>
      <c r="Z752" s="1267"/>
      <c r="AA752" s="1267"/>
      <c r="AB752" s="1267"/>
      <c r="AC752" s="1267"/>
      <c r="AD752" s="1267"/>
      <c r="AE752" s="1267"/>
      <c r="AF752" s="1267"/>
      <c r="AG752" s="1267"/>
      <c r="AH752" s="1267"/>
      <c r="AI752" s="1267"/>
      <c r="AJ752" s="1267"/>
      <c r="AK752" s="1267"/>
      <c r="AL752" s="1267"/>
      <c r="AM752" s="1267"/>
      <c r="AN752" s="1267"/>
      <c r="AO752" s="1267"/>
      <c r="AP752" s="1267"/>
      <c r="AQ752" s="1267"/>
      <c r="AR752" s="1267"/>
      <c r="AT752"/>
      <c r="AU752"/>
      <c r="AV752"/>
      <c r="AW752"/>
      <c r="AX752"/>
      <c r="AY752"/>
    </row>
    <row r="753" spans="1:110" s="3" customFormat="1" ht="12.95" customHeight="1">
      <c r="B753" s="1075"/>
      <c r="C753" s="1267"/>
      <c r="D753" s="1267"/>
      <c r="E753" s="1267"/>
      <c r="F753" s="1267"/>
      <c r="G753" s="1267"/>
      <c r="H753" s="1267"/>
      <c r="I753" s="1267"/>
      <c r="J753" s="1267"/>
      <c r="K753" s="1267"/>
      <c r="L753" s="1267"/>
      <c r="M753" s="1267"/>
      <c r="N753" s="1267"/>
      <c r="O753" s="1267"/>
      <c r="P753" s="1267"/>
      <c r="Q753" s="1267"/>
      <c r="R753" s="1267"/>
      <c r="S753" s="1267"/>
      <c r="T753" s="1267"/>
      <c r="U753" s="1267"/>
      <c r="V753" s="1267"/>
      <c r="W753" s="1267"/>
      <c r="X753" s="1267"/>
      <c r="Y753" s="1267"/>
      <c r="Z753" s="1267"/>
      <c r="AA753" s="1267"/>
      <c r="AB753" s="1267"/>
      <c r="AC753" s="1267"/>
      <c r="AD753" s="1267"/>
      <c r="AE753" s="1267"/>
      <c r="AF753" s="1267"/>
      <c r="AG753" s="1267"/>
      <c r="AH753" s="1267"/>
      <c r="AI753" s="1267"/>
      <c r="AJ753" s="1267"/>
      <c r="AK753" s="1267"/>
      <c r="AL753" s="1267"/>
      <c r="AM753" s="1267"/>
      <c r="AN753" s="1267"/>
      <c r="AO753" s="1267"/>
      <c r="AP753" s="1267"/>
      <c r="AQ753" s="1267"/>
      <c r="AR753" s="1267"/>
      <c r="AT753"/>
      <c r="AU753"/>
      <c r="AV753"/>
      <c r="AW753"/>
      <c r="AX753"/>
      <c r="AY753"/>
    </row>
    <row r="754" spans="1:110" ht="12.95" customHeight="1">
      <c r="J754" s="1405" t="s">
        <v>391</v>
      </c>
      <c r="K754" s="1394"/>
      <c r="L754" s="1394"/>
      <c r="M754" s="1394"/>
      <c r="N754" s="1395"/>
      <c r="O754" s="1670" t="s">
        <v>287</v>
      </c>
      <c r="P754" s="1670"/>
      <c r="Q754" s="1670"/>
      <c r="R754" s="1670"/>
      <c r="S754" s="1670"/>
      <c r="T754" s="1630" t="s">
        <v>1936</v>
      </c>
      <c r="U754" s="1631"/>
      <c r="V754" s="1631"/>
      <c r="W754" s="1632"/>
      <c r="X754" s="1405" t="s">
        <v>456</v>
      </c>
      <c r="Y754" s="1394"/>
      <c r="Z754" s="1394"/>
      <c r="AA754" s="1394"/>
      <c r="AB754" s="1395"/>
      <c r="AC754" s="1405" t="s">
        <v>288</v>
      </c>
      <c r="AD754" s="1394"/>
      <c r="AE754" s="1394"/>
      <c r="AF754" s="1394"/>
      <c r="AG754" s="1395"/>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396"/>
      <c r="K755" s="1397"/>
      <c r="L755" s="1397"/>
      <c r="M755" s="1397"/>
      <c r="N755" s="1398"/>
      <c r="O755" s="1670"/>
      <c r="P755" s="1670"/>
      <c r="Q755" s="1670"/>
      <c r="R755" s="1670"/>
      <c r="S755" s="1670"/>
      <c r="T755" s="1633"/>
      <c r="U755" s="1634"/>
      <c r="V755" s="1634"/>
      <c r="W755" s="1635"/>
      <c r="X755" s="1396"/>
      <c r="Y755" s="1397"/>
      <c r="Z755" s="1397"/>
      <c r="AA755" s="1397"/>
      <c r="AB755" s="1398"/>
      <c r="AC755" s="1396"/>
      <c r="AD755" s="1397"/>
      <c r="AE755" s="1397"/>
      <c r="AF755" s="1397"/>
      <c r="AG755" s="1398"/>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396"/>
      <c r="K756" s="1397"/>
      <c r="L756" s="1397"/>
      <c r="M756" s="1397"/>
      <c r="N756" s="1398"/>
      <c r="O756" s="1670"/>
      <c r="P756" s="1670"/>
      <c r="Q756" s="1670"/>
      <c r="R756" s="1670"/>
      <c r="S756" s="1670"/>
      <c r="T756" s="1633"/>
      <c r="U756" s="1634"/>
      <c r="V756" s="1634"/>
      <c r="W756" s="1635"/>
      <c r="X756" s="1396"/>
      <c r="Y756" s="1397"/>
      <c r="Z756" s="1397"/>
      <c r="AA756" s="1397"/>
      <c r="AB756" s="1398"/>
      <c r="AC756" s="1396"/>
      <c r="AD756" s="1397"/>
      <c r="AE756" s="1397"/>
      <c r="AF756" s="1397"/>
      <c r="AG756" s="1398"/>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399"/>
      <c r="K757" s="1400"/>
      <c r="L757" s="1400"/>
      <c r="M757" s="1400"/>
      <c r="N757" s="1401"/>
      <c r="O757" s="1670"/>
      <c r="P757" s="1670"/>
      <c r="Q757" s="1670"/>
      <c r="R757" s="1670"/>
      <c r="S757" s="1670"/>
      <c r="T757" s="1720"/>
      <c r="U757" s="1721"/>
      <c r="V757" s="1721"/>
      <c r="W757" s="1722"/>
      <c r="X757" s="1399"/>
      <c r="Y757" s="1400"/>
      <c r="Z757" s="1400"/>
      <c r="AA757" s="1400"/>
      <c r="AB757" s="1401"/>
      <c r="AC757" s="1399"/>
      <c r="AD757" s="1400"/>
      <c r="AE757" s="1400"/>
      <c r="AF757" s="1400"/>
      <c r="AG757" s="1401"/>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82" t="s">
        <v>164</v>
      </c>
      <c r="K758" s="1383"/>
      <c r="L758" s="1383"/>
      <c r="M758" s="1383"/>
      <c r="N758" s="1384"/>
      <c r="O758" s="1625">
        <v>2</v>
      </c>
      <c r="P758" s="1625"/>
      <c r="Q758" s="1625"/>
      <c r="R758" s="1625"/>
      <c r="S758" s="1625"/>
      <c r="T758" s="1569">
        <v>1105</v>
      </c>
      <c r="U758" s="1570"/>
      <c r="V758" s="1570"/>
      <c r="W758" s="1571"/>
      <c r="X758" s="1566">
        <v>2631</v>
      </c>
      <c r="Y758" s="1567"/>
      <c r="Z758" s="1567"/>
      <c r="AA758" s="1567"/>
      <c r="AB758" s="1568"/>
      <c r="AC758" s="1390">
        <f>X758*O758</f>
        <v>5262</v>
      </c>
      <c r="AD758" s="1391"/>
      <c r="AE758" s="1391"/>
      <c r="AF758" s="1391"/>
      <c r="AG758" s="1392"/>
      <c r="AH758" s="1057"/>
      <c r="AI758" s="116"/>
      <c r="AJ758" s="116"/>
      <c r="AK758" s="1057"/>
      <c r="AL758" s="1057"/>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82"/>
      <c r="K759" s="1383"/>
      <c r="L759" s="1383"/>
      <c r="M759" s="1383"/>
      <c r="N759" s="1384"/>
      <c r="O759" s="1625"/>
      <c r="P759" s="1625"/>
      <c r="Q759" s="1625"/>
      <c r="R759" s="1625"/>
      <c r="S759" s="1625"/>
      <c r="T759" s="1569"/>
      <c r="U759" s="1570"/>
      <c r="V759" s="1570"/>
      <c r="W759" s="1571"/>
      <c r="X759" s="1566"/>
      <c r="Y759" s="1567"/>
      <c r="Z759" s="1567"/>
      <c r="AA759" s="1567"/>
      <c r="AB759" s="1568"/>
      <c r="AC759" s="1390">
        <f>X759*O759</f>
        <v>0</v>
      </c>
      <c r="AD759" s="1391"/>
      <c r="AE759" s="1391"/>
      <c r="AF759" s="1391"/>
      <c r="AG759" s="1392"/>
      <c r="AH759" s="1057"/>
      <c r="AI759" s="1057"/>
      <c r="AJ759" s="1057"/>
      <c r="AK759" s="1057"/>
      <c r="AL759" s="1057"/>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82"/>
      <c r="K760" s="1383"/>
      <c r="L760" s="1383"/>
      <c r="M760" s="1383"/>
      <c r="N760" s="1384"/>
      <c r="O760" s="1625"/>
      <c r="P760" s="1625"/>
      <c r="Q760" s="1625"/>
      <c r="R760" s="1625"/>
      <c r="S760" s="1625"/>
      <c r="T760" s="1569"/>
      <c r="U760" s="1570"/>
      <c r="V760" s="1570"/>
      <c r="W760" s="1571"/>
      <c r="X760" s="1566"/>
      <c r="Y760" s="1567"/>
      <c r="Z760" s="1567"/>
      <c r="AA760" s="1567"/>
      <c r="AB760" s="1568"/>
      <c r="AC760" s="1390">
        <f>X760*O760</f>
        <v>0</v>
      </c>
      <c r="AD760" s="1391"/>
      <c r="AE760" s="1391"/>
      <c r="AF760" s="1391"/>
      <c r="AG760" s="1392"/>
      <c r="AH760" s="1057"/>
      <c r="AI760" s="1057"/>
      <c r="AJ760" s="1057"/>
      <c r="AK760" s="1057"/>
      <c r="AL760" s="1057"/>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82"/>
      <c r="K761" s="1383"/>
      <c r="L761" s="1383"/>
      <c r="M761" s="1383"/>
      <c r="N761" s="1384"/>
      <c r="O761" s="1625"/>
      <c r="P761" s="1625"/>
      <c r="Q761" s="1625"/>
      <c r="R761" s="1625"/>
      <c r="S761" s="1625"/>
      <c r="T761" s="1569"/>
      <c r="U761" s="1570"/>
      <c r="V761" s="1570"/>
      <c r="W761" s="1571"/>
      <c r="X761" s="1566"/>
      <c r="Y761" s="1567"/>
      <c r="Z761" s="1567"/>
      <c r="AA761" s="1567"/>
      <c r="AB761" s="1568"/>
      <c r="AC761" s="1390">
        <f>X761*O761</f>
        <v>0</v>
      </c>
      <c r="AD761" s="1391"/>
      <c r="AE761" s="1391"/>
      <c r="AF761" s="1391"/>
      <c r="AG761" s="1392"/>
      <c r="AH761" s="1057"/>
      <c r="AI761" s="1057"/>
      <c r="AJ761" s="1057"/>
      <c r="AK761" s="1057"/>
      <c r="AL761" s="10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79" t="s">
        <v>126</v>
      </c>
      <c r="K762" s="1580"/>
      <c r="L762" s="1580"/>
      <c r="M762" s="1580"/>
      <c r="N762" s="1581"/>
      <c r="O762" s="1430">
        <f>SUM(O758:S761)</f>
        <v>2</v>
      </c>
      <c r="P762" s="1594"/>
      <c r="Q762" s="1594"/>
      <c r="R762" s="1594"/>
      <c r="S762" s="1431"/>
      <c r="X762" s="1579" t="s">
        <v>125</v>
      </c>
      <c r="Y762" s="1580"/>
      <c r="Z762" s="1580"/>
      <c r="AA762" s="1580"/>
      <c r="AB762" s="1581"/>
      <c r="AC762" s="1390">
        <f>SUM(AC758:AG761)</f>
        <v>5262</v>
      </c>
      <c r="AD762" s="1391"/>
      <c r="AE762" s="1391"/>
      <c r="AF762" s="1391"/>
      <c r="AG762" s="1392"/>
      <c r="AI762" s="1057"/>
      <c r="AJ762" s="1057"/>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734" t="s">
        <v>678</v>
      </c>
      <c r="K764" s="1734"/>
      <c r="L764" s="56"/>
      <c r="M764" s="35" t="s">
        <v>1015</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2512</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595</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05" t="s">
        <v>391</v>
      </c>
      <c r="K768" s="1394"/>
      <c r="L768" s="1394"/>
      <c r="M768" s="1394"/>
      <c r="N768" s="1395"/>
      <c r="O768" s="1670" t="s">
        <v>287</v>
      </c>
      <c r="P768" s="1670"/>
      <c r="Q768" s="1670"/>
      <c r="R768" s="1670"/>
      <c r="S768" s="1670"/>
      <c r="T768" s="1630" t="s">
        <v>1936</v>
      </c>
      <c r="U768" s="1631"/>
      <c r="V768" s="1631"/>
      <c r="W768" s="1632"/>
      <c r="X768" s="1405" t="s">
        <v>456</v>
      </c>
      <c r="Y768" s="1394"/>
      <c r="Z768" s="1394"/>
      <c r="AA768" s="1394"/>
      <c r="AB768" s="1395"/>
      <c r="AC768" s="1405" t="s">
        <v>288</v>
      </c>
      <c r="AD768" s="1394"/>
      <c r="AE768" s="1394"/>
      <c r="AF768" s="1394"/>
      <c r="AG768" s="1395"/>
      <c r="AH768" s="1729" t="s">
        <v>2129</v>
      </c>
      <c r="AI768" s="1730"/>
      <c r="AJ768" s="1730"/>
      <c r="AK768" s="1730"/>
      <c r="AL768" s="173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396"/>
      <c r="K769" s="1397"/>
      <c r="L769" s="1397"/>
      <c r="M769" s="1397"/>
      <c r="N769" s="1398"/>
      <c r="O769" s="1670"/>
      <c r="P769" s="1670"/>
      <c r="Q769" s="1670"/>
      <c r="R769" s="1670"/>
      <c r="S769" s="1670"/>
      <c r="T769" s="1633"/>
      <c r="U769" s="1634"/>
      <c r="V769" s="1634"/>
      <c r="W769" s="1635"/>
      <c r="X769" s="1396"/>
      <c r="Y769" s="1397"/>
      <c r="Z769" s="1397"/>
      <c r="AA769" s="1397"/>
      <c r="AB769" s="1398"/>
      <c r="AC769" s="1396"/>
      <c r="AD769" s="1397"/>
      <c r="AE769" s="1397"/>
      <c r="AF769" s="1397"/>
      <c r="AG769" s="1398"/>
      <c r="AH769" s="1729"/>
      <c r="AI769" s="1730"/>
      <c r="AJ769" s="1730"/>
      <c r="AK769" s="1730"/>
      <c r="AL769" s="1730"/>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396"/>
      <c r="K770" s="1397"/>
      <c r="L770" s="1397"/>
      <c r="M770" s="1397"/>
      <c r="N770" s="1398"/>
      <c r="O770" s="1670"/>
      <c r="P770" s="1670"/>
      <c r="Q770" s="1670"/>
      <c r="R770" s="1670"/>
      <c r="S770" s="1670"/>
      <c r="T770" s="1633"/>
      <c r="U770" s="1634"/>
      <c r="V770" s="1634"/>
      <c r="W770" s="1635"/>
      <c r="X770" s="1396"/>
      <c r="Y770" s="1397"/>
      <c r="Z770" s="1397"/>
      <c r="AA770" s="1397"/>
      <c r="AB770" s="1398"/>
      <c r="AC770" s="1396"/>
      <c r="AD770" s="1397"/>
      <c r="AE770" s="1397"/>
      <c r="AF770" s="1397"/>
      <c r="AG770" s="1398"/>
      <c r="AH770" s="1729"/>
      <c r="AI770" s="1730"/>
      <c r="AJ770" s="1730"/>
      <c r="AK770" s="1730"/>
      <c r="AL770" s="1730"/>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399"/>
      <c r="K771" s="1400"/>
      <c r="L771" s="1400"/>
      <c r="M771" s="1400"/>
      <c r="N771" s="1401"/>
      <c r="O771" s="1670"/>
      <c r="P771" s="1670"/>
      <c r="Q771" s="1670"/>
      <c r="R771" s="1670"/>
      <c r="S771" s="1670"/>
      <c r="T771" s="1720"/>
      <c r="U771" s="1721"/>
      <c r="V771" s="1721"/>
      <c r="W771" s="1722"/>
      <c r="X771" s="1399"/>
      <c r="Y771" s="1400"/>
      <c r="Z771" s="1400"/>
      <c r="AA771" s="1400"/>
      <c r="AB771" s="1401"/>
      <c r="AC771" s="1399"/>
      <c r="AD771" s="1400"/>
      <c r="AE771" s="1400"/>
      <c r="AF771" s="1400"/>
      <c r="AG771" s="1401"/>
      <c r="AH771" s="1729"/>
      <c r="AI771" s="1730"/>
      <c r="AJ771" s="1730"/>
      <c r="AK771" s="1730"/>
      <c r="AL771" s="1730"/>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82"/>
      <c r="K772" s="1383"/>
      <c r="L772" s="1383"/>
      <c r="M772" s="1383"/>
      <c r="N772" s="1384"/>
      <c r="O772" s="1625"/>
      <c r="P772" s="1625"/>
      <c r="Q772" s="1625"/>
      <c r="R772" s="1625"/>
      <c r="S772" s="1625"/>
      <c r="T772" s="1569"/>
      <c r="U772" s="1570"/>
      <c r="V772" s="1570"/>
      <c r="W772" s="1571"/>
      <c r="X772" s="1566"/>
      <c r="Y772" s="1567"/>
      <c r="Z772" s="1567"/>
      <c r="AA772" s="1567"/>
      <c r="AB772" s="1568"/>
      <c r="AC772" s="1390">
        <f t="shared" ref="AC772:AC781" si="51">X772*O772</f>
        <v>0</v>
      </c>
      <c r="AD772" s="1391"/>
      <c r="AE772" s="1391"/>
      <c r="AF772" s="1391"/>
      <c r="AG772" s="1392"/>
      <c r="AH772" s="1626"/>
      <c r="AI772" s="1627"/>
      <c r="AJ772" s="1627"/>
      <c r="AK772" s="1627"/>
      <c r="AL772" s="1627"/>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82"/>
      <c r="K773" s="1383"/>
      <c r="L773" s="1383"/>
      <c r="M773" s="1383"/>
      <c r="N773" s="1384"/>
      <c r="O773" s="1625"/>
      <c r="P773" s="1625"/>
      <c r="Q773" s="1625"/>
      <c r="R773" s="1625"/>
      <c r="S773" s="1625"/>
      <c r="T773" s="1569"/>
      <c r="U773" s="1570"/>
      <c r="V773" s="1570"/>
      <c r="W773" s="1571"/>
      <c r="X773" s="1566"/>
      <c r="Y773" s="1567"/>
      <c r="Z773" s="1567"/>
      <c r="AA773" s="1567"/>
      <c r="AB773" s="1568"/>
      <c r="AC773" s="1390">
        <f t="shared" si="51"/>
        <v>0</v>
      </c>
      <c r="AD773" s="1391"/>
      <c r="AE773" s="1391"/>
      <c r="AF773" s="1391"/>
      <c r="AG773" s="1392"/>
      <c r="AH773" s="1626"/>
      <c r="AI773" s="1627"/>
      <c r="AJ773" s="1627"/>
      <c r="AK773" s="1627"/>
      <c r="AL773" s="1627"/>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82"/>
      <c r="K774" s="1383"/>
      <c r="L774" s="1383"/>
      <c r="M774" s="1383"/>
      <c r="N774" s="1384"/>
      <c r="O774" s="1625"/>
      <c r="P774" s="1625"/>
      <c r="Q774" s="1625"/>
      <c r="R774" s="1625"/>
      <c r="S774" s="1625"/>
      <c r="T774" s="1569"/>
      <c r="U774" s="1570"/>
      <c r="V774" s="1570"/>
      <c r="W774" s="1571"/>
      <c r="X774" s="1566"/>
      <c r="Y774" s="1567"/>
      <c r="Z774" s="1567"/>
      <c r="AA774" s="1567"/>
      <c r="AB774" s="1568"/>
      <c r="AC774" s="1390">
        <f t="shared" si="51"/>
        <v>0</v>
      </c>
      <c r="AD774" s="1391"/>
      <c r="AE774" s="1391"/>
      <c r="AF774" s="1391"/>
      <c r="AG774" s="1392"/>
      <c r="AH774" s="1626"/>
      <c r="AI774" s="1627"/>
      <c r="AJ774" s="1627"/>
      <c r="AK774" s="1627"/>
      <c r="AL774" s="1627"/>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82"/>
      <c r="K775" s="1383"/>
      <c r="L775" s="1383"/>
      <c r="M775" s="1383"/>
      <c r="N775" s="1384"/>
      <c r="O775" s="1625"/>
      <c r="P775" s="1625"/>
      <c r="Q775" s="1625"/>
      <c r="R775" s="1625"/>
      <c r="S775" s="1625"/>
      <c r="T775" s="1569"/>
      <c r="U775" s="1570"/>
      <c r="V775" s="1570"/>
      <c r="W775" s="1571"/>
      <c r="X775" s="1566"/>
      <c r="Y775" s="1567"/>
      <c r="Z775" s="1567"/>
      <c r="AA775" s="1567"/>
      <c r="AB775" s="1568"/>
      <c r="AC775" s="1390">
        <f t="shared" si="51"/>
        <v>0</v>
      </c>
      <c r="AD775" s="1391"/>
      <c r="AE775" s="1391"/>
      <c r="AF775" s="1391"/>
      <c r="AG775" s="1392"/>
      <c r="AH775" s="1626"/>
      <c r="AI775" s="1627"/>
      <c r="AJ775" s="1627"/>
      <c r="AK775" s="1627"/>
      <c r="AL775" s="1627"/>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82"/>
      <c r="K776" s="1383"/>
      <c r="L776" s="1383"/>
      <c r="M776" s="1383"/>
      <c r="N776" s="1384"/>
      <c r="O776" s="1625"/>
      <c r="P776" s="1625"/>
      <c r="Q776" s="1625"/>
      <c r="R776" s="1625"/>
      <c r="S776" s="1625"/>
      <c r="T776" s="1569"/>
      <c r="U776" s="1570"/>
      <c r="V776" s="1570"/>
      <c r="W776" s="1571"/>
      <c r="X776" s="1566"/>
      <c r="Y776" s="1567"/>
      <c r="Z776" s="1567"/>
      <c r="AA776" s="1567"/>
      <c r="AB776" s="1568"/>
      <c r="AC776" s="1390">
        <f t="shared" si="51"/>
        <v>0</v>
      </c>
      <c r="AD776" s="1391"/>
      <c r="AE776" s="1391"/>
      <c r="AF776" s="1391"/>
      <c r="AG776" s="1392"/>
      <c r="AH776" s="1626"/>
      <c r="AI776" s="1627"/>
      <c r="AJ776" s="1627"/>
      <c r="AK776" s="1627"/>
      <c r="AL776" s="1627"/>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82"/>
      <c r="K777" s="1383"/>
      <c r="L777" s="1383"/>
      <c r="M777" s="1383"/>
      <c r="N777" s="1384"/>
      <c r="O777" s="1625"/>
      <c r="P777" s="1625"/>
      <c r="Q777" s="1625"/>
      <c r="R777" s="1625"/>
      <c r="S777" s="1625"/>
      <c r="T777" s="1569"/>
      <c r="U777" s="1570"/>
      <c r="V777" s="1570"/>
      <c r="W777" s="1571"/>
      <c r="X777" s="1566"/>
      <c r="Y777" s="1567"/>
      <c r="Z777" s="1567"/>
      <c r="AA777" s="1567"/>
      <c r="AB777" s="1568"/>
      <c r="AC777" s="1390">
        <f t="shared" si="51"/>
        <v>0</v>
      </c>
      <c r="AD777" s="1391"/>
      <c r="AE777" s="1391"/>
      <c r="AF777" s="1391"/>
      <c r="AG777" s="1392"/>
      <c r="AH777" s="1626"/>
      <c r="AI777" s="1627"/>
      <c r="AJ777" s="1627"/>
      <c r="AK777" s="1627"/>
      <c r="AL777" s="1627"/>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82"/>
      <c r="K778" s="1383"/>
      <c r="L778" s="1383"/>
      <c r="M778" s="1383"/>
      <c r="N778" s="1384"/>
      <c r="O778" s="1625"/>
      <c r="P778" s="1625"/>
      <c r="Q778" s="1625"/>
      <c r="R778" s="1625"/>
      <c r="S778" s="1625"/>
      <c r="T778" s="1569"/>
      <c r="U778" s="1570"/>
      <c r="V778" s="1570"/>
      <c r="W778" s="1571"/>
      <c r="X778" s="1566"/>
      <c r="Y778" s="1567"/>
      <c r="Z778" s="1567"/>
      <c r="AA778" s="1567"/>
      <c r="AB778" s="1568"/>
      <c r="AC778" s="1390">
        <f t="shared" si="51"/>
        <v>0</v>
      </c>
      <c r="AD778" s="1391"/>
      <c r="AE778" s="1391"/>
      <c r="AF778" s="1391"/>
      <c r="AG778" s="1392"/>
      <c r="AH778" s="1626"/>
      <c r="AI778" s="1627"/>
      <c r="AJ778" s="1627"/>
      <c r="AK778" s="1627"/>
      <c r="AL778" s="1627"/>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82"/>
      <c r="K779" s="1383"/>
      <c r="L779" s="1383"/>
      <c r="M779" s="1383"/>
      <c r="N779" s="1384"/>
      <c r="O779" s="1625"/>
      <c r="P779" s="1625"/>
      <c r="Q779" s="1625"/>
      <c r="R779" s="1625"/>
      <c r="S779" s="1625"/>
      <c r="T779" s="1569"/>
      <c r="U779" s="1570"/>
      <c r="V779" s="1570"/>
      <c r="W779" s="1571"/>
      <c r="X779" s="1566"/>
      <c r="Y779" s="1567"/>
      <c r="Z779" s="1567"/>
      <c r="AA779" s="1567"/>
      <c r="AB779" s="1568"/>
      <c r="AC779" s="1390">
        <f t="shared" si="51"/>
        <v>0</v>
      </c>
      <c r="AD779" s="1391"/>
      <c r="AE779" s="1391"/>
      <c r="AF779" s="1391"/>
      <c r="AG779" s="1392"/>
      <c r="AH779" s="1626"/>
      <c r="AI779" s="1627"/>
      <c r="AJ779" s="1627"/>
      <c r="AK779" s="1627"/>
      <c r="AL779" s="162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82"/>
      <c r="K780" s="1383"/>
      <c r="L780" s="1383"/>
      <c r="M780" s="1383"/>
      <c r="N780" s="1384"/>
      <c r="O780" s="1625"/>
      <c r="P780" s="1625"/>
      <c r="Q780" s="1625"/>
      <c r="R780" s="1625"/>
      <c r="S780" s="1625"/>
      <c r="T780" s="1569"/>
      <c r="U780" s="1570"/>
      <c r="V780" s="1570"/>
      <c r="W780" s="1571"/>
      <c r="X780" s="1566"/>
      <c r="Y780" s="1567"/>
      <c r="Z780" s="1567"/>
      <c r="AA780" s="1567"/>
      <c r="AB780" s="1568"/>
      <c r="AC780" s="1390">
        <f t="shared" si="51"/>
        <v>0</v>
      </c>
      <c r="AD780" s="1391"/>
      <c r="AE780" s="1391"/>
      <c r="AF780" s="1391"/>
      <c r="AG780" s="1392"/>
      <c r="AH780" s="1626"/>
      <c r="AI780" s="1627"/>
      <c r="AJ780" s="1627"/>
      <c r="AK780" s="1627"/>
      <c r="AL780" s="162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82"/>
      <c r="K781" s="1383"/>
      <c r="L781" s="1383"/>
      <c r="M781" s="1383"/>
      <c r="N781" s="1384"/>
      <c r="O781" s="1625"/>
      <c r="P781" s="1625"/>
      <c r="Q781" s="1625"/>
      <c r="R781" s="1625"/>
      <c r="S781" s="1625"/>
      <c r="T781" s="1569"/>
      <c r="U781" s="1570"/>
      <c r="V781" s="1570"/>
      <c r="W781" s="1571"/>
      <c r="X781" s="1566"/>
      <c r="Y781" s="1567"/>
      <c r="Z781" s="1567"/>
      <c r="AA781" s="1567"/>
      <c r="AB781" s="1568"/>
      <c r="AC781" s="1390">
        <f t="shared" si="51"/>
        <v>0</v>
      </c>
      <c r="AD781" s="1391"/>
      <c r="AE781" s="1391"/>
      <c r="AF781" s="1391"/>
      <c r="AG781" s="1392"/>
      <c r="AH781" s="1626"/>
      <c r="AI781" s="1627"/>
      <c r="AJ781" s="1627"/>
      <c r="AK781" s="1627"/>
      <c r="AL781" s="162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79" t="s">
        <v>126</v>
      </c>
      <c r="K782" s="1580"/>
      <c r="L782" s="1580"/>
      <c r="M782" s="1580"/>
      <c r="N782" s="1581"/>
      <c r="O782" s="1407">
        <f>SUM(O772:S781)</f>
        <v>0</v>
      </c>
      <c r="P782" s="1407"/>
      <c r="Q782" s="1407"/>
      <c r="R782" s="1407"/>
      <c r="S782" s="1407"/>
      <c r="X782" s="939" t="s">
        <v>125</v>
      </c>
      <c r="Y782" s="11"/>
      <c r="Z782" s="11"/>
      <c r="AA782" s="11"/>
      <c r="AB782" s="946"/>
      <c r="AC782" s="1390">
        <f>SUM(AC772:AG781)</f>
        <v>0</v>
      </c>
      <c r="AD782" s="1391"/>
      <c r="AE782" s="1391"/>
      <c r="AF782" s="1391"/>
      <c r="AG782" s="1392"/>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71">
        <f>O739+AC762+AC782</f>
        <v>260457.2</v>
      </c>
      <c r="Z784" s="1671"/>
      <c r="AA784" s="1671"/>
      <c r="AB784" s="1671"/>
      <c r="AC784" s="167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71">
        <f>(O739+AC762+AC782)*12</f>
        <v>3125486.4000000004</v>
      </c>
      <c r="Z785" s="1671"/>
      <c r="AA785" s="1671"/>
      <c r="AB785" s="1671"/>
      <c r="AC785" s="1671"/>
      <c r="AZ785" s="3"/>
      <c r="BA785" s="14" t="s">
        <v>641</v>
      </c>
      <c r="BB785" s="14"/>
      <c r="BC785" s="14"/>
      <c r="BD785" s="14"/>
      <c r="BE785" s="14"/>
      <c r="BF785" s="14"/>
      <c r="BG785" s="14"/>
      <c r="BH785" s="14"/>
      <c r="BI785" s="14"/>
      <c r="BJ785" s="14"/>
      <c r="BK785" s="14"/>
      <c r="BL785" s="14"/>
      <c r="BM785" s="14"/>
      <c r="BN785" s="1668" t="s">
        <v>478</v>
      </c>
      <c r="BO785" s="1669"/>
      <c r="BP785" s="3"/>
      <c r="BQ785" s="3"/>
      <c r="BR785" s="3"/>
      <c r="BS785" s="14" t="s">
        <v>643</v>
      </c>
      <c r="BT785" s="14"/>
      <c r="BU785" s="14"/>
      <c r="BV785" s="14"/>
      <c r="BW785" s="14"/>
      <c r="BX785" s="14"/>
      <c r="BY785" s="14"/>
      <c r="BZ785" s="14"/>
      <c r="CA785" s="14"/>
      <c r="CB785" s="1665" t="str">
        <f>T189</f>
        <v>Los Angeles</v>
      </c>
      <c r="CC785" s="1666"/>
      <c r="CD785" s="1666"/>
      <c r="CE785" s="1666"/>
      <c r="CF785" s="1666"/>
      <c r="CG785" s="1666"/>
      <c r="CH785" s="1667"/>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2.95"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2616</v>
      </c>
      <c r="BP788" s="32"/>
      <c r="BQ788" s="32"/>
      <c r="BR788" s="32"/>
      <c r="BS788" s="32"/>
      <c r="BT788" s="32"/>
      <c r="BV788" s="31" t="s">
        <v>2617</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88">
        <v>0</v>
      </c>
      <c r="AA790" s="1589"/>
      <c r="AB790" s="1589"/>
      <c r="AC790" s="1589"/>
      <c r="AD790" s="1589"/>
      <c r="AE790" s="1590"/>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19">
        <v>0</v>
      </c>
      <c r="AA791" s="1589"/>
      <c r="AB791" s="1589"/>
      <c r="AC791" s="1589"/>
      <c r="AD791" s="1589"/>
      <c r="AE791" s="1590"/>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31">
        <v>0</v>
      </c>
      <c r="AA792" s="1674"/>
      <c r="AB792" s="1674"/>
      <c r="AC792" s="1674"/>
      <c r="AD792" s="1674"/>
      <c r="AE792" s="1675"/>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91">
        <f>'Subsidy Contract Calculation'!J30</f>
        <v>0</v>
      </c>
      <c r="AA793" s="1592"/>
      <c r="AB793" s="1592"/>
      <c r="AC793" s="1592"/>
      <c r="AD793" s="1592"/>
      <c r="AE793" s="1593"/>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327</v>
      </c>
      <c r="BR794" s="72" t="s">
        <v>164</v>
      </c>
      <c r="BS794" s="72" t="s">
        <v>165</v>
      </c>
      <c r="BT794" s="72" t="s">
        <v>469</v>
      </c>
      <c r="BW794" s="71" t="s">
        <v>642</v>
      </c>
      <c r="BX794" s="72" t="s">
        <v>327</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599</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0">
        <v>65896</v>
      </c>
      <c r="AA797" s="1421"/>
      <c r="AB797" s="1421"/>
      <c r="AC797" s="1421"/>
      <c r="AD797" s="1421"/>
      <c r="AE797" s="1422"/>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0"/>
      <c r="AA798" s="1421"/>
      <c r="AB798" s="1421"/>
      <c r="AC798" s="1421"/>
      <c r="AD798" s="1421"/>
      <c r="AE798" s="1422"/>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259"/>
      <c r="AA799" s="1259"/>
      <c r="AB799" s="1259"/>
      <c r="AC799" s="1259"/>
      <c r="AD799" s="1259"/>
      <c r="AE799" s="1259"/>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537" t="s">
        <v>2758</v>
      </c>
      <c r="Q800" s="1538"/>
      <c r="R800" s="1538"/>
      <c r="S800" s="1538"/>
      <c r="T800" s="1538"/>
      <c r="U800" s="1538"/>
      <c r="V800" s="1538"/>
      <c r="W800" s="1538"/>
      <c r="X800" s="1538"/>
      <c r="Y800" s="1539"/>
      <c r="Z800" s="1420">
        <v>125604.30337078651</v>
      </c>
      <c r="AA800" s="1421"/>
      <c r="AB800" s="1421"/>
      <c r="AC800" s="1421"/>
      <c r="AD800" s="1421"/>
      <c r="AE800" s="1422"/>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91">
        <f>SUM(Z797:AE800)</f>
        <v>191500.30337078651</v>
      </c>
      <c r="AA801" s="1592"/>
      <c r="AB801" s="1592"/>
      <c r="AC801" s="1592"/>
      <c r="AD801" s="1592"/>
      <c r="AE801" s="1593"/>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91">
        <f>Z801+Y785+Z793</f>
        <v>3316986.7033707867</v>
      </c>
      <c r="AA802" s="1592"/>
      <c r="AB802" s="1592"/>
      <c r="AC802" s="1592"/>
      <c r="AD802" s="1592"/>
      <c r="AE802" s="1593"/>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601</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23" t="s">
        <v>127</v>
      </c>
      <c r="N807" s="1523"/>
      <c r="O807" s="1523"/>
      <c r="P807" s="1726"/>
      <c r="Q807" s="1587" t="s">
        <v>292</v>
      </c>
      <c r="R807" s="1587"/>
      <c r="S807" s="1587"/>
      <c r="T807" s="1587"/>
      <c r="U807" s="1587" t="s">
        <v>293</v>
      </c>
      <c r="V807" s="1587"/>
      <c r="W807" s="1587"/>
      <c r="X807" s="1587"/>
      <c r="Y807" s="1587" t="s">
        <v>294</v>
      </c>
      <c r="Z807" s="1587"/>
      <c r="AA807" s="1587"/>
      <c r="AB807" s="1587"/>
      <c r="AC807" s="1587" t="s">
        <v>363</v>
      </c>
      <c r="AD807" s="1587"/>
      <c r="AE807" s="1587"/>
      <c r="AF807" s="1587"/>
      <c r="AG807" s="1717" t="s">
        <v>337</v>
      </c>
      <c r="AH807" s="1717"/>
      <c r="AI807" s="1717"/>
      <c r="AJ807" s="1717"/>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27"/>
      <c r="N808" s="1527"/>
      <c r="O808" s="1527"/>
      <c r="P808" s="1705"/>
      <c r="Q808" s="1587"/>
      <c r="R808" s="1587"/>
      <c r="S808" s="1587"/>
      <c r="T808" s="1587"/>
      <c r="U808" s="1587"/>
      <c r="V808" s="1587"/>
      <c r="W808" s="1587"/>
      <c r="X808" s="1587"/>
      <c r="Y808" s="1587"/>
      <c r="Z808" s="1587"/>
      <c r="AA808" s="1587"/>
      <c r="AB808" s="1587"/>
      <c r="AC808" s="1587"/>
      <c r="AD808" s="1587"/>
      <c r="AE808" s="1587"/>
      <c r="AF808" s="1587"/>
      <c r="AG808" s="1717"/>
      <c r="AH808" s="1717"/>
      <c r="AI808" s="1717"/>
      <c r="AJ808" s="1717"/>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78" t="s">
        <v>40</v>
      </c>
      <c r="D809" s="1352"/>
      <c r="E809" s="1352"/>
      <c r="F809" s="1352"/>
      <c r="G809" s="1352"/>
      <c r="H809" s="1352"/>
      <c r="I809" s="48"/>
      <c r="J809" s="48"/>
      <c r="K809" s="48"/>
      <c r="L809" s="49"/>
      <c r="M809" s="1575">
        <v>7</v>
      </c>
      <c r="N809" s="1575"/>
      <c r="O809" s="1575"/>
      <c r="P809" s="1575"/>
      <c r="Q809" s="1575">
        <v>10</v>
      </c>
      <c r="R809" s="1575"/>
      <c r="S809" s="1575"/>
      <c r="T809" s="1575"/>
      <c r="U809" s="1575">
        <v>13</v>
      </c>
      <c r="V809" s="1575"/>
      <c r="W809" s="1575"/>
      <c r="X809" s="1575"/>
      <c r="Y809" s="1575">
        <v>16</v>
      </c>
      <c r="Z809" s="1575"/>
      <c r="AA809" s="1575"/>
      <c r="AB809" s="1575"/>
      <c r="AC809" s="1423"/>
      <c r="AD809" s="1424"/>
      <c r="AE809" s="1424"/>
      <c r="AF809" s="1425"/>
      <c r="AG809" s="1423"/>
      <c r="AH809" s="1424"/>
      <c r="AI809" s="1424"/>
      <c r="AJ809" s="1425"/>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639" t="s">
        <v>41</v>
      </c>
      <c r="D810" s="1586"/>
      <c r="E810" s="1586"/>
      <c r="F810" s="1586"/>
      <c r="G810" s="1586"/>
      <c r="H810" s="1586"/>
      <c r="I810" s="5"/>
      <c r="J810" s="5"/>
      <c r="K810" s="5"/>
      <c r="L810" s="46"/>
      <c r="M810" s="1575"/>
      <c r="N810" s="1575"/>
      <c r="O810" s="1575"/>
      <c r="P810" s="1575"/>
      <c r="Q810" s="1575"/>
      <c r="R810" s="1575"/>
      <c r="S810" s="1575"/>
      <c r="T810" s="1575"/>
      <c r="U810" s="1575"/>
      <c r="V810" s="1575"/>
      <c r="W810" s="1575"/>
      <c r="X810" s="1575"/>
      <c r="Y810" s="1575"/>
      <c r="Z810" s="1575"/>
      <c r="AA810" s="1575"/>
      <c r="AB810" s="1575"/>
      <c r="AC810" s="1423"/>
      <c r="AD810" s="1424"/>
      <c r="AE810" s="1424"/>
      <c r="AF810" s="1425"/>
      <c r="AG810" s="1423"/>
      <c r="AH810" s="1424"/>
      <c r="AI810" s="1424"/>
      <c r="AJ810" s="1425"/>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639" t="s">
        <v>42</v>
      </c>
      <c r="D811" s="1586"/>
      <c r="E811" s="1586"/>
      <c r="F811" s="1586"/>
      <c r="G811" s="1586"/>
      <c r="H811" s="1586"/>
      <c r="I811" s="60"/>
      <c r="J811" s="60"/>
      <c r="K811" s="60"/>
      <c r="L811" s="61"/>
      <c r="M811" s="1575">
        <v>3</v>
      </c>
      <c r="N811" s="1575"/>
      <c r="O811" s="1575"/>
      <c r="P811" s="1575"/>
      <c r="Q811" s="1575">
        <v>4</v>
      </c>
      <c r="R811" s="1575"/>
      <c r="S811" s="1575"/>
      <c r="T811" s="1575"/>
      <c r="U811" s="1575">
        <v>6</v>
      </c>
      <c r="V811" s="1575"/>
      <c r="W811" s="1575"/>
      <c r="X811" s="1575"/>
      <c r="Y811" s="1575">
        <v>7</v>
      </c>
      <c r="Z811" s="1575"/>
      <c r="AA811" s="1575"/>
      <c r="AB811" s="1575"/>
      <c r="AC811" s="1423"/>
      <c r="AD811" s="1424"/>
      <c r="AE811" s="1424"/>
      <c r="AF811" s="1425"/>
      <c r="AG811" s="1423"/>
      <c r="AH811" s="1424"/>
      <c r="AI811" s="1424"/>
      <c r="AJ811" s="1425"/>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639" t="s">
        <v>786</v>
      </c>
      <c r="D812" s="1586"/>
      <c r="E812" s="1586"/>
      <c r="F812" s="1586"/>
      <c r="G812" s="1586"/>
      <c r="H812" s="1586"/>
      <c r="I812" s="60"/>
      <c r="J812" s="60"/>
      <c r="K812" s="60"/>
      <c r="L812" s="61"/>
      <c r="M812" s="1575"/>
      <c r="N812" s="1575"/>
      <c r="O812" s="1575"/>
      <c r="P812" s="1575"/>
      <c r="Q812" s="1575"/>
      <c r="R812" s="1575"/>
      <c r="S812" s="1575"/>
      <c r="T812" s="1575"/>
      <c r="U812" s="1575"/>
      <c r="V812" s="1575"/>
      <c r="W812" s="1575"/>
      <c r="X812" s="1575"/>
      <c r="Y812" s="1575"/>
      <c r="Z812" s="1575"/>
      <c r="AA812" s="1575"/>
      <c r="AB812" s="1575"/>
      <c r="AC812" s="1423"/>
      <c r="AD812" s="1424"/>
      <c r="AE812" s="1424"/>
      <c r="AF812" s="1425"/>
      <c r="AG812" s="1423"/>
      <c r="AH812" s="1424"/>
      <c r="AI812" s="1424"/>
      <c r="AJ812" s="1425"/>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639" t="s">
        <v>468</v>
      </c>
      <c r="D813" s="1586"/>
      <c r="E813" s="1586"/>
      <c r="F813" s="1586"/>
      <c r="G813" s="1586"/>
      <c r="H813" s="1586"/>
      <c r="I813" s="60"/>
      <c r="J813" s="60"/>
      <c r="K813" s="60"/>
      <c r="L813" s="61"/>
      <c r="M813" s="1575">
        <v>15</v>
      </c>
      <c r="N813" s="1575"/>
      <c r="O813" s="1575"/>
      <c r="P813" s="1575"/>
      <c r="Q813" s="1575">
        <v>21</v>
      </c>
      <c r="R813" s="1575"/>
      <c r="S813" s="1575"/>
      <c r="T813" s="1575"/>
      <c r="U813" s="1575">
        <v>27</v>
      </c>
      <c r="V813" s="1575"/>
      <c r="W813" s="1575"/>
      <c r="X813" s="1575"/>
      <c r="Y813" s="1575">
        <v>33</v>
      </c>
      <c r="Z813" s="1575"/>
      <c r="AA813" s="1575"/>
      <c r="AB813" s="1575"/>
      <c r="AC813" s="1423"/>
      <c r="AD813" s="1424"/>
      <c r="AE813" s="1424"/>
      <c r="AF813" s="1425"/>
      <c r="AG813" s="1423"/>
      <c r="AH813" s="1424"/>
      <c r="AI813" s="1424"/>
      <c r="AJ813" s="1425"/>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585" t="s">
        <v>807</v>
      </c>
      <c r="D814" s="1586"/>
      <c r="E814" s="1586"/>
      <c r="F814" s="1586"/>
      <c r="G814" s="1586"/>
      <c r="H814" s="1586"/>
      <c r="I814" s="60"/>
      <c r="J814" s="60"/>
      <c r="K814" s="60"/>
      <c r="L814" s="61"/>
      <c r="M814" s="1575"/>
      <c r="N814" s="1575"/>
      <c r="O814" s="1575"/>
      <c r="P814" s="1575"/>
      <c r="Q814" s="1575"/>
      <c r="R814" s="1575"/>
      <c r="S814" s="1575"/>
      <c r="T814" s="1575"/>
      <c r="U814" s="1575"/>
      <c r="V814" s="1575"/>
      <c r="W814" s="1575"/>
      <c r="X814" s="1575"/>
      <c r="Y814" s="1575"/>
      <c r="Z814" s="1575"/>
      <c r="AA814" s="1575"/>
      <c r="AB814" s="1575"/>
      <c r="AC814" s="1423"/>
      <c r="AD814" s="1424"/>
      <c r="AE814" s="1424"/>
      <c r="AF814" s="1425"/>
      <c r="AG814" s="1423"/>
      <c r="AH814" s="1424"/>
      <c r="AI814" s="1424"/>
      <c r="AJ814" s="1425"/>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537" t="s">
        <v>2739</v>
      </c>
      <c r="G815" s="1538"/>
      <c r="H815" s="1538"/>
      <c r="I815" s="1538"/>
      <c r="J815" s="1538"/>
      <c r="K815" s="1538"/>
      <c r="L815" s="1538"/>
      <c r="M815" s="1575">
        <v>1</v>
      </c>
      <c r="N815" s="1575"/>
      <c r="O815" s="1575"/>
      <c r="P815" s="1575"/>
      <c r="Q815" s="1575">
        <v>2</v>
      </c>
      <c r="R815" s="1575"/>
      <c r="S815" s="1575"/>
      <c r="T815" s="1575"/>
      <c r="U815" s="1575">
        <v>3</v>
      </c>
      <c r="V815" s="1575"/>
      <c r="W815" s="1575"/>
      <c r="X815" s="1575"/>
      <c r="Y815" s="1575">
        <v>3</v>
      </c>
      <c r="Z815" s="1575"/>
      <c r="AA815" s="1575"/>
      <c r="AB815" s="1575"/>
      <c r="AC815" s="1423"/>
      <c r="AD815" s="1424"/>
      <c r="AE815" s="1424"/>
      <c r="AF815" s="1425"/>
      <c r="AG815" s="1423"/>
      <c r="AH815" s="1424"/>
      <c r="AI815" s="1424"/>
      <c r="AJ815" s="1425"/>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79" t="s">
        <v>125</v>
      </c>
      <c r="D816" s="1580"/>
      <c r="E816" s="1580"/>
      <c r="F816" s="1580"/>
      <c r="G816" s="1580"/>
      <c r="H816" s="1580"/>
      <c r="I816" s="1580"/>
      <c r="J816" s="1580"/>
      <c r="K816" s="1580"/>
      <c r="L816" s="1581"/>
      <c r="M816" s="1707">
        <f>SUM(M809:P815)</f>
        <v>26</v>
      </c>
      <c r="N816" s="1707"/>
      <c r="O816" s="1707"/>
      <c r="P816" s="1707"/>
      <c r="Q816" s="1707">
        <f>SUM(Q809:T815)</f>
        <v>37</v>
      </c>
      <c r="R816" s="1707"/>
      <c r="S816" s="1707"/>
      <c r="T816" s="1707"/>
      <c r="U816" s="1707">
        <f>SUM(U809:X815)</f>
        <v>49</v>
      </c>
      <c r="V816" s="1707"/>
      <c r="W816" s="1707"/>
      <c r="X816" s="1707"/>
      <c r="Y816" s="1707">
        <f>SUM(Y809:AB815)</f>
        <v>59</v>
      </c>
      <c r="Z816" s="1707"/>
      <c r="AA816" s="1707"/>
      <c r="AB816" s="1707"/>
      <c r="AC816" s="1707">
        <f>SUM(AC809:AF815)</f>
        <v>0</v>
      </c>
      <c r="AD816" s="1707"/>
      <c r="AE816" s="1707"/>
      <c r="AF816" s="1707"/>
      <c r="AG816" s="1707">
        <f>SUM(AG809:AJ815)</f>
        <v>0</v>
      </c>
      <c r="AH816" s="1707"/>
      <c r="AI816" s="1707"/>
      <c r="AJ816" s="1707"/>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90" t="s">
        <v>2740</v>
      </c>
      <c r="D821" s="1691"/>
      <c r="E821" s="1691"/>
      <c r="F821" s="1691"/>
      <c r="G821" s="1691"/>
      <c r="H821" s="1691"/>
      <c r="I821" s="1691"/>
      <c r="J821" s="1691"/>
      <c r="K821" s="1691"/>
      <c r="L821" s="1691"/>
      <c r="M821" s="1691"/>
      <c r="N821" s="1691"/>
      <c r="O821" s="1691"/>
      <c r="P821" s="1691"/>
      <c r="Q821" s="1691"/>
      <c r="R821" s="1691"/>
      <c r="S821" s="1691"/>
      <c r="T821" s="1691"/>
      <c r="U821" s="1691"/>
      <c r="V821" s="1691"/>
      <c r="W821" s="1691"/>
      <c r="X821" s="1691"/>
      <c r="Y821" s="1691"/>
      <c r="Z821" s="1691"/>
      <c r="AA821" s="1691"/>
      <c r="AB821" s="1691"/>
      <c r="AC821" s="1691"/>
      <c r="AD821" s="1691"/>
      <c r="AE821" s="1691"/>
      <c r="AF821" s="1691"/>
      <c r="AG821" s="1691"/>
      <c r="AH821" s="1691"/>
      <c r="AI821" s="1691"/>
      <c r="AJ821" s="1692"/>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1296</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426">
        <v>4500</v>
      </c>
      <c r="X826" s="1426"/>
      <c r="Y826" s="1426"/>
      <c r="Z826" s="1426"/>
      <c r="AA826" s="1426"/>
      <c r="AB826" s="1426"/>
      <c r="AC826" s="1426"/>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426">
        <v>3700</v>
      </c>
      <c r="X827" s="1426"/>
      <c r="Y827" s="1426"/>
      <c r="Z827" s="1426"/>
      <c r="AA827" s="1426"/>
      <c r="AB827" s="1426"/>
      <c r="AC827" s="1426"/>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426">
        <v>10000</v>
      </c>
      <c r="X828" s="1426"/>
      <c r="Y828" s="1426"/>
      <c r="Z828" s="1426"/>
      <c r="AA828" s="1426"/>
      <c r="AB828" s="1426"/>
      <c r="AC828" s="1426"/>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426">
        <v>12000</v>
      </c>
      <c r="X829" s="1426"/>
      <c r="Y829" s="1426"/>
      <c r="Z829" s="1426"/>
      <c r="AA829" s="1426"/>
      <c r="AB829" s="1426"/>
      <c r="AC829" s="1426"/>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537" t="s">
        <v>869</v>
      </c>
      <c r="N830" s="1538"/>
      <c r="O830" s="1538"/>
      <c r="P830" s="1538"/>
      <c r="Q830" s="1538"/>
      <c r="R830" s="1538"/>
      <c r="S830" s="1538"/>
      <c r="T830" s="1538"/>
      <c r="U830" s="1538"/>
      <c r="V830" s="1539"/>
      <c r="W830" s="1426">
        <v>45800</v>
      </c>
      <c r="X830" s="1426"/>
      <c r="Y830" s="1426"/>
      <c r="Z830" s="1426"/>
      <c r="AA830" s="1426"/>
      <c r="AB830" s="1426"/>
      <c r="AC830" s="1426"/>
      <c r="AD830"/>
      <c r="AE830"/>
      <c r="AF830"/>
      <c r="AG830"/>
      <c r="AH830"/>
      <c r="AI830"/>
      <c r="AJ830"/>
      <c r="AK830"/>
      <c r="AL830"/>
      <c r="AM830"/>
      <c r="AN830"/>
      <c r="AO830"/>
      <c r="AP830"/>
      <c r="AQ830"/>
      <c r="AR830"/>
      <c r="AS830"/>
      <c r="AT830"/>
      <c r="AU830"/>
      <c r="AV830"/>
      <c r="AW830"/>
      <c r="AX830"/>
      <c r="AY830"/>
      <c r="BI830" s="1637">
        <f>ROUNDDOWN(BC918*2,2)</f>
        <v>0</v>
      </c>
      <c r="BJ830" s="1637"/>
      <c r="BK830" s="1637"/>
      <c r="BL830" s="1637"/>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91">
        <f>SUM(W826:AC830)</f>
        <v>76000</v>
      </c>
      <c r="X831" s="1592"/>
      <c r="Y831" s="1592"/>
      <c r="Z831" s="1592"/>
      <c r="AA831" s="1592"/>
      <c r="AB831" s="1592"/>
      <c r="AC831" s="1593"/>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79" t="s">
        <v>347</v>
      </c>
      <c r="K833" s="1580"/>
      <c r="L833" s="1580"/>
      <c r="M833" s="1580"/>
      <c r="N833" s="1580"/>
      <c r="O833" s="1580"/>
      <c r="P833" s="1580"/>
      <c r="Q833" s="1580"/>
      <c r="R833" s="1580"/>
      <c r="S833" s="1580"/>
      <c r="T833" s="1580"/>
      <c r="U833" s="1580"/>
      <c r="V833" s="1581"/>
      <c r="W833" s="1420">
        <v>133923.33814859553</v>
      </c>
      <c r="X833" s="1421"/>
      <c r="Y833" s="1421"/>
      <c r="Z833" s="1421"/>
      <c r="AA833" s="1421"/>
      <c r="AB833" s="1421"/>
      <c r="AC833" s="1422"/>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570</v>
      </c>
      <c r="D835"/>
      <c r="E835"/>
      <c r="F835"/>
      <c r="G835"/>
      <c r="H835"/>
      <c r="I835"/>
      <c r="J835" s="45" t="s">
        <v>354</v>
      </c>
      <c r="K835" s="5"/>
      <c r="L835" s="5"/>
      <c r="M835" s="5"/>
      <c r="N835" s="5"/>
      <c r="O835" s="5"/>
      <c r="P835" s="5"/>
      <c r="Q835" s="5"/>
      <c r="R835" s="5"/>
      <c r="S835" s="5"/>
      <c r="T835" s="5"/>
      <c r="U835" s="5"/>
      <c r="V835" s="46"/>
      <c r="W835" s="1699"/>
      <c r="X835" s="1699"/>
      <c r="Y835" s="1699"/>
      <c r="Z835" s="1699"/>
      <c r="AA835" s="1699"/>
      <c r="AB835" s="1699"/>
      <c r="AC835" s="1699"/>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699"/>
      <c r="X836" s="1699"/>
      <c r="Y836" s="1699"/>
      <c r="Z836" s="1699"/>
      <c r="AA836" s="1699"/>
      <c r="AB836" s="1699"/>
      <c r="AC836" s="1699"/>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468</v>
      </c>
      <c r="K837" s="5"/>
      <c r="L837" s="5"/>
      <c r="M837" s="5"/>
      <c r="N837" s="5"/>
      <c r="O837" s="5"/>
      <c r="P837" s="5"/>
      <c r="Q837" s="5"/>
      <c r="R837" s="5"/>
      <c r="S837" s="5"/>
      <c r="T837" s="5"/>
      <c r="U837" s="5"/>
      <c r="V837" s="46"/>
      <c r="W837" s="1699">
        <v>83042.52500000014</v>
      </c>
      <c r="X837" s="1699"/>
      <c r="Y837" s="1699"/>
      <c r="Z837" s="1699"/>
      <c r="AA837" s="1699"/>
      <c r="AB837" s="1699"/>
      <c r="AC837" s="1699"/>
      <c r="AD837"/>
      <c r="AE837"/>
      <c r="AF837"/>
      <c r="AG837"/>
      <c r="AH837"/>
      <c r="AI837"/>
      <c r="AJ837"/>
      <c r="AK837"/>
      <c r="AL837"/>
      <c r="AM837"/>
      <c r="AN837"/>
      <c r="AO837"/>
      <c r="AP837"/>
      <c r="AQ837"/>
      <c r="AR837"/>
      <c r="AS837"/>
      <c r="AT837"/>
      <c r="AU837"/>
      <c r="AV837"/>
      <c r="AW837"/>
      <c r="AX837"/>
      <c r="AY837"/>
      <c r="AZ837" s="30"/>
      <c r="BA837" s="30"/>
      <c r="BG837" s="1646"/>
      <c r="BH837" s="1646"/>
      <c r="BI837" s="1646"/>
      <c r="BJ837" s="1646"/>
      <c r="BK837" s="1646"/>
      <c r="BL837" s="1646"/>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629</v>
      </c>
      <c r="K838" s="5"/>
      <c r="L838" s="5"/>
      <c r="M838" s="5"/>
      <c r="N838" s="5"/>
      <c r="O838" s="5"/>
      <c r="P838" s="5"/>
      <c r="Q838" s="5"/>
      <c r="R838" s="5"/>
      <c r="S838" s="5"/>
      <c r="T838" s="5"/>
      <c r="U838" s="5"/>
      <c r="V838" s="46"/>
      <c r="W838" s="1699">
        <v>81310</v>
      </c>
      <c r="X838" s="1699"/>
      <c r="Y838" s="1699"/>
      <c r="Z838" s="1699"/>
      <c r="AA838" s="1699"/>
      <c r="AB838" s="1699"/>
      <c r="AC838" s="1699"/>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715">
        <f>SUM(W835:AC838)</f>
        <v>164352.52500000014</v>
      </c>
      <c r="X839" s="1715"/>
      <c r="Y839" s="1715"/>
      <c r="Z839" s="1715"/>
      <c r="AA839" s="1715"/>
      <c r="AB839" s="1715"/>
      <c r="AC839" s="1715"/>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1">
        <f>SUM(AZ807:AZ835)</f>
        <v>7.5000000000000011E-2</v>
      </c>
      <c r="BA840" s="1711"/>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628</v>
      </c>
      <c r="K841" s="5"/>
      <c r="L841" s="5"/>
      <c r="M841" s="5"/>
      <c r="N841" s="5"/>
      <c r="O841" s="5"/>
      <c r="P841" s="5"/>
      <c r="Q841" s="5"/>
      <c r="R841" s="5"/>
      <c r="S841" s="5"/>
      <c r="T841" s="5"/>
      <c r="U841" s="5"/>
      <c r="V841" s="46"/>
      <c r="W841" s="1718">
        <v>153000</v>
      </c>
      <c r="X841" s="1644"/>
      <c r="Y841" s="1644"/>
      <c r="Z841" s="1644"/>
      <c r="AA841" s="1644"/>
      <c r="AB841" s="1644"/>
      <c r="AC841" s="1645"/>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1833</v>
      </c>
      <c r="K842" s="5"/>
      <c r="L842" s="5"/>
      <c r="M842" s="5"/>
      <c r="N842" s="5"/>
      <c r="O842" s="5"/>
      <c r="P842" s="5"/>
      <c r="Q842" s="5"/>
      <c r="R842" s="5"/>
      <c r="S842" s="5"/>
      <c r="T842" s="1697">
        <v>5</v>
      </c>
      <c r="U842" s="1658"/>
      <c r="V842" s="1698"/>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627</v>
      </c>
      <c r="K843" s="5"/>
      <c r="L843" s="5"/>
      <c r="M843" s="5"/>
      <c r="N843" s="5"/>
      <c r="O843" s="5"/>
      <c r="P843" s="5"/>
      <c r="Q843" s="5"/>
      <c r="R843" s="5"/>
      <c r="S843" s="5"/>
      <c r="T843" s="5"/>
      <c r="U843" s="5"/>
      <c r="V843" s="46"/>
      <c r="W843" s="1643">
        <v>103080</v>
      </c>
      <c r="X843" s="1644"/>
      <c r="Y843" s="1644"/>
      <c r="Z843" s="1644"/>
      <c r="AA843" s="1644"/>
      <c r="AB843" s="1644"/>
      <c r="AC843" s="1645"/>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1834</v>
      </c>
      <c r="K844" s="5"/>
      <c r="L844" s="5"/>
      <c r="M844" s="5"/>
      <c r="N844" s="5"/>
      <c r="O844" s="5"/>
      <c r="P844" s="5"/>
      <c r="Q844" s="5"/>
      <c r="R844" s="5"/>
      <c r="S844" s="5"/>
      <c r="T844" s="1697">
        <v>2</v>
      </c>
      <c r="U844" s="1658"/>
      <c r="V844" s="1698"/>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537" t="s">
        <v>2742</v>
      </c>
      <c r="N845" s="1538"/>
      <c r="O845" s="1538"/>
      <c r="P845" s="1538"/>
      <c r="Q845" s="1538"/>
      <c r="R845" s="1538"/>
      <c r="S845" s="1538"/>
      <c r="T845" s="1538"/>
      <c r="U845" s="1538"/>
      <c r="V845" s="1539"/>
      <c r="W845" s="1643">
        <v>88347.599999999991</v>
      </c>
      <c r="X845" s="1644"/>
      <c r="Y845" s="1644"/>
      <c r="Z845" s="1644"/>
      <c r="AA845" s="1644"/>
      <c r="AB845" s="1644"/>
      <c r="AC845" s="1645"/>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712">
        <f>SUM(W841:AC845)</f>
        <v>344427.6</v>
      </c>
      <c r="X846" s="1713"/>
      <c r="Y846" s="1713"/>
      <c r="Z846" s="1713"/>
      <c r="AA846" s="1713"/>
      <c r="AB846" s="1713"/>
      <c r="AC846" s="1714"/>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43">
        <v>65740</v>
      </c>
      <c r="X847" s="1644"/>
      <c r="Y847" s="1644"/>
      <c r="Z847" s="1644"/>
      <c r="AA847" s="1644"/>
      <c r="AB847" s="1644"/>
      <c r="AC847" s="1645"/>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626</v>
      </c>
      <c r="K849" s="5"/>
      <c r="L849" s="5"/>
      <c r="M849" s="5"/>
      <c r="N849" s="5"/>
      <c r="O849" s="5"/>
      <c r="P849" s="5"/>
      <c r="Q849" s="5"/>
      <c r="R849" s="5"/>
      <c r="S849" s="5"/>
      <c r="T849" s="5"/>
      <c r="U849" s="5"/>
      <c r="V849" s="46"/>
      <c r="W849" s="1426">
        <v>32870</v>
      </c>
      <c r="X849" s="1426"/>
      <c r="Y849" s="1426"/>
      <c r="Z849" s="1426"/>
      <c r="AA849" s="1426"/>
      <c r="AB849" s="1426"/>
      <c r="AC849" s="1426"/>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531</v>
      </c>
      <c r="K850" s="5"/>
      <c r="L850" s="5"/>
      <c r="M850" s="5"/>
      <c r="N850" s="5"/>
      <c r="O850" s="5"/>
      <c r="P850" s="5"/>
      <c r="Q850" s="5"/>
      <c r="R850" s="5"/>
      <c r="S850" s="5"/>
      <c r="T850" s="5"/>
      <c r="U850" s="5"/>
      <c r="V850" s="46"/>
      <c r="W850" s="1426">
        <v>27680</v>
      </c>
      <c r="X850" s="1426"/>
      <c r="Y850" s="1426"/>
      <c r="Z850" s="1426"/>
      <c r="AA850" s="1426"/>
      <c r="AB850" s="1426"/>
      <c r="AC850" s="1426"/>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530</v>
      </c>
      <c r="K851" s="5"/>
      <c r="L851" s="5"/>
      <c r="M851" s="5"/>
      <c r="N851" s="5"/>
      <c r="O851" s="5"/>
      <c r="P851" s="5"/>
      <c r="Q851" s="5"/>
      <c r="R851" s="5"/>
      <c r="S851" s="5"/>
      <c r="T851" s="5"/>
      <c r="U851" s="5"/>
      <c r="V851" s="46"/>
      <c r="W851" s="1426">
        <v>49200</v>
      </c>
      <c r="X851" s="1426"/>
      <c r="Y851" s="1426"/>
      <c r="Z851" s="1426"/>
      <c r="AA851" s="1426"/>
      <c r="AB851" s="1426"/>
      <c r="AC851" s="1426"/>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529</v>
      </c>
      <c r="K852" s="5"/>
      <c r="L852" s="5"/>
      <c r="M852" s="5"/>
      <c r="N852" s="5"/>
      <c r="O852" s="5"/>
      <c r="P852" s="5"/>
      <c r="Q852" s="5"/>
      <c r="R852" s="5"/>
      <c r="S852" s="5"/>
      <c r="T852" s="5"/>
      <c r="U852" s="5"/>
      <c r="V852" s="46"/>
      <c r="W852" s="1426">
        <v>9750</v>
      </c>
      <c r="X852" s="1426"/>
      <c r="Y852" s="1426"/>
      <c r="Z852" s="1426"/>
      <c r="AA852" s="1426"/>
      <c r="AB852" s="1426"/>
      <c r="AC852" s="1426"/>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528</v>
      </c>
      <c r="K853" s="5"/>
      <c r="L853" s="5"/>
      <c r="M853" s="5"/>
      <c r="N853" s="5"/>
      <c r="O853" s="5"/>
      <c r="P853" s="5"/>
      <c r="Q853" s="5"/>
      <c r="R853" s="5"/>
      <c r="S853" s="5"/>
      <c r="T853" s="5"/>
      <c r="U853" s="5"/>
      <c r="V853" s="46"/>
      <c r="W853" s="1426">
        <v>18000</v>
      </c>
      <c r="X853" s="1426"/>
      <c r="Y853" s="1426"/>
      <c r="Z853" s="1426"/>
      <c r="AA853" s="1426"/>
      <c r="AB853" s="1426"/>
      <c r="AC853" s="1426"/>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527</v>
      </c>
      <c r="K854" s="5"/>
      <c r="L854" s="5"/>
      <c r="M854" s="5"/>
      <c r="N854" s="5"/>
      <c r="O854" s="5"/>
      <c r="P854" s="5"/>
      <c r="Q854" s="5"/>
      <c r="R854" s="5"/>
      <c r="S854" s="5"/>
      <c r="T854" s="5"/>
      <c r="U854" s="5"/>
      <c r="V854" s="46"/>
      <c r="W854" s="1426">
        <v>14217.536851404398</v>
      </c>
      <c r="X854" s="1426"/>
      <c r="Y854" s="1426"/>
      <c r="Z854" s="1426"/>
      <c r="AA854" s="1426"/>
      <c r="AB854" s="1426"/>
      <c r="AC854" s="1426"/>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537" t="s">
        <v>2707</v>
      </c>
      <c r="N855" s="1538"/>
      <c r="O855" s="1538"/>
      <c r="P855" s="1538"/>
      <c r="Q855" s="1538"/>
      <c r="R855" s="1538"/>
      <c r="S855" s="1538"/>
      <c r="T855" s="1538"/>
      <c r="U855" s="1538"/>
      <c r="V855" s="1539"/>
      <c r="W855" s="1426">
        <v>7900</v>
      </c>
      <c r="X855" s="1426"/>
      <c r="Y855" s="1426"/>
      <c r="Z855" s="1426"/>
      <c r="AA855" s="1426"/>
      <c r="AB855" s="1426"/>
      <c r="AC855" s="1426"/>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71">
        <f>SUM(W849:AC855)</f>
        <v>159617.53685140441</v>
      </c>
      <c r="X856" s="1671"/>
      <c r="Y856" s="1671"/>
      <c r="Z856" s="1671"/>
      <c r="AA856" s="1671"/>
      <c r="AB856" s="1671"/>
      <c r="AC856" s="1671"/>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1389</v>
      </c>
      <c r="J858" s="45" t="s">
        <v>171</v>
      </c>
      <c r="K858" s="5"/>
      <c r="L858" s="5"/>
      <c r="M858" s="1537" t="s">
        <v>336</v>
      </c>
      <c r="N858" s="1538"/>
      <c r="O858" s="1538"/>
      <c r="P858" s="1538"/>
      <c r="Q858" s="1538"/>
      <c r="R858" s="1538"/>
      <c r="S858" s="1538"/>
      <c r="T858" s="1538"/>
      <c r="U858" s="1538"/>
      <c r="V858" s="1539"/>
      <c r="W858" s="1420"/>
      <c r="X858" s="1421"/>
      <c r="Y858" s="1421"/>
      <c r="Z858" s="1421"/>
      <c r="AA858" s="1421"/>
      <c r="AB858" s="1421"/>
      <c r="AC858" s="1422"/>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1390</v>
      </c>
      <c r="J859" s="45" t="s">
        <v>171</v>
      </c>
      <c r="K859" s="5"/>
      <c r="L859" s="5"/>
      <c r="M859" s="1537" t="s">
        <v>336</v>
      </c>
      <c r="N859" s="1538"/>
      <c r="O859" s="1538"/>
      <c r="P859" s="1538"/>
      <c r="Q859" s="1538"/>
      <c r="R859" s="1538"/>
      <c r="S859" s="1538"/>
      <c r="T859" s="1538"/>
      <c r="U859" s="1538"/>
      <c r="V859" s="1539"/>
      <c r="W859" s="1420"/>
      <c r="X859" s="1421"/>
      <c r="Y859" s="1421"/>
      <c r="Z859" s="1421"/>
      <c r="AA859" s="1421"/>
      <c r="AB859" s="1421"/>
      <c r="AC859" s="1422"/>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537" t="s">
        <v>336</v>
      </c>
      <c r="N860" s="1538"/>
      <c r="O860" s="1538"/>
      <c r="P860" s="1538"/>
      <c r="Q860" s="1538"/>
      <c r="R860" s="1538"/>
      <c r="S860" s="1538"/>
      <c r="T860" s="1538"/>
      <c r="U860" s="1538"/>
      <c r="V860" s="1539"/>
      <c r="W860" s="1420"/>
      <c r="X860" s="1421"/>
      <c r="Y860" s="1421"/>
      <c r="Z860" s="1421"/>
      <c r="AA860" s="1421"/>
      <c r="AB860" s="1421"/>
      <c r="AC860" s="1422"/>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537" t="s">
        <v>336</v>
      </c>
      <c r="N861" s="1538"/>
      <c r="O861" s="1538"/>
      <c r="P861" s="1538"/>
      <c r="Q861" s="1538"/>
      <c r="R861" s="1538"/>
      <c r="S861" s="1538"/>
      <c r="T861" s="1538"/>
      <c r="U861" s="1538"/>
      <c r="V861" s="1539"/>
      <c r="W861" s="1420"/>
      <c r="X861" s="1421"/>
      <c r="Y861" s="1421"/>
      <c r="Z861" s="1421"/>
      <c r="AA861" s="1421"/>
      <c r="AB861" s="1421"/>
      <c r="AC861" s="1422"/>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537" t="s">
        <v>336</v>
      </c>
      <c r="N862" s="1538"/>
      <c r="O862" s="1538"/>
      <c r="P862" s="1538"/>
      <c r="Q862" s="1538"/>
      <c r="R862" s="1538"/>
      <c r="S862" s="1538"/>
      <c r="T862" s="1538"/>
      <c r="U862" s="1538"/>
      <c r="V862" s="1539"/>
      <c r="W862" s="1420"/>
      <c r="X862" s="1421"/>
      <c r="Y862" s="1421"/>
      <c r="Z862" s="1421"/>
      <c r="AA862" s="1421"/>
      <c r="AB862" s="1421"/>
      <c r="AC862" s="1422"/>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91">
        <f>SUM(W858:AC862)</f>
        <v>0</v>
      </c>
      <c r="X863" s="1592"/>
      <c r="Y863" s="1592"/>
      <c r="Z863" s="1592"/>
      <c r="AA863" s="1592"/>
      <c r="AB863" s="1592"/>
      <c r="AC863" s="1593"/>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92">
        <f>W831+W839+W846+W847+W856+W863+W833</f>
        <v>944061</v>
      </c>
      <c r="AD867" s="1592"/>
      <c r="AE867" s="1592"/>
      <c r="AF867" s="1592"/>
      <c r="AG867" s="1592"/>
      <c r="AH867" s="1593"/>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95">
        <f>O782+O762+G739</f>
        <v>173</v>
      </c>
      <c r="AD868" s="1695"/>
      <c r="AE868" s="1695"/>
      <c r="AF868" s="1695"/>
      <c r="AG868" s="1695"/>
      <c r="AH868" s="1696"/>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93" t="s">
        <v>32</v>
      </c>
      <c r="F869" s="1693"/>
      <c r="G869" s="1693"/>
      <c r="H869" s="1693"/>
      <c r="I869" s="1693"/>
      <c r="J869" s="1693"/>
      <c r="K869" s="1693"/>
      <c r="L869" s="1693"/>
      <c r="M869" s="1693"/>
      <c r="N869" s="1693"/>
      <c r="O869" s="1693"/>
      <c r="P869" s="1693"/>
      <c r="Q869" s="1693"/>
      <c r="R869" s="1693"/>
      <c r="S869" s="1693"/>
      <c r="T869" s="1693"/>
      <c r="U869" s="1693"/>
      <c r="V869" s="1693"/>
      <c r="W869" s="1693"/>
      <c r="X869" s="1693"/>
      <c r="Y869" s="1693"/>
      <c r="Z869" s="1693"/>
      <c r="AA869" s="1693"/>
      <c r="AB869" s="1694"/>
      <c r="AC869" s="1671">
        <f>IF(ISERROR((ROUNDDOWN(AC867/AC868,0))),0,(ROUNDDOWN(AC867/AC868,0)))</f>
        <v>5457</v>
      </c>
      <c r="AD869" s="1671"/>
      <c r="AE869" s="1671"/>
      <c r="AF869" s="1671"/>
      <c r="AG869" s="1671"/>
      <c r="AH869" s="1671"/>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727">
        <v>722874.85743527126</v>
      </c>
      <c r="AD870" s="1728"/>
      <c r="AE870" s="1728"/>
      <c r="AF870" s="1728"/>
      <c r="AG870" s="1728"/>
      <c r="AH870" s="1728"/>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1300</v>
      </c>
      <c r="AC871" s="1422"/>
      <c r="AD871" s="1426"/>
      <c r="AE871" s="1426"/>
      <c r="AF871" s="1426"/>
      <c r="AG871" s="1426"/>
      <c r="AH871" s="1426"/>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421">
        <v>27000</v>
      </c>
      <c r="AD872" s="1421"/>
      <c r="AE872" s="1421"/>
      <c r="AF872" s="1421"/>
      <c r="AG872" s="1421"/>
      <c r="AH872" s="1422"/>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1">
        <v>43250</v>
      </c>
      <c r="AD873" s="1421"/>
      <c r="AE873" s="1421"/>
      <c r="AF873" s="1421"/>
      <c r="AG873" s="1421"/>
      <c r="AH873" s="1422"/>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1935</v>
      </c>
      <c r="AC874" s="1423"/>
      <c r="AD874" s="1424"/>
      <c r="AE874" s="1424"/>
      <c r="AF874" s="1424"/>
      <c r="AG874" s="1424"/>
      <c r="AH874" s="1425"/>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1">
        <v>15000</v>
      </c>
      <c r="AD875" s="1421"/>
      <c r="AE875" s="1421"/>
      <c r="AF875" s="1421"/>
      <c r="AG875" s="1421"/>
      <c r="AH875" s="1422"/>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1835</v>
      </c>
      <c r="AC876" s="1421"/>
      <c r="AD876" s="1421"/>
      <c r="AE876" s="1421"/>
      <c r="AF876" s="1421"/>
      <c r="AG876" s="1421"/>
      <c r="AH876" s="1422"/>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708" t="s">
        <v>2760</v>
      </c>
      <c r="D877" s="1709"/>
      <c r="E877" s="1709"/>
      <c r="F877" s="1709"/>
      <c r="G877" s="1709"/>
      <c r="H877" s="1709"/>
      <c r="I877" s="1709"/>
      <c r="J877" s="1709"/>
      <c r="K877" s="1709"/>
      <c r="L877" s="1709"/>
      <c r="M877" s="1709"/>
      <c r="N877" s="1709"/>
      <c r="O877" s="1709"/>
      <c r="P877" s="1709"/>
      <c r="Q877" s="1709"/>
      <c r="R877" s="1709"/>
      <c r="S877" s="1709"/>
      <c r="T877" s="1709"/>
      <c r="U877" s="1709"/>
      <c r="V877" s="1709"/>
      <c r="W877" s="1709"/>
      <c r="X877" s="1709"/>
      <c r="Y877" s="1709"/>
      <c r="Z877" s="1709"/>
      <c r="AA877" s="1709"/>
      <c r="AB877" s="1710"/>
      <c r="AC877" s="1426">
        <v>68124.84</v>
      </c>
      <c r="AD877" s="1426"/>
      <c r="AE877" s="1426"/>
      <c r="AF877" s="1426"/>
      <c r="AG877" s="1426"/>
      <c r="AH877" s="1426"/>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708" t="s">
        <v>2744</v>
      </c>
      <c r="D878" s="1709"/>
      <c r="E878" s="1709"/>
      <c r="F878" s="1709"/>
      <c r="G878" s="1709"/>
      <c r="H878" s="1709"/>
      <c r="I878" s="1709"/>
      <c r="J878" s="1709"/>
      <c r="K878" s="1709"/>
      <c r="L878" s="1709"/>
      <c r="M878" s="1709"/>
      <c r="N878" s="1709"/>
      <c r="O878" s="1709"/>
      <c r="P878" s="1709"/>
      <c r="Q878" s="1709"/>
      <c r="R878" s="1709"/>
      <c r="S878" s="1709"/>
      <c r="T878" s="1709"/>
      <c r="U878" s="1709"/>
      <c r="V878" s="1709"/>
      <c r="W878" s="1709"/>
      <c r="X878" s="1709"/>
      <c r="Y878" s="1709"/>
      <c r="Z878" s="1709"/>
      <c r="AA878" s="1709"/>
      <c r="AB878" s="1710"/>
      <c r="AC878" s="1426">
        <v>63144</v>
      </c>
      <c r="AD878" s="1426"/>
      <c r="AE878" s="1426"/>
      <c r="AF878" s="1426"/>
      <c r="AG878" s="1426"/>
      <c r="AH878" s="1426"/>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622</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420"/>
      <c r="AA882" s="1421"/>
      <c r="AB882" s="1421"/>
      <c r="AC882" s="1421"/>
      <c r="AD882" s="1421"/>
      <c r="AE882" s="1422"/>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420"/>
      <c r="AA883" s="1421"/>
      <c r="AB883" s="1421"/>
      <c r="AC883" s="1421"/>
      <c r="AD883" s="1421"/>
      <c r="AE883" s="1422"/>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420"/>
      <c r="AA884" s="1421"/>
      <c r="AB884" s="1421"/>
      <c r="AC884" s="1421"/>
      <c r="AD884" s="1421"/>
      <c r="AE884" s="1422"/>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91">
        <f>Z882-(Z883+Z884)</f>
        <v>0</v>
      </c>
      <c r="AA885" s="1592"/>
      <c r="AB885" s="1592"/>
      <c r="AC885" s="1592"/>
      <c r="AD885" s="1592"/>
      <c r="AE885" s="1593"/>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00"/>
      <c r="BE887" s="1700"/>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00"/>
      <c r="BE888" s="1700"/>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46"/>
      <c r="BE889" s="1646"/>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1069</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46"/>
      <c r="BE890" s="1646"/>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46"/>
      <c r="BE891" s="1646"/>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700"/>
      <c r="BE892" s="1646"/>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641" t="s">
        <v>97</v>
      </c>
      <c r="B893" s="1641"/>
      <c r="C893" s="1641"/>
      <c r="D893" s="1641"/>
      <c r="E893" s="1641"/>
      <c r="F893" s="1641"/>
      <c r="G893" s="1641"/>
      <c r="H893" s="1641"/>
      <c r="I893" s="1641"/>
      <c r="J893" s="1641"/>
      <c r="K893" s="1641"/>
      <c r="L893" s="1641"/>
      <c r="M893" s="1641"/>
      <c r="N893" s="1641"/>
      <c r="O893" s="1641"/>
      <c r="P893" s="1641"/>
      <c r="Q893" s="1641"/>
      <c r="R893" s="1641"/>
      <c r="S893" s="1641"/>
      <c r="T893" s="1641"/>
      <c r="U893" s="1641"/>
      <c r="V893" s="1641"/>
      <c r="W893" s="1641"/>
      <c r="X893" s="1641"/>
      <c r="Y893" s="1641"/>
      <c r="Z893" s="1641"/>
      <c r="AA893" s="1641"/>
      <c r="AB893" s="1641"/>
      <c r="AC893" s="1641"/>
      <c r="AD893" s="1641"/>
      <c r="AE893" s="1641"/>
      <c r="AF893" s="1641"/>
      <c r="AG893" s="1641"/>
      <c r="AH893" s="1641"/>
      <c r="AI893" s="1641"/>
      <c r="AJ893" s="1641"/>
      <c r="AK893" s="1641"/>
      <c r="AL893" s="1641"/>
      <c r="AM893" s="95"/>
      <c r="AN893" s="95"/>
      <c r="AO893" s="95"/>
      <c r="AP893" s="95"/>
      <c r="AQ893" s="95"/>
      <c r="AR893" s="95"/>
      <c r="AS893" s="95"/>
      <c r="AT893" s="95"/>
      <c r="AU893" s="95"/>
      <c r="AV893" s="95"/>
      <c r="AW893" s="95"/>
      <c r="AX893" s="95"/>
      <c r="AY893" s="95"/>
      <c r="AZ893" s="34"/>
      <c r="BB893" s="30"/>
      <c r="BC893" s="852"/>
      <c r="BD893" s="1716"/>
      <c r="BE893" s="1716"/>
      <c r="BF893" s="1716"/>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642"/>
      <c r="B894" s="1642"/>
      <c r="C894" s="1642"/>
      <c r="D894" s="1642"/>
      <c r="E894" s="1642"/>
      <c r="F894" s="1642"/>
      <c r="G894" s="1642"/>
      <c r="H894" s="1642"/>
      <c r="I894" s="1642"/>
      <c r="J894" s="1642"/>
      <c r="K894" s="1642"/>
      <c r="L894" s="1642"/>
      <c r="M894" s="1642"/>
      <c r="N894" s="1642"/>
      <c r="O894" s="1642"/>
      <c r="P894" s="1642"/>
      <c r="Q894" s="1642"/>
      <c r="R894" s="1642"/>
      <c r="S894" s="1642"/>
      <c r="T894" s="1642"/>
      <c r="U894" s="1642"/>
      <c r="V894" s="1642"/>
      <c r="W894" s="1642"/>
      <c r="X894" s="1642"/>
      <c r="Y894" s="1642"/>
      <c r="Z894" s="1642"/>
      <c r="AA894" s="1642"/>
      <c r="AB894" s="1642"/>
      <c r="AC894" s="1642"/>
      <c r="AD894" s="1642"/>
      <c r="AE894" s="1642"/>
      <c r="AF894" s="1642"/>
      <c r="AG894" s="1642"/>
      <c r="AH894" s="1642"/>
      <c r="AI894" s="1642"/>
      <c r="AJ894" s="1642"/>
      <c r="AK894" s="1642"/>
      <c r="AL894" s="1642"/>
      <c r="AM894" s="95"/>
      <c r="AN894" s="95"/>
      <c r="AO894" s="95"/>
      <c r="AP894" s="95"/>
      <c r="AQ894" s="95"/>
      <c r="AR894" s="95"/>
      <c r="AS894" s="95"/>
      <c r="AT894" s="95"/>
      <c r="AU894" s="95"/>
      <c r="AV894" s="95"/>
      <c r="AW894" s="95"/>
      <c r="AX894" s="95"/>
      <c r="AY894" s="95"/>
      <c r="AZ894" s="34"/>
      <c r="BB894" s="30"/>
      <c r="BC894" s="852"/>
      <c r="BD894" s="1637"/>
      <c r="BE894" s="1637"/>
      <c r="BF894" s="1637"/>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46"/>
      <c r="BE895" s="1646"/>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00"/>
      <c r="BE896" s="1646"/>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543" t="s">
        <v>816</v>
      </c>
      <c r="G898" s="1544"/>
      <c r="H898" s="1544"/>
      <c r="I898" s="1544"/>
      <c r="J898" s="1544"/>
      <c r="K898" s="1544"/>
      <c r="L898" s="1544"/>
      <c r="M898" s="1544"/>
      <c r="N898" s="1544"/>
      <c r="O898" s="1544"/>
      <c r="P898" s="1544"/>
      <c r="Q898" s="1544"/>
      <c r="R898" s="1544"/>
      <c r="S898" s="1544"/>
      <c r="T898" s="1545"/>
      <c r="U898" s="1522" t="s">
        <v>31</v>
      </c>
      <c r="V898" s="1523"/>
      <c r="W898" s="1523"/>
      <c r="X898" s="1523"/>
      <c r="Y898" s="1523"/>
      <c r="Z898" s="1523"/>
      <c r="AA898" s="43"/>
      <c r="AB898" s="105"/>
      <c r="AC898" s="105"/>
      <c r="AD898" s="105"/>
      <c r="AE898" s="105"/>
      <c r="AF898" s="106"/>
      <c r="AZ898" s="34"/>
      <c r="BA898" s="34"/>
      <c r="BB898" s="30"/>
      <c r="BC898" s="30"/>
      <c r="BD898" s="1700"/>
      <c r="BE898" s="1646"/>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524" t="s">
        <v>844</v>
      </c>
      <c r="G899" s="1525"/>
      <c r="H899" s="1525"/>
      <c r="I899" s="1525"/>
      <c r="J899" s="1525"/>
      <c r="K899" s="1525"/>
      <c r="L899" s="1525"/>
      <c r="M899" s="1525"/>
      <c r="N899" s="1525"/>
      <c r="O899" s="1525"/>
      <c r="P899" s="1525"/>
      <c r="Q899" s="1525"/>
      <c r="R899" s="1525"/>
      <c r="S899" s="1525"/>
      <c r="T899" s="1704"/>
      <c r="U899" s="1524"/>
      <c r="V899" s="1525"/>
      <c r="W899" s="1525"/>
      <c r="X899" s="1525"/>
      <c r="Y899" s="1525"/>
      <c r="Z899" s="1525"/>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526"/>
      <c r="G900" s="1527"/>
      <c r="H900" s="1527"/>
      <c r="I900" s="1527"/>
      <c r="J900" s="1527"/>
      <c r="K900" s="1527"/>
      <c r="L900" s="1527"/>
      <c r="M900" s="1527"/>
      <c r="N900" s="1527"/>
      <c r="O900" s="1527"/>
      <c r="P900" s="1527"/>
      <c r="Q900" s="1527"/>
      <c r="R900" s="1527"/>
      <c r="S900" s="1527"/>
      <c r="T900" s="1705"/>
      <c r="U900" s="1526"/>
      <c r="V900" s="1527"/>
      <c r="W900" s="1527"/>
      <c r="X900" s="1527"/>
      <c r="Y900" s="1527"/>
      <c r="Z900" s="1527"/>
      <c r="AA900" s="108"/>
      <c r="AB900" s="1549" t="s">
        <v>393</v>
      </c>
      <c r="AC900" s="1549"/>
      <c r="AD900" s="1549"/>
      <c r="AE900" s="1549"/>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782</v>
      </c>
      <c r="G901" s="48"/>
      <c r="H901" s="48"/>
      <c r="I901" s="48"/>
      <c r="J901" s="48"/>
      <c r="K901" s="48"/>
      <c r="L901" s="48"/>
      <c r="M901" s="48"/>
      <c r="N901" s="48"/>
      <c r="O901" s="48"/>
      <c r="P901" s="48"/>
      <c r="Q901" s="48"/>
      <c r="R901" s="48"/>
      <c r="S901" s="48"/>
      <c r="T901" s="49"/>
      <c r="U901" s="1519" t="s">
        <v>554</v>
      </c>
      <c r="V901" s="1520"/>
      <c r="W901" s="1520"/>
      <c r="X901" s="1520"/>
      <c r="Y901" s="1520"/>
      <c r="Z901" s="1521"/>
      <c r="AA901" s="1531">
        <f>AM550+AM552</f>
        <v>61600000</v>
      </c>
      <c r="AB901" s="1532"/>
      <c r="AC901" s="1532"/>
      <c r="AD901" s="1532"/>
      <c r="AE901" s="1532"/>
      <c r="AF901" s="1533"/>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684</v>
      </c>
      <c r="G902" s="48"/>
      <c r="H902" s="48"/>
      <c r="I902" s="48"/>
      <c r="J902" s="48"/>
      <c r="K902" s="48"/>
      <c r="L902" s="48"/>
      <c r="M902" s="48"/>
      <c r="N902" s="48"/>
      <c r="O902" s="48"/>
      <c r="P902" s="48"/>
      <c r="Q902" s="48"/>
      <c r="R902" s="48"/>
      <c r="S902" s="48"/>
      <c r="T902" s="49"/>
      <c r="U902" s="1519" t="s">
        <v>554</v>
      </c>
      <c r="V902" s="1520"/>
      <c r="W902" s="1520"/>
      <c r="X902" s="1520"/>
      <c r="Y902" s="1520"/>
      <c r="Z902" s="1521"/>
      <c r="AA902" s="1531">
        <f>AM551</f>
        <v>22200000</v>
      </c>
      <c r="AB902" s="1532"/>
      <c r="AC902" s="1532"/>
      <c r="AD902" s="1532"/>
      <c r="AE902" s="1532"/>
      <c r="AF902" s="1533"/>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825</v>
      </c>
      <c r="G903" s="5"/>
      <c r="H903" s="5"/>
      <c r="I903" s="5"/>
      <c r="J903" s="5"/>
      <c r="K903" s="5"/>
      <c r="L903" s="5"/>
      <c r="M903" s="5"/>
      <c r="N903" s="5"/>
      <c r="O903" s="5"/>
      <c r="P903" s="5"/>
      <c r="Q903" s="5"/>
      <c r="R903" s="5"/>
      <c r="S903" s="5"/>
      <c r="T903" s="46"/>
      <c r="U903" s="1519" t="s">
        <v>600</v>
      </c>
      <c r="V903" s="1520"/>
      <c r="W903" s="1520"/>
      <c r="X903" s="1520"/>
      <c r="Y903" s="1520"/>
      <c r="Z903" s="1521"/>
      <c r="AA903" s="1531"/>
      <c r="AB903" s="1532"/>
      <c r="AC903" s="1532"/>
      <c r="AD903" s="1532"/>
      <c r="AE903" s="1532"/>
      <c r="AF903" s="1533"/>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687</v>
      </c>
      <c r="G904" s="5"/>
      <c r="H904" s="5"/>
      <c r="I904" s="5"/>
      <c r="J904" s="5"/>
      <c r="K904" s="5"/>
      <c r="L904" s="5"/>
      <c r="M904" s="5"/>
      <c r="N904" s="5"/>
      <c r="O904" s="5"/>
      <c r="P904" s="5"/>
      <c r="Q904" s="5"/>
      <c r="R904" s="5"/>
      <c r="S904" s="5"/>
      <c r="T904" s="46"/>
      <c r="U904" s="1519" t="s">
        <v>600</v>
      </c>
      <c r="V904" s="1520"/>
      <c r="W904" s="1520"/>
      <c r="X904" s="1520"/>
      <c r="Y904" s="1520"/>
      <c r="Z904" s="1521"/>
      <c r="AA904" s="1531"/>
      <c r="AB904" s="1532"/>
      <c r="AC904" s="1532"/>
      <c r="AD904" s="1532"/>
      <c r="AE904" s="1532"/>
      <c r="AF904" s="1533"/>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810</v>
      </c>
      <c r="G905" s="5"/>
      <c r="H905" s="5"/>
      <c r="I905" s="5"/>
      <c r="J905" s="5"/>
      <c r="K905" s="5"/>
      <c r="L905" s="5"/>
      <c r="M905" s="5"/>
      <c r="N905" s="5"/>
      <c r="O905" s="5"/>
      <c r="P905" s="5"/>
      <c r="Q905" s="5"/>
      <c r="R905" s="5"/>
      <c r="S905" s="5"/>
      <c r="T905" s="46"/>
      <c r="U905" s="1519" t="s">
        <v>600</v>
      </c>
      <c r="V905" s="1520"/>
      <c r="W905" s="1520"/>
      <c r="X905" s="1520"/>
      <c r="Y905" s="1520"/>
      <c r="Z905" s="1521"/>
      <c r="AA905" s="1531"/>
      <c r="AB905" s="1532"/>
      <c r="AC905" s="1532"/>
      <c r="AD905" s="1532"/>
      <c r="AE905" s="1532"/>
      <c r="AF905" s="1533"/>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811</v>
      </c>
      <c r="G906" s="5"/>
      <c r="H906" s="5"/>
      <c r="I906" s="5"/>
      <c r="J906" s="5"/>
      <c r="K906" s="5"/>
      <c r="L906" s="5"/>
      <c r="M906" s="5"/>
      <c r="N906" s="5"/>
      <c r="O906" s="5"/>
      <c r="P906" s="5"/>
      <c r="Q906" s="5"/>
      <c r="R906" s="5"/>
      <c r="S906" s="5"/>
      <c r="T906" s="46"/>
      <c r="U906" s="1519" t="s">
        <v>600</v>
      </c>
      <c r="V906" s="1520"/>
      <c r="W906" s="1520"/>
      <c r="X906" s="1520"/>
      <c r="Y906" s="1520"/>
      <c r="Z906" s="1521"/>
      <c r="AA906" s="1531"/>
      <c r="AB906" s="1532"/>
      <c r="AC906" s="1532"/>
      <c r="AD906" s="1532"/>
      <c r="AE906" s="1532"/>
      <c r="AF906" s="1533"/>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812</v>
      </c>
      <c r="G907" s="5"/>
      <c r="H907" s="5"/>
      <c r="I907" s="5"/>
      <c r="J907" s="5"/>
      <c r="K907" s="5"/>
      <c r="L907" s="5"/>
      <c r="M907" s="5"/>
      <c r="N907" s="5"/>
      <c r="O907" s="5"/>
      <c r="P907" s="5"/>
      <c r="Q907" s="5"/>
      <c r="R907" s="5"/>
      <c r="S907" s="5"/>
      <c r="T907" s="46"/>
      <c r="U907" s="1519" t="s">
        <v>600</v>
      </c>
      <c r="V907" s="1520"/>
      <c r="W907" s="1520"/>
      <c r="X907" s="1520"/>
      <c r="Y907" s="1520"/>
      <c r="Z907" s="1521"/>
      <c r="AA907" s="1531"/>
      <c r="AB907" s="1532"/>
      <c r="AC907" s="1532"/>
      <c r="AD907" s="1532"/>
      <c r="AE907" s="1532"/>
      <c r="AF907" s="1533"/>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686</v>
      </c>
      <c r="G908" s="5"/>
      <c r="H908" s="5"/>
      <c r="I908" s="5"/>
      <c r="J908" s="5"/>
      <c r="K908" s="5"/>
      <c r="L908" s="5"/>
      <c r="M908" s="5"/>
      <c r="N908" s="5"/>
      <c r="O908" s="5"/>
      <c r="P908" s="5"/>
      <c r="Q908" s="5"/>
      <c r="R908" s="5"/>
      <c r="S908" s="5"/>
      <c r="T908" s="46"/>
      <c r="U908" s="1519" t="s">
        <v>600</v>
      </c>
      <c r="V908" s="1520"/>
      <c r="W908" s="1520"/>
      <c r="X908" s="1520"/>
      <c r="Y908" s="1520"/>
      <c r="Z908" s="1521"/>
      <c r="AA908" s="1531"/>
      <c r="AB908" s="1532"/>
      <c r="AC908" s="1532"/>
      <c r="AD908" s="1532"/>
      <c r="AE908" s="1532"/>
      <c r="AF908" s="1533"/>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688</v>
      </c>
      <c r="G909" s="5"/>
      <c r="H909" s="5"/>
      <c r="I909" s="5"/>
      <c r="J909" s="5"/>
      <c r="K909" s="5"/>
      <c r="L909" s="5"/>
      <c r="M909" s="5"/>
      <c r="N909" s="5"/>
      <c r="O909" s="5"/>
      <c r="P909" s="5"/>
      <c r="Q909" s="5"/>
      <c r="R909" s="5"/>
      <c r="S909" s="5"/>
      <c r="T909" s="46"/>
      <c r="U909" s="1519" t="s">
        <v>600</v>
      </c>
      <c r="V909" s="1520"/>
      <c r="W909" s="1520"/>
      <c r="X909" s="1520"/>
      <c r="Y909" s="1520"/>
      <c r="Z909" s="1521"/>
      <c r="AA909" s="1531"/>
      <c r="AB909" s="1532"/>
      <c r="AC909" s="1532"/>
      <c r="AD909" s="1532"/>
      <c r="AE909" s="1532"/>
      <c r="AF909" s="1533"/>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685</v>
      </c>
      <c r="G910" s="5"/>
      <c r="H910" s="5"/>
      <c r="I910" s="5"/>
      <c r="J910" s="5"/>
      <c r="K910" s="5"/>
      <c r="L910" s="5"/>
      <c r="M910" s="5"/>
      <c r="N910" s="5"/>
      <c r="O910" s="5"/>
      <c r="P910" s="5"/>
      <c r="Q910" s="5"/>
      <c r="R910" s="5"/>
      <c r="S910" s="5"/>
      <c r="T910" s="46"/>
      <c r="U910" s="1519" t="s">
        <v>600</v>
      </c>
      <c r="V910" s="1520"/>
      <c r="W910" s="1520"/>
      <c r="X910" s="1520"/>
      <c r="Y910" s="1520"/>
      <c r="Z910" s="1521"/>
      <c r="AA910" s="1531"/>
      <c r="AB910" s="1532"/>
      <c r="AC910" s="1532"/>
      <c r="AD910" s="1532"/>
      <c r="AE910" s="1532"/>
      <c r="AF910" s="1533"/>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1433</v>
      </c>
      <c r="G911" s="5"/>
      <c r="H911" s="5"/>
      <c r="I911" s="5"/>
      <c r="J911" s="5"/>
      <c r="K911" s="5"/>
      <c r="L911" s="5"/>
      <c r="M911" s="5"/>
      <c r="N911" s="5"/>
      <c r="O911" s="5"/>
      <c r="P911" s="5"/>
      <c r="Q911" s="5"/>
      <c r="R911" s="5"/>
      <c r="S911" s="5"/>
      <c r="T911" s="46"/>
      <c r="U911" s="1519" t="s">
        <v>600</v>
      </c>
      <c r="V911" s="1520"/>
      <c r="W911" s="1520"/>
      <c r="X911" s="1520"/>
      <c r="Y911" s="1520"/>
      <c r="Z911" s="1521"/>
      <c r="AA911" s="1531"/>
      <c r="AB911" s="1532"/>
      <c r="AC911" s="1532"/>
      <c r="AD911" s="1532"/>
      <c r="AE911" s="1532"/>
      <c r="AF911" s="1533"/>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826</v>
      </c>
      <c r="G912" s="5"/>
      <c r="H912" s="5"/>
      <c r="I912" s="5"/>
      <c r="J912" s="5"/>
      <c r="K912" s="5"/>
      <c r="L912" s="5"/>
      <c r="M912" s="5"/>
      <c r="N912" s="5"/>
      <c r="O912" s="5"/>
      <c r="P912" s="5"/>
      <c r="Q912" s="5"/>
      <c r="R912" s="5"/>
      <c r="S912" s="5"/>
      <c r="T912" s="46"/>
      <c r="U912" s="1519" t="s">
        <v>600</v>
      </c>
      <c r="V912" s="1520"/>
      <c r="W912" s="1520"/>
      <c r="X912" s="1520"/>
      <c r="Y912" s="1520"/>
      <c r="Z912" s="1521"/>
      <c r="AA912" s="1531"/>
      <c r="AB912" s="1532"/>
      <c r="AC912" s="1532"/>
      <c r="AD912" s="1532"/>
      <c r="AE912" s="1532"/>
      <c r="AF912" s="1533"/>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827</v>
      </c>
      <c r="G913" s="5"/>
      <c r="H913" s="5"/>
      <c r="I913" s="5"/>
      <c r="J913" s="5"/>
      <c r="K913" s="5"/>
      <c r="L913" s="5"/>
      <c r="M913" s="5"/>
      <c r="N913" s="5"/>
      <c r="O913" s="5"/>
      <c r="P913" s="5"/>
      <c r="Q913" s="5"/>
      <c r="R913" s="5"/>
      <c r="S913" s="5"/>
      <c r="T913" s="46"/>
      <c r="U913" s="1519" t="s">
        <v>600</v>
      </c>
      <c r="V913" s="1520"/>
      <c r="W913" s="1520"/>
      <c r="X913" s="1520"/>
      <c r="Y913" s="1520"/>
      <c r="Z913" s="1521"/>
      <c r="AA913" s="1531"/>
      <c r="AB913" s="1532"/>
      <c r="AC913" s="1532"/>
      <c r="AD913" s="1532"/>
      <c r="AE913" s="1532"/>
      <c r="AF913" s="1533"/>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1417</v>
      </c>
      <c r="G914" s="5"/>
      <c r="H914" s="5"/>
      <c r="I914" s="5"/>
      <c r="J914" s="5"/>
      <c r="K914" s="5"/>
      <c r="L914" s="5"/>
      <c r="M914" s="5"/>
      <c r="N914" s="5"/>
      <c r="O914" s="5"/>
      <c r="P914" s="5"/>
      <c r="Q914" s="5"/>
      <c r="R914" s="5"/>
      <c r="S914" s="5"/>
      <c r="T914" s="46"/>
      <c r="U914" s="1519" t="s">
        <v>600</v>
      </c>
      <c r="V914" s="1520"/>
      <c r="W914" s="1520"/>
      <c r="X914" s="1520"/>
      <c r="Y914" s="1520"/>
      <c r="Z914" s="1521"/>
      <c r="AA914" s="1531"/>
      <c r="AB914" s="1532"/>
      <c r="AC914" s="1532"/>
      <c r="AD914" s="1532"/>
      <c r="AE914" s="1532"/>
      <c r="AF914" s="1533"/>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1418</v>
      </c>
      <c r="G915" s="5"/>
      <c r="H915" s="5"/>
      <c r="I915" s="5"/>
      <c r="J915" s="5"/>
      <c r="K915" s="5"/>
      <c r="L915" s="5"/>
      <c r="M915" s="5"/>
      <c r="N915" s="5"/>
      <c r="O915" s="5"/>
      <c r="P915" s="5"/>
      <c r="Q915" s="5"/>
      <c r="R915" s="5"/>
      <c r="S915" s="5"/>
      <c r="T915" s="46"/>
      <c r="U915" s="1519" t="s">
        <v>600</v>
      </c>
      <c r="V915" s="1520"/>
      <c r="W915" s="1520"/>
      <c r="X915" s="1520"/>
      <c r="Y915" s="1520"/>
      <c r="Z915" s="1521"/>
      <c r="AA915" s="1531"/>
      <c r="AB915" s="1532"/>
      <c r="AC915" s="1532"/>
      <c r="AD915" s="1532"/>
      <c r="AE915" s="1532"/>
      <c r="AF915" s="1533"/>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831</v>
      </c>
      <c r="G916" s="5"/>
      <c r="H916" s="5"/>
      <c r="I916" s="5"/>
      <c r="J916" s="5"/>
      <c r="K916" s="5"/>
      <c r="L916" s="5"/>
      <c r="M916" s="5"/>
      <c r="N916" s="5"/>
      <c r="O916" s="5"/>
      <c r="P916" s="1519" t="s">
        <v>678</v>
      </c>
      <c r="Q916" s="1520"/>
      <c r="R916" s="1520"/>
      <c r="S916" s="1520"/>
      <c r="T916" s="1521"/>
      <c r="U916" s="1519" t="s">
        <v>600</v>
      </c>
      <c r="V916" s="1520"/>
      <c r="W916" s="1520"/>
      <c r="X916" s="1520"/>
      <c r="Y916" s="1520"/>
      <c r="Z916" s="1521"/>
      <c r="AA916" s="1531"/>
      <c r="AB916" s="1532"/>
      <c r="AC916" s="1532"/>
      <c r="AD916" s="1532"/>
      <c r="AE916" s="1532"/>
      <c r="AF916" s="1533"/>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537" t="s">
        <v>336</v>
      </c>
      <c r="J917" s="1538"/>
      <c r="K917" s="1538"/>
      <c r="L917" s="1538"/>
      <c r="M917" s="1538"/>
      <c r="N917" s="1538"/>
      <c r="O917" s="1538"/>
      <c r="P917" s="1538"/>
      <c r="Q917" s="1538"/>
      <c r="R917" s="1538"/>
      <c r="S917" s="1538"/>
      <c r="T917" s="1539"/>
      <c r="U917" s="1519" t="s">
        <v>600</v>
      </c>
      <c r="V917" s="1520"/>
      <c r="W917" s="1520"/>
      <c r="X917" s="1520"/>
      <c r="Y917" s="1520"/>
      <c r="Z917" s="1521"/>
      <c r="AA917" s="1531"/>
      <c r="AB917" s="1532"/>
      <c r="AC917" s="1532"/>
      <c r="AD917" s="1532"/>
      <c r="AE917" s="1532"/>
      <c r="AF917" s="1533"/>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546" t="s">
        <v>336</v>
      </c>
      <c r="J918" s="1547"/>
      <c r="K918" s="1547"/>
      <c r="L918" s="1547"/>
      <c r="M918" s="1547"/>
      <c r="N918" s="1547"/>
      <c r="O918" s="1547"/>
      <c r="P918" s="1547"/>
      <c r="Q918" s="1547"/>
      <c r="R918" s="1547"/>
      <c r="S918" s="1547"/>
      <c r="T918" s="1548"/>
      <c r="U918" s="1519" t="s">
        <v>600</v>
      </c>
      <c r="V918" s="1520"/>
      <c r="W918" s="1520"/>
      <c r="X918" s="1520"/>
      <c r="Y918" s="1520"/>
      <c r="Z918" s="1521"/>
      <c r="AA918" s="1531"/>
      <c r="AB918" s="1532"/>
      <c r="AC918" s="1532"/>
      <c r="AD918" s="1532"/>
      <c r="AE918" s="1532"/>
      <c r="AF918" s="1533"/>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546" t="s">
        <v>336</v>
      </c>
      <c r="J919" s="1547"/>
      <c r="K919" s="1547"/>
      <c r="L919" s="1547"/>
      <c r="M919" s="1547"/>
      <c r="N919" s="1547"/>
      <c r="O919" s="1547"/>
      <c r="P919" s="1547"/>
      <c r="Q919" s="1547"/>
      <c r="R919" s="1547"/>
      <c r="S919" s="1547"/>
      <c r="T919" s="1548"/>
      <c r="U919" s="1519" t="s">
        <v>600</v>
      </c>
      <c r="V919" s="1520"/>
      <c r="W919" s="1520"/>
      <c r="X919" s="1520"/>
      <c r="Y919" s="1520"/>
      <c r="Z919" s="1521"/>
      <c r="AA919" s="1531"/>
      <c r="AB919" s="1532"/>
      <c r="AC919" s="1532"/>
      <c r="AD919" s="1532"/>
      <c r="AE919" s="1532"/>
      <c r="AF919" s="1533"/>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546" t="s">
        <v>336</v>
      </c>
      <c r="J920" s="1547"/>
      <c r="K920" s="1547"/>
      <c r="L920" s="1547"/>
      <c r="M920" s="1547"/>
      <c r="N920" s="1547"/>
      <c r="O920" s="1547"/>
      <c r="P920" s="1547"/>
      <c r="Q920" s="1547"/>
      <c r="R920" s="1547"/>
      <c r="S920" s="1547"/>
      <c r="T920" s="1548"/>
      <c r="U920" s="1519" t="s">
        <v>600</v>
      </c>
      <c r="V920" s="1520"/>
      <c r="W920" s="1520"/>
      <c r="X920" s="1520"/>
      <c r="Y920" s="1520"/>
      <c r="Z920" s="1521"/>
      <c r="AA920" s="1531"/>
      <c r="AB920" s="1532"/>
      <c r="AC920" s="1532"/>
      <c r="AD920" s="1532"/>
      <c r="AE920" s="1532"/>
      <c r="AF920" s="1533"/>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73"/>
      <c r="N925" s="1674"/>
      <c r="O925" s="1674"/>
      <c r="P925" s="1674"/>
      <c r="Q925" s="1674"/>
      <c r="R925" s="1674"/>
      <c r="S925" s="1675"/>
      <c r="U925" s="66" t="s">
        <v>11</v>
      </c>
      <c r="V925" s="5"/>
      <c r="W925" s="5"/>
      <c r="X925" s="5"/>
      <c r="Y925" s="5"/>
      <c r="Z925" s="5"/>
      <c r="AA925" s="5"/>
      <c r="AB925" s="5"/>
      <c r="AC925" s="5"/>
      <c r="AD925" s="46"/>
      <c r="AE925" s="1673"/>
      <c r="AF925" s="1674"/>
      <c r="AG925" s="1674"/>
      <c r="AH925" s="1674"/>
      <c r="AI925" s="1674"/>
      <c r="AJ925" s="1674"/>
      <c r="AK925" s="167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28"/>
      <c r="N926" s="1623"/>
      <c r="O926" s="1623"/>
      <c r="P926" s="1623"/>
      <c r="Q926" s="1623"/>
      <c r="R926" s="1623"/>
      <c r="S926" s="1629"/>
      <c r="U926" s="66" t="s">
        <v>12</v>
      </c>
      <c r="V926" s="5"/>
      <c r="W926" s="5"/>
      <c r="X926" s="5"/>
      <c r="Y926" s="5"/>
      <c r="Z926" s="5"/>
      <c r="AA926" s="5"/>
      <c r="AB926" s="5"/>
      <c r="AC926" s="5"/>
      <c r="AD926" s="46"/>
      <c r="AE926" s="1628"/>
      <c r="AF926" s="1623"/>
      <c r="AG926" s="1623"/>
      <c r="AH926" s="1623"/>
      <c r="AI926" s="1623"/>
      <c r="AJ926" s="1623"/>
      <c r="AK926" s="1629"/>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909</v>
      </c>
      <c r="D927" s="5"/>
      <c r="E927" s="5"/>
      <c r="J927" s="1701" t="s">
        <v>309</v>
      </c>
      <c r="K927" s="1702"/>
      <c r="L927" s="1702"/>
      <c r="M927" s="1702"/>
      <c r="N927" s="1702"/>
      <c r="O927" s="1702"/>
      <c r="P927" s="1702"/>
      <c r="Q927" s="1702"/>
      <c r="R927" s="1702"/>
      <c r="S927" s="1703"/>
      <c r="U927" s="66" t="s">
        <v>909</v>
      </c>
      <c r="V927" s="5"/>
      <c r="W927" s="5"/>
      <c r="AB927" s="1701" t="s">
        <v>309</v>
      </c>
      <c r="AC927" s="1702"/>
      <c r="AD927" s="1702"/>
      <c r="AE927" s="1702"/>
      <c r="AF927" s="1702"/>
      <c r="AG927" s="1702"/>
      <c r="AH927" s="1702"/>
      <c r="AI927" s="1702"/>
      <c r="AJ927" s="1702"/>
      <c r="AK927" s="1703"/>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550"/>
      <c r="N928" s="1551"/>
      <c r="O928" s="1551"/>
      <c r="P928" s="1551"/>
      <c r="Q928" s="1551"/>
      <c r="R928" s="1551"/>
      <c r="S928" s="1552"/>
      <c r="U928" s="66" t="s">
        <v>13</v>
      </c>
      <c r="V928" s="5"/>
      <c r="W928" s="5"/>
      <c r="X928" s="5"/>
      <c r="Y928" s="5"/>
      <c r="Z928" s="5"/>
      <c r="AA928" s="5"/>
      <c r="AB928" s="5"/>
      <c r="AC928" s="5"/>
      <c r="AD928" s="46"/>
      <c r="AE928" s="1683"/>
      <c r="AF928" s="1551"/>
      <c r="AG928" s="1551"/>
      <c r="AH928" s="1551"/>
      <c r="AI928" s="1551"/>
      <c r="AJ928" s="1551"/>
      <c r="AK928" s="155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588"/>
      <c r="N929" s="1589"/>
      <c r="O929" s="1589"/>
      <c r="P929" s="1589"/>
      <c r="Q929" s="1589"/>
      <c r="R929" s="1589"/>
      <c r="S929" s="1590"/>
      <c r="U929" s="66" t="s">
        <v>14</v>
      </c>
      <c r="V929" s="5"/>
      <c r="W929" s="5"/>
      <c r="X929" s="5"/>
      <c r="Y929" s="5"/>
      <c r="Z929" s="5"/>
      <c r="AA929" s="5"/>
      <c r="AB929" s="5"/>
      <c r="AC929" s="5"/>
      <c r="AD929" s="46"/>
      <c r="AE929" s="1588"/>
      <c r="AF929" s="1589"/>
      <c r="AG929" s="1589"/>
      <c r="AH929" s="1589"/>
      <c r="AI929" s="1589"/>
      <c r="AJ929" s="1589"/>
      <c r="AK929" s="1590"/>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531"/>
      <c r="N930" s="1532"/>
      <c r="O930" s="1532"/>
      <c r="P930" s="1532"/>
      <c r="Q930" s="1532"/>
      <c r="R930" s="1532"/>
      <c r="S930" s="1533"/>
      <c r="U930" s="66" t="s">
        <v>15</v>
      </c>
      <c r="V930" s="5"/>
      <c r="W930" s="5"/>
      <c r="X930" s="5"/>
      <c r="Y930" s="5"/>
      <c r="Z930" s="5"/>
      <c r="AA930" s="5"/>
      <c r="AB930" s="5"/>
      <c r="AC930" s="5"/>
      <c r="AD930" s="46"/>
      <c r="AE930" s="1531"/>
      <c r="AF930" s="1532"/>
      <c r="AG930" s="1532"/>
      <c r="AH930" s="1532"/>
      <c r="AI930" s="1532"/>
      <c r="AJ930" s="1532"/>
      <c r="AK930" s="1533"/>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531"/>
      <c r="N931" s="1532"/>
      <c r="O931" s="1532"/>
      <c r="P931" s="1532"/>
      <c r="Q931" s="1532"/>
      <c r="R931" s="1532"/>
      <c r="S931" s="1533"/>
      <c r="U931" s="66" t="s">
        <v>16</v>
      </c>
      <c r="V931" s="5"/>
      <c r="W931" s="5"/>
      <c r="X931" s="5"/>
      <c r="Y931" s="5"/>
      <c r="Z931" s="5"/>
      <c r="AA931" s="5"/>
      <c r="AB931" s="5"/>
      <c r="AC931" s="5"/>
      <c r="AD931" s="46"/>
      <c r="AE931" s="1531"/>
      <c r="AF931" s="1532"/>
      <c r="AG931" s="1532"/>
      <c r="AH931" s="1532"/>
      <c r="AI931" s="1532"/>
      <c r="AJ931" s="1532"/>
      <c r="AK931" s="1533"/>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1840</v>
      </c>
      <c r="D932" s="5"/>
      <c r="E932" s="5"/>
      <c r="F932" s="5"/>
      <c r="G932" s="5"/>
      <c r="H932" s="5"/>
      <c r="I932" s="5"/>
      <c r="J932" s="5"/>
      <c r="K932" s="5"/>
      <c r="L932" s="46"/>
      <c r="M932" s="1439"/>
      <c r="N932" s="1440"/>
      <c r="O932" s="1440"/>
      <c r="P932" s="1440"/>
      <c r="Q932" s="1440"/>
      <c r="R932" s="1440"/>
      <c r="S932" s="1441"/>
      <c r="U932" s="121" t="s">
        <v>1840</v>
      </c>
      <c r="V932" s="5"/>
      <c r="W932" s="5"/>
      <c r="X932" s="5"/>
      <c r="Y932" s="5"/>
      <c r="Z932" s="5"/>
      <c r="AA932" s="5"/>
      <c r="AB932" s="5"/>
      <c r="AC932" s="5"/>
      <c r="AD932" s="46"/>
      <c r="AE932" s="1439"/>
      <c r="AF932" s="1440"/>
      <c r="AG932" s="1440"/>
      <c r="AH932" s="1440"/>
      <c r="AI932" s="1440"/>
      <c r="AJ932" s="1440"/>
      <c r="AK932" s="1441"/>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580</v>
      </c>
      <c r="G937" s="5"/>
      <c r="H937" s="5"/>
      <c r="I937" s="5"/>
      <c r="J937" s="5"/>
      <c r="K937" s="5"/>
      <c r="L937" s="46"/>
      <c r="M937" s="1540"/>
      <c r="N937" s="1541"/>
      <c r="O937" s="1541"/>
      <c r="P937" s="1541"/>
      <c r="Q937" s="1541"/>
      <c r="R937" s="1541"/>
      <c r="S937" s="1542"/>
      <c r="T937" s="66" t="s">
        <v>814</v>
      </c>
      <c r="U937" s="5"/>
      <c r="V937" s="5"/>
      <c r="W937" s="5"/>
      <c r="X937" s="5"/>
      <c r="Y937" s="5"/>
      <c r="Z937" s="46"/>
      <c r="AA937" s="1540"/>
      <c r="AB937" s="1541"/>
      <c r="AC937" s="1541"/>
      <c r="AD937" s="1541"/>
      <c r="AE937" s="1541"/>
      <c r="AF937" s="1541"/>
      <c r="AG937" s="1542"/>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581</v>
      </c>
      <c r="G938" s="5"/>
      <c r="H938" s="5"/>
      <c r="I938" s="5"/>
      <c r="J938" s="5"/>
      <c r="K938" s="5"/>
      <c r="L938" s="46"/>
      <c r="M938" s="1540"/>
      <c r="N938" s="1541"/>
      <c r="O938" s="1541"/>
      <c r="P938" s="1541"/>
      <c r="Q938" s="1541"/>
      <c r="R938" s="1541"/>
      <c r="S938" s="1542"/>
      <c r="T938" s="66" t="s">
        <v>813</v>
      </c>
      <c r="U938" s="5"/>
      <c r="V938" s="5"/>
      <c r="W938" s="5"/>
      <c r="X938" s="5"/>
      <c r="Y938" s="5"/>
      <c r="Z938" s="46"/>
      <c r="AA938" s="1540"/>
      <c r="AB938" s="1541"/>
      <c r="AC938" s="1541"/>
      <c r="AD938" s="1541"/>
      <c r="AE938" s="1541"/>
      <c r="AF938" s="1541"/>
      <c r="AG938" s="1542"/>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934</v>
      </c>
      <c r="G939" s="5"/>
      <c r="H939" s="5"/>
      <c r="I939" s="5"/>
      <c r="J939" s="5"/>
      <c r="K939" s="5"/>
      <c r="L939" s="46"/>
      <c r="M939" s="1679" t="s">
        <v>600</v>
      </c>
      <c r="N939" s="1680"/>
      <c r="O939" s="1680"/>
      <c r="P939" s="1680"/>
      <c r="Q939" s="1680"/>
      <c r="R939" s="1680"/>
      <c r="S939" s="1681"/>
      <c r="T939" s="45" t="s">
        <v>339</v>
      </c>
      <c r="U939" s="5"/>
      <c r="V939" s="5"/>
      <c r="W939" s="5"/>
      <c r="X939" s="5"/>
      <c r="Y939" s="5"/>
      <c r="Z939" s="46"/>
      <c r="AA939" s="1540"/>
      <c r="AB939" s="1541"/>
      <c r="AC939" s="1541"/>
      <c r="AD939" s="1541"/>
      <c r="AE939" s="1541"/>
      <c r="AF939" s="1541"/>
      <c r="AG939" s="1542"/>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582</v>
      </c>
      <c r="G940" s="5"/>
      <c r="H940" s="5"/>
      <c r="I940" s="5"/>
      <c r="J940" s="5"/>
      <c r="K940" s="5"/>
      <c r="L940" s="46"/>
      <c r="M940" s="1540"/>
      <c r="N940" s="1541"/>
      <c r="O940" s="1541"/>
      <c r="P940" s="1541"/>
      <c r="Q940" s="1541"/>
      <c r="R940" s="1541"/>
      <c r="S940" s="1542"/>
      <c r="T940" s="45" t="s">
        <v>340</v>
      </c>
      <c r="U940" s="5"/>
      <c r="V940" s="5"/>
      <c r="W940" s="5"/>
      <c r="X940" s="5"/>
      <c r="Y940" s="5"/>
      <c r="Z940" s="46"/>
      <c r="AA940" s="1540"/>
      <c r="AB940" s="1541"/>
      <c r="AC940" s="1541"/>
      <c r="AD940" s="1541"/>
      <c r="AE940" s="1541"/>
      <c r="AF940" s="1541"/>
      <c r="AG940" s="1542"/>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473</v>
      </c>
      <c r="G941" s="5"/>
      <c r="H941" s="5"/>
      <c r="I941" s="5"/>
      <c r="J941" s="5"/>
      <c r="K941" s="5"/>
      <c r="L941" s="46"/>
      <c r="M941" s="1540"/>
      <c r="N941" s="1541"/>
      <c r="O941" s="1541"/>
      <c r="P941" s="1541"/>
      <c r="Q941" s="1541"/>
      <c r="R941" s="1541"/>
      <c r="S941" s="1542"/>
      <c r="T941" s="45" t="s">
        <v>378</v>
      </c>
      <c r="U941" s="5"/>
      <c r="V941" s="5"/>
      <c r="W941" s="5"/>
      <c r="X941" s="5"/>
      <c r="Y941" s="5"/>
      <c r="Z941" s="46"/>
      <c r="AA941" s="1540"/>
      <c r="AB941" s="1541"/>
      <c r="AC941" s="1541"/>
      <c r="AD941" s="1541"/>
      <c r="AE941" s="1541"/>
      <c r="AF941" s="1541"/>
      <c r="AG941" s="1542"/>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909</v>
      </c>
      <c r="G942" s="42"/>
      <c r="H942" s="42"/>
      <c r="I942" s="42"/>
      <c r="J942" s="42"/>
      <c r="K942" s="42"/>
      <c r="L942" s="58"/>
      <c r="M942" s="1687" t="s">
        <v>309</v>
      </c>
      <c r="N942" s="1688"/>
      <c r="O942" s="1688"/>
      <c r="P942" s="1688"/>
      <c r="Q942" s="1688"/>
      <c r="R942" s="1688"/>
      <c r="S942" s="1689"/>
      <c r="T942" s="1534"/>
      <c r="U942" s="1535"/>
      <c r="V942" s="1535"/>
      <c r="W942" s="1535"/>
      <c r="X942" s="1535"/>
      <c r="Y942" s="1535"/>
      <c r="Z942" s="1536"/>
      <c r="AA942" s="1540"/>
      <c r="AB942" s="1541"/>
      <c r="AC942" s="1541"/>
      <c r="AD942" s="1541"/>
      <c r="AE942" s="1541"/>
      <c r="AF942" s="1541"/>
      <c r="AG942" s="1542"/>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474</v>
      </c>
      <c r="G943" s="42"/>
      <c r="H943" s="42"/>
      <c r="I943" s="42"/>
      <c r="J943" s="42"/>
      <c r="K943" s="42"/>
      <c r="L943" s="58"/>
      <c r="M943" s="1540"/>
      <c r="N943" s="1541"/>
      <c r="O943" s="1541"/>
      <c r="P943" s="1541"/>
      <c r="Q943" s="1541"/>
      <c r="R943" s="1541"/>
      <c r="S943" s="1542"/>
      <c r="T943" s="1534"/>
      <c r="U943" s="1535"/>
      <c r="V943" s="1535"/>
      <c r="W943" s="1535"/>
      <c r="X943" s="1535"/>
      <c r="Y943" s="1535"/>
      <c r="Z943" s="1536"/>
      <c r="AA943" s="1540"/>
      <c r="AB943" s="1541"/>
      <c r="AC943" s="1541"/>
      <c r="AD943" s="1541"/>
      <c r="AE943" s="1541"/>
      <c r="AF943" s="1541"/>
      <c r="AG943" s="1542"/>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676" t="s">
        <v>678</v>
      </c>
      <c r="P944" s="1677"/>
      <c r="Q944" s="92"/>
      <c r="R944" s="92"/>
      <c r="S944" s="93"/>
      <c r="T944" s="41" t="s">
        <v>171</v>
      </c>
      <c r="U944" s="42"/>
      <c r="V944" s="42"/>
      <c r="W944" s="1684" t="s">
        <v>336</v>
      </c>
      <c r="X944" s="1685"/>
      <c r="Y944" s="1685"/>
      <c r="Z944" s="1685"/>
      <c r="AA944" s="1685"/>
      <c r="AB944" s="1685"/>
      <c r="AC944" s="1685"/>
      <c r="AD944" s="1685"/>
      <c r="AE944" s="1685"/>
      <c r="AF944" s="1685"/>
      <c r="AG944" s="1686"/>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78" t="s">
        <v>33</v>
      </c>
      <c r="G945" s="1352"/>
      <c r="H945" s="1352"/>
      <c r="I945" s="1352"/>
      <c r="J945" s="1352"/>
      <c r="K945" s="1352"/>
      <c r="L945" s="1352"/>
      <c r="M945" s="1540"/>
      <c r="N945" s="1541"/>
      <c r="O945" s="1541"/>
      <c r="P945" s="1541"/>
      <c r="Q945" s="1541"/>
      <c r="R945" s="1541"/>
      <c r="S945" s="1542"/>
      <c r="T945" s="47"/>
      <c r="U945" s="48"/>
      <c r="V945" s="48"/>
      <c r="W945" s="48"/>
      <c r="X945" s="48"/>
      <c r="Y945" s="48"/>
      <c r="Z945" s="124" t="s">
        <v>135</v>
      </c>
      <c r="AA945" s="1528"/>
      <c r="AB945" s="1529"/>
      <c r="AC945" s="1529"/>
      <c r="AD945" s="1529"/>
      <c r="AE945" s="1529"/>
      <c r="AF945" s="1529"/>
      <c r="AG945" s="1530"/>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706" t="s">
        <v>557</v>
      </c>
      <c r="B949" s="1706"/>
      <c r="C949" s="1706"/>
      <c r="D949" s="1706"/>
      <c r="E949" s="1706"/>
      <c r="F949" s="1706"/>
      <c r="G949" s="1706"/>
      <c r="H949" s="1706"/>
      <c r="I949" s="1706"/>
      <c r="J949" s="1706"/>
      <c r="K949" s="1706"/>
      <c r="L949" s="1706"/>
      <c r="M949" s="1706"/>
      <c r="N949" s="1706"/>
      <c r="O949" s="1706"/>
      <c r="P949" s="1706"/>
      <c r="Q949" s="1706"/>
      <c r="R949" s="1706"/>
      <c r="S949" s="1706"/>
      <c r="T949" s="1706"/>
      <c r="U949" s="1706"/>
      <c r="V949" s="1706"/>
      <c r="W949" s="1706"/>
      <c r="X949" s="1706"/>
      <c r="Y949" s="1706"/>
      <c r="Z949" s="1706"/>
      <c r="AA949" s="1706"/>
      <c r="AB949" s="1706"/>
      <c r="AC949" s="1706"/>
      <c r="AD949" s="1706"/>
      <c r="AE949" s="1706"/>
      <c r="AF949" s="1706"/>
      <c r="AG949" s="1706"/>
      <c r="AH949" s="1706"/>
      <c r="AI949" s="1706"/>
      <c r="AJ949" s="1706"/>
      <c r="AK949" s="1706"/>
      <c r="AL949" s="1706"/>
      <c r="AM949" s="1706"/>
      <c r="AN949" s="1706"/>
      <c r="AO949" s="1706"/>
      <c r="AP949" s="1706"/>
      <c r="AQ949" s="1706"/>
      <c r="AR949" s="1706"/>
      <c r="AS949" s="1706"/>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706"/>
      <c r="B950" s="1706"/>
      <c r="C950" s="1706"/>
      <c r="D950" s="1706"/>
      <c r="E950" s="1706"/>
      <c r="F950" s="1706"/>
      <c r="G950" s="1706"/>
      <c r="H950" s="1706"/>
      <c r="I950" s="1706"/>
      <c r="J950" s="1706"/>
      <c r="K950" s="1706"/>
      <c r="L950" s="1706"/>
      <c r="M950" s="1706"/>
      <c r="N950" s="1706"/>
      <c r="O950" s="1706"/>
      <c r="P950" s="1706"/>
      <c r="Q950" s="1706"/>
      <c r="R950" s="1706"/>
      <c r="S950" s="1706"/>
      <c r="T950" s="1706"/>
      <c r="U950" s="1706"/>
      <c r="V950" s="1706"/>
      <c r="W950" s="1706"/>
      <c r="X950" s="1706"/>
      <c r="Y950" s="1706"/>
      <c r="Z950" s="1706"/>
      <c r="AA950" s="1706"/>
      <c r="AB950" s="1706"/>
      <c r="AC950" s="1706"/>
      <c r="AD950" s="1706"/>
      <c r="AE950" s="1706"/>
      <c r="AF950" s="1706"/>
      <c r="AG950" s="1706"/>
      <c r="AH950" s="1706"/>
      <c r="AI950" s="1706"/>
      <c r="AJ950" s="1706"/>
      <c r="AK950" s="1706"/>
      <c r="AL950" s="1706"/>
      <c r="AM950" s="1706"/>
      <c r="AN950" s="1706"/>
      <c r="AO950" s="1706"/>
      <c r="AP950" s="1706"/>
      <c r="AQ950" s="1706"/>
      <c r="AR950" s="1706"/>
      <c r="AS950" s="1706"/>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46"/>
      <c r="BH951" s="1646"/>
      <c r="BI951" s="1646"/>
      <c r="BJ951" s="1646"/>
      <c r="BK951" s="1646"/>
      <c r="BL951" s="1646"/>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480" t="s">
        <v>647</v>
      </c>
      <c r="E954" s="1481"/>
      <c r="F954" s="1481"/>
      <c r="G954" s="1481"/>
      <c r="H954" s="1481"/>
      <c r="I954" s="1481"/>
      <c r="J954" s="1481"/>
      <c r="K954" s="1481"/>
      <c r="L954" s="1481"/>
      <c r="M954" s="1481"/>
      <c r="N954" s="1481"/>
      <c r="O954" s="1481"/>
      <c r="P954" s="1481"/>
      <c r="Q954" s="1482"/>
      <c r="R954" s="1480" t="s">
        <v>648</v>
      </c>
      <c r="S954" s="1481"/>
      <c r="T954" s="1481"/>
      <c r="U954" s="1481"/>
      <c r="V954" s="1481"/>
      <c r="W954" s="1481"/>
      <c r="X954" s="1481"/>
      <c r="Y954" s="1481"/>
      <c r="Z954" s="1481"/>
      <c r="AA954" s="1482"/>
      <c r="AB954" s="1480" t="s">
        <v>649</v>
      </c>
      <c r="AC954" s="1481"/>
      <c r="AD954" s="1481"/>
      <c r="AE954" s="1481"/>
      <c r="AF954" s="1481"/>
      <c r="AG954" s="1481"/>
      <c r="AH954" s="1481"/>
      <c r="AI954" s="1482"/>
      <c r="AJ954" s="1480" t="s">
        <v>650</v>
      </c>
      <c r="AK954" s="1481"/>
      <c r="AL954" s="1481"/>
      <c r="AM954" s="1481"/>
      <c r="AN954" s="1481"/>
      <c r="AO954" s="1481"/>
      <c r="AP954" s="1481"/>
      <c r="AQ954" s="1482"/>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477" t="s">
        <v>642</v>
      </c>
      <c r="E955" s="1478"/>
      <c r="F955" s="1478"/>
      <c r="G955" s="1478"/>
      <c r="H955" s="1478"/>
      <c r="I955" s="1478"/>
      <c r="J955" s="1478"/>
      <c r="K955" s="1478"/>
      <c r="L955" s="1478"/>
      <c r="M955" s="1478"/>
      <c r="N955" s="1478"/>
      <c r="O955" s="1478"/>
      <c r="P955" s="1478"/>
      <c r="Q955" s="1479"/>
      <c r="R955" s="1518">
        <f>IF(ISNA(IF($BN$785="4%",(INDEX($BP$795:$BT$852,MATCH($CB$785,$BO$795:$BO$852,0),MATCH(D955,$BP$794:$BT$794,0))),(INDEX($BW$795:$CA$852,MATCH($CB$785,$BV$795:$BV$852,0),MATCH(D955,$BW$794:$CA$794,0))))),0,IF($BN$785="4%",(INDEX($BP$795:$BT$852,MATCH($CB$785,$BO$795:$BO$852,0),MATCH(D955,$BP$794:$BT$794,0))),(INDEX($BW$795:$CA$852,MATCH($CB$785,$BV$795:$BV$852,0),MATCH(D955,$BW$794:$CA$794,0)))))</f>
        <v>437727</v>
      </c>
      <c r="S955" s="1518"/>
      <c r="T955" s="1518"/>
      <c r="U955" s="1518"/>
      <c r="V955" s="1518"/>
      <c r="W955" s="1518"/>
      <c r="X955" s="1518"/>
      <c r="Y955" s="1518"/>
      <c r="Z955" s="1518"/>
      <c r="AA955" s="1518"/>
      <c r="AB955" s="1436">
        <f>BN649</f>
        <v>40</v>
      </c>
      <c r="AC955" s="1437"/>
      <c r="AD955" s="1437"/>
      <c r="AE955" s="1437"/>
      <c r="AF955" s="1437"/>
      <c r="AG955" s="1437"/>
      <c r="AH955" s="1437"/>
      <c r="AI955" s="1438"/>
      <c r="AJ955" s="1449">
        <f>IF(ISERROR((R955*AB955)),0,(R955*AB955))</f>
        <v>17509080</v>
      </c>
      <c r="AK955" s="1450"/>
      <c r="AL955" s="1450"/>
      <c r="AM955" s="1450"/>
      <c r="AN955" s="1450"/>
      <c r="AO955" s="1450"/>
      <c r="AP955" s="1450"/>
      <c r="AQ955" s="1451"/>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477" t="s">
        <v>327</v>
      </c>
      <c r="E956" s="1478"/>
      <c r="F956" s="1478"/>
      <c r="G956" s="1478"/>
      <c r="H956" s="1478"/>
      <c r="I956" s="1478"/>
      <c r="J956" s="1478"/>
      <c r="K956" s="1478"/>
      <c r="L956" s="1478"/>
      <c r="M956" s="1478"/>
      <c r="N956" s="1478"/>
      <c r="O956" s="1478"/>
      <c r="P956" s="1478"/>
      <c r="Q956" s="1479"/>
      <c r="R956" s="1518">
        <f>IF(ISNA(IF($BN$785="4%",(INDEX($BP$795:$BT$852,MATCH($CB$785,$BO$795:$BO$852,0),MATCH(D956,$BP$794:$BT$794,0))),(INDEX($BW$795:$CA$852,MATCH($CB$785,$BV$795:$BV$852,0),MATCH(D956,$BW$794:$CA$794,0))))),0,IF($BN$785="4%",(INDEX($BP$795:$BT$852,MATCH($CB$785,$BO$795:$BO$852,0),MATCH(D956,$BP$794:$BT$794,0))),(INDEX($BW$795:$CA$852,MATCH($CB$785,$BV$795:$BV$852,0),MATCH(D956,$BW$794:$CA$794,0)))))</f>
        <v>504695</v>
      </c>
      <c r="S956" s="1518"/>
      <c r="T956" s="1518"/>
      <c r="U956" s="1518"/>
      <c r="V956" s="1518"/>
      <c r="W956" s="1518"/>
      <c r="X956" s="1518"/>
      <c r="Y956" s="1518"/>
      <c r="Z956" s="1518"/>
      <c r="AA956" s="1518"/>
      <c r="AB956" s="1436">
        <f>BS649</f>
        <v>41</v>
      </c>
      <c r="AC956" s="1437"/>
      <c r="AD956" s="1437"/>
      <c r="AE956" s="1437"/>
      <c r="AF956" s="1437"/>
      <c r="AG956" s="1437"/>
      <c r="AH956" s="1437"/>
      <c r="AI956" s="1438"/>
      <c r="AJ956" s="1449">
        <f>IF(ISERROR((R956*AB956)),0,(R956*AB956))</f>
        <v>20692495</v>
      </c>
      <c r="AK956" s="1450"/>
      <c r="AL956" s="1450"/>
      <c r="AM956" s="1450"/>
      <c r="AN956" s="1450"/>
      <c r="AO956" s="1450"/>
      <c r="AP956" s="1450"/>
      <c r="AQ956" s="1451"/>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477" t="s">
        <v>164</v>
      </c>
      <c r="E957" s="1478"/>
      <c r="F957" s="1478"/>
      <c r="G957" s="1478"/>
      <c r="H957" s="1478"/>
      <c r="I957" s="1478"/>
      <c r="J957" s="1478"/>
      <c r="K957" s="1478"/>
      <c r="L957" s="1478"/>
      <c r="M957" s="1478"/>
      <c r="N957" s="1478"/>
      <c r="O957" s="1478"/>
      <c r="P957" s="1478"/>
      <c r="Q957" s="1479"/>
      <c r="R957" s="1518">
        <f>IF(ISNA(IF($BN$785="4%",(INDEX($BP$795:$BT$852,MATCH($CB$785,$BO$795:$BO$852,0),MATCH(D957,$BP$794:$BT$794,0))),(INDEX($BW$795:$CA$852,MATCH($CB$785,$BV$795:$BV$852,0),MATCH(D957,$BW$794:$CA$794,0))))),0,IF($BN$785="4%",(INDEX($BP$795:$BT$852,MATCH($CB$785,$BO$795:$BO$852,0),MATCH(D957,$BP$794:$BT$794,0))),(INDEX($BW$795:$CA$852,MATCH($CB$785,$BV$795:$BV$852,0),MATCH(D957,$BW$794:$CA$794,0)))))</f>
        <v>608800</v>
      </c>
      <c r="S957" s="1518"/>
      <c r="T957" s="1518"/>
      <c r="U957" s="1518"/>
      <c r="V957" s="1518"/>
      <c r="W957" s="1518"/>
      <c r="X957" s="1518"/>
      <c r="Y957" s="1518"/>
      <c r="Z957" s="1518"/>
      <c r="AA957" s="1518"/>
      <c r="AB957" s="1436">
        <f>BX649</f>
        <v>46</v>
      </c>
      <c r="AC957" s="1437"/>
      <c r="AD957" s="1437"/>
      <c r="AE957" s="1437"/>
      <c r="AF957" s="1437"/>
      <c r="AG957" s="1437"/>
      <c r="AH957" s="1437"/>
      <c r="AI957" s="1438"/>
      <c r="AJ957" s="1449">
        <f>IF(ISERROR((R957*AB957)),0,(R957*AB957))</f>
        <v>28004800</v>
      </c>
      <c r="AK957" s="1450"/>
      <c r="AL957" s="1450"/>
      <c r="AM957" s="1450"/>
      <c r="AN957" s="1450"/>
      <c r="AO957" s="1450"/>
      <c r="AP957" s="1450"/>
      <c r="AQ957" s="1451"/>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477" t="s">
        <v>165</v>
      </c>
      <c r="E958" s="1478"/>
      <c r="F958" s="1478"/>
      <c r="G958" s="1478"/>
      <c r="H958" s="1478"/>
      <c r="I958" s="1478"/>
      <c r="J958" s="1478"/>
      <c r="K958" s="1478"/>
      <c r="L958" s="1478"/>
      <c r="M958" s="1478"/>
      <c r="N958" s="1478"/>
      <c r="O958" s="1478"/>
      <c r="P958" s="1478"/>
      <c r="Q958" s="1479"/>
      <c r="R958" s="1518">
        <f>IF(ISNA(IF($BN$785="4%",(INDEX($BP$795:$BT$852,MATCH($CB$785,$BO$795:$BO$852,0),MATCH(D958,$BP$794:$BT$794,0))),(INDEX($BW$795:$CA$852,MATCH($CB$785,$BV$795:$BV$852,0),MATCH(D958,$BW$794:$CA$794,0))))),0,IF($BN$785="4%",(INDEX($BP$795:$BT$852,MATCH($CB$785,$BO$795:$BO$852,0),MATCH(D958,$BP$794:$BT$794,0))),(INDEX($BW$795:$CA$852,MATCH($CB$785,$BV$795:$BV$852,0),MATCH(D958,$BW$794:$CA$794,0)))))</f>
        <v>779264</v>
      </c>
      <c r="S958" s="1518"/>
      <c r="T958" s="1518"/>
      <c r="U958" s="1518"/>
      <c r="V958" s="1518"/>
      <c r="W958" s="1518"/>
      <c r="X958" s="1518"/>
      <c r="Y958" s="1518"/>
      <c r="Z958" s="1518"/>
      <c r="AA958" s="1518"/>
      <c r="AB958" s="1436">
        <f>CC649</f>
        <v>46</v>
      </c>
      <c r="AC958" s="1437"/>
      <c r="AD958" s="1437"/>
      <c r="AE958" s="1437"/>
      <c r="AF958" s="1437"/>
      <c r="AG958" s="1437"/>
      <c r="AH958" s="1437"/>
      <c r="AI958" s="1438"/>
      <c r="AJ958" s="1449">
        <f>IF(ISERROR((R958*AB958)),0,(R958*AB958))</f>
        <v>35846144</v>
      </c>
      <c r="AK958" s="1450"/>
      <c r="AL958" s="1450"/>
      <c r="AM958" s="1450"/>
      <c r="AN958" s="1450"/>
      <c r="AO958" s="1450"/>
      <c r="AP958" s="1450"/>
      <c r="AQ958" s="1451"/>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477" t="s">
        <v>469</v>
      </c>
      <c r="E959" s="1478"/>
      <c r="F959" s="1478"/>
      <c r="G959" s="1478"/>
      <c r="H959" s="1478"/>
      <c r="I959" s="1478"/>
      <c r="J959" s="1478"/>
      <c r="K959" s="1478"/>
      <c r="L959" s="1478"/>
      <c r="M959" s="1478"/>
      <c r="N959" s="1478"/>
      <c r="O959" s="1478"/>
      <c r="P959" s="1478"/>
      <c r="Q959" s="1479"/>
      <c r="R959" s="1518">
        <f>IF(ISNA(IF($BN$785="4%",(INDEX($BP$795:$BT$852,MATCH($CB$785,$BO$795:$BO$852,0),MATCH(D959,$BP$794:$BT$794,0))),(INDEX($BW$795:$CA$852,MATCH($CB$785,$BV$795:$BV$852,0),MATCH(D959,$BW$794:$CA$794,0))))),0,IF($BN$785="4%",(INDEX($BP$795:$BT$852,MATCH($CB$785,$BO$795:$BO$852,0),MATCH(D959,$BP$794:$BT$794,0))),(INDEX($BW$795:$CA$852,MATCH($CB$785,$BV$795:$BV$852,0),MATCH(D959,$BW$794:$CA$794,0)))))</f>
        <v>868149</v>
      </c>
      <c r="S959" s="1518"/>
      <c r="T959" s="1518"/>
      <c r="U959" s="1518"/>
      <c r="V959" s="1518"/>
      <c r="W959" s="1518"/>
      <c r="X959" s="1518"/>
      <c r="Y959" s="1518"/>
      <c r="Z959" s="1518"/>
      <c r="AA959" s="1518"/>
      <c r="AB959" s="1436">
        <f>CM649+CH649</f>
        <v>0</v>
      </c>
      <c r="AC959" s="1437"/>
      <c r="AD959" s="1437"/>
      <c r="AE959" s="1437"/>
      <c r="AF959" s="1437"/>
      <c r="AG959" s="1437"/>
      <c r="AH959" s="1437"/>
      <c r="AI959" s="1438"/>
      <c r="AJ959" s="1449">
        <f>IF(ISERROR((R959*AB959)),0,(R959*AB959))</f>
        <v>0</v>
      </c>
      <c r="AK959" s="1450"/>
      <c r="AL959" s="1450"/>
      <c r="AM959" s="1450"/>
      <c r="AN959" s="1450"/>
      <c r="AO959" s="1450"/>
      <c r="AP959" s="1450"/>
      <c r="AQ959" s="1451"/>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497" t="s">
        <v>815</v>
      </c>
      <c r="C960" s="1498"/>
      <c r="D960" s="1498"/>
      <c r="E960" s="1498"/>
      <c r="F960" s="1498"/>
      <c r="G960" s="1498"/>
      <c r="H960" s="1498"/>
      <c r="I960" s="1498"/>
      <c r="J960" s="1498"/>
      <c r="K960" s="1498"/>
      <c r="L960" s="1498"/>
      <c r="M960" s="1498"/>
      <c r="N960" s="1498"/>
      <c r="O960" s="1498"/>
      <c r="P960" s="1498"/>
      <c r="Q960" s="1498"/>
      <c r="R960" s="1498"/>
      <c r="S960" s="1498"/>
      <c r="T960" s="1498"/>
      <c r="U960" s="1498"/>
      <c r="V960" s="1498"/>
      <c r="W960" s="1498"/>
      <c r="X960" s="1498"/>
      <c r="Y960" s="1498"/>
      <c r="Z960" s="1498"/>
      <c r="AA960" s="1499"/>
      <c r="AB960" s="1436">
        <f>SUM(AB955:AI959)</f>
        <v>173</v>
      </c>
      <c r="AC960" s="1437"/>
      <c r="AD960" s="1437"/>
      <c r="AE960" s="1437"/>
      <c r="AF960" s="1437"/>
      <c r="AG960" s="1437"/>
      <c r="AH960" s="1437"/>
      <c r="AI960" s="1438"/>
      <c r="AJ960" s="1449"/>
      <c r="AK960" s="1450"/>
      <c r="AL960" s="1450"/>
      <c r="AM960" s="1450"/>
      <c r="AN960" s="1450"/>
      <c r="AO960" s="1450"/>
      <c r="AP960" s="1450"/>
      <c r="AQ960" s="1451"/>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515" t="s">
        <v>521</v>
      </c>
      <c r="C961" s="1516"/>
      <c r="D961" s="1516"/>
      <c r="E961" s="1516"/>
      <c r="F961" s="1516"/>
      <c r="G961" s="1516"/>
      <c r="H961" s="1516"/>
      <c r="I961" s="1516"/>
      <c r="J961" s="1516"/>
      <c r="K961" s="1516"/>
      <c r="L961" s="1516"/>
      <c r="M961" s="1516"/>
      <c r="N961" s="1516"/>
      <c r="O961" s="1516"/>
      <c r="P961" s="1516"/>
      <c r="Q961" s="1516"/>
      <c r="R961" s="1516"/>
      <c r="S961" s="1516"/>
      <c r="T961" s="1516"/>
      <c r="U961" s="1516"/>
      <c r="V961" s="1516"/>
      <c r="W961" s="1516"/>
      <c r="X961" s="1516"/>
      <c r="Y961" s="1516"/>
      <c r="Z961" s="1516"/>
      <c r="AA961" s="1516"/>
      <c r="AB961" s="1516"/>
      <c r="AC961" s="1516"/>
      <c r="AD961" s="1516"/>
      <c r="AE961" s="1516"/>
      <c r="AF961" s="1516"/>
      <c r="AG961" s="1516"/>
      <c r="AH961" s="1516"/>
      <c r="AI961" s="1517"/>
      <c r="AJ961" s="1449">
        <f>SUM(AJ955:AQ959)</f>
        <v>102052519</v>
      </c>
      <c r="AK961" s="1450"/>
      <c r="AL961" s="1450"/>
      <c r="AM961" s="1450"/>
      <c r="AN961" s="1450"/>
      <c r="AO961" s="1450"/>
      <c r="AP961" s="1450"/>
      <c r="AQ961" s="1451"/>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452"/>
      <c r="C962" s="1453"/>
      <c r="D962" s="1453"/>
      <c r="E962" s="1453"/>
      <c r="F962" s="1453"/>
      <c r="G962" s="1453"/>
      <c r="H962" s="1453"/>
      <c r="I962" s="1453"/>
      <c r="J962" s="1453"/>
      <c r="K962" s="1453"/>
      <c r="L962" s="1453"/>
      <c r="M962" s="1453"/>
      <c r="N962" s="1453"/>
      <c r="O962" s="1453"/>
      <c r="P962" s="1453"/>
      <c r="Q962" s="1453"/>
      <c r="R962" s="1453"/>
      <c r="S962" s="1453"/>
      <c r="T962" s="1453"/>
      <c r="U962" s="1453"/>
      <c r="V962" s="1453"/>
      <c r="W962" s="1453"/>
      <c r="X962" s="1453"/>
      <c r="Y962" s="1453"/>
      <c r="Z962" s="1453"/>
      <c r="AA962" s="1453"/>
      <c r="AB962" s="1453"/>
      <c r="AC962" s="1453"/>
      <c r="AD962" s="1453"/>
      <c r="AE962" s="1454"/>
      <c r="AF962" s="1458" t="s">
        <v>675</v>
      </c>
      <c r="AG962" s="1459"/>
      <c r="AH962" s="1459"/>
      <c r="AI962" s="1460"/>
      <c r="AJ962" s="1452"/>
      <c r="AK962" s="1453"/>
      <c r="AL962" s="1453"/>
      <c r="AM962" s="1453"/>
      <c r="AN962" s="1453"/>
      <c r="AO962" s="1453"/>
      <c r="AP962" s="1453"/>
      <c r="AQ962" s="1454"/>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677</v>
      </c>
      <c r="D963" s="1465" t="s">
        <v>1362</v>
      </c>
      <c r="E963" s="1466"/>
      <c r="F963" s="1466"/>
      <c r="G963" s="1466"/>
      <c r="H963" s="1466"/>
      <c r="I963" s="1466"/>
      <c r="J963" s="1466"/>
      <c r="K963" s="1466"/>
      <c r="L963" s="1466"/>
      <c r="M963" s="1466"/>
      <c r="N963" s="1466"/>
      <c r="O963" s="1466"/>
      <c r="P963" s="1466"/>
      <c r="Q963" s="1466"/>
      <c r="R963" s="1466"/>
      <c r="S963" s="1466"/>
      <c r="T963" s="1466"/>
      <c r="U963" s="1466"/>
      <c r="V963" s="1466"/>
      <c r="W963" s="1466"/>
      <c r="X963" s="1466"/>
      <c r="Y963" s="1466"/>
      <c r="Z963" s="1466"/>
      <c r="AA963" s="1466"/>
      <c r="AB963" s="1466"/>
      <c r="AC963" s="1466"/>
      <c r="AD963" s="1466"/>
      <c r="AE963" s="1467"/>
      <c r="AF963" s="79"/>
      <c r="AG963" s="1461" t="s">
        <v>678</v>
      </c>
      <c r="AH963" s="1462"/>
      <c r="AI963" s="87"/>
      <c r="AJ963" s="1488">
        <f>ROUND(IF(AND(AG963="yes",D965&gt;0),AJ961*0.2,0),0)</f>
        <v>0</v>
      </c>
      <c r="AK963" s="1489"/>
      <c r="AL963" s="1489"/>
      <c r="AM963" s="1489"/>
      <c r="AN963" s="1489"/>
      <c r="AO963" s="1489"/>
      <c r="AP963" s="1489"/>
      <c r="AQ963" s="1490"/>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500" t="s">
        <v>1363</v>
      </c>
      <c r="E964" s="1501"/>
      <c r="F964" s="1501"/>
      <c r="G964" s="1501"/>
      <c r="H964" s="1501"/>
      <c r="I964" s="1501"/>
      <c r="J964" s="1501"/>
      <c r="K964" s="1501"/>
      <c r="L964" s="1501"/>
      <c r="M964" s="1501"/>
      <c r="N964" s="1501"/>
      <c r="O964" s="1501"/>
      <c r="P964" s="1501"/>
      <c r="Q964" s="1501"/>
      <c r="R964" s="1501"/>
      <c r="S964" s="1501"/>
      <c r="T964" s="1501"/>
      <c r="U964" s="1501"/>
      <c r="V964" s="1501"/>
      <c r="W964" s="1501"/>
      <c r="X964" s="1501"/>
      <c r="Y964" s="1501"/>
      <c r="Z964" s="1501"/>
      <c r="AA964" s="1501"/>
      <c r="AB964" s="1501"/>
      <c r="AC964" s="1501"/>
      <c r="AD964" s="1501"/>
      <c r="AE964" s="1502"/>
      <c r="AF964" s="73"/>
      <c r="AG964" s="14"/>
      <c r="AH964" s="14"/>
      <c r="AI964" s="83"/>
      <c r="AJ964" s="1491"/>
      <c r="AK964" s="1492"/>
      <c r="AL964" s="1492"/>
      <c r="AM964" s="1492"/>
      <c r="AN964" s="1492"/>
      <c r="AO964" s="1492"/>
      <c r="AP964" s="1492"/>
      <c r="AQ964" s="1493"/>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503"/>
      <c r="E965" s="1504"/>
      <c r="F965" s="1504"/>
      <c r="G965" s="1504"/>
      <c r="H965" s="1504"/>
      <c r="I965" s="1504"/>
      <c r="J965" s="1504"/>
      <c r="K965" s="1504"/>
      <c r="L965" s="1504"/>
      <c r="M965" s="1504"/>
      <c r="N965" s="1504"/>
      <c r="O965" s="1504"/>
      <c r="P965" s="1504"/>
      <c r="Q965" s="1504"/>
      <c r="R965" s="1504"/>
      <c r="S965" s="1504"/>
      <c r="T965" s="1504"/>
      <c r="U965" s="1504"/>
      <c r="V965" s="1504"/>
      <c r="W965" s="1504"/>
      <c r="X965" s="1504"/>
      <c r="Y965" s="1504"/>
      <c r="Z965" s="1504"/>
      <c r="AA965" s="1504"/>
      <c r="AB965" s="1504"/>
      <c r="AC965" s="1504"/>
      <c r="AD965" s="1504"/>
      <c r="AE965" s="1505"/>
      <c r="AF965" s="77"/>
      <c r="AG965" s="7"/>
      <c r="AH965" s="7"/>
      <c r="AI965" s="78"/>
      <c r="AJ965" s="1494"/>
      <c r="AK965" s="1495"/>
      <c r="AL965" s="1495"/>
      <c r="AM965" s="1495"/>
      <c r="AN965" s="1495"/>
      <c r="AO965" s="1495"/>
      <c r="AP965" s="1495"/>
      <c r="AQ965" s="1496"/>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455" t="s">
        <v>1448</v>
      </c>
      <c r="E966" s="1456"/>
      <c r="F966" s="1456"/>
      <c r="G966" s="1456"/>
      <c r="H966" s="1456"/>
      <c r="I966" s="1456"/>
      <c r="J966" s="1456"/>
      <c r="K966" s="1456"/>
      <c r="L966" s="1456"/>
      <c r="M966" s="1456"/>
      <c r="N966" s="1456"/>
      <c r="O966" s="1456"/>
      <c r="P966" s="1456"/>
      <c r="Q966" s="1456"/>
      <c r="R966" s="1456"/>
      <c r="S966" s="1456"/>
      <c r="T966" s="1456"/>
      <c r="U966" s="1456"/>
      <c r="V966" s="1456"/>
      <c r="W966" s="1456"/>
      <c r="X966" s="1456"/>
      <c r="Y966" s="1456"/>
      <c r="Z966" s="1456"/>
      <c r="AA966" s="1456"/>
      <c r="AB966" s="1456"/>
      <c r="AC966" s="1456"/>
      <c r="AD966" s="1456"/>
      <c r="AE966" s="1457"/>
      <c r="AF966" s="79"/>
      <c r="AG966" s="1463" t="s">
        <v>678</v>
      </c>
      <c r="AH966" s="1464"/>
      <c r="AI966" s="87"/>
      <c r="AJ966" s="1488">
        <f>ROUND(IF(AG966="yes",AJ961*0.05,0),0)</f>
        <v>0</v>
      </c>
      <c r="AK966" s="1489"/>
      <c r="AL966" s="1489"/>
      <c r="AM966" s="1489"/>
      <c r="AN966" s="1489"/>
      <c r="AO966" s="1489"/>
      <c r="AP966" s="1489"/>
      <c r="AQ966" s="1490"/>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500" t="s">
        <v>1446</v>
      </c>
      <c r="E967" s="1501"/>
      <c r="F967" s="1501"/>
      <c r="G967" s="1501"/>
      <c r="H967" s="1501"/>
      <c r="I967" s="1501"/>
      <c r="J967" s="1501"/>
      <c r="K967" s="1501"/>
      <c r="L967" s="1501"/>
      <c r="M967" s="1501"/>
      <c r="N967" s="1501"/>
      <c r="O967" s="1501"/>
      <c r="P967" s="1501"/>
      <c r="Q967" s="1501"/>
      <c r="R967" s="1501"/>
      <c r="S967" s="1501"/>
      <c r="T967" s="1501"/>
      <c r="U967" s="1501"/>
      <c r="V967" s="1501"/>
      <c r="W967" s="1501"/>
      <c r="X967" s="1501"/>
      <c r="Y967" s="1501"/>
      <c r="Z967" s="1501"/>
      <c r="AA967" s="1501"/>
      <c r="AB967" s="1501"/>
      <c r="AC967" s="1501"/>
      <c r="AD967" s="1501"/>
      <c r="AE967" s="1502"/>
      <c r="AF967" s="73"/>
      <c r="AG967" s="14"/>
      <c r="AH967" s="14"/>
      <c r="AI967" s="83"/>
      <c r="AJ967" s="1491"/>
      <c r="AK967" s="1492"/>
      <c r="AL967" s="1492"/>
      <c r="AM967" s="1492"/>
      <c r="AN967" s="1492"/>
      <c r="AO967" s="1492"/>
      <c r="AP967" s="1492"/>
      <c r="AQ967" s="1493"/>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500"/>
      <c r="E968" s="1501"/>
      <c r="F968" s="1501"/>
      <c r="G968" s="1501"/>
      <c r="H968" s="1501"/>
      <c r="I968" s="1501"/>
      <c r="J968" s="1501"/>
      <c r="K968" s="1501"/>
      <c r="L968" s="1501"/>
      <c r="M968" s="1501"/>
      <c r="N968" s="1501"/>
      <c r="O968" s="1501"/>
      <c r="P968" s="1501"/>
      <c r="Q968" s="1501"/>
      <c r="R968" s="1501"/>
      <c r="S968" s="1501"/>
      <c r="T968" s="1501"/>
      <c r="U968" s="1501"/>
      <c r="V968" s="1501"/>
      <c r="W968" s="1501"/>
      <c r="X968" s="1501"/>
      <c r="Y968" s="1501"/>
      <c r="Z968" s="1501"/>
      <c r="AA968" s="1501"/>
      <c r="AB968" s="1501"/>
      <c r="AC968" s="1501"/>
      <c r="AD968" s="1501"/>
      <c r="AE968" s="1502"/>
      <c r="AF968" s="73"/>
      <c r="AG968" s="14"/>
      <c r="AH968" s="14"/>
      <c r="AI968" s="83"/>
      <c r="AJ968" s="1491"/>
      <c r="AK968" s="1492"/>
      <c r="AL968" s="1492"/>
      <c r="AM968" s="1492"/>
      <c r="AN968" s="1492"/>
      <c r="AO968" s="1492"/>
      <c r="AP968" s="1492"/>
      <c r="AQ968" s="1493"/>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500"/>
      <c r="E969" s="1501"/>
      <c r="F969" s="1501"/>
      <c r="G969" s="1501"/>
      <c r="H969" s="1501"/>
      <c r="I969" s="1501"/>
      <c r="J969" s="1501"/>
      <c r="K969" s="1501"/>
      <c r="L969" s="1501"/>
      <c r="M969" s="1501"/>
      <c r="N969" s="1501"/>
      <c r="O969" s="1501"/>
      <c r="P969" s="1501"/>
      <c r="Q969" s="1501"/>
      <c r="R969" s="1501"/>
      <c r="S969" s="1501"/>
      <c r="T969" s="1501"/>
      <c r="U969" s="1501"/>
      <c r="V969" s="1501"/>
      <c r="W969" s="1501"/>
      <c r="X969" s="1501"/>
      <c r="Y969" s="1501"/>
      <c r="Z969" s="1501"/>
      <c r="AA969" s="1501"/>
      <c r="AB969" s="1501"/>
      <c r="AC969" s="1501"/>
      <c r="AD969" s="1501"/>
      <c r="AE969" s="1502"/>
      <c r="AF969" s="73"/>
      <c r="AG969" s="14"/>
      <c r="AH969" s="14"/>
      <c r="AI969" s="83"/>
      <c r="AJ969" s="1491"/>
      <c r="AK969" s="1492"/>
      <c r="AL969" s="1492"/>
      <c r="AM969" s="1492"/>
      <c r="AN969" s="1492"/>
      <c r="AO969" s="1492"/>
      <c r="AP969" s="1492"/>
      <c r="AQ969" s="1493"/>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500"/>
      <c r="E970" s="1501"/>
      <c r="F970" s="1501"/>
      <c r="G970" s="1501"/>
      <c r="H970" s="1501"/>
      <c r="I970" s="1501"/>
      <c r="J970" s="1501"/>
      <c r="K970" s="1501"/>
      <c r="L970" s="1501"/>
      <c r="M970" s="1501"/>
      <c r="N970" s="1501"/>
      <c r="O970" s="1501"/>
      <c r="P970" s="1501"/>
      <c r="Q970" s="1501"/>
      <c r="R970" s="1501"/>
      <c r="S970" s="1501"/>
      <c r="T970" s="1501"/>
      <c r="U970" s="1501"/>
      <c r="V970" s="1501"/>
      <c r="W970" s="1501"/>
      <c r="X970" s="1501"/>
      <c r="Y970" s="1501"/>
      <c r="Z970" s="1501"/>
      <c r="AA970" s="1501"/>
      <c r="AB970" s="1501"/>
      <c r="AC970" s="1501"/>
      <c r="AD970" s="1501"/>
      <c r="AE970" s="1502"/>
      <c r="AF970" s="73"/>
      <c r="AG970" s="14"/>
      <c r="AH970" s="14"/>
      <c r="AI970" s="83"/>
      <c r="AJ970" s="1491"/>
      <c r="AK970" s="1492"/>
      <c r="AL970" s="1492"/>
      <c r="AM970" s="1492"/>
      <c r="AN970" s="1492"/>
      <c r="AO970" s="1492"/>
      <c r="AP970" s="1492"/>
      <c r="AQ970" s="1493"/>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506"/>
      <c r="E971" s="1507"/>
      <c r="F971" s="1507"/>
      <c r="G971" s="1507"/>
      <c r="H971" s="1507"/>
      <c r="I971" s="1507"/>
      <c r="J971" s="1507"/>
      <c r="K971" s="1507"/>
      <c r="L971" s="1507"/>
      <c r="M971" s="1507"/>
      <c r="N971" s="1507"/>
      <c r="O971" s="1507"/>
      <c r="P971" s="1507"/>
      <c r="Q971" s="1507"/>
      <c r="R971" s="1507"/>
      <c r="S971" s="1507"/>
      <c r="T971" s="1507"/>
      <c r="U971" s="1507"/>
      <c r="V971" s="1507"/>
      <c r="W971" s="1507"/>
      <c r="X971" s="1507"/>
      <c r="Y971" s="1507"/>
      <c r="Z971" s="1507"/>
      <c r="AA971" s="1507"/>
      <c r="AB971" s="1507"/>
      <c r="AC971" s="1507"/>
      <c r="AD971" s="1507"/>
      <c r="AE971" s="1508"/>
      <c r="AF971" s="77"/>
      <c r="AG971" s="7"/>
      <c r="AH971" s="7"/>
      <c r="AI971" s="78"/>
      <c r="AJ971" s="1494"/>
      <c r="AK971" s="1495"/>
      <c r="AL971" s="1495"/>
      <c r="AM971" s="1495"/>
      <c r="AN971" s="1495"/>
      <c r="AO971" s="1495"/>
      <c r="AP971" s="1495"/>
      <c r="AQ971" s="1496"/>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681</v>
      </c>
      <c r="D972" s="1455" t="s">
        <v>1941</v>
      </c>
      <c r="E972" s="1456"/>
      <c r="F972" s="1456"/>
      <c r="G972" s="1456"/>
      <c r="H972" s="1456"/>
      <c r="I972" s="1456"/>
      <c r="J972" s="1456"/>
      <c r="K972" s="1456"/>
      <c r="L972" s="1456"/>
      <c r="M972" s="1456"/>
      <c r="N972" s="1456"/>
      <c r="O972" s="1456"/>
      <c r="P972" s="1456"/>
      <c r="Q972" s="1456"/>
      <c r="R972" s="1456"/>
      <c r="S972" s="1456"/>
      <c r="T972" s="1456"/>
      <c r="U972" s="1456"/>
      <c r="V972" s="1456"/>
      <c r="W972" s="1456"/>
      <c r="X972" s="1456"/>
      <c r="Y972" s="1456"/>
      <c r="Z972" s="1456"/>
      <c r="AA972" s="1456"/>
      <c r="AB972" s="1456"/>
      <c r="AC972" s="1456"/>
      <c r="AD972" s="1456"/>
      <c r="AE972" s="1457"/>
      <c r="AF972" s="86"/>
      <c r="AG972" s="1463" t="s">
        <v>554</v>
      </c>
      <c r="AH972" s="1464"/>
      <c r="AI972" s="87"/>
      <c r="AJ972" s="1488">
        <f>ROUND(IF(AG972="yes",AJ961*0.1,0),0)</f>
        <v>10205252</v>
      </c>
      <c r="AK972" s="1489"/>
      <c r="AL972" s="1489"/>
      <c r="AM972" s="1489"/>
      <c r="AN972" s="1489"/>
      <c r="AO972" s="1489"/>
      <c r="AP972" s="1489"/>
      <c r="AQ972" s="1490"/>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443" t="s">
        <v>1447</v>
      </c>
      <c r="E973" s="1444"/>
      <c r="F973" s="1444"/>
      <c r="G973" s="1444"/>
      <c r="H973" s="1444"/>
      <c r="I973" s="1444"/>
      <c r="J973" s="1444"/>
      <c r="K973" s="1444"/>
      <c r="L973" s="1444"/>
      <c r="M973" s="1444"/>
      <c r="N973" s="1444"/>
      <c r="O973" s="1444"/>
      <c r="P973" s="1444"/>
      <c r="Q973" s="1444"/>
      <c r="R973" s="1444"/>
      <c r="S973" s="1444"/>
      <c r="T973" s="1444"/>
      <c r="U973" s="1444"/>
      <c r="V973" s="1444"/>
      <c r="W973" s="1444"/>
      <c r="X973" s="1444"/>
      <c r="Y973" s="1444"/>
      <c r="Z973" s="1444"/>
      <c r="AA973" s="1444"/>
      <c r="AB973" s="1444"/>
      <c r="AC973" s="1444"/>
      <c r="AD973" s="1444"/>
      <c r="AE973" s="1445"/>
      <c r="AF973" s="73"/>
      <c r="AI973" s="83"/>
      <c r="AJ973" s="1491"/>
      <c r="AK973" s="1492"/>
      <c r="AL973" s="1492"/>
      <c r="AM973" s="1492"/>
      <c r="AN973" s="1492"/>
      <c r="AO973" s="1492"/>
      <c r="AP973" s="1492"/>
      <c r="AQ973" s="1493"/>
      <c r="AR973" s="68"/>
      <c r="AS973" s="68"/>
      <c r="AT973" s="68"/>
      <c r="AU973" s="68"/>
      <c r="AV973" s="68"/>
      <c r="AW973" s="68"/>
      <c r="AX973" s="68"/>
      <c r="AY973" s="68"/>
      <c r="AZ973" s="34"/>
      <c r="BA973" s="951">
        <f>G739+O782</f>
        <v>171</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443"/>
      <c r="E974" s="1444"/>
      <c r="F974" s="1444"/>
      <c r="G974" s="1444"/>
      <c r="H974" s="1444"/>
      <c r="I974" s="1444"/>
      <c r="J974" s="1444"/>
      <c r="K974" s="1444"/>
      <c r="L974" s="1444"/>
      <c r="M974" s="1444"/>
      <c r="N974" s="1444"/>
      <c r="O974" s="1444"/>
      <c r="P974" s="1444"/>
      <c r="Q974" s="1444"/>
      <c r="R974" s="1444"/>
      <c r="S974" s="1444"/>
      <c r="T974" s="1444"/>
      <c r="U974" s="1444"/>
      <c r="V974" s="1444"/>
      <c r="W974" s="1444"/>
      <c r="X974" s="1444"/>
      <c r="Y974" s="1444"/>
      <c r="Z974" s="1444"/>
      <c r="AA974" s="1444"/>
      <c r="AB974" s="1444"/>
      <c r="AC974" s="1444"/>
      <c r="AD974" s="1444"/>
      <c r="AE974" s="1445"/>
      <c r="AF974" s="73"/>
      <c r="AG974" s="14"/>
      <c r="AH974" s="14"/>
      <c r="AI974" s="83"/>
      <c r="AJ974" s="1491"/>
      <c r="AK974" s="1492"/>
      <c r="AL974" s="1492"/>
      <c r="AM974" s="1492"/>
      <c r="AN974" s="1492"/>
      <c r="AO974" s="1492"/>
      <c r="AP974" s="1492"/>
      <c r="AQ974" s="1493"/>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468"/>
      <c r="E975" s="1469"/>
      <c r="F975" s="1469"/>
      <c r="G975" s="1469"/>
      <c r="H975" s="1469"/>
      <c r="I975" s="1469"/>
      <c r="J975" s="1469"/>
      <c r="K975" s="1469"/>
      <c r="L975" s="1469"/>
      <c r="M975" s="1469"/>
      <c r="N975" s="1469"/>
      <c r="O975" s="1469"/>
      <c r="P975" s="1469"/>
      <c r="Q975" s="1469"/>
      <c r="R975" s="1469"/>
      <c r="S975" s="1469"/>
      <c r="T975" s="1469"/>
      <c r="U975" s="1469"/>
      <c r="V975" s="1469"/>
      <c r="W975" s="1469"/>
      <c r="X975" s="1469"/>
      <c r="Y975" s="1469"/>
      <c r="Z975" s="1469"/>
      <c r="AA975" s="1469"/>
      <c r="AB975" s="1469"/>
      <c r="AC975" s="1469"/>
      <c r="AD975" s="1469"/>
      <c r="AE975" s="1470"/>
      <c r="AF975" s="77"/>
      <c r="AG975" s="7"/>
      <c r="AH975" s="7"/>
      <c r="AI975" s="78"/>
      <c r="AJ975" s="1494"/>
      <c r="AK975" s="1495"/>
      <c r="AL975" s="1495"/>
      <c r="AM975" s="1495"/>
      <c r="AN975" s="1495"/>
      <c r="AO975" s="1495"/>
      <c r="AP975" s="1495"/>
      <c r="AQ975" s="1496"/>
      <c r="AR975" s="68"/>
      <c r="AS975" s="68"/>
      <c r="AT975" s="68"/>
      <c r="AU975" s="68"/>
      <c r="AV975" s="68"/>
      <c r="AW975" s="68"/>
      <c r="AX975" s="68"/>
      <c r="AY975" s="68"/>
      <c r="AZ975" s="34"/>
      <c r="BA975" s="950">
        <f>ROUNDDOWN(X1013/I1013,2)</f>
        <v>0</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455" t="s">
        <v>1449</v>
      </c>
      <c r="E976" s="1456"/>
      <c r="F976" s="1456"/>
      <c r="G976" s="1456"/>
      <c r="H976" s="1456"/>
      <c r="I976" s="1456"/>
      <c r="J976" s="1456"/>
      <c r="K976" s="1456"/>
      <c r="L976" s="1456"/>
      <c r="M976" s="1456"/>
      <c r="N976" s="1456"/>
      <c r="O976" s="1456"/>
      <c r="P976" s="1456"/>
      <c r="Q976" s="1456"/>
      <c r="R976" s="1456"/>
      <c r="S976" s="1456"/>
      <c r="T976" s="1456"/>
      <c r="U976" s="1456"/>
      <c r="V976" s="1456"/>
      <c r="W976" s="1456"/>
      <c r="X976" s="1456"/>
      <c r="Y976" s="1456"/>
      <c r="Z976" s="1456"/>
      <c r="AA976" s="1456"/>
      <c r="AB976" s="1456"/>
      <c r="AC976" s="1456"/>
      <c r="AD976" s="1456"/>
      <c r="AE976" s="1457"/>
      <c r="AF976" s="79"/>
      <c r="AG976" s="1463" t="s">
        <v>678</v>
      </c>
      <c r="AH976" s="1464"/>
      <c r="AI976" s="87"/>
      <c r="AJ976" s="1488">
        <f>ROUND(IF(AG976="yes",AJ961*0.02,0),0)</f>
        <v>0</v>
      </c>
      <c r="AK976" s="1489"/>
      <c r="AL976" s="1489"/>
      <c r="AM976" s="1489"/>
      <c r="AN976" s="1489"/>
      <c r="AO976" s="1489"/>
      <c r="AP976" s="1489"/>
      <c r="AQ976" s="1490"/>
      <c r="AR976" s="68"/>
      <c r="AS976" s="68"/>
      <c r="AT976" s="68"/>
      <c r="AU976" s="68"/>
      <c r="AV976" s="68"/>
      <c r="AW976" s="68"/>
      <c r="AX976" s="68"/>
      <c r="AY976" s="68"/>
      <c r="AZ976" s="34"/>
      <c r="BA976" s="950">
        <f>ROUNDDOWN(X1017/I1017,2)</f>
        <v>0.21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468" t="s">
        <v>1450</v>
      </c>
      <c r="E977" s="1469"/>
      <c r="F977" s="1469"/>
      <c r="G977" s="1469"/>
      <c r="H977" s="1469"/>
      <c r="I977" s="1469"/>
      <c r="J977" s="1469"/>
      <c r="K977" s="1469"/>
      <c r="L977" s="1469"/>
      <c r="M977" s="1469"/>
      <c r="N977" s="1469"/>
      <c r="O977" s="1469"/>
      <c r="P977" s="1469"/>
      <c r="Q977" s="1469"/>
      <c r="R977" s="1469"/>
      <c r="S977" s="1469"/>
      <c r="T977" s="1469"/>
      <c r="U977" s="1469"/>
      <c r="V977" s="1469"/>
      <c r="W977" s="1469"/>
      <c r="X977" s="1469"/>
      <c r="Y977" s="1469"/>
      <c r="Z977" s="1469"/>
      <c r="AA977" s="1469"/>
      <c r="AB977" s="1469"/>
      <c r="AC977" s="1469"/>
      <c r="AD977" s="1469"/>
      <c r="AE977" s="1470"/>
      <c r="AF977" s="77"/>
      <c r="AG977" s="7"/>
      <c r="AH977" s="7"/>
      <c r="AI977" s="78"/>
      <c r="AJ977" s="1494"/>
      <c r="AK977" s="1495"/>
      <c r="AL977" s="1495"/>
      <c r="AM977" s="1495"/>
      <c r="AN977" s="1495"/>
      <c r="AO977" s="1495"/>
      <c r="AP977" s="1495"/>
      <c r="AQ977" s="1496"/>
      <c r="AR977" s="68"/>
      <c r="AS977" s="68"/>
      <c r="AT977" s="68"/>
      <c r="AU977" s="68"/>
      <c r="AV977" s="68"/>
      <c r="AW977" s="68"/>
      <c r="AX977" s="68"/>
      <c r="AY977" s="68"/>
      <c r="BB977" s="34"/>
      <c r="BC977" s="34"/>
      <c r="BD977" s="34"/>
      <c r="BE977" s="34"/>
      <c r="BF977" s="34"/>
    </row>
    <row r="978" spans="1:58" ht="12.95" customHeight="1">
      <c r="A978" s="14"/>
      <c r="B978" s="79"/>
      <c r="C978" s="80" t="s">
        <v>217</v>
      </c>
      <c r="D978" s="1455" t="s">
        <v>1451</v>
      </c>
      <c r="E978" s="1456"/>
      <c r="F978" s="1456"/>
      <c r="G978" s="1456"/>
      <c r="H978" s="1456"/>
      <c r="I978" s="1456"/>
      <c r="J978" s="1456"/>
      <c r="K978" s="1456"/>
      <c r="L978" s="1456"/>
      <c r="M978" s="1456"/>
      <c r="N978" s="1456"/>
      <c r="O978" s="1456"/>
      <c r="P978" s="1456"/>
      <c r="Q978" s="1456"/>
      <c r="R978" s="1456"/>
      <c r="S978" s="1456"/>
      <c r="T978" s="1456"/>
      <c r="U978" s="1456"/>
      <c r="V978" s="1456"/>
      <c r="W978" s="1456"/>
      <c r="X978" s="1456"/>
      <c r="Y978" s="1456"/>
      <c r="Z978" s="1456"/>
      <c r="AA978" s="1456"/>
      <c r="AB978" s="1456"/>
      <c r="AC978" s="1456"/>
      <c r="AD978" s="1456"/>
      <c r="AE978" s="1457"/>
      <c r="AF978" s="79"/>
      <c r="AG978" s="1463" t="s">
        <v>678</v>
      </c>
      <c r="AH978" s="1464"/>
      <c r="AI978" s="79"/>
      <c r="AJ978" s="1488">
        <f>ROUND(IF(AG978="yes",AJ961*0.02,0),0)</f>
        <v>0</v>
      </c>
      <c r="AK978" s="1489"/>
      <c r="AL978" s="1489"/>
      <c r="AM978" s="1489"/>
      <c r="AN978" s="1489"/>
      <c r="AO978" s="1489"/>
      <c r="AP978" s="1489"/>
      <c r="AQ978" s="1490"/>
      <c r="AR978" s="68"/>
      <c r="AS978" s="68"/>
      <c r="AT978" s="68"/>
      <c r="AU978" s="68"/>
      <c r="AV978" s="68"/>
      <c r="AW978" s="68"/>
      <c r="AX978" s="68"/>
      <c r="AY978" s="68"/>
    </row>
    <row r="979" spans="1:58" ht="12.95" customHeight="1">
      <c r="A979" s="14"/>
      <c r="B979" s="73"/>
      <c r="C979" s="74"/>
      <c r="D979" s="1443" t="s">
        <v>1452</v>
      </c>
      <c r="E979" s="1444"/>
      <c r="F979" s="1444"/>
      <c r="G979" s="1444"/>
      <c r="H979" s="1444"/>
      <c r="I979" s="1444"/>
      <c r="J979" s="1444"/>
      <c r="K979" s="1444"/>
      <c r="L979" s="1444"/>
      <c r="M979" s="1444"/>
      <c r="N979" s="1444"/>
      <c r="O979" s="1444"/>
      <c r="P979" s="1444"/>
      <c r="Q979" s="1444"/>
      <c r="R979" s="1444"/>
      <c r="S979" s="1444"/>
      <c r="T979" s="1444"/>
      <c r="U979" s="1444"/>
      <c r="V979" s="1444"/>
      <c r="W979" s="1444"/>
      <c r="X979" s="1444"/>
      <c r="Y979" s="1444"/>
      <c r="Z979" s="1444"/>
      <c r="AA979" s="1444"/>
      <c r="AB979" s="1444"/>
      <c r="AC979" s="1444"/>
      <c r="AD979" s="1444"/>
      <c r="AE979" s="1445"/>
      <c r="AF979" s="73"/>
      <c r="AI979" s="14"/>
      <c r="AJ979" s="1491"/>
      <c r="AK979" s="1492"/>
      <c r="AL979" s="1492"/>
      <c r="AM979" s="1492"/>
      <c r="AN979" s="1492"/>
      <c r="AO979" s="1492"/>
      <c r="AP979" s="1492"/>
      <c r="AQ979" s="1493"/>
      <c r="AR979" s="68"/>
      <c r="AS979" s="68"/>
      <c r="AT979" s="68"/>
      <c r="AU979" s="68"/>
      <c r="AV979" s="68"/>
      <c r="AW979" s="68"/>
      <c r="AX979" s="68"/>
      <c r="AY979" s="68"/>
    </row>
    <row r="980" spans="1:58" ht="12.95" customHeight="1">
      <c r="A980" s="14"/>
      <c r="B980" s="75"/>
      <c r="C980" s="76"/>
      <c r="D980" s="1468"/>
      <c r="E980" s="1469"/>
      <c r="F980" s="1469"/>
      <c r="G980" s="1469"/>
      <c r="H980" s="1469"/>
      <c r="I980" s="1469"/>
      <c r="J980" s="1469"/>
      <c r="K980" s="1469"/>
      <c r="L980" s="1469"/>
      <c r="M980" s="1469"/>
      <c r="N980" s="1469"/>
      <c r="O980" s="1469"/>
      <c r="P980" s="1469"/>
      <c r="Q980" s="1469"/>
      <c r="R980" s="1469"/>
      <c r="S980" s="1469"/>
      <c r="T980" s="1469"/>
      <c r="U980" s="1469"/>
      <c r="V980" s="1469"/>
      <c r="W980" s="1469"/>
      <c r="X980" s="1469"/>
      <c r="Y980" s="1469"/>
      <c r="Z980" s="1469"/>
      <c r="AA980" s="1469"/>
      <c r="AB980" s="1469"/>
      <c r="AC980" s="1469"/>
      <c r="AD980" s="1469"/>
      <c r="AE980" s="1470"/>
      <c r="AF980" s="77"/>
      <c r="AG980" s="7"/>
      <c r="AH980" s="7"/>
      <c r="AI980" s="78"/>
      <c r="AJ980" s="1494"/>
      <c r="AK980" s="1495"/>
      <c r="AL980" s="1495"/>
      <c r="AM980" s="1495"/>
      <c r="AN980" s="1495"/>
      <c r="AO980" s="1495"/>
      <c r="AP980" s="1495"/>
      <c r="AQ980" s="1496"/>
      <c r="AR980" s="68"/>
      <c r="AS980" s="68"/>
      <c r="AT980" s="68"/>
      <c r="AU980" s="68"/>
      <c r="AV980" s="68"/>
      <c r="AW980" s="68"/>
      <c r="AX980" s="68"/>
      <c r="AY980" s="68"/>
    </row>
    <row r="981" spans="1:58" ht="12.95" customHeight="1">
      <c r="A981" s="14"/>
      <c r="B981" s="79"/>
      <c r="C981" s="80" t="s">
        <v>220</v>
      </c>
      <c r="D981" s="1465" t="s">
        <v>1453</v>
      </c>
      <c r="E981" s="1466"/>
      <c r="F981" s="1466"/>
      <c r="G981" s="1466"/>
      <c r="H981" s="1466"/>
      <c r="I981" s="1466"/>
      <c r="J981" s="1466"/>
      <c r="K981" s="1466"/>
      <c r="L981" s="1466"/>
      <c r="M981" s="1466"/>
      <c r="N981" s="1466"/>
      <c r="O981" s="1466"/>
      <c r="P981" s="1466"/>
      <c r="Q981" s="1466"/>
      <c r="R981" s="1466"/>
      <c r="S981" s="1466"/>
      <c r="T981" s="1466"/>
      <c r="U981" s="1466"/>
      <c r="V981" s="1466"/>
      <c r="W981" s="1466"/>
      <c r="X981" s="1466"/>
      <c r="Y981" s="1466"/>
      <c r="Z981" s="1466"/>
      <c r="AA981" s="1466"/>
      <c r="AB981" s="1466"/>
      <c r="AC981" s="1466"/>
      <c r="AD981" s="1466"/>
      <c r="AE981" s="1467"/>
      <c r="AF981" s="79"/>
      <c r="AG981" s="1463" t="s">
        <v>678</v>
      </c>
      <c r="AH981" s="1464"/>
      <c r="AI981" s="87"/>
      <c r="AJ981" s="1488">
        <f>IF(AG981="yes",AJ961*BA981,0)</f>
        <v>0</v>
      </c>
      <c r="AK981" s="1489"/>
      <c r="AL981" s="1489"/>
      <c r="AM981" s="1489"/>
      <c r="AN981" s="1489"/>
      <c r="AO981" s="1489"/>
      <c r="AP981" s="1489"/>
      <c r="AQ981" s="1490"/>
      <c r="AR981" s="68"/>
      <c r="AS981" s="68"/>
      <c r="AT981" s="68"/>
      <c r="AU981" s="68"/>
      <c r="AV981" s="68"/>
      <c r="AW981" s="68"/>
      <c r="AX981" s="68"/>
      <c r="AY981" s="68"/>
      <c r="BA981" s="215">
        <f>IF(SUM(BA983:BA991)&lt;=0.1,SUM(BA983:BA991),0.1)</f>
        <v>0</v>
      </c>
    </row>
    <row r="982" spans="1:58" ht="12.95" customHeight="1">
      <c r="A982" s="14"/>
      <c r="B982" s="73"/>
      <c r="C982" s="74"/>
      <c r="D982" s="1443" t="s">
        <v>1454</v>
      </c>
      <c r="E982" s="1444"/>
      <c r="F982" s="1444"/>
      <c r="G982" s="1444"/>
      <c r="H982" s="1444"/>
      <c r="I982" s="1444"/>
      <c r="J982" s="1444"/>
      <c r="K982" s="1444"/>
      <c r="L982" s="1444"/>
      <c r="M982" s="1444"/>
      <c r="N982" s="1444"/>
      <c r="O982" s="1444"/>
      <c r="P982" s="1444"/>
      <c r="Q982" s="1444"/>
      <c r="R982" s="1444"/>
      <c r="S982" s="1444"/>
      <c r="T982" s="1444"/>
      <c r="U982" s="1444"/>
      <c r="V982" s="1444"/>
      <c r="W982" s="1444"/>
      <c r="X982" s="1444"/>
      <c r="Y982" s="1444"/>
      <c r="Z982" s="1444"/>
      <c r="AA982" s="1444"/>
      <c r="AB982" s="1444"/>
      <c r="AC982" s="1444"/>
      <c r="AD982" s="1444"/>
      <c r="AE982" s="1445"/>
      <c r="AF982" s="73"/>
      <c r="AG982" s="14"/>
      <c r="AH982" s="14"/>
      <c r="AI982" s="83"/>
      <c r="AJ982" s="1491"/>
      <c r="AK982" s="1492"/>
      <c r="AL982" s="1492"/>
      <c r="AM982" s="1492"/>
      <c r="AN982" s="1492"/>
      <c r="AO982" s="1492"/>
      <c r="AP982" s="1492"/>
      <c r="AQ982" s="1493"/>
      <c r="AR982" s="68"/>
      <c r="AS982" s="68"/>
      <c r="AT982" s="68"/>
      <c r="AU982" s="68"/>
      <c r="AV982" s="68"/>
      <c r="AW982" s="68"/>
      <c r="AX982" s="68"/>
      <c r="AY982" s="68"/>
    </row>
    <row r="983" spans="1:58" ht="12.95" customHeight="1">
      <c r="A983" s="14"/>
      <c r="B983" s="73"/>
      <c r="C983" s="74"/>
      <c r="D983" s="1443"/>
      <c r="E983" s="1444"/>
      <c r="F983" s="1444"/>
      <c r="G983" s="1444"/>
      <c r="H983" s="1444"/>
      <c r="I983" s="1444"/>
      <c r="J983" s="1444"/>
      <c r="K983" s="1444"/>
      <c r="L983" s="1444"/>
      <c r="M983" s="1444"/>
      <c r="N983" s="1444"/>
      <c r="O983" s="1444"/>
      <c r="P983" s="1444"/>
      <c r="Q983" s="1444"/>
      <c r="R983" s="1444"/>
      <c r="S983" s="1444"/>
      <c r="T983" s="1444"/>
      <c r="U983" s="1444"/>
      <c r="V983" s="1444"/>
      <c r="W983" s="1444"/>
      <c r="X983" s="1444"/>
      <c r="Y983" s="1444"/>
      <c r="Z983" s="1444"/>
      <c r="AA983" s="1444"/>
      <c r="AB983" s="1444"/>
      <c r="AC983" s="1444"/>
      <c r="AD983" s="1444"/>
      <c r="AE983" s="1445"/>
      <c r="AF983" s="73"/>
      <c r="AG983" s="14"/>
      <c r="AH983" s="14"/>
      <c r="AI983" s="83"/>
      <c r="AJ983" s="1491"/>
      <c r="AK983" s="1492"/>
      <c r="AL983" s="1492"/>
      <c r="AM983" s="1492"/>
      <c r="AN983" s="1492"/>
      <c r="AO983" s="1492"/>
      <c r="AP983" s="1492"/>
      <c r="AQ983" s="1493"/>
      <c r="AR983" s="68"/>
      <c r="AS983" s="68"/>
      <c r="AT983" s="68"/>
      <c r="AU983" s="68"/>
      <c r="AV983" s="68"/>
      <c r="AW983" s="68"/>
      <c r="AX983" s="68"/>
      <c r="AY983" s="68"/>
      <c r="BA983" s="213">
        <f>IF(A1030="Yes",0.05,0)</f>
        <v>0</v>
      </c>
    </row>
    <row r="984" spans="1:58" ht="12.95" customHeight="1">
      <c r="A984" s="14"/>
      <c r="B984" s="81"/>
      <c r="C984" s="82"/>
      <c r="D984" s="1468"/>
      <c r="E984" s="1469"/>
      <c r="F984" s="1469"/>
      <c r="G984" s="1469"/>
      <c r="H984" s="1469"/>
      <c r="I984" s="1469"/>
      <c r="J984" s="1469"/>
      <c r="K984" s="1469"/>
      <c r="L984" s="1469"/>
      <c r="M984" s="1469"/>
      <c r="N984" s="1469"/>
      <c r="O984" s="1469"/>
      <c r="P984" s="1469"/>
      <c r="Q984" s="1469"/>
      <c r="R984" s="1469"/>
      <c r="S984" s="1469"/>
      <c r="T984" s="1469"/>
      <c r="U984" s="1469"/>
      <c r="V984" s="1469"/>
      <c r="W984" s="1469"/>
      <c r="X984" s="1469"/>
      <c r="Y984" s="1469"/>
      <c r="Z984" s="1469"/>
      <c r="AA984" s="1469"/>
      <c r="AB984" s="1469"/>
      <c r="AC984" s="1469"/>
      <c r="AD984" s="1469"/>
      <c r="AE984" s="1470"/>
      <c r="AF984" s="77"/>
      <c r="AG984" s="7"/>
      <c r="AH984" s="7"/>
      <c r="AI984" s="78"/>
      <c r="AJ984" s="1494"/>
      <c r="AK984" s="1495"/>
      <c r="AL984" s="1495"/>
      <c r="AM984" s="1495"/>
      <c r="AN984" s="1495"/>
      <c r="AO984" s="1495"/>
      <c r="AP984" s="1495"/>
      <c r="AQ984" s="1496"/>
      <c r="AR984" s="68"/>
      <c r="AS984" s="68"/>
      <c r="AT984" s="68"/>
      <c r="AU984" s="68"/>
      <c r="AV984" s="68"/>
      <c r="AW984" s="68"/>
      <c r="AX984" s="68"/>
      <c r="AY984" s="68"/>
      <c r="BA984" s="213">
        <f>IF(A1036="Yes",0.02,0)</f>
        <v>0</v>
      </c>
    </row>
    <row r="985" spans="1:58" ht="12.95" customHeight="1">
      <c r="A985" s="14"/>
      <c r="B985" s="79"/>
      <c r="C985" s="80" t="s">
        <v>225</v>
      </c>
      <c r="D985" s="1509" t="s">
        <v>1455</v>
      </c>
      <c r="E985" s="1510"/>
      <c r="F985" s="1510"/>
      <c r="G985" s="1510"/>
      <c r="H985" s="1510"/>
      <c r="I985" s="1510"/>
      <c r="J985" s="1510"/>
      <c r="K985" s="1510"/>
      <c r="L985" s="1510"/>
      <c r="M985" s="1510"/>
      <c r="N985" s="1510"/>
      <c r="O985" s="1510"/>
      <c r="P985" s="1510"/>
      <c r="Q985" s="1510"/>
      <c r="R985" s="1510"/>
      <c r="S985" s="1510"/>
      <c r="T985" s="1510"/>
      <c r="U985" s="1510"/>
      <c r="V985" s="1510"/>
      <c r="W985" s="1510"/>
      <c r="X985" s="1510"/>
      <c r="Y985" s="1510"/>
      <c r="Z985" s="1510"/>
      <c r="AA985" s="1510"/>
      <c r="AB985" s="1510"/>
      <c r="AC985" s="1510"/>
      <c r="AD985" s="1510"/>
      <c r="AE985" s="1511"/>
      <c r="AF985" s="79"/>
      <c r="AG985" s="1463" t="s">
        <v>678</v>
      </c>
      <c r="AH985" s="1464"/>
      <c r="AI985" s="87"/>
      <c r="AJ985" s="1488">
        <f>ROUND(IF(AG985="Yes",MIN(AF988,(0.15*AJ961)),0),0)</f>
        <v>0</v>
      </c>
      <c r="AK985" s="1489"/>
      <c r="AL985" s="1489"/>
      <c r="AM985" s="1489"/>
      <c r="AN985" s="1489"/>
      <c r="AO985" s="1489"/>
      <c r="AP985" s="1489"/>
      <c r="AQ985" s="1490"/>
      <c r="AR985" s="68"/>
      <c r="AS985" s="68"/>
      <c r="AT985" s="68"/>
      <c r="AU985" s="68"/>
      <c r="AV985" s="68"/>
      <c r="AW985" s="68"/>
      <c r="AX985" s="68"/>
      <c r="AY985" s="68"/>
      <c r="BA985" s="213">
        <f>IF(A1042="Yes",0.04,0)</f>
        <v>0</v>
      </c>
    </row>
    <row r="986" spans="1:58" ht="12.95" customHeight="1">
      <c r="A986" s="14"/>
      <c r="B986" s="81"/>
      <c r="C986" s="84"/>
      <c r="D986" s="1512"/>
      <c r="E986" s="1513"/>
      <c r="F986" s="1513"/>
      <c r="G986" s="1513"/>
      <c r="H986" s="1513"/>
      <c r="I986" s="1513"/>
      <c r="J986" s="1513"/>
      <c r="K986" s="1513"/>
      <c r="L986" s="1513"/>
      <c r="M986" s="1513"/>
      <c r="N986" s="1513"/>
      <c r="O986" s="1513"/>
      <c r="P986" s="1513"/>
      <c r="Q986" s="1513"/>
      <c r="R986" s="1513"/>
      <c r="S986" s="1513"/>
      <c r="T986" s="1513"/>
      <c r="U986" s="1513"/>
      <c r="V986" s="1513"/>
      <c r="W986" s="1513"/>
      <c r="X986" s="1513"/>
      <c r="Y986" s="1513"/>
      <c r="Z986" s="1513"/>
      <c r="AA986" s="1513"/>
      <c r="AB986" s="1513"/>
      <c r="AC986" s="1513"/>
      <c r="AD986" s="1513"/>
      <c r="AE986" s="1514"/>
      <c r="AF986" s="1471" t="str">
        <f>IF(AG985="yes","Please Select Type and Enter Amount:","")</f>
        <v/>
      </c>
      <c r="AG986" s="1472"/>
      <c r="AH986" s="1472"/>
      <c r="AI986" s="1473"/>
      <c r="AJ986" s="1491"/>
      <c r="AK986" s="1492"/>
      <c r="AL986" s="1492"/>
      <c r="AM986" s="1492"/>
      <c r="AN986" s="1492"/>
      <c r="AO986" s="1492"/>
      <c r="AP986" s="1492"/>
      <c r="AQ986" s="1493"/>
      <c r="AR986" s="68"/>
      <c r="AS986" s="68"/>
      <c r="AT986" s="68"/>
      <c r="AU986" s="68"/>
      <c r="AV986" s="68"/>
      <c r="AW986" s="68"/>
      <c r="AX986" s="68"/>
      <c r="AY986" s="68"/>
      <c r="BA986" s="213">
        <f>IF(A1049="Yes",0.04,0)</f>
        <v>0</v>
      </c>
    </row>
    <row r="987" spans="1:58" ht="12.95" customHeight="1">
      <c r="A987" s="14"/>
      <c r="B987" s="81"/>
      <c r="C987" s="84"/>
      <c r="D987" s="1443" t="s">
        <v>1456</v>
      </c>
      <c r="E987" s="1444"/>
      <c r="F987" s="1444"/>
      <c r="G987" s="1444"/>
      <c r="H987" s="1444"/>
      <c r="I987" s="1444"/>
      <c r="J987" s="1444"/>
      <c r="K987" s="1444"/>
      <c r="L987" s="1444"/>
      <c r="M987" s="1444"/>
      <c r="N987" s="1444"/>
      <c r="O987" s="1444"/>
      <c r="P987" s="1444"/>
      <c r="Q987" s="1444"/>
      <c r="R987" s="1444"/>
      <c r="S987" s="1444"/>
      <c r="T987" s="1444"/>
      <c r="U987" s="1444"/>
      <c r="V987" s="1444"/>
      <c r="W987" s="1444"/>
      <c r="X987" s="1444"/>
      <c r="Y987" s="1444"/>
      <c r="Z987" s="1444"/>
      <c r="AA987" s="1444"/>
      <c r="AB987" s="1444"/>
      <c r="AC987" s="1444"/>
      <c r="AD987" s="1444"/>
      <c r="AE987" s="1445"/>
      <c r="AF987" s="1471"/>
      <c r="AG987" s="1472"/>
      <c r="AH987" s="1472"/>
      <c r="AI987" s="1473"/>
      <c r="AJ987" s="1491"/>
      <c r="AK987" s="1492"/>
      <c r="AL987" s="1492"/>
      <c r="AM987" s="1492"/>
      <c r="AN987" s="1492"/>
      <c r="AO987" s="1492"/>
      <c r="AP987" s="1492"/>
      <c r="AQ987" s="1493"/>
      <c r="AR987" s="68"/>
      <c r="AS987" s="68"/>
      <c r="AT987" s="68"/>
      <c r="AU987" s="68"/>
      <c r="AV987" s="68"/>
      <c r="AW987" s="68"/>
      <c r="AX987" s="68"/>
      <c r="AY987" s="68"/>
      <c r="BA987" s="213">
        <f>IF(A1052="Yes",0.01,0)</f>
        <v>0</v>
      </c>
    </row>
    <row r="988" spans="1:58" ht="12.95" customHeight="1">
      <c r="A988" s="14"/>
      <c r="B988" s="81"/>
      <c r="C988" s="84"/>
      <c r="D988" s="1443"/>
      <c r="E988" s="1444"/>
      <c r="F988" s="1444"/>
      <c r="G988" s="1444"/>
      <c r="H988" s="1444"/>
      <c r="I988" s="1444"/>
      <c r="J988" s="1444"/>
      <c r="K988" s="1444"/>
      <c r="L988" s="1444"/>
      <c r="M988" s="1444"/>
      <c r="N988" s="1444"/>
      <c r="O988" s="1444"/>
      <c r="P988" s="1444"/>
      <c r="Q988" s="1444"/>
      <c r="R988" s="1444"/>
      <c r="S988" s="1444"/>
      <c r="T988" s="1444"/>
      <c r="U988" s="1444"/>
      <c r="V988" s="1444"/>
      <c r="W988" s="1444"/>
      <c r="X988" s="1444"/>
      <c r="Y988" s="1444"/>
      <c r="Z988" s="1444"/>
      <c r="AA988" s="1444"/>
      <c r="AB988" s="1444"/>
      <c r="AC988" s="1444"/>
      <c r="AD988" s="1444"/>
      <c r="AE988" s="1445"/>
      <c r="AF988" s="1435"/>
      <c r="AG988" s="1435"/>
      <c r="AH988" s="1435"/>
      <c r="AI988" s="1435"/>
      <c r="AJ988" s="1491"/>
      <c r="AK988" s="1492"/>
      <c r="AL988" s="1492"/>
      <c r="AM988" s="1492"/>
      <c r="AN988" s="1492"/>
      <c r="AO988" s="1492"/>
      <c r="AP988" s="1492"/>
      <c r="AQ988" s="1493"/>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446" t="s">
        <v>600</v>
      </c>
      <c r="K989" s="1447"/>
      <c r="L989" s="1447"/>
      <c r="M989" s="1447"/>
      <c r="N989" s="1447"/>
      <c r="O989" s="1447"/>
      <c r="P989" s="1447"/>
      <c r="Q989" s="1447"/>
      <c r="R989" s="1447"/>
      <c r="S989" s="1447"/>
      <c r="T989" s="1447"/>
      <c r="U989" s="1447"/>
      <c r="V989" s="1447"/>
      <c r="W989" s="1447"/>
      <c r="X989" s="1447"/>
      <c r="Y989" s="1447"/>
      <c r="Z989" s="1447"/>
      <c r="AA989" s="1447"/>
      <c r="AB989" s="1447"/>
      <c r="AC989" s="1447"/>
      <c r="AD989" s="1447"/>
      <c r="AE989" s="1448"/>
      <c r="AF989" s="1435"/>
      <c r="AG989" s="1435"/>
      <c r="AH989" s="1435"/>
      <c r="AI989" s="1435"/>
      <c r="AJ989" s="1494"/>
      <c r="AK989" s="1495"/>
      <c r="AL989" s="1495"/>
      <c r="AM989" s="1495"/>
      <c r="AN989" s="1495"/>
      <c r="AO989" s="1495"/>
      <c r="AP989" s="1495"/>
      <c r="AQ989" s="1496"/>
      <c r="AR989" s="68"/>
      <c r="AS989" s="68"/>
      <c r="AT989" s="68"/>
      <c r="AU989" s="68"/>
      <c r="AV989" s="68"/>
      <c r="AW989" s="68"/>
      <c r="AX989" s="68"/>
      <c r="AY989" s="68"/>
      <c r="BA989" s="213">
        <f>IF(A1060="Yes",0.01,0)</f>
        <v>0</v>
      </c>
    </row>
    <row r="990" spans="1:58" ht="12.95" customHeight="1">
      <c r="A990" s="14"/>
      <c r="B990" s="79"/>
      <c r="C990" s="80" t="s">
        <v>231</v>
      </c>
      <c r="D990" s="1455" t="s">
        <v>1457</v>
      </c>
      <c r="E990" s="1456"/>
      <c r="F990" s="1456"/>
      <c r="G990" s="1456"/>
      <c r="H990" s="1456"/>
      <c r="I990" s="1456"/>
      <c r="J990" s="1456"/>
      <c r="K990" s="1456"/>
      <c r="L990" s="1456"/>
      <c r="M990" s="1456"/>
      <c r="N990" s="1456"/>
      <c r="O990" s="1456"/>
      <c r="P990" s="1456"/>
      <c r="Q990" s="1456"/>
      <c r="R990" s="1456"/>
      <c r="S990" s="1456"/>
      <c r="T990" s="1456"/>
      <c r="U990" s="1456"/>
      <c r="V990" s="1456"/>
      <c r="W990" s="1456"/>
      <c r="X990" s="1456"/>
      <c r="Y990" s="1456"/>
      <c r="Z990" s="1456"/>
      <c r="AA990" s="1456"/>
      <c r="AB990" s="1456"/>
      <c r="AC990" s="1456"/>
      <c r="AD990" s="1456"/>
      <c r="AE990" s="1457"/>
      <c r="AF990" s="79"/>
      <c r="AG990" s="1463" t="s">
        <v>678</v>
      </c>
      <c r="AH990" s="1464"/>
      <c r="AI990" s="87"/>
      <c r="AJ990" s="1488">
        <f>ROUND(IF(AG990="Yes",AF992,0),0)</f>
        <v>0</v>
      </c>
      <c r="AK990" s="1489"/>
      <c r="AL990" s="1489"/>
      <c r="AM990" s="1489"/>
      <c r="AN990" s="1489"/>
      <c r="AO990" s="1489"/>
      <c r="AP990" s="1489"/>
      <c r="AQ990" s="1490"/>
      <c r="AR990" s="68"/>
      <c r="AS990" s="68"/>
      <c r="AT990" s="68"/>
      <c r="AU990" s="68"/>
      <c r="AV990" s="68"/>
      <c r="AW990" s="68"/>
      <c r="AX990" s="68"/>
      <c r="AY990" s="68"/>
      <c r="BA990" s="213">
        <f>IF(A1064="Yes",0.02,0)</f>
        <v>0</v>
      </c>
    </row>
    <row r="991" spans="1:58" ht="12.95" customHeight="1">
      <c r="A991" s="14"/>
      <c r="B991" s="73"/>
      <c r="C991" s="74"/>
      <c r="D991" s="1443" t="s">
        <v>1948</v>
      </c>
      <c r="E991" s="1444"/>
      <c r="F991" s="1444"/>
      <c r="G991" s="1444"/>
      <c r="H991" s="1444"/>
      <c r="I991" s="1444"/>
      <c r="J991" s="1444"/>
      <c r="K991" s="1444"/>
      <c r="L991" s="1444"/>
      <c r="M991" s="1444"/>
      <c r="N991" s="1444"/>
      <c r="O991" s="1444"/>
      <c r="P991" s="1444"/>
      <c r="Q991" s="1444"/>
      <c r="R991" s="1444"/>
      <c r="S991" s="1444"/>
      <c r="T991" s="1444"/>
      <c r="U991" s="1444"/>
      <c r="V991" s="1444"/>
      <c r="W991" s="1444"/>
      <c r="X991" s="1444"/>
      <c r="Y991" s="1444"/>
      <c r="Z991" s="1444"/>
      <c r="AA991" s="1444"/>
      <c r="AB991" s="1444"/>
      <c r="AC991" s="1444"/>
      <c r="AD991" s="1444"/>
      <c r="AE991" s="1445"/>
      <c r="AF991" s="1474" t="str">
        <f>IF(AG990="yes","Enter Amount:","")</f>
        <v/>
      </c>
      <c r="AG991" s="1475"/>
      <c r="AH991" s="1475"/>
      <c r="AI991" s="1476"/>
      <c r="AJ991" s="1491"/>
      <c r="AK991" s="1492"/>
      <c r="AL991" s="1492"/>
      <c r="AM991" s="1492"/>
      <c r="AN991" s="1492"/>
      <c r="AO991" s="1492"/>
      <c r="AP991" s="1492"/>
      <c r="AQ991" s="1493"/>
      <c r="AR991" s="68"/>
      <c r="AS991" s="68"/>
      <c r="AT991" s="68"/>
      <c r="AU991" s="68"/>
      <c r="AV991" s="68"/>
      <c r="AW991" s="68"/>
      <c r="AX991" s="68"/>
      <c r="AY991" s="68"/>
      <c r="BA991" s="214">
        <f>IF(A1068="Yes",0.02,0)</f>
        <v>0</v>
      </c>
    </row>
    <row r="992" spans="1:58" ht="12.95" customHeight="1">
      <c r="A992" s="14"/>
      <c r="B992" s="73"/>
      <c r="C992" s="74"/>
      <c r="D992" s="1443"/>
      <c r="E992" s="1444"/>
      <c r="F992" s="1444"/>
      <c r="G992" s="1444"/>
      <c r="H992" s="1444"/>
      <c r="I992" s="1444"/>
      <c r="J992" s="1444"/>
      <c r="K992" s="1444"/>
      <c r="L992" s="1444"/>
      <c r="M992" s="1444"/>
      <c r="N992" s="1444"/>
      <c r="O992" s="1444"/>
      <c r="P992" s="1444"/>
      <c r="Q992" s="1444"/>
      <c r="R992" s="1444"/>
      <c r="S992" s="1444"/>
      <c r="T992" s="1444"/>
      <c r="U992" s="1444"/>
      <c r="V992" s="1444"/>
      <c r="W992" s="1444"/>
      <c r="X992" s="1444"/>
      <c r="Y992" s="1444"/>
      <c r="Z992" s="1444"/>
      <c r="AA992" s="1444"/>
      <c r="AB992" s="1444"/>
      <c r="AC992" s="1444"/>
      <c r="AD992" s="1444"/>
      <c r="AE992" s="1445"/>
      <c r="AF992" s="1435"/>
      <c r="AG992" s="1435"/>
      <c r="AH992" s="1435"/>
      <c r="AI992" s="1435"/>
      <c r="AJ992" s="1491"/>
      <c r="AK992" s="1492"/>
      <c r="AL992" s="1492"/>
      <c r="AM992" s="1492"/>
      <c r="AN992" s="1492"/>
      <c r="AO992" s="1492"/>
      <c r="AP992" s="1492"/>
      <c r="AQ992" s="1493"/>
      <c r="AR992" s="68"/>
      <c r="AS992" s="68"/>
      <c r="AT992" s="68"/>
      <c r="AU992" s="68"/>
      <c r="AV992" s="68"/>
      <c r="AW992" s="68"/>
      <c r="AX992" s="68"/>
      <c r="AY992" s="68"/>
    </row>
    <row r="993" spans="1:51" ht="12.95" customHeight="1">
      <c r="A993" s="14"/>
      <c r="B993" s="85"/>
      <c r="C993" s="84"/>
      <c r="D993" s="1468"/>
      <c r="E993" s="1469"/>
      <c r="F993" s="1469"/>
      <c r="G993" s="1469"/>
      <c r="H993" s="1469"/>
      <c r="I993" s="1469"/>
      <c r="J993" s="1469"/>
      <c r="K993" s="1469"/>
      <c r="L993" s="1469"/>
      <c r="M993" s="1469"/>
      <c r="N993" s="1469"/>
      <c r="O993" s="1469"/>
      <c r="P993" s="1469"/>
      <c r="Q993" s="1469"/>
      <c r="R993" s="1469"/>
      <c r="S993" s="1469"/>
      <c r="T993" s="1469"/>
      <c r="U993" s="1469"/>
      <c r="V993" s="1469"/>
      <c r="W993" s="1469"/>
      <c r="X993" s="1469"/>
      <c r="Y993" s="1469"/>
      <c r="Z993" s="1469"/>
      <c r="AA993" s="1469"/>
      <c r="AB993" s="1469"/>
      <c r="AC993" s="1469"/>
      <c r="AD993" s="1469"/>
      <c r="AE993" s="1470"/>
      <c r="AF993" s="1435"/>
      <c r="AG993" s="1435"/>
      <c r="AH993" s="1435"/>
      <c r="AI993" s="1435"/>
      <c r="AJ993" s="1494"/>
      <c r="AK993" s="1495"/>
      <c r="AL993" s="1495"/>
      <c r="AM993" s="1495"/>
      <c r="AN993" s="1495"/>
      <c r="AO993" s="1495"/>
      <c r="AP993" s="1495"/>
      <c r="AQ993" s="1496"/>
      <c r="AR993" s="68"/>
      <c r="AS993" s="68"/>
      <c r="AT993" s="68"/>
      <c r="AU993" s="68"/>
      <c r="AV993" s="68"/>
      <c r="AW993" s="68"/>
      <c r="AX993" s="68"/>
      <c r="AY993" s="68"/>
    </row>
    <row r="994" spans="1:51" ht="12.95" customHeight="1">
      <c r="A994" s="14"/>
      <c r="B994" s="79"/>
      <c r="C994" s="80" t="s">
        <v>236</v>
      </c>
      <c r="D994" s="1465" t="s">
        <v>1458</v>
      </c>
      <c r="E994" s="1466"/>
      <c r="F994" s="1466"/>
      <c r="G994" s="1466"/>
      <c r="H994" s="1466"/>
      <c r="I994" s="1466"/>
      <c r="J994" s="1466"/>
      <c r="K994" s="1466"/>
      <c r="L994" s="1466"/>
      <c r="M994" s="1466"/>
      <c r="N994" s="1466"/>
      <c r="O994" s="1466"/>
      <c r="P994" s="1466"/>
      <c r="Q994" s="1466"/>
      <c r="R994" s="1466"/>
      <c r="S994" s="1466"/>
      <c r="T994" s="1466"/>
      <c r="U994" s="1466"/>
      <c r="V994" s="1466"/>
      <c r="W994" s="1466"/>
      <c r="X994" s="1466"/>
      <c r="Y994" s="1466"/>
      <c r="Z994" s="1466"/>
      <c r="AA994" s="1466"/>
      <c r="AB994" s="1466"/>
      <c r="AC994" s="1466"/>
      <c r="AD994" s="1466"/>
      <c r="AE994" s="1467"/>
      <c r="AF994" s="79"/>
      <c r="AG994" s="1463" t="s">
        <v>554</v>
      </c>
      <c r="AH994" s="1464"/>
      <c r="AI994" s="87"/>
      <c r="AJ994" s="1488">
        <f>ROUND(IF(AG994="yes",(AJ961*0.1),0),0)</f>
        <v>10205252</v>
      </c>
      <c r="AK994" s="1489"/>
      <c r="AL994" s="1489"/>
      <c r="AM994" s="1489"/>
      <c r="AN994" s="1489"/>
      <c r="AO994" s="1489"/>
      <c r="AP994" s="1489"/>
      <c r="AQ994" s="1490"/>
      <c r="AR994" s="68"/>
      <c r="AS994" s="68"/>
      <c r="AT994" s="68"/>
      <c r="AU994" s="68"/>
      <c r="AV994" s="68"/>
      <c r="AW994" s="68"/>
      <c r="AX994" s="68"/>
      <c r="AY994" s="68"/>
    </row>
    <row r="995" spans="1:51" ht="12.95" customHeight="1">
      <c r="A995" s="14"/>
      <c r="B995" s="73"/>
      <c r="C995" s="74"/>
      <c r="D995" s="1443" t="s">
        <v>1459</v>
      </c>
      <c r="E995" s="1444"/>
      <c r="F995" s="1444"/>
      <c r="G995" s="1444"/>
      <c r="H995" s="1444"/>
      <c r="I995" s="1444"/>
      <c r="J995" s="1444"/>
      <c r="K995" s="1444"/>
      <c r="L995" s="1444"/>
      <c r="M995" s="1444"/>
      <c r="N995" s="1444"/>
      <c r="O995" s="1444"/>
      <c r="P995" s="1444"/>
      <c r="Q995" s="1444"/>
      <c r="R995" s="1444"/>
      <c r="S995" s="1444"/>
      <c r="T995" s="1444"/>
      <c r="U995" s="1444"/>
      <c r="V995" s="1444"/>
      <c r="W995" s="1444"/>
      <c r="X995" s="1444"/>
      <c r="Y995" s="1444"/>
      <c r="Z995" s="1444"/>
      <c r="AA995" s="1444"/>
      <c r="AB995" s="1444"/>
      <c r="AC995" s="1444"/>
      <c r="AD995" s="1444"/>
      <c r="AE995" s="1445"/>
      <c r="AF995" s="73"/>
      <c r="AG995" s="14"/>
      <c r="AH995" s="14"/>
      <c r="AI995" s="83"/>
      <c r="AJ995" s="1491"/>
      <c r="AK995" s="1492"/>
      <c r="AL995" s="1492"/>
      <c r="AM995" s="1492"/>
      <c r="AN995" s="1492"/>
      <c r="AO995" s="1492"/>
      <c r="AP995" s="1492"/>
      <c r="AQ995" s="1493"/>
      <c r="AR995" s="68"/>
      <c r="AS995" s="68"/>
      <c r="AT995" s="68"/>
      <c r="AU995" s="68"/>
      <c r="AV995" s="68"/>
      <c r="AW995" s="68"/>
      <c r="AX995" s="68"/>
      <c r="AY995" s="68"/>
    </row>
    <row r="996" spans="1:51" ht="12.95" customHeight="1">
      <c r="A996" s="14"/>
      <c r="B996" s="77"/>
      <c r="C996" s="74"/>
      <c r="D996" s="1468"/>
      <c r="E996" s="1469"/>
      <c r="F996" s="1469"/>
      <c r="G996" s="1469"/>
      <c r="H996" s="1469"/>
      <c r="I996" s="1469"/>
      <c r="J996" s="1469"/>
      <c r="K996" s="1469"/>
      <c r="L996" s="1469"/>
      <c r="M996" s="1469"/>
      <c r="N996" s="1469"/>
      <c r="O996" s="1469"/>
      <c r="P996" s="1469"/>
      <c r="Q996" s="1469"/>
      <c r="R996" s="1469"/>
      <c r="S996" s="1469"/>
      <c r="T996" s="1469"/>
      <c r="U996" s="1469"/>
      <c r="V996" s="1469"/>
      <c r="W996" s="1469"/>
      <c r="X996" s="1469"/>
      <c r="Y996" s="1469"/>
      <c r="Z996" s="1469"/>
      <c r="AA996" s="1469"/>
      <c r="AB996" s="1469"/>
      <c r="AC996" s="1469"/>
      <c r="AD996" s="1469"/>
      <c r="AE996" s="1470"/>
      <c r="AF996" s="73"/>
      <c r="AG996" s="14"/>
      <c r="AH996" s="14"/>
      <c r="AI996" s="83"/>
      <c r="AJ996" s="1494"/>
      <c r="AK996" s="1495"/>
      <c r="AL996" s="1495"/>
      <c r="AM996" s="1495"/>
      <c r="AN996" s="1495"/>
      <c r="AO996" s="1495"/>
      <c r="AP996" s="1495"/>
      <c r="AQ996" s="1496"/>
      <c r="AR996" s="68"/>
      <c r="AS996" s="68"/>
      <c r="AT996" s="68"/>
      <c r="AU996" s="68"/>
      <c r="AV996" s="68"/>
      <c r="AW996" s="68"/>
      <c r="AX996" s="68"/>
      <c r="AY996" s="68"/>
    </row>
    <row r="997" spans="1:51" ht="12.95" customHeight="1">
      <c r="A997" s="14"/>
      <c r="B997" s="73"/>
      <c r="C997" s="368" t="s">
        <v>697</v>
      </c>
      <c r="D997" s="1455" t="s">
        <v>1944</v>
      </c>
      <c r="E997" s="1456"/>
      <c r="F997" s="1456"/>
      <c r="G997" s="1456"/>
      <c r="H997" s="1456"/>
      <c r="I997" s="1456"/>
      <c r="J997" s="1456"/>
      <c r="K997" s="1456"/>
      <c r="L997" s="1456"/>
      <c r="M997" s="1456"/>
      <c r="N997" s="1456"/>
      <c r="O997" s="1456"/>
      <c r="P997" s="1456"/>
      <c r="Q997" s="1456"/>
      <c r="R997" s="1456"/>
      <c r="S997" s="1456"/>
      <c r="T997" s="1456"/>
      <c r="U997" s="1456"/>
      <c r="V997" s="1456"/>
      <c r="W997" s="1456"/>
      <c r="X997" s="1456"/>
      <c r="Y997" s="1456"/>
      <c r="Z997" s="1456"/>
      <c r="AA997" s="1456"/>
      <c r="AB997" s="1456"/>
      <c r="AC997" s="1456"/>
      <c r="AD997" s="1456"/>
      <c r="AE997" s="1457"/>
      <c r="AF997" s="79"/>
      <c r="AG997" s="1463" t="s">
        <v>678</v>
      </c>
      <c r="AH997" s="1464"/>
      <c r="AI997" s="87"/>
      <c r="AJ997" s="1488">
        <f>ROUND(IF(AG997="yes",(AJ961*0.15),0),0)</f>
        <v>0</v>
      </c>
      <c r="AK997" s="1489"/>
      <c r="AL997" s="1489"/>
      <c r="AM997" s="1489"/>
      <c r="AN997" s="1489"/>
      <c r="AO997" s="1489"/>
      <c r="AP997" s="1489"/>
      <c r="AQ997" s="1490"/>
      <c r="AR997" s="68"/>
      <c r="AS997" s="68"/>
      <c r="AT997" s="68"/>
      <c r="AU997" s="68"/>
      <c r="AV997" s="68"/>
      <c r="AW997" s="68"/>
      <c r="AX997" s="68"/>
      <c r="AY997" s="68"/>
    </row>
    <row r="998" spans="1:51" ht="12.95" customHeight="1">
      <c r="A998" s="14"/>
      <c r="B998" s="73"/>
      <c r="C998" s="74"/>
      <c r="D998" s="1483" t="s">
        <v>1945</v>
      </c>
      <c r="E998" s="1267"/>
      <c r="F998" s="1267"/>
      <c r="G998" s="1267"/>
      <c r="H998" s="1267"/>
      <c r="I998" s="1267"/>
      <c r="J998" s="1267"/>
      <c r="K998" s="1267"/>
      <c r="L998" s="1267"/>
      <c r="M998" s="1267"/>
      <c r="N998" s="1267"/>
      <c r="O998" s="1267"/>
      <c r="P998" s="1267"/>
      <c r="Q998" s="1267"/>
      <c r="R998" s="1267"/>
      <c r="S998" s="1267"/>
      <c r="T998" s="1267"/>
      <c r="U998" s="1267"/>
      <c r="V998" s="1267"/>
      <c r="W998" s="1267"/>
      <c r="X998" s="1267"/>
      <c r="Y998" s="1267"/>
      <c r="Z998" s="1267"/>
      <c r="AA998" s="1267"/>
      <c r="AB998" s="1267"/>
      <c r="AC998" s="1267"/>
      <c r="AD998" s="1267"/>
      <c r="AE998" s="1484"/>
      <c r="AF998" s="952"/>
      <c r="AG998" s="953"/>
      <c r="AH998" s="953"/>
      <c r="AI998" s="954"/>
      <c r="AJ998" s="1491"/>
      <c r="AK998" s="1492"/>
      <c r="AL998" s="1492"/>
      <c r="AM998" s="1492"/>
      <c r="AN998" s="1492"/>
      <c r="AO998" s="1492"/>
      <c r="AP998" s="1492"/>
      <c r="AQ998" s="1493"/>
      <c r="AR998" s="68"/>
      <c r="AS998" s="68"/>
      <c r="AT998" s="68"/>
      <c r="AU998" s="68"/>
      <c r="AV998" s="68"/>
      <c r="AW998" s="68"/>
      <c r="AX998" s="68"/>
      <c r="AY998" s="68"/>
    </row>
    <row r="999" spans="1:51" ht="12.95" customHeight="1">
      <c r="A999" s="14"/>
      <c r="B999" s="73"/>
      <c r="C999" s="74"/>
      <c r="D999" s="1483"/>
      <c r="E999" s="1267"/>
      <c r="F999" s="1267"/>
      <c r="G999" s="1267"/>
      <c r="H999" s="1267"/>
      <c r="I999" s="1267"/>
      <c r="J999" s="1267"/>
      <c r="K999" s="1267"/>
      <c r="L999" s="1267"/>
      <c r="M999" s="1267"/>
      <c r="N999" s="1267"/>
      <c r="O999" s="1267"/>
      <c r="P999" s="1267"/>
      <c r="Q999" s="1267"/>
      <c r="R999" s="1267"/>
      <c r="S999" s="1267"/>
      <c r="T999" s="1267"/>
      <c r="U999" s="1267"/>
      <c r="V999" s="1267"/>
      <c r="W999" s="1267"/>
      <c r="X999" s="1267"/>
      <c r="Y999" s="1267"/>
      <c r="Z999" s="1267"/>
      <c r="AA999" s="1267"/>
      <c r="AB999" s="1267"/>
      <c r="AC999" s="1267"/>
      <c r="AD999" s="1267"/>
      <c r="AE999" s="1484"/>
      <c r="AF999" s="952"/>
      <c r="AG999" s="953"/>
      <c r="AH999" s="953"/>
      <c r="AI999" s="954"/>
      <c r="AJ999" s="1491"/>
      <c r="AK999" s="1492"/>
      <c r="AL999" s="1492"/>
      <c r="AM999" s="1492"/>
      <c r="AN999" s="1492"/>
      <c r="AO999" s="1492"/>
      <c r="AP999" s="1492"/>
      <c r="AQ999" s="1493"/>
      <c r="AR999" s="68"/>
      <c r="AS999" s="68"/>
      <c r="AT999" s="68"/>
      <c r="AU999" s="68"/>
      <c r="AV999" s="68"/>
      <c r="AW999" s="68"/>
      <c r="AX999" s="68"/>
      <c r="AY999" s="68"/>
    </row>
    <row r="1000" spans="1:51" ht="12.95" customHeight="1">
      <c r="A1000" s="14"/>
      <c r="B1000" s="73"/>
      <c r="C1000" s="74"/>
      <c r="D1000" s="1485"/>
      <c r="E1000" s="1486"/>
      <c r="F1000" s="1486"/>
      <c r="G1000" s="1486"/>
      <c r="H1000" s="1486"/>
      <c r="I1000" s="1486"/>
      <c r="J1000" s="1486"/>
      <c r="K1000" s="1486"/>
      <c r="L1000" s="1486"/>
      <c r="M1000" s="1486"/>
      <c r="N1000" s="1486"/>
      <c r="O1000" s="1486"/>
      <c r="P1000" s="1486"/>
      <c r="Q1000" s="1486"/>
      <c r="R1000" s="1486"/>
      <c r="S1000" s="1486"/>
      <c r="T1000" s="1486"/>
      <c r="U1000" s="1486"/>
      <c r="V1000" s="1486"/>
      <c r="W1000" s="1486"/>
      <c r="X1000" s="1486"/>
      <c r="Y1000" s="1486"/>
      <c r="Z1000" s="1486"/>
      <c r="AA1000" s="1486"/>
      <c r="AB1000" s="1486"/>
      <c r="AC1000" s="1486"/>
      <c r="AD1000" s="1486"/>
      <c r="AE1000" s="1487"/>
      <c r="AF1000" s="955"/>
      <c r="AG1000" s="956"/>
      <c r="AH1000" s="956"/>
      <c r="AI1000" s="957"/>
      <c r="AJ1000" s="1494"/>
      <c r="AK1000" s="1495"/>
      <c r="AL1000" s="1495"/>
      <c r="AM1000" s="1495"/>
      <c r="AN1000" s="1495"/>
      <c r="AO1000" s="1495"/>
      <c r="AP1000" s="1495"/>
      <c r="AQ1000" s="1496"/>
      <c r="AR1000" s="68"/>
      <c r="AS1000" s="68"/>
      <c r="AT1000" s="68"/>
      <c r="AU1000" s="68"/>
      <c r="AV1000" s="68"/>
      <c r="AW1000" s="68"/>
      <c r="AX1000" s="68"/>
      <c r="AY1000" s="68"/>
    </row>
    <row r="1001" spans="1:51" ht="12.95" customHeight="1">
      <c r="A1001" s="14"/>
      <c r="B1001" s="73"/>
      <c r="C1001" s="368" t="s">
        <v>697</v>
      </c>
      <c r="D1001" s="1465" t="s">
        <v>1946</v>
      </c>
      <c r="E1001" s="1466"/>
      <c r="F1001" s="1466"/>
      <c r="G1001" s="1466"/>
      <c r="H1001" s="1466"/>
      <c r="I1001" s="1466"/>
      <c r="J1001" s="1466"/>
      <c r="K1001" s="1466"/>
      <c r="L1001" s="1466"/>
      <c r="M1001" s="1466"/>
      <c r="N1001" s="1466"/>
      <c r="O1001" s="1466"/>
      <c r="P1001" s="1466"/>
      <c r="Q1001" s="1466"/>
      <c r="R1001" s="1466"/>
      <c r="S1001" s="1466"/>
      <c r="T1001" s="1466"/>
      <c r="U1001" s="1466"/>
      <c r="V1001" s="1466"/>
      <c r="W1001" s="1466"/>
      <c r="X1001" s="1466"/>
      <c r="Y1001" s="1466"/>
      <c r="Z1001" s="1466"/>
      <c r="AA1001" s="1466"/>
      <c r="AB1001" s="1466"/>
      <c r="AC1001" s="1466"/>
      <c r="AD1001" s="1466"/>
      <c r="AE1001" s="1467"/>
      <c r="AF1001" s="73"/>
      <c r="AG1001" s="1561" t="s">
        <v>554</v>
      </c>
      <c r="AH1001" s="1562"/>
      <c r="AI1001" s="83"/>
      <c r="AJ1001" s="1488">
        <f>ROUND(IF(AND(AG1001="yes",AJ997=0),(AJ961*0.1),0),0)</f>
        <v>10205252</v>
      </c>
      <c r="AK1001" s="1489"/>
      <c r="AL1001" s="1489"/>
      <c r="AM1001" s="1489"/>
      <c r="AN1001" s="1489"/>
      <c r="AO1001" s="1489"/>
      <c r="AP1001" s="1489"/>
      <c r="AQ1001" s="1490"/>
      <c r="AR1001" s="68"/>
      <c r="AS1001" s="68"/>
      <c r="AT1001" s="68"/>
      <c r="AU1001" s="68"/>
      <c r="AV1001" s="68"/>
      <c r="AW1001" s="68"/>
      <c r="AX1001" s="68"/>
      <c r="AY1001" s="68"/>
    </row>
    <row r="1002" spans="1:51" ht="12.95" customHeight="1">
      <c r="A1002" s="14"/>
      <c r="B1002" s="73"/>
      <c r="C1002" s="74"/>
      <c r="D1002" s="1483" t="s">
        <v>1947</v>
      </c>
      <c r="E1002" s="1267"/>
      <c r="F1002" s="1267"/>
      <c r="G1002" s="1267"/>
      <c r="H1002" s="1267"/>
      <c r="I1002" s="1267"/>
      <c r="J1002" s="1267"/>
      <c r="K1002" s="1267"/>
      <c r="L1002" s="1267"/>
      <c r="M1002" s="1267"/>
      <c r="N1002" s="1267"/>
      <c r="O1002" s="1267"/>
      <c r="P1002" s="1267"/>
      <c r="Q1002" s="1267"/>
      <c r="R1002" s="1267"/>
      <c r="S1002" s="1267"/>
      <c r="T1002" s="1267"/>
      <c r="U1002" s="1267"/>
      <c r="V1002" s="1267"/>
      <c r="W1002" s="1267"/>
      <c r="X1002" s="1267"/>
      <c r="Y1002" s="1267"/>
      <c r="Z1002" s="1267"/>
      <c r="AA1002" s="1267"/>
      <c r="AB1002" s="1267"/>
      <c r="AC1002" s="1267"/>
      <c r="AD1002" s="1267"/>
      <c r="AE1002" s="1484"/>
      <c r="AF1002" s="73"/>
      <c r="AG1002" s="14"/>
      <c r="AH1002" s="14"/>
      <c r="AI1002" s="83"/>
      <c r="AJ1002" s="1491"/>
      <c r="AK1002" s="1492"/>
      <c r="AL1002" s="1492"/>
      <c r="AM1002" s="1492"/>
      <c r="AN1002" s="1492"/>
      <c r="AO1002" s="1492"/>
      <c r="AP1002" s="1492"/>
      <c r="AQ1002" s="1493"/>
      <c r="AR1002" s="68"/>
      <c r="AS1002" s="68"/>
      <c r="AT1002" s="68"/>
      <c r="AU1002" s="68"/>
      <c r="AV1002" s="68"/>
      <c r="AW1002" s="68"/>
      <c r="AX1002" s="68"/>
      <c r="AY1002" s="68"/>
    </row>
    <row r="1003" spans="1:51" ht="12.95" customHeight="1">
      <c r="A1003" s="14"/>
      <c r="B1003" s="73"/>
      <c r="C1003" s="74"/>
      <c r="D1003" s="1483"/>
      <c r="E1003" s="1267"/>
      <c r="F1003" s="1267"/>
      <c r="G1003" s="1267"/>
      <c r="H1003" s="1267"/>
      <c r="I1003" s="1267"/>
      <c r="J1003" s="1267"/>
      <c r="K1003" s="1267"/>
      <c r="L1003" s="1267"/>
      <c r="M1003" s="1267"/>
      <c r="N1003" s="1267"/>
      <c r="O1003" s="1267"/>
      <c r="P1003" s="1267"/>
      <c r="Q1003" s="1267"/>
      <c r="R1003" s="1267"/>
      <c r="S1003" s="1267"/>
      <c r="T1003" s="1267"/>
      <c r="U1003" s="1267"/>
      <c r="V1003" s="1267"/>
      <c r="W1003" s="1267"/>
      <c r="X1003" s="1267"/>
      <c r="Y1003" s="1267"/>
      <c r="Z1003" s="1267"/>
      <c r="AA1003" s="1267"/>
      <c r="AB1003" s="1267"/>
      <c r="AC1003" s="1267"/>
      <c r="AD1003" s="1267"/>
      <c r="AE1003" s="1484"/>
      <c r="AF1003" s="73"/>
      <c r="AG1003" s="14"/>
      <c r="AH1003" s="14"/>
      <c r="AI1003" s="83"/>
      <c r="AJ1003" s="1491"/>
      <c r="AK1003" s="1492"/>
      <c r="AL1003" s="1492"/>
      <c r="AM1003" s="1492"/>
      <c r="AN1003" s="1492"/>
      <c r="AO1003" s="1492"/>
      <c r="AP1003" s="1492"/>
      <c r="AQ1003" s="1493"/>
      <c r="AR1003" s="68"/>
      <c r="AS1003" s="68"/>
      <c r="AT1003" s="68"/>
      <c r="AU1003" s="68"/>
      <c r="AV1003" s="68"/>
      <c r="AW1003" s="68"/>
      <c r="AX1003" s="68"/>
      <c r="AY1003" s="68"/>
    </row>
    <row r="1004" spans="1:51" ht="12.95" customHeight="1">
      <c r="A1004" s="14"/>
      <c r="B1004" s="73"/>
      <c r="C1004" s="74"/>
      <c r="D1004" s="1483"/>
      <c r="E1004" s="1267"/>
      <c r="F1004" s="1267"/>
      <c r="G1004" s="1267"/>
      <c r="H1004" s="1267"/>
      <c r="I1004" s="1267"/>
      <c r="J1004" s="1267"/>
      <c r="K1004" s="1267"/>
      <c r="L1004" s="1267"/>
      <c r="M1004" s="1267"/>
      <c r="N1004" s="1267"/>
      <c r="O1004" s="1267"/>
      <c r="P1004" s="1267"/>
      <c r="Q1004" s="1267"/>
      <c r="R1004" s="1267"/>
      <c r="S1004" s="1267"/>
      <c r="T1004" s="1267"/>
      <c r="U1004" s="1267"/>
      <c r="V1004" s="1267"/>
      <c r="W1004" s="1267"/>
      <c r="X1004" s="1267"/>
      <c r="Y1004" s="1267"/>
      <c r="Z1004" s="1267"/>
      <c r="AA1004" s="1267"/>
      <c r="AB1004" s="1267"/>
      <c r="AC1004" s="1267"/>
      <c r="AD1004" s="1267"/>
      <c r="AE1004" s="1484"/>
      <c r="AF1004" s="73"/>
      <c r="AG1004" s="14"/>
      <c r="AH1004" s="14"/>
      <c r="AI1004" s="83"/>
      <c r="AJ1004" s="1491"/>
      <c r="AK1004" s="1492"/>
      <c r="AL1004" s="1492"/>
      <c r="AM1004" s="1492"/>
      <c r="AN1004" s="1492"/>
      <c r="AO1004" s="1492"/>
      <c r="AP1004" s="1492"/>
      <c r="AQ1004" s="1493"/>
      <c r="AR1004" s="68"/>
      <c r="AS1004" s="68"/>
      <c r="AT1004" s="68"/>
      <c r="AU1004" s="68"/>
      <c r="AV1004" s="68"/>
      <c r="AW1004" s="68"/>
      <c r="AX1004" s="68"/>
      <c r="AY1004" s="68"/>
    </row>
    <row r="1005" spans="1:51" ht="12.95" customHeight="1">
      <c r="A1005" s="14"/>
      <c r="B1005" s="73"/>
      <c r="C1005" s="74"/>
      <c r="D1005" s="1485"/>
      <c r="E1005" s="1486"/>
      <c r="F1005" s="1486"/>
      <c r="G1005" s="1486"/>
      <c r="H1005" s="1486"/>
      <c r="I1005" s="1486"/>
      <c r="J1005" s="1486"/>
      <c r="K1005" s="1486"/>
      <c r="L1005" s="1486"/>
      <c r="M1005" s="1486"/>
      <c r="N1005" s="1486"/>
      <c r="O1005" s="1486"/>
      <c r="P1005" s="1486"/>
      <c r="Q1005" s="1486"/>
      <c r="R1005" s="1486"/>
      <c r="S1005" s="1486"/>
      <c r="T1005" s="1486"/>
      <c r="U1005" s="1486"/>
      <c r="V1005" s="1486"/>
      <c r="W1005" s="1486"/>
      <c r="X1005" s="1486"/>
      <c r="Y1005" s="1486"/>
      <c r="Z1005" s="1486"/>
      <c r="AA1005" s="1486"/>
      <c r="AB1005" s="1486"/>
      <c r="AC1005" s="1486"/>
      <c r="AD1005" s="1486"/>
      <c r="AE1005" s="1487"/>
      <c r="AF1005" s="73"/>
      <c r="AG1005" s="14"/>
      <c r="AH1005" s="14"/>
      <c r="AI1005" s="83"/>
      <c r="AJ1005" s="1491"/>
      <c r="AK1005" s="1492"/>
      <c r="AL1005" s="1492"/>
      <c r="AM1005" s="1492"/>
      <c r="AN1005" s="1492"/>
      <c r="AO1005" s="1492"/>
      <c r="AP1005" s="1492"/>
      <c r="AQ1005" s="1493"/>
      <c r="AR1005" s="68"/>
      <c r="AS1005" s="68"/>
      <c r="AT1005" s="68"/>
      <c r="AU1005" s="68"/>
      <c r="AV1005" s="68"/>
      <c r="AW1005" s="68"/>
      <c r="AX1005" s="68"/>
      <c r="AY1005" s="68"/>
    </row>
    <row r="1006" spans="1:51" ht="12.95" customHeight="1">
      <c r="A1006" s="14"/>
      <c r="B1006" s="79"/>
      <c r="C1006" s="131" t="s">
        <v>1065</v>
      </c>
      <c r="D1006" s="1455" t="s">
        <v>1460</v>
      </c>
      <c r="E1006" s="1456"/>
      <c r="F1006" s="1456"/>
      <c r="G1006" s="1456"/>
      <c r="H1006" s="1456"/>
      <c r="I1006" s="1456"/>
      <c r="J1006" s="1456"/>
      <c r="K1006" s="1456"/>
      <c r="L1006" s="1456"/>
      <c r="M1006" s="1456"/>
      <c r="N1006" s="1456"/>
      <c r="O1006" s="1456"/>
      <c r="P1006" s="1456"/>
      <c r="Q1006" s="1456"/>
      <c r="R1006" s="1456"/>
      <c r="S1006" s="1456"/>
      <c r="T1006" s="1456"/>
      <c r="U1006" s="1456"/>
      <c r="V1006" s="1456"/>
      <c r="W1006" s="1456"/>
      <c r="X1006" s="1456"/>
      <c r="Y1006" s="1456"/>
      <c r="Z1006" s="1456"/>
      <c r="AA1006" s="1456"/>
      <c r="AB1006" s="1456"/>
      <c r="AC1006" s="1456"/>
      <c r="AD1006" s="1456"/>
      <c r="AE1006" s="1457"/>
      <c r="AF1006" s="79"/>
      <c r="AG1006" s="1463" t="s">
        <v>678</v>
      </c>
      <c r="AH1006" s="1464"/>
      <c r="AI1006" s="87"/>
      <c r="AJ1006" s="1488">
        <f>ROUND(IF(AG1006="yes",(AJ961*0.1),0),0)</f>
        <v>0</v>
      </c>
      <c r="AK1006" s="1489"/>
      <c r="AL1006" s="1489"/>
      <c r="AM1006" s="1489"/>
      <c r="AN1006" s="1489"/>
      <c r="AO1006" s="1489"/>
      <c r="AP1006" s="1489"/>
      <c r="AQ1006" s="1490"/>
      <c r="AR1006" s="68"/>
      <c r="AS1006" s="68"/>
      <c r="AT1006" s="68"/>
      <c r="AU1006" s="68"/>
      <c r="AV1006" s="68"/>
      <c r="AW1006" s="68"/>
      <c r="AX1006" s="68"/>
      <c r="AY1006" s="68"/>
    </row>
    <row r="1007" spans="1:51" ht="12.95" customHeight="1">
      <c r="A1007" s="14"/>
      <c r="B1007" s="73"/>
      <c r="C1007" s="74"/>
      <c r="D1007" s="1443" t="s">
        <v>2513</v>
      </c>
      <c r="E1007" s="1444"/>
      <c r="F1007" s="1444"/>
      <c r="G1007" s="1444"/>
      <c r="H1007" s="1444"/>
      <c r="I1007" s="1444"/>
      <c r="J1007" s="1444"/>
      <c r="K1007" s="1444"/>
      <c r="L1007" s="1444"/>
      <c r="M1007" s="1444"/>
      <c r="N1007" s="1444"/>
      <c r="O1007" s="1444"/>
      <c r="P1007" s="1444"/>
      <c r="Q1007" s="1444"/>
      <c r="R1007" s="1444"/>
      <c r="S1007" s="1444"/>
      <c r="T1007" s="1444"/>
      <c r="U1007" s="1444"/>
      <c r="V1007" s="1444"/>
      <c r="W1007" s="1444"/>
      <c r="X1007" s="1444"/>
      <c r="Y1007" s="1444"/>
      <c r="Z1007" s="1444"/>
      <c r="AA1007" s="1444"/>
      <c r="AB1007" s="1444"/>
      <c r="AC1007" s="1444"/>
      <c r="AD1007" s="1444"/>
      <c r="AE1007" s="1445"/>
      <c r="AF1007" s="73"/>
      <c r="AG1007" s="14"/>
      <c r="AH1007" s="14"/>
      <c r="AI1007" s="83"/>
      <c r="AJ1007" s="1491"/>
      <c r="AK1007" s="1492"/>
      <c r="AL1007" s="1492"/>
      <c r="AM1007" s="1492"/>
      <c r="AN1007" s="1492"/>
      <c r="AO1007" s="1492"/>
      <c r="AP1007" s="1492"/>
      <c r="AQ1007" s="1493"/>
      <c r="AR1007" s="68"/>
      <c r="AS1007" s="68"/>
      <c r="AT1007" s="68"/>
      <c r="AU1007" s="68"/>
      <c r="AV1007" s="68"/>
      <c r="AW1007" s="68"/>
      <c r="AX1007" s="68"/>
      <c r="AY1007" s="68"/>
    </row>
    <row r="1008" spans="1:51" ht="12.95" customHeight="1">
      <c r="A1008" s="14"/>
      <c r="B1008" s="73"/>
      <c r="C1008" s="74"/>
      <c r="D1008" s="1443"/>
      <c r="E1008" s="1444"/>
      <c r="F1008" s="1444"/>
      <c r="G1008" s="1444"/>
      <c r="H1008" s="1444"/>
      <c r="I1008" s="1444"/>
      <c r="J1008" s="1444"/>
      <c r="K1008" s="1444"/>
      <c r="L1008" s="1444"/>
      <c r="M1008" s="1444"/>
      <c r="N1008" s="1444"/>
      <c r="O1008" s="1444"/>
      <c r="P1008" s="1444"/>
      <c r="Q1008" s="1444"/>
      <c r="R1008" s="1444"/>
      <c r="S1008" s="1444"/>
      <c r="T1008" s="1444"/>
      <c r="U1008" s="1444"/>
      <c r="V1008" s="1444"/>
      <c r="W1008" s="1444"/>
      <c r="X1008" s="1444"/>
      <c r="Y1008" s="1444"/>
      <c r="Z1008" s="1444"/>
      <c r="AA1008" s="1444"/>
      <c r="AB1008" s="1444"/>
      <c r="AC1008" s="1444"/>
      <c r="AD1008" s="1444"/>
      <c r="AE1008" s="1445"/>
      <c r="AF1008" s="73"/>
      <c r="AG1008" s="14"/>
      <c r="AH1008" s="14"/>
      <c r="AI1008" s="83"/>
      <c r="AJ1008" s="1491"/>
      <c r="AK1008" s="1492"/>
      <c r="AL1008" s="1492"/>
      <c r="AM1008" s="1492"/>
      <c r="AN1008" s="1492"/>
      <c r="AO1008" s="1492"/>
      <c r="AP1008" s="1492"/>
      <c r="AQ1008" s="1493"/>
      <c r="AR1008" s="68"/>
      <c r="AS1008" s="68"/>
      <c r="AT1008" s="68"/>
      <c r="AU1008" s="68"/>
      <c r="AV1008" s="68"/>
      <c r="AW1008" s="68"/>
      <c r="AX1008" s="68"/>
      <c r="AY1008" s="68"/>
    </row>
    <row r="1009" spans="1:51" ht="12.95" customHeight="1">
      <c r="A1009" s="14"/>
      <c r="B1009" s="73"/>
      <c r="C1009" s="74"/>
      <c r="D1009" s="1468"/>
      <c r="E1009" s="1469"/>
      <c r="F1009" s="1469"/>
      <c r="G1009" s="1469"/>
      <c r="H1009" s="1469"/>
      <c r="I1009" s="1469"/>
      <c r="J1009" s="1469"/>
      <c r="K1009" s="1469"/>
      <c r="L1009" s="1469"/>
      <c r="M1009" s="1469"/>
      <c r="N1009" s="1469"/>
      <c r="O1009" s="1469"/>
      <c r="P1009" s="1469"/>
      <c r="Q1009" s="1469"/>
      <c r="R1009" s="1469"/>
      <c r="S1009" s="1469"/>
      <c r="T1009" s="1469"/>
      <c r="U1009" s="1469"/>
      <c r="V1009" s="1469"/>
      <c r="W1009" s="1469"/>
      <c r="X1009" s="1469"/>
      <c r="Y1009" s="1469"/>
      <c r="Z1009" s="1469"/>
      <c r="AA1009" s="1469"/>
      <c r="AB1009" s="1469"/>
      <c r="AC1009" s="1469"/>
      <c r="AD1009" s="1469"/>
      <c r="AE1009" s="1470"/>
      <c r="AF1009" s="73"/>
      <c r="AG1009" s="14"/>
      <c r="AH1009" s="14"/>
      <c r="AI1009" s="83"/>
      <c r="AJ1009" s="1494"/>
      <c r="AK1009" s="1495"/>
      <c r="AL1009" s="1495"/>
      <c r="AM1009" s="1495"/>
      <c r="AN1009" s="1495"/>
      <c r="AO1009" s="1495"/>
      <c r="AP1009" s="1495"/>
      <c r="AQ1009" s="1496"/>
      <c r="AR1009" s="68"/>
      <c r="AS1009" s="68"/>
      <c r="AT1009" s="68"/>
      <c r="AU1009" s="68"/>
      <c r="AV1009" s="68"/>
      <c r="AW1009" s="68"/>
      <c r="AX1009" s="68"/>
      <c r="AY1009" s="68"/>
    </row>
    <row r="1010" spans="1:51" ht="12.95" customHeight="1">
      <c r="A1010" s="14"/>
      <c r="B1010" s="79"/>
      <c r="C1010" s="131" t="s">
        <v>1942</v>
      </c>
      <c r="D1010" s="1465" t="s">
        <v>2126</v>
      </c>
      <c r="E1010" s="1466"/>
      <c r="F1010" s="1466"/>
      <c r="G1010" s="1466"/>
      <c r="H1010" s="1466"/>
      <c r="I1010" s="1466"/>
      <c r="J1010" s="1466"/>
      <c r="K1010" s="1466"/>
      <c r="L1010" s="1466"/>
      <c r="M1010" s="1466"/>
      <c r="N1010" s="1466"/>
      <c r="O1010" s="1466"/>
      <c r="P1010" s="1466"/>
      <c r="Q1010" s="1466"/>
      <c r="R1010" s="1466"/>
      <c r="S1010" s="1466"/>
      <c r="T1010" s="1466"/>
      <c r="U1010" s="1466"/>
      <c r="V1010" s="1466"/>
      <c r="W1010" s="1466"/>
      <c r="X1010" s="1466"/>
      <c r="Y1010" s="1466"/>
      <c r="Z1010" s="1466"/>
      <c r="AA1010" s="1466"/>
      <c r="AB1010" s="1466"/>
      <c r="AC1010" s="1466"/>
      <c r="AD1010" s="1466"/>
      <c r="AE1010" s="1467"/>
      <c r="AF1010" s="79"/>
      <c r="AG1010" s="1559" t="str">
        <f>IF(X1013&gt;0,"Yes","No")</f>
        <v>No</v>
      </c>
      <c r="AH1010" s="1560"/>
      <c r="AI1010" s="87"/>
      <c r="AJ1010" s="1488">
        <f>IF((X1013=0),0,BA975*AJ961)</f>
        <v>0</v>
      </c>
      <c r="AK1010" s="1489"/>
      <c r="AL1010" s="1489"/>
      <c r="AM1010" s="1489"/>
      <c r="AN1010" s="1489"/>
      <c r="AO1010" s="1489"/>
      <c r="AP1010" s="1489"/>
      <c r="AQ1010" s="1490"/>
      <c r="AR1010" s="68"/>
      <c r="AS1010" s="68"/>
      <c r="AT1010" s="68"/>
      <c r="AU1010" s="68"/>
      <c r="AV1010" s="68"/>
      <c r="AW1010" s="68"/>
      <c r="AX1010" s="68"/>
      <c r="AY1010" s="68"/>
    </row>
    <row r="1011" spans="1:51" ht="12.95" customHeight="1">
      <c r="A1011" s="14"/>
      <c r="B1011" s="73"/>
      <c r="C1011" s="477"/>
      <c r="D1011" s="1443" t="s">
        <v>1462</v>
      </c>
      <c r="E1011" s="1444"/>
      <c r="F1011" s="1444"/>
      <c r="G1011" s="1444"/>
      <c r="H1011" s="1444"/>
      <c r="I1011" s="1444"/>
      <c r="J1011" s="1444"/>
      <c r="K1011" s="1444"/>
      <c r="L1011" s="1444"/>
      <c r="M1011" s="1444"/>
      <c r="N1011" s="1444"/>
      <c r="O1011" s="1444"/>
      <c r="P1011" s="1444"/>
      <c r="Q1011" s="1444"/>
      <c r="R1011" s="1444"/>
      <c r="S1011" s="1444"/>
      <c r="T1011" s="1444"/>
      <c r="U1011" s="1444"/>
      <c r="V1011" s="1444"/>
      <c r="W1011" s="1444"/>
      <c r="X1011" s="1444"/>
      <c r="Y1011" s="1444"/>
      <c r="Z1011" s="1444"/>
      <c r="AA1011" s="1444"/>
      <c r="AB1011" s="1444"/>
      <c r="AC1011" s="1444"/>
      <c r="AD1011" s="1444"/>
      <c r="AE1011" s="1445"/>
      <c r="AF1011" s="73"/>
      <c r="AG1011" s="478"/>
      <c r="AH1011" s="478"/>
      <c r="AI1011" s="83"/>
      <c r="AJ1011" s="1491"/>
      <c r="AK1011" s="1492"/>
      <c r="AL1011" s="1492"/>
      <c r="AM1011" s="1492"/>
      <c r="AN1011" s="1492"/>
      <c r="AO1011" s="1492"/>
      <c r="AP1011" s="1492"/>
      <c r="AQ1011" s="1493"/>
      <c r="AR1011" s="68"/>
      <c r="AS1011" s="68"/>
      <c r="AT1011" s="68"/>
      <c r="AU1011" s="68"/>
      <c r="AV1011" s="68"/>
      <c r="AW1011" s="68"/>
      <c r="AX1011" s="68"/>
      <c r="AY1011" s="68"/>
    </row>
    <row r="1012" spans="1:51" ht="12.95" customHeight="1">
      <c r="A1012" s="14"/>
      <c r="B1012" s="73"/>
      <c r="C1012" s="477"/>
      <c r="D1012" s="1443"/>
      <c r="E1012" s="1444"/>
      <c r="F1012" s="1444"/>
      <c r="G1012" s="1444"/>
      <c r="H1012" s="1444"/>
      <c r="I1012" s="1444"/>
      <c r="J1012" s="1444"/>
      <c r="K1012" s="1444"/>
      <c r="L1012" s="1444"/>
      <c r="M1012" s="1444"/>
      <c r="N1012" s="1444"/>
      <c r="O1012" s="1444"/>
      <c r="P1012" s="1444"/>
      <c r="Q1012" s="1444"/>
      <c r="R1012" s="1444"/>
      <c r="S1012" s="1444"/>
      <c r="T1012" s="1444"/>
      <c r="U1012" s="1444"/>
      <c r="V1012" s="1444"/>
      <c r="W1012" s="1444"/>
      <c r="X1012" s="1444"/>
      <c r="Y1012" s="1444"/>
      <c r="Z1012" s="1444"/>
      <c r="AA1012" s="1444"/>
      <c r="AB1012" s="1444"/>
      <c r="AC1012" s="1444"/>
      <c r="AD1012" s="1444"/>
      <c r="AE1012" s="1445"/>
      <c r="AF1012" s="73"/>
      <c r="AG1012" s="478"/>
      <c r="AH1012" s="478"/>
      <c r="AI1012" s="83"/>
      <c r="AJ1012" s="1491"/>
      <c r="AK1012" s="1492"/>
      <c r="AL1012" s="1492"/>
      <c r="AM1012" s="1492"/>
      <c r="AN1012" s="1492"/>
      <c r="AO1012" s="1492"/>
      <c r="AP1012" s="1492"/>
      <c r="AQ1012" s="1493"/>
      <c r="AR1012" s="68"/>
      <c r="AS1012" s="68"/>
      <c r="AT1012" s="68"/>
      <c r="AU1012" s="68"/>
      <c r="AV1012" s="68"/>
      <c r="AW1012" s="68"/>
      <c r="AX1012" s="68"/>
      <c r="AY1012" s="68"/>
    </row>
    <row r="1013" spans="1:51" ht="12.95" customHeight="1">
      <c r="A1013" s="14"/>
      <c r="B1013" s="77"/>
      <c r="C1013" s="78"/>
      <c r="D1013" s="132" t="s">
        <v>1010</v>
      </c>
      <c r="E1013" s="133"/>
      <c r="F1013" s="133"/>
      <c r="G1013" s="133"/>
      <c r="H1013" s="133"/>
      <c r="I1013" s="1557">
        <f>BA973</f>
        <v>171</v>
      </c>
      <c r="J1013" s="1558"/>
      <c r="K1013" s="7"/>
      <c r="L1013" s="133"/>
      <c r="M1013" s="133"/>
      <c r="N1013" s="133"/>
      <c r="O1013" s="133"/>
      <c r="P1013" s="133"/>
      <c r="Q1013" s="133"/>
      <c r="R1013" s="133"/>
      <c r="S1013" s="133"/>
      <c r="T1013" s="133"/>
      <c r="U1013" s="133"/>
      <c r="V1013" s="134" t="s">
        <v>1011</v>
      </c>
      <c r="W1013" s="48"/>
      <c r="X1013" s="1555">
        <f>BG621</f>
        <v>0</v>
      </c>
      <c r="Y1013" s="1556"/>
      <c r="Z1013" s="48"/>
      <c r="AA1013" s="48"/>
      <c r="AB1013" s="48"/>
      <c r="AC1013" s="48"/>
      <c r="AD1013" s="48"/>
      <c r="AE1013" s="49"/>
      <c r="AF1013" s="961"/>
      <c r="AG1013" s="962"/>
      <c r="AH1013" s="962"/>
      <c r="AI1013" s="963"/>
      <c r="AJ1013" s="1494"/>
      <c r="AK1013" s="1495"/>
      <c r="AL1013" s="1495"/>
      <c r="AM1013" s="1495"/>
      <c r="AN1013" s="1495"/>
      <c r="AO1013" s="1495"/>
      <c r="AP1013" s="1495"/>
      <c r="AQ1013" s="1496"/>
      <c r="AR1013" s="68"/>
      <c r="AS1013" s="68"/>
      <c r="AT1013" s="68"/>
      <c r="AU1013" s="68"/>
      <c r="AV1013" s="68"/>
      <c r="AW1013" s="68"/>
      <c r="AX1013" s="68"/>
      <c r="AY1013" s="68"/>
    </row>
    <row r="1014" spans="1:51" ht="12.95" customHeight="1">
      <c r="A1014" s="14"/>
      <c r="B1014" s="79"/>
      <c r="C1014" s="131" t="s">
        <v>1943</v>
      </c>
      <c r="D1014" s="1455" t="s">
        <v>2127</v>
      </c>
      <c r="E1014" s="1456"/>
      <c r="F1014" s="1456"/>
      <c r="G1014" s="1456"/>
      <c r="H1014" s="1456"/>
      <c r="I1014" s="1456"/>
      <c r="J1014" s="1456"/>
      <c r="K1014" s="1456"/>
      <c r="L1014" s="1456"/>
      <c r="M1014" s="1456"/>
      <c r="N1014" s="1456"/>
      <c r="O1014" s="1456"/>
      <c r="P1014" s="1456"/>
      <c r="Q1014" s="1456"/>
      <c r="R1014" s="1456"/>
      <c r="S1014" s="1456"/>
      <c r="T1014" s="1456"/>
      <c r="U1014" s="1456"/>
      <c r="V1014" s="1456"/>
      <c r="W1014" s="1456"/>
      <c r="X1014" s="1456"/>
      <c r="Y1014" s="1456"/>
      <c r="Z1014" s="1456"/>
      <c r="AA1014" s="1456"/>
      <c r="AB1014" s="1456"/>
      <c r="AC1014" s="1456"/>
      <c r="AD1014" s="1456"/>
      <c r="AE1014" s="1457"/>
      <c r="AF1014" s="73"/>
      <c r="AG1014" s="1559" t="str">
        <f>IF(X1017&gt;0,"Yes","No")</f>
        <v>Yes</v>
      </c>
      <c r="AH1014" s="1560"/>
      <c r="AI1014" s="83"/>
      <c r="AJ1014" s="1488">
        <f>IF((X1017=0),0,(2*BA976)*AJ961)</f>
        <v>42862057.979999997</v>
      </c>
      <c r="AK1014" s="1489"/>
      <c r="AL1014" s="1489"/>
      <c r="AM1014" s="1489"/>
      <c r="AN1014" s="1489"/>
      <c r="AO1014" s="1489"/>
      <c r="AP1014" s="1489"/>
      <c r="AQ1014" s="1490"/>
      <c r="AR1014" s="68"/>
      <c r="AS1014" s="68"/>
      <c r="AT1014" s="68"/>
      <c r="AU1014" s="68"/>
      <c r="AV1014" s="68"/>
      <c r="AW1014" s="68"/>
      <c r="AX1014" s="68"/>
      <c r="AY1014" s="68"/>
    </row>
    <row r="1015" spans="1:51" ht="12.95" customHeight="1">
      <c r="A1015" s="14"/>
      <c r="B1015" s="73"/>
      <c r="C1015" s="477"/>
      <c r="D1015" s="1443" t="s">
        <v>1461</v>
      </c>
      <c r="E1015" s="1444"/>
      <c r="F1015" s="1444"/>
      <c r="G1015" s="1444"/>
      <c r="H1015" s="1444"/>
      <c r="I1015" s="1444"/>
      <c r="J1015" s="1444"/>
      <c r="K1015" s="1444"/>
      <c r="L1015" s="1444"/>
      <c r="M1015" s="1444"/>
      <c r="N1015" s="1444"/>
      <c r="O1015" s="1444"/>
      <c r="P1015" s="1444"/>
      <c r="Q1015" s="1444"/>
      <c r="R1015" s="1444"/>
      <c r="S1015" s="1444"/>
      <c r="T1015" s="1444"/>
      <c r="U1015" s="1444"/>
      <c r="V1015" s="1444"/>
      <c r="W1015" s="1444"/>
      <c r="X1015" s="1444"/>
      <c r="Y1015" s="1444"/>
      <c r="Z1015" s="1444"/>
      <c r="AA1015" s="1444"/>
      <c r="AB1015" s="1444"/>
      <c r="AC1015" s="1444"/>
      <c r="AD1015" s="1444"/>
      <c r="AE1015" s="1445"/>
      <c r="AF1015" s="73"/>
      <c r="AG1015" s="478"/>
      <c r="AH1015" s="478"/>
      <c r="AI1015" s="83"/>
      <c r="AJ1015" s="1491"/>
      <c r="AK1015" s="1492"/>
      <c r="AL1015" s="1492"/>
      <c r="AM1015" s="1492"/>
      <c r="AN1015" s="1492"/>
      <c r="AO1015" s="1492"/>
      <c r="AP1015" s="1492"/>
      <c r="AQ1015" s="1493"/>
      <c r="AR1015" s="68"/>
      <c r="AS1015" s="68"/>
      <c r="AT1015" s="68"/>
      <c r="AU1015" s="68"/>
      <c r="AV1015" s="68"/>
      <c r="AW1015" s="68"/>
      <c r="AX1015" s="68"/>
      <c r="AY1015" s="68"/>
    </row>
    <row r="1016" spans="1:51" ht="12.95" customHeight="1">
      <c r="A1016" s="14"/>
      <c r="B1016" s="73"/>
      <c r="C1016" s="83"/>
      <c r="D1016" s="1443"/>
      <c r="E1016" s="1444"/>
      <c r="F1016" s="1444"/>
      <c r="G1016" s="1444"/>
      <c r="H1016" s="1444"/>
      <c r="I1016" s="1444"/>
      <c r="J1016" s="1444"/>
      <c r="K1016" s="1444"/>
      <c r="L1016" s="1444"/>
      <c r="M1016" s="1444"/>
      <c r="N1016" s="1444"/>
      <c r="O1016" s="1444"/>
      <c r="P1016" s="1444"/>
      <c r="Q1016" s="1444"/>
      <c r="R1016" s="1444"/>
      <c r="S1016" s="1444"/>
      <c r="T1016" s="1444"/>
      <c r="U1016" s="1444"/>
      <c r="V1016" s="1444"/>
      <c r="W1016" s="1444"/>
      <c r="X1016" s="1444"/>
      <c r="Y1016" s="1444"/>
      <c r="Z1016" s="1444"/>
      <c r="AA1016" s="1444"/>
      <c r="AB1016" s="1444"/>
      <c r="AC1016" s="1444"/>
      <c r="AD1016" s="1444"/>
      <c r="AE1016" s="1445"/>
      <c r="AF1016" s="958"/>
      <c r="AG1016" s="959"/>
      <c r="AH1016" s="959"/>
      <c r="AI1016" s="960"/>
      <c r="AJ1016" s="1491"/>
      <c r="AK1016" s="1492"/>
      <c r="AL1016" s="1492"/>
      <c r="AM1016" s="1492"/>
      <c r="AN1016" s="1492"/>
      <c r="AO1016" s="1492"/>
      <c r="AP1016" s="1492"/>
      <c r="AQ1016" s="1493"/>
      <c r="AR1016" s="68"/>
      <c r="AS1016" s="68"/>
      <c r="AT1016" s="68"/>
      <c r="AU1016" s="68"/>
      <c r="AV1016" s="68"/>
      <c r="AW1016" s="68"/>
      <c r="AX1016" s="68"/>
      <c r="AY1016" s="68"/>
    </row>
    <row r="1017" spans="1:51" ht="12.95" customHeight="1">
      <c r="A1017" s="14"/>
      <c r="B1017" s="77"/>
      <c r="C1017" s="78"/>
      <c r="D1017" s="132" t="s">
        <v>1010</v>
      </c>
      <c r="E1017" s="133"/>
      <c r="F1017" s="133"/>
      <c r="G1017" s="133"/>
      <c r="H1017" s="133"/>
      <c r="I1017" s="1557">
        <f>BA973</f>
        <v>171</v>
      </c>
      <c r="J1017" s="1558"/>
      <c r="K1017" s="14"/>
      <c r="L1017" s="133"/>
      <c r="M1017" s="133"/>
      <c r="N1017" s="133"/>
      <c r="O1017" s="133"/>
      <c r="P1017" s="133"/>
      <c r="Q1017" s="133"/>
      <c r="R1017" s="133"/>
      <c r="S1017" s="133"/>
      <c r="T1017" s="133"/>
      <c r="U1017" s="133"/>
      <c r="V1017" s="134" t="s">
        <v>1012</v>
      </c>
      <c r="X1017" s="1555">
        <f>BK621</f>
        <v>37</v>
      </c>
      <c r="Y1017" s="1556"/>
      <c r="AF1017" s="961"/>
      <c r="AG1017" s="962"/>
      <c r="AH1017" s="962"/>
      <c r="AI1017" s="963"/>
      <c r="AJ1017" s="1494"/>
      <c r="AK1017" s="1495"/>
      <c r="AL1017" s="1495"/>
      <c r="AM1017" s="1495"/>
      <c r="AN1017" s="1495"/>
      <c r="AO1017" s="1495"/>
      <c r="AP1017" s="1495"/>
      <c r="AQ1017" s="1496"/>
      <c r="AR1017" s="68"/>
      <c r="AS1017" s="68"/>
      <c r="AT1017" s="68"/>
      <c r="AU1017" s="68"/>
      <c r="AV1017" s="68"/>
      <c r="AW1017" s="68"/>
      <c r="AX1017" s="68"/>
      <c r="AY1017" s="68"/>
    </row>
    <row r="1018" spans="1:51" ht="12.95" customHeight="1">
      <c r="A1018" s="14"/>
      <c r="B1018" s="102"/>
      <c r="C1018" s="103"/>
      <c r="D1018" s="1553" t="s">
        <v>522</v>
      </c>
      <c r="E1018" s="1553"/>
      <c r="F1018" s="1553"/>
      <c r="G1018" s="1553"/>
      <c r="H1018" s="1553"/>
      <c r="I1018" s="1553"/>
      <c r="J1018" s="1553"/>
      <c r="K1018" s="1553"/>
      <c r="L1018" s="1553"/>
      <c r="M1018" s="1553"/>
      <c r="N1018" s="1553"/>
      <c r="O1018" s="1553"/>
      <c r="P1018" s="1553"/>
      <c r="Q1018" s="1553"/>
      <c r="R1018" s="1553"/>
      <c r="S1018" s="1553"/>
      <c r="T1018" s="1553"/>
      <c r="U1018" s="1553"/>
      <c r="V1018" s="1553"/>
      <c r="W1018" s="1553"/>
      <c r="X1018" s="1553"/>
      <c r="Y1018" s="1553"/>
      <c r="Z1018" s="1553"/>
      <c r="AA1018" s="1553"/>
      <c r="AB1018" s="1553"/>
      <c r="AC1018" s="1553"/>
      <c r="AD1018" s="1553"/>
      <c r="AE1018" s="1553"/>
      <c r="AF1018" s="1553"/>
      <c r="AG1018" s="1553"/>
      <c r="AH1018" s="1553"/>
      <c r="AI1018" s="1554"/>
      <c r="AJ1018" s="1563">
        <f>SUM(AJ961:AQ1017)</f>
        <v>175530332.97999999</v>
      </c>
      <c r="AK1018" s="1564"/>
      <c r="AL1018" s="1564"/>
      <c r="AM1018" s="1564"/>
      <c r="AN1018" s="1564"/>
      <c r="AO1018" s="1564"/>
      <c r="AP1018" s="1564"/>
      <c r="AQ1018" s="1565"/>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640">
        <f>IF(ISNA(IF((AJ985&gt;(AJ961*0.15)),"(f) cannot be greater than 15% of unadjusted eligible basis.",0)),"",(IF((AJ985&gt;(AJ961*0.15)),"(f) cannot be greater than 15% of unadjusted eligible basis.",0)))</f>
        <v>0</v>
      </c>
      <c r="C1025" s="1640"/>
      <c r="D1025" s="1640"/>
      <c r="E1025" s="1640"/>
      <c r="F1025" s="1640"/>
      <c r="G1025" s="1640"/>
      <c r="H1025" s="1640"/>
      <c r="I1025" s="1640"/>
      <c r="J1025" s="1640"/>
      <c r="K1025" s="1640"/>
      <c r="L1025" s="1640"/>
      <c r="M1025" s="1640"/>
      <c r="N1025" s="1640"/>
      <c r="O1025" s="1640"/>
      <c r="P1025" s="1640"/>
      <c r="Q1025" s="1640"/>
      <c r="R1025" s="1640"/>
      <c r="S1025" s="1640"/>
      <c r="T1025" s="1640"/>
      <c r="U1025" s="1640"/>
      <c r="V1025" s="1640"/>
      <c r="W1025" s="1640"/>
      <c r="X1025" s="1640"/>
      <c r="Y1025" s="1640"/>
      <c r="Z1025" s="1640"/>
      <c r="AA1025" s="1640"/>
      <c r="AB1025" s="1640"/>
      <c r="AC1025" s="1640"/>
      <c r="AD1025" s="1640"/>
      <c r="AE1025" s="1640"/>
      <c r="AF1025" s="1640"/>
      <c r="AG1025" s="1640"/>
      <c r="AH1025" s="1640"/>
      <c r="AI1025" s="1640"/>
      <c r="AJ1025" s="1640"/>
      <c r="AK1025" s="1640"/>
      <c r="AL1025" s="68"/>
      <c r="AM1025" s="68"/>
      <c r="AN1025" s="68"/>
      <c r="AO1025" s="68"/>
      <c r="AP1025" s="68"/>
      <c r="AQ1025" s="68"/>
      <c r="AR1025" s="68"/>
      <c r="AS1025" s="68"/>
      <c r="AT1025" s="68"/>
      <c r="AU1025" s="68"/>
      <c r="AV1025" s="68"/>
      <c r="AW1025" s="68"/>
      <c r="AX1025" s="68"/>
      <c r="AY1025" s="68"/>
    </row>
    <row r="1026" spans="1:51" ht="12.95" customHeight="1" thickBot="1">
      <c r="A1026" s="1672" t="s">
        <v>818</v>
      </c>
      <c r="B1026" s="1672"/>
      <c r="C1026" s="1672"/>
      <c r="D1026" s="1672"/>
      <c r="E1026" s="1672"/>
      <c r="F1026" s="1672"/>
      <c r="G1026" s="1672"/>
      <c r="H1026" s="1672"/>
      <c r="I1026" s="1672"/>
      <c r="J1026" s="1672"/>
      <c r="K1026" s="1672"/>
      <c r="L1026" s="1672"/>
      <c r="M1026" s="1672"/>
      <c r="N1026" s="1672"/>
      <c r="O1026" s="1672"/>
      <c r="P1026" s="1672"/>
      <c r="Q1026" s="1672"/>
      <c r="R1026" s="1672"/>
      <c r="S1026" s="1672"/>
      <c r="T1026" s="1672"/>
      <c r="U1026" s="1672"/>
      <c r="V1026" s="1672"/>
      <c r="W1026" s="1672"/>
      <c r="X1026" s="1672"/>
      <c r="Y1026" s="1672"/>
      <c r="Z1026" s="1672"/>
      <c r="AA1026" s="1672"/>
      <c r="AB1026" s="1672"/>
      <c r="AC1026" s="1672"/>
      <c r="AD1026" s="1672"/>
      <c r="AE1026" s="1672"/>
      <c r="AF1026" s="1672"/>
      <c r="AG1026" s="1672"/>
      <c r="AH1026" s="1672"/>
      <c r="AI1026" s="1672"/>
      <c r="AJ1026" s="1672"/>
      <c r="AK1026" s="1672"/>
      <c r="AL1026" s="1672"/>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75" t="s">
        <v>600</v>
      </c>
      <c r="B1030" s="1375"/>
      <c r="C1030" s="8">
        <v>1</v>
      </c>
      <c r="D1030" s="1263" t="s">
        <v>1168</v>
      </c>
      <c r="E1030" s="1263"/>
      <c r="F1030" s="1263"/>
      <c r="G1030" s="1263"/>
      <c r="H1030" s="1263"/>
      <c r="I1030" s="1263"/>
      <c r="J1030" s="1263"/>
      <c r="K1030" s="1263"/>
      <c r="L1030" s="1263"/>
      <c r="M1030" s="1263"/>
      <c r="N1030" s="1263"/>
      <c r="O1030" s="1263"/>
      <c r="P1030" s="1263"/>
      <c r="Q1030" s="1263"/>
      <c r="R1030" s="1263"/>
      <c r="S1030" s="1263"/>
      <c r="T1030" s="1263"/>
      <c r="U1030" s="1263"/>
      <c r="V1030" s="1263"/>
      <c r="W1030" s="1263"/>
      <c r="X1030" s="1263"/>
      <c r="Y1030" s="1263"/>
      <c r="Z1030" s="1263"/>
      <c r="AA1030" s="1263"/>
      <c r="AB1030" s="1263"/>
      <c r="AC1030" s="1263"/>
      <c r="AD1030" s="1263"/>
      <c r="AE1030" s="1263"/>
      <c r="AF1030" s="1263"/>
      <c r="AG1030" s="1263"/>
      <c r="AH1030" s="1263"/>
      <c r="AI1030" s="1263"/>
      <c r="AJ1030" s="1263"/>
      <c r="AK1030" s="1263"/>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3"/>
      <c r="E1031" s="1263"/>
      <c r="F1031" s="1263"/>
      <c r="G1031" s="1263"/>
      <c r="H1031" s="1263"/>
      <c r="I1031" s="1263"/>
      <c r="J1031" s="1263"/>
      <c r="K1031" s="1263"/>
      <c r="L1031" s="1263"/>
      <c r="M1031" s="1263"/>
      <c r="N1031" s="1263"/>
      <c r="O1031" s="1263"/>
      <c r="P1031" s="1263"/>
      <c r="Q1031" s="1263"/>
      <c r="R1031" s="1263"/>
      <c r="S1031" s="1263"/>
      <c r="T1031" s="1263"/>
      <c r="U1031" s="1263"/>
      <c r="V1031" s="1263"/>
      <c r="W1031" s="1263"/>
      <c r="X1031" s="1263"/>
      <c r="Y1031" s="1263"/>
      <c r="Z1031" s="1263"/>
      <c r="AA1031" s="1263"/>
      <c r="AB1031" s="1263"/>
      <c r="AC1031" s="1263"/>
      <c r="AD1031" s="1263"/>
      <c r="AE1031" s="1263"/>
      <c r="AF1031" s="1263"/>
      <c r="AG1031" s="1263"/>
      <c r="AH1031" s="1263"/>
      <c r="AI1031" s="1263"/>
      <c r="AJ1031" s="1263"/>
      <c r="AK1031" s="1263"/>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3"/>
      <c r="E1032" s="1263"/>
      <c r="F1032" s="1263"/>
      <c r="G1032" s="1263"/>
      <c r="H1032" s="1263"/>
      <c r="I1032" s="1263"/>
      <c r="J1032" s="1263"/>
      <c r="K1032" s="1263"/>
      <c r="L1032" s="1263"/>
      <c r="M1032" s="1263"/>
      <c r="N1032" s="1263"/>
      <c r="O1032" s="1263"/>
      <c r="P1032" s="1263"/>
      <c r="Q1032" s="1263"/>
      <c r="R1032" s="1263"/>
      <c r="S1032" s="1263"/>
      <c r="T1032" s="1263"/>
      <c r="U1032" s="1263"/>
      <c r="V1032" s="1263"/>
      <c r="W1032" s="1263"/>
      <c r="X1032" s="1263"/>
      <c r="Y1032" s="1263"/>
      <c r="Z1032" s="1263"/>
      <c r="AA1032" s="1263"/>
      <c r="AB1032" s="1263"/>
      <c r="AC1032" s="1263"/>
      <c r="AD1032" s="1263"/>
      <c r="AE1032" s="1263"/>
      <c r="AF1032" s="1263"/>
      <c r="AG1032" s="1263"/>
      <c r="AH1032" s="1263"/>
      <c r="AI1032" s="1263"/>
      <c r="AJ1032" s="1263"/>
      <c r="AK1032" s="1263"/>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3"/>
      <c r="E1033" s="1263"/>
      <c r="F1033" s="1263"/>
      <c r="G1033" s="1263"/>
      <c r="H1033" s="1263"/>
      <c r="I1033" s="1263"/>
      <c r="J1033" s="1263"/>
      <c r="K1033" s="1263"/>
      <c r="L1033" s="1263"/>
      <c r="M1033" s="1263"/>
      <c r="N1033" s="1263"/>
      <c r="O1033" s="1263"/>
      <c r="P1033" s="1263"/>
      <c r="Q1033" s="1263"/>
      <c r="R1033" s="1263"/>
      <c r="S1033" s="1263"/>
      <c r="T1033" s="1263"/>
      <c r="U1033" s="1263"/>
      <c r="V1033" s="1263"/>
      <c r="W1033" s="1263"/>
      <c r="X1033" s="1263"/>
      <c r="Y1033" s="1263"/>
      <c r="Z1033" s="1263"/>
      <c r="AA1033" s="1263"/>
      <c r="AB1033" s="1263"/>
      <c r="AC1033" s="1263"/>
      <c r="AD1033" s="1263"/>
      <c r="AE1033" s="1263"/>
      <c r="AF1033" s="1263"/>
      <c r="AG1033" s="1263"/>
      <c r="AH1033" s="1263"/>
      <c r="AI1033" s="1263"/>
      <c r="AJ1033" s="1263"/>
      <c r="AK1033" s="1263"/>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3"/>
      <c r="E1034" s="1263"/>
      <c r="F1034" s="1263"/>
      <c r="G1034" s="1263"/>
      <c r="H1034" s="1263"/>
      <c r="I1034" s="1263"/>
      <c r="J1034" s="1263"/>
      <c r="K1034" s="1263"/>
      <c r="L1034" s="1263"/>
      <c r="M1034" s="1263"/>
      <c r="N1034" s="1263"/>
      <c r="O1034" s="1263"/>
      <c r="P1034" s="1263"/>
      <c r="Q1034" s="1263"/>
      <c r="R1034" s="1263"/>
      <c r="S1034" s="1263"/>
      <c r="T1034" s="1263"/>
      <c r="U1034" s="1263"/>
      <c r="V1034" s="1263"/>
      <c r="W1034" s="1263"/>
      <c r="X1034" s="1263"/>
      <c r="Y1034" s="1263"/>
      <c r="Z1034" s="1263"/>
      <c r="AA1034" s="1263"/>
      <c r="AB1034" s="1263"/>
      <c r="AC1034" s="1263"/>
      <c r="AD1034" s="1263"/>
      <c r="AE1034" s="1263"/>
      <c r="AF1034" s="1263"/>
      <c r="AG1034" s="1263"/>
      <c r="AH1034" s="1263"/>
      <c r="AI1034" s="1263"/>
      <c r="AJ1034" s="1263"/>
      <c r="AK1034" s="1263"/>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3"/>
      <c r="E1035" s="1263"/>
      <c r="F1035" s="1263"/>
      <c r="G1035" s="1263"/>
      <c r="H1035" s="1263"/>
      <c r="I1035" s="1263"/>
      <c r="J1035" s="1263"/>
      <c r="K1035" s="1263"/>
      <c r="L1035" s="1263"/>
      <c r="M1035" s="1263"/>
      <c r="N1035" s="1263"/>
      <c r="O1035" s="1263"/>
      <c r="P1035" s="1263"/>
      <c r="Q1035" s="1263"/>
      <c r="R1035" s="1263"/>
      <c r="S1035" s="1263"/>
      <c r="T1035" s="1263"/>
      <c r="U1035" s="1263"/>
      <c r="V1035" s="1263"/>
      <c r="W1035" s="1263"/>
      <c r="X1035" s="1263"/>
      <c r="Y1035" s="1263"/>
      <c r="Z1035" s="1263"/>
      <c r="AA1035" s="1263"/>
      <c r="AB1035" s="1263"/>
      <c r="AC1035" s="1263"/>
      <c r="AD1035" s="1263"/>
      <c r="AE1035" s="1263"/>
      <c r="AF1035" s="1263"/>
      <c r="AG1035" s="1263"/>
      <c r="AH1035" s="1263"/>
      <c r="AI1035" s="1263"/>
      <c r="AJ1035" s="1263"/>
      <c r="AK1035" s="1263"/>
      <c r="AL1035" s="68"/>
      <c r="AM1035" s="68"/>
      <c r="AN1035" s="68"/>
      <c r="AO1035" s="68"/>
      <c r="AP1035" s="68"/>
      <c r="AQ1035" s="68"/>
      <c r="AR1035" s="68"/>
      <c r="AS1035" s="68"/>
      <c r="AT1035" s="68"/>
      <c r="AU1035" s="68"/>
      <c r="AV1035" s="68"/>
      <c r="AW1035" s="68"/>
      <c r="AX1035" s="68"/>
      <c r="AY1035" s="68"/>
    </row>
    <row r="1036" spans="1:51" ht="12.95" customHeight="1">
      <c r="A1036" s="1375" t="s">
        <v>600</v>
      </c>
      <c r="B1036" s="1375"/>
      <c r="C1036" s="8">
        <v>2</v>
      </c>
      <c r="D1036" s="1263" t="s">
        <v>1167</v>
      </c>
      <c r="E1036" s="1263"/>
      <c r="F1036" s="1263"/>
      <c r="G1036" s="1263"/>
      <c r="H1036" s="1263"/>
      <c r="I1036" s="1263"/>
      <c r="J1036" s="1263"/>
      <c r="K1036" s="1263"/>
      <c r="L1036" s="1263"/>
      <c r="M1036" s="1263"/>
      <c r="N1036" s="1263"/>
      <c r="O1036" s="1263"/>
      <c r="P1036" s="1263"/>
      <c r="Q1036" s="1263"/>
      <c r="R1036" s="1263"/>
      <c r="S1036" s="1263"/>
      <c r="T1036" s="1263"/>
      <c r="U1036" s="1263"/>
      <c r="V1036" s="1263"/>
      <c r="W1036" s="1263"/>
      <c r="X1036" s="1263"/>
      <c r="Y1036" s="1263"/>
      <c r="Z1036" s="1263"/>
      <c r="AA1036" s="1263"/>
      <c r="AB1036" s="1263"/>
      <c r="AC1036" s="1263"/>
      <c r="AD1036" s="1263"/>
      <c r="AE1036" s="1263"/>
      <c r="AF1036" s="1263"/>
      <c r="AG1036" s="1263"/>
      <c r="AH1036" s="1263"/>
      <c r="AI1036" s="1263"/>
      <c r="AJ1036" s="1263"/>
      <c r="AK1036" s="1263"/>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3"/>
      <c r="E1037" s="1263"/>
      <c r="F1037" s="1263"/>
      <c r="G1037" s="1263"/>
      <c r="H1037" s="1263"/>
      <c r="I1037" s="1263"/>
      <c r="J1037" s="1263"/>
      <c r="K1037" s="1263"/>
      <c r="L1037" s="1263"/>
      <c r="M1037" s="1263"/>
      <c r="N1037" s="1263"/>
      <c r="O1037" s="1263"/>
      <c r="P1037" s="1263"/>
      <c r="Q1037" s="1263"/>
      <c r="R1037" s="1263"/>
      <c r="S1037" s="1263"/>
      <c r="T1037" s="1263"/>
      <c r="U1037" s="1263"/>
      <c r="V1037" s="1263"/>
      <c r="W1037" s="1263"/>
      <c r="X1037" s="1263"/>
      <c r="Y1037" s="1263"/>
      <c r="Z1037" s="1263"/>
      <c r="AA1037" s="1263"/>
      <c r="AB1037" s="1263"/>
      <c r="AC1037" s="1263"/>
      <c r="AD1037" s="1263"/>
      <c r="AE1037" s="1263"/>
      <c r="AF1037" s="1263"/>
      <c r="AG1037" s="1263"/>
      <c r="AH1037" s="1263"/>
      <c r="AI1037" s="1263"/>
      <c r="AJ1037" s="1263"/>
      <c r="AK1037" s="1263"/>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3"/>
      <c r="E1038" s="1263"/>
      <c r="F1038" s="1263"/>
      <c r="G1038" s="1263"/>
      <c r="H1038" s="1263"/>
      <c r="I1038" s="1263"/>
      <c r="J1038" s="1263"/>
      <c r="K1038" s="1263"/>
      <c r="L1038" s="1263"/>
      <c r="M1038" s="1263"/>
      <c r="N1038" s="1263"/>
      <c r="O1038" s="1263"/>
      <c r="P1038" s="1263"/>
      <c r="Q1038" s="1263"/>
      <c r="R1038" s="1263"/>
      <c r="S1038" s="1263"/>
      <c r="T1038" s="1263"/>
      <c r="U1038" s="1263"/>
      <c r="V1038" s="1263"/>
      <c r="W1038" s="1263"/>
      <c r="X1038" s="1263"/>
      <c r="Y1038" s="1263"/>
      <c r="Z1038" s="1263"/>
      <c r="AA1038" s="1263"/>
      <c r="AB1038" s="1263"/>
      <c r="AC1038" s="1263"/>
      <c r="AD1038" s="1263"/>
      <c r="AE1038" s="1263"/>
      <c r="AF1038" s="1263"/>
      <c r="AG1038" s="1263"/>
      <c r="AH1038" s="1263"/>
      <c r="AI1038" s="1263"/>
      <c r="AJ1038" s="1263"/>
      <c r="AK1038" s="1263"/>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3"/>
      <c r="E1039" s="1263"/>
      <c r="F1039" s="1263"/>
      <c r="G1039" s="1263"/>
      <c r="H1039" s="1263"/>
      <c r="I1039" s="1263"/>
      <c r="J1039" s="1263"/>
      <c r="K1039" s="1263"/>
      <c r="L1039" s="1263"/>
      <c r="M1039" s="1263"/>
      <c r="N1039" s="1263"/>
      <c r="O1039" s="1263"/>
      <c r="P1039" s="1263"/>
      <c r="Q1039" s="1263"/>
      <c r="R1039" s="1263"/>
      <c r="S1039" s="1263"/>
      <c r="T1039" s="1263"/>
      <c r="U1039" s="1263"/>
      <c r="V1039" s="1263"/>
      <c r="W1039" s="1263"/>
      <c r="X1039" s="1263"/>
      <c r="Y1039" s="1263"/>
      <c r="Z1039" s="1263"/>
      <c r="AA1039" s="1263"/>
      <c r="AB1039" s="1263"/>
      <c r="AC1039" s="1263"/>
      <c r="AD1039" s="1263"/>
      <c r="AE1039" s="1263"/>
      <c r="AF1039" s="1263"/>
      <c r="AG1039" s="1263"/>
      <c r="AH1039" s="1263"/>
      <c r="AI1039" s="1263"/>
      <c r="AJ1039" s="1263"/>
      <c r="AK1039" s="1263"/>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3"/>
      <c r="E1040" s="1263"/>
      <c r="F1040" s="1263"/>
      <c r="G1040" s="1263"/>
      <c r="H1040" s="1263"/>
      <c r="I1040" s="1263"/>
      <c r="J1040" s="1263"/>
      <c r="K1040" s="1263"/>
      <c r="L1040" s="1263"/>
      <c r="M1040" s="1263"/>
      <c r="N1040" s="1263"/>
      <c r="O1040" s="1263"/>
      <c r="P1040" s="1263"/>
      <c r="Q1040" s="1263"/>
      <c r="R1040" s="1263"/>
      <c r="S1040" s="1263"/>
      <c r="T1040" s="1263"/>
      <c r="U1040" s="1263"/>
      <c r="V1040" s="1263"/>
      <c r="W1040" s="1263"/>
      <c r="X1040" s="1263"/>
      <c r="Y1040" s="1263"/>
      <c r="Z1040" s="1263"/>
      <c r="AA1040" s="1263"/>
      <c r="AB1040" s="1263"/>
      <c r="AC1040" s="1263"/>
      <c r="AD1040" s="1263"/>
      <c r="AE1040" s="1263"/>
      <c r="AF1040" s="1263"/>
      <c r="AG1040" s="1263"/>
      <c r="AH1040" s="1263"/>
      <c r="AI1040" s="1263"/>
      <c r="AJ1040" s="1263"/>
      <c r="AK1040" s="1263"/>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3"/>
      <c r="E1041" s="1263"/>
      <c r="F1041" s="1263"/>
      <c r="G1041" s="1263"/>
      <c r="H1041" s="1263"/>
      <c r="I1041" s="1263"/>
      <c r="J1041" s="1263"/>
      <c r="K1041" s="1263"/>
      <c r="L1041" s="1263"/>
      <c r="M1041" s="1263"/>
      <c r="N1041" s="1263"/>
      <c r="O1041" s="1263"/>
      <c r="P1041" s="1263"/>
      <c r="Q1041" s="1263"/>
      <c r="R1041" s="1263"/>
      <c r="S1041" s="1263"/>
      <c r="T1041" s="1263"/>
      <c r="U1041" s="1263"/>
      <c r="V1041" s="1263"/>
      <c r="W1041" s="1263"/>
      <c r="X1041" s="1263"/>
      <c r="Y1041" s="1263"/>
      <c r="Z1041" s="1263"/>
      <c r="AA1041" s="1263"/>
      <c r="AB1041" s="1263"/>
      <c r="AC1041" s="1263"/>
      <c r="AD1041" s="1263"/>
      <c r="AE1041" s="1263"/>
      <c r="AF1041" s="1263"/>
      <c r="AG1041" s="1263"/>
      <c r="AH1041" s="1263"/>
      <c r="AI1041" s="1263"/>
      <c r="AJ1041" s="1263"/>
      <c r="AK1041" s="1263"/>
    </row>
    <row r="1042" spans="1:37" ht="12.95" customHeight="1">
      <c r="A1042" s="1375" t="s">
        <v>600</v>
      </c>
      <c r="B1042" s="1375"/>
      <c r="C1042" s="8">
        <v>3</v>
      </c>
      <c r="D1042" s="1263" t="s">
        <v>2564</v>
      </c>
      <c r="E1042" s="1263"/>
      <c r="F1042" s="1263"/>
      <c r="G1042" s="1263"/>
      <c r="H1042" s="1263"/>
      <c r="I1042" s="1263"/>
      <c r="J1042" s="1263"/>
      <c r="K1042" s="1263"/>
      <c r="L1042" s="1263"/>
      <c r="M1042" s="1263"/>
      <c r="N1042" s="1263"/>
      <c r="O1042" s="1263"/>
      <c r="P1042" s="1263"/>
      <c r="Q1042" s="1263"/>
      <c r="R1042" s="1263"/>
      <c r="S1042" s="1263"/>
      <c r="T1042" s="1263"/>
      <c r="U1042" s="1263"/>
      <c r="V1042" s="1263"/>
      <c r="W1042" s="1263"/>
      <c r="X1042" s="1263"/>
      <c r="Y1042" s="1263"/>
      <c r="Z1042" s="1263"/>
      <c r="AA1042" s="1263"/>
      <c r="AB1042" s="1263"/>
      <c r="AC1042" s="1263"/>
      <c r="AD1042" s="1263"/>
      <c r="AE1042" s="1263"/>
      <c r="AF1042" s="1263"/>
      <c r="AG1042" s="1263"/>
      <c r="AH1042" s="1263"/>
      <c r="AI1042" s="1263"/>
      <c r="AJ1042" s="1263"/>
      <c r="AK1042" s="1263"/>
    </row>
    <row r="1043" spans="1:37" ht="12.95" customHeight="1">
      <c r="A1043" s="4"/>
      <c r="B1043" s="4"/>
      <c r="C1043" s="8"/>
      <c r="D1043" s="1263"/>
      <c r="E1043" s="1263"/>
      <c r="F1043" s="1263"/>
      <c r="G1043" s="1263"/>
      <c r="H1043" s="1263"/>
      <c r="I1043" s="1263"/>
      <c r="J1043" s="1263"/>
      <c r="K1043" s="1263"/>
      <c r="L1043" s="1263"/>
      <c r="M1043" s="1263"/>
      <c r="N1043" s="1263"/>
      <c r="O1043" s="1263"/>
      <c r="P1043" s="1263"/>
      <c r="Q1043" s="1263"/>
      <c r="R1043" s="1263"/>
      <c r="S1043" s="1263"/>
      <c r="T1043" s="1263"/>
      <c r="U1043" s="1263"/>
      <c r="V1043" s="1263"/>
      <c r="W1043" s="1263"/>
      <c r="X1043" s="1263"/>
      <c r="Y1043" s="1263"/>
      <c r="Z1043" s="1263"/>
      <c r="AA1043" s="1263"/>
      <c r="AB1043" s="1263"/>
      <c r="AC1043" s="1263"/>
      <c r="AD1043" s="1263"/>
      <c r="AE1043" s="1263"/>
      <c r="AF1043" s="1263"/>
      <c r="AG1043" s="1263"/>
      <c r="AH1043" s="1263"/>
      <c r="AI1043" s="1263"/>
      <c r="AJ1043" s="1263"/>
      <c r="AK1043" s="1263"/>
    </row>
    <row r="1044" spans="1:37" ht="12.95" customHeight="1">
      <c r="A1044" s="4"/>
      <c r="B1044" s="4"/>
      <c r="C1044" s="8"/>
      <c r="D1044" s="1263"/>
      <c r="E1044" s="1263"/>
      <c r="F1044" s="1263"/>
      <c r="G1044" s="1263"/>
      <c r="H1044" s="1263"/>
      <c r="I1044" s="1263"/>
      <c r="J1044" s="1263"/>
      <c r="K1044" s="1263"/>
      <c r="L1044" s="1263"/>
      <c r="M1044" s="1263"/>
      <c r="N1044" s="1263"/>
      <c r="O1044" s="1263"/>
      <c r="P1044" s="1263"/>
      <c r="Q1044" s="1263"/>
      <c r="R1044" s="1263"/>
      <c r="S1044" s="1263"/>
      <c r="T1044" s="1263"/>
      <c r="U1044" s="1263"/>
      <c r="V1044" s="1263"/>
      <c r="W1044" s="1263"/>
      <c r="X1044" s="1263"/>
      <c r="Y1044" s="1263"/>
      <c r="Z1044" s="1263"/>
      <c r="AA1044" s="1263"/>
      <c r="AB1044" s="1263"/>
      <c r="AC1044" s="1263"/>
      <c r="AD1044" s="1263"/>
      <c r="AE1044" s="1263"/>
      <c r="AF1044" s="1263"/>
      <c r="AG1044" s="1263"/>
      <c r="AH1044" s="1263"/>
      <c r="AI1044" s="1263"/>
      <c r="AJ1044" s="1263"/>
      <c r="AK1044" s="1263"/>
    </row>
    <row r="1045" spans="1:37" ht="12.95" customHeight="1">
      <c r="A1045" s="35"/>
      <c r="B1045" s="25"/>
      <c r="C1045" s="8"/>
      <c r="D1045" s="1263"/>
      <c r="E1045" s="1263"/>
      <c r="F1045" s="1263"/>
      <c r="G1045" s="1263"/>
      <c r="H1045" s="1263"/>
      <c r="I1045" s="1263"/>
      <c r="J1045" s="1263"/>
      <c r="K1045" s="1263"/>
      <c r="L1045" s="1263"/>
      <c r="M1045" s="1263"/>
      <c r="N1045" s="1263"/>
      <c r="O1045" s="1263"/>
      <c r="P1045" s="1263"/>
      <c r="Q1045" s="1263"/>
      <c r="R1045" s="1263"/>
      <c r="S1045" s="1263"/>
      <c r="T1045" s="1263"/>
      <c r="U1045" s="1263"/>
      <c r="V1045" s="1263"/>
      <c r="W1045" s="1263"/>
      <c r="X1045" s="1263"/>
      <c r="Y1045" s="1263"/>
      <c r="Z1045" s="1263"/>
      <c r="AA1045" s="1263"/>
      <c r="AB1045" s="1263"/>
      <c r="AC1045" s="1263"/>
      <c r="AD1045" s="1263"/>
      <c r="AE1045" s="1263"/>
      <c r="AF1045" s="1263"/>
      <c r="AG1045" s="1263"/>
      <c r="AH1045" s="1263"/>
      <c r="AI1045" s="1263"/>
      <c r="AJ1045" s="1263"/>
      <c r="AK1045" s="1263"/>
    </row>
    <row r="1046" spans="1:37" ht="12.95" customHeight="1">
      <c r="A1046" s="35"/>
      <c r="B1046" s="25"/>
      <c r="C1046" s="8"/>
      <c r="D1046" s="1263"/>
      <c r="E1046" s="1263"/>
      <c r="F1046" s="1263"/>
      <c r="G1046" s="1263"/>
      <c r="H1046" s="1263"/>
      <c r="I1046" s="1263"/>
      <c r="J1046" s="1263"/>
      <c r="K1046" s="1263"/>
      <c r="L1046" s="1263"/>
      <c r="M1046" s="1263"/>
      <c r="N1046" s="1263"/>
      <c r="O1046" s="1263"/>
      <c r="P1046" s="1263"/>
      <c r="Q1046" s="1263"/>
      <c r="R1046" s="1263"/>
      <c r="S1046" s="1263"/>
      <c r="T1046" s="1263"/>
      <c r="U1046" s="1263"/>
      <c r="V1046" s="1263"/>
      <c r="W1046" s="1263"/>
      <c r="X1046" s="1263"/>
      <c r="Y1046" s="1263"/>
      <c r="Z1046" s="1263"/>
      <c r="AA1046" s="1263"/>
      <c r="AB1046" s="1263"/>
      <c r="AC1046" s="1263"/>
      <c r="AD1046" s="1263"/>
      <c r="AE1046" s="1263"/>
      <c r="AF1046" s="1263"/>
      <c r="AG1046" s="1263"/>
      <c r="AH1046" s="1263"/>
      <c r="AI1046" s="1263"/>
      <c r="AJ1046" s="1263"/>
      <c r="AK1046" s="1263"/>
    </row>
    <row r="1047" spans="1:37" ht="12.95" customHeight="1">
      <c r="A1047" s="35"/>
      <c r="B1047" s="25"/>
      <c r="C1047" s="8"/>
      <c r="D1047" s="1263"/>
      <c r="E1047" s="1263"/>
      <c r="F1047" s="1263"/>
      <c r="G1047" s="1263"/>
      <c r="H1047" s="1263"/>
      <c r="I1047" s="1263"/>
      <c r="J1047" s="1263"/>
      <c r="K1047" s="1263"/>
      <c r="L1047" s="1263"/>
      <c r="M1047" s="1263"/>
      <c r="N1047" s="1263"/>
      <c r="O1047" s="1263"/>
      <c r="P1047" s="1263"/>
      <c r="Q1047" s="1263"/>
      <c r="R1047" s="1263"/>
      <c r="S1047" s="1263"/>
      <c r="T1047" s="1263"/>
      <c r="U1047" s="1263"/>
      <c r="V1047" s="1263"/>
      <c r="W1047" s="1263"/>
      <c r="X1047" s="1263"/>
      <c r="Y1047" s="1263"/>
      <c r="Z1047" s="1263"/>
      <c r="AA1047" s="1263"/>
      <c r="AB1047" s="1263"/>
      <c r="AC1047" s="1263"/>
      <c r="AD1047" s="1263"/>
      <c r="AE1047" s="1263"/>
      <c r="AF1047" s="1263"/>
      <c r="AG1047" s="1263"/>
      <c r="AH1047" s="1263"/>
      <c r="AI1047" s="1263"/>
      <c r="AJ1047" s="1263"/>
      <c r="AK1047" s="1263"/>
    </row>
    <row r="1048" spans="1:37" ht="12.95" customHeight="1">
      <c r="A1048" s="35"/>
      <c r="B1048" s="25"/>
      <c r="C1048" s="8"/>
      <c r="D1048" s="1263"/>
      <c r="E1048" s="1263"/>
      <c r="F1048" s="1263"/>
      <c r="G1048" s="1263"/>
      <c r="H1048" s="1263"/>
      <c r="I1048" s="1263"/>
      <c r="J1048" s="1263"/>
      <c r="K1048" s="1263"/>
      <c r="L1048" s="1263"/>
      <c r="M1048" s="1263"/>
      <c r="N1048" s="1263"/>
      <c r="O1048" s="1263"/>
      <c r="P1048" s="1263"/>
      <c r="Q1048" s="1263"/>
      <c r="R1048" s="1263"/>
      <c r="S1048" s="1263"/>
      <c r="T1048" s="1263"/>
      <c r="U1048" s="1263"/>
      <c r="V1048" s="1263"/>
      <c r="W1048" s="1263"/>
      <c r="X1048" s="1263"/>
      <c r="Y1048" s="1263"/>
      <c r="Z1048" s="1263"/>
      <c r="AA1048" s="1263"/>
      <c r="AB1048" s="1263"/>
      <c r="AC1048" s="1263"/>
      <c r="AD1048" s="1263"/>
      <c r="AE1048" s="1263"/>
      <c r="AF1048" s="1263"/>
      <c r="AG1048" s="1263"/>
      <c r="AH1048" s="1263"/>
      <c r="AI1048" s="1263"/>
      <c r="AJ1048" s="1263"/>
      <c r="AK1048" s="1263"/>
    </row>
    <row r="1049" spans="1:37" ht="12.95" customHeight="1">
      <c r="A1049" s="1375" t="s">
        <v>600</v>
      </c>
      <c r="B1049" s="1375"/>
      <c r="C1049" s="8">
        <v>4</v>
      </c>
      <c r="D1049" s="1263" t="s">
        <v>1153</v>
      </c>
      <c r="E1049" s="1263"/>
      <c r="F1049" s="1263"/>
      <c r="G1049" s="1263"/>
      <c r="H1049" s="1263"/>
      <c r="I1049" s="1263"/>
      <c r="J1049" s="1263"/>
      <c r="K1049" s="1263"/>
      <c r="L1049" s="1263"/>
      <c r="M1049" s="1263"/>
      <c r="N1049" s="1263"/>
      <c r="O1049" s="1263"/>
      <c r="P1049" s="1263"/>
      <c r="Q1049" s="1263"/>
      <c r="R1049" s="1263"/>
      <c r="S1049" s="1263"/>
      <c r="T1049" s="1263"/>
      <c r="U1049" s="1263"/>
      <c r="V1049" s="1263"/>
      <c r="W1049" s="1263"/>
      <c r="X1049" s="1263"/>
      <c r="Y1049" s="1263"/>
      <c r="Z1049" s="1263"/>
      <c r="AA1049" s="1263"/>
      <c r="AB1049" s="1263"/>
      <c r="AC1049" s="1263"/>
      <c r="AD1049" s="1263"/>
      <c r="AE1049" s="1263"/>
      <c r="AF1049" s="1263"/>
      <c r="AG1049" s="1263"/>
      <c r="AH1049" s="1263"/>
      <c r="AI1049" s="1263"/>
      <c r="AJ1049" s="1263"/>
      <c r="AK1049" s="1263"/>
    </row>
    <row r="1050" spans="1:37" ht="12.95" customHeight="1">
      <c r="A1050" s="1"/>
      <c r="B1050" s="1"/>
      <c r="C1050" s="8"/>
      <c r="D1050" s="1263"/>
      <c r="E1050" s="1263"/>
      <c r="F1050" s="1263"/>
      <c r="G1050" s="1263"/>
      <c r="H1050" s="1263"/>
      <c r="I1050" s="1263"/>
      <c r="J1050" s="1263"/>
      <c r="K1050" s="1263"/>
      <c r="L1050" s="1263"/>
      <c r="M1050" s="1263"/>
      <c r="N1050" s="1263"/>
      <c r="O1050" s="1263"/>
      <c r="P1050" s="1263"/>
      <c r="Q1050" s="1263"/>
      <c r="R1050" s="1263"/>
      <c r="S1050" s="1263"/>
      <c r="T1050" s="1263"/>
      <c r="U1050" s="1263"/>
      <c r="V1050" s="1263"/>
      <c r="W1050" s="1263"/>
      <c r="X1050" s="1263"/>
      <c r="Y1050" s="1263"/>
      <c r="Z1050" s="1263"/>
      <c r="AA1050" s="1263"/>
      <c r="AB1050" s="1263"/>
      <c r="AC1050" s="1263"/>
      <c r="AD1050" s="1263"/>
      <c r="AE1050" s="1263"/>
      <c r="AF1050" s="1263"/>
      <c r="AG1050" s="1263"/>
      <c r="AH1050" s="1263"/>
      <c r="AI1050" s="1263"/>
      <c r="AJ1050" s="1263"/>
      <c r="AK1050" s="1263"/>
    </row>
    <row r="1051" spans="1:37" ht="12.95" customHeight="1">
      <c r="A1051" s="35"/>
      <c r="B1051" s="25"/>
      <c r="C1051" s="8"/>
      <c r="D1051" s="1263"/>
      <c r="E1051" s="1263"/>
      <c r="F1051" s="1263"/>
      <c r="G1051" s="1263"/>
      <c r="H1051" s="1263"/>
      <c r="I1051" s="1263"/>
      <c r="J1051" s="1263"/>
      <c r="K1051" s="1263"/>
      <c r="L1051" s="1263"/>
      <c r="M1051" s="1263"/>
      <c r="N1051" s="1263"/>
      <c r="O1051" s="1263"/>
      <c r="P1051" s="1263"/>
      <c r="Q1051" s="1263"/>
      <c r="R1051" s="1263"/>
      <c r="S1051" s="1263"/>
      <c r="T1051" s="1263"/>
      <c r="U1051" s="1263"/>
      <c r="V1051" s="1263"/>
      <c r="W1051" s="1263"/>
      <c r="X1051" s="1263"/>
      <c r="Y1051" s="1263"/>
      <c r="Z1051" s="1263"/>
      <c r="AA1051" s="1263"/>
      <c r="AB1051" s="1263"/>
      <c r="AC1051" s="1263"/>
      <c r="AD1051" s="1263"/>
      <c r="AE1051" s="1263"/>
      <c r="AF1051" s="1263"/>
      <c r="AG1051" s="1263"/>
      <c r="AH1051" s="1263"/>
      <c r="AI1051" s="1263"/>
      <c r="AJ1051" s="1263"/>
      <c r="AK1051" s="1263"/>
    </row>
    <row r="1052" spans="1:37" ht="12.95" customHeight="1">
      <c r="A1052" s="1375" t="s">
        <v>600</v>
      </c>
      <c r="B1052" s="1375"/>
      <c r="C1052" s="8">
        <v>5</v>
      </c>
      <c r="D1052" s="1263" t="s">
        <v>2565</v>
      </c>
      <c r="E1052" s="1263"/>
      <c r="F1052" s="1263"/>
      <c r="G1052" s="1263"/>
      <c r="H1052" s="1263"/>
      <c r="I1052" s="1263"/>
      <c r="J1052" s="1263"/>
      <c r="K1052" s="1263"/>
      <c r="L1052" s="1263"/>
      <c r="M1052" s="1263"/>
      <c r="N1052" s="1263"/>
      <c r="O1052" s="1263"/>
      <c r="P1052" s="1263"/>
      <c r="Q1052" s="1263"/>
      <c r="R1052" s="1263"/>
      <c r="S1052" s="1263"/>
      <c r="T1052" s="1263"/>
      <c r="U1052" s="1263"/>
      <c r="V1052" s="1263"/>
      <c r="W1052" s="1263"/>
      <c r="X1052" s="1263"/>
      <c r="Y1052" s="1263"/>
      <c r="Z1052" s="1263"/>
      <c r="AA1052" s="1263"/>
      <c r="AB1052" s="1263"/>
      <c r="AC1052" s="1263"/>
      <c r="AD1052" s="1263"/>
      <c r="AE1052" s="1263"/>
      <c r="AF1052" s="1263"/>
      <c r="AG1052" s="1263"/>
      <c r="AH1052" s="1263"/>
      <c r="AI1052" s="1263"/>
      <c r="AJ1052" s="1263"/>
      <c r="AK1052" s="1263"/>
    </row>
    <row r="1053" spans="1:37" ht="12.95" customHeight="1">
      <c r="A1053" s="1"/>
      <c r="B1053" s="1"/>
      <c r="C1053" s="8"/>
      <c r="D1053" s="1263"/>
      <c r="E1053" s="1263"/>
      <c r="F1053" s="1263"/>
      <c r="G1053" s="1263"/>
      <c r="H1053" s="1263"/>
      <c r="I1053" s="1263"/>
      <c r="J1053" s="1263"/>
      <c r="K1053" s="1263"/>
      <c r="L1053" s="1263"/>
      <c r="M1053" s="1263"/>
      <c r="N1053" s="1263"/>
      <c r="O1053" s="1263"/>
      <c r="P1053" s="1263"/>
      <c r="Q1053" s="1263"/>
      <c r="R1053" s="1263"/>
      <c r="S1053" s="1263"/>
      <c r="T1053" s="1263"/>
      <c r="U1053" s="1263"/>
      <c r="V1053" s="1263"/>
      <c r="W1053" s="1263"/>
      <c r="X1053" s="1263"/>
      <c r="Y1053" s="1263"/>
      <c r="Z1053" s="1263"/>
      <c r="AA1053" s="1263"/>
      <c r="AB1053" s="1263"/>
      <c r="AC1053" s="1263"/>
      <c r="AD1053" s="1263"/>
      <c r="AE1053" s="1263"/>
      <c r="AF1053" s="1263"/>
      <c r="AG1053" s="1263"/>
      <c r="AH1053" s="1263"/>
      <c r="AI1053" s="1263"/>
      <c r="AJ1053" s="1263"/>
      <c r="AK1053" s="1263"/>
    </row>
    <row r="1054" spans="1:37" ht="12.95" customHeight="1">
      <c r="A1054" s="1"/>
      <c r="B1054" s="1"/>
      <c r="C1054" s="8"/>
      <c r="D1054" s="1263"/>
      <c r="E1054" s="1263"/>
      <c r="F1054" s="1263"/>
      <c r="G1054" s="1263"/>
      <c r="H1054" s="1263"/>
      <c r="I1054" s="1263"/>
      <c r="J1054" s="1263"/>
      <c r="K1054" s="1263"/>
      <c r="L1054" s="1263"/>
      <c r="M1054" s="1263"/>
      <c r="N1054" s="1263"/>
      <c r="O1054" s="1263"/>
      <c r="P1054" s="1263"/>
      <c r="Q1054" s="1263"/>
      <c r="R1054" s="1263"/>
      <c r="S1054" s="1263"/>
      <c r="T1054" s="1263"/>
      <c r="U1054" s="1263"/>
      <c r="V1054" s="1263"/>
      <c r="W1054" s="1263"/>
      <c r="X1054" s="1263"/>
      <c r="Y1054" s="1263"/>
      <c r="Z1054" s="1263"/>
      <c r="AA1054" s="1263"/>
      <c r="AB1054" s="1263"/>
      <c r="AC1054" s="1263"/>
      <c r="AD1054" s="1263"/>
      <c r="AE1054" s="1263"/>
      <c r="AF1054" s="1263"/>
      <c r="AG1054" s="1263"/>
      <c r="AH1054" s="1263"/>
      <c r="AI1054" s="1263"/>
      <c r="AJ1054" s="1263"/>
      <c r="AK1054" s="1263"/>
    </row>
    <row r="1055" spans="1:37" ht="12.95" hidden="1" customHeight="1">
      <c r="A1055" s="1"/>
      <c r="B1055" s="1"/>
      <c r="C1055" s="8"/>
      <c r="D1055" s="1263"/>
      <c r="E1055" s="1263"/>
      <c r="F1055" s="1263"/>
      <c r="G1055" s="1263"/>
      <c r="H1055" s="1263"/>
      <c r="I1055" s="1263"/>
      <c r="J1055" s="1263"/>
      <c r="K1055" s="1263"/>
      <c r="L1055" s="1263"/>
      <c r="M1055" s="1263"/>
      <c r="N1055" s="1263"/>
      <c r="O1055" s="1263"/>
      <c r="P1055" s="1263"/>
      <c r="Q1055" s="1263"/>
      <c r="R1055" s="1263"/>
      <c r="S1055" s="1263"/>
      <c r="T1055" s="1263"/>
      <c r="U1055" s="1263"/>
      <c r="V1055" s="1263"/>
      <c r="W1055" s="1263"/>
      <c r="X1055" s="1263"/>
      <c r="Y1055" s="1263"/>
      <c r="Z1055" s="1263"/>
      <c r="AA1055" s="1263"/>
      <c r="AB1055" s="1263"/>
      <c r="AC1055" s="1263"/>
      <c r="AD1055" s="1263"/>
      <c r="AE1055" s="1263"/>
      <c r="AF1055" s="1263"/>
      <c r="AG1055" s="1263"/>
      <c r="AH1055" s="1263"/>
      <c r="AI1055" s="1263"/>
      <c r="AJ1055" s="1263"/>
      <c r="AK1055" s="1263"/>
    </row>
    <row r="1056" spans="1:37" ht="12.95" customHeight="1">
      <c r="A1056" s="35"/>
      <c r="B1056" s="25"/>
      <c r="C1056" s="8"/>
      <c r="D1056" s="1263"/>
      <c r="E1056" s="1263"/>
      <c r="F1056" s="1263"/>
      <c r="G1056" s="1263"/>
      <c r="H1056" s="1263"/>
      <c r="I1056" s="1263"/>
      <c r="J1056" s="1263"/>
      <c r="K1056" s="1263"/>
      <c r="L1056" s="1263"/>
      <c r="M1056" s="1263"/>
      <c r="N1056" s="1263"/>
      <c r="O1056" s="1263"/>
      <c r="P1056" s="1263"/>
      <c r="Q1056" s="1263"/>
      <c r="R1056" s="1263"/>
      <c r="S1056" s="1263"/>
      <c r="T1056" s="1263"/>
      <c r="U1056" s="1263"/>
      <c r="V1056" s="1263"/>
      <c r="W1056" s="1263"/>
      <c r="X1056" s="1263"/>
      <c r="Y1056" s="1263"/>
      <c r="Z1056" s="1263"/>
      <c r="AA1056" s="1263"/>
      <c r="AB1056" s="1263"/>
      <c r="AC1056" s="1263"/>
      <c r="AD1056" s="1263"/>
      <c r="AE1056" s="1263"/>
      <c r="AF1056" s="1263"/>
      <c r="AG1056" s="1263"/>
      <c r="AH1056" s="1263"/>
      <c r="AI1056" s="1263"/>
      <c r="AJ1056" s="1263"/>
      <c r="AK1056" s="1263"/>
    </row>
    <row r="1057" spans="1:37" ht="12.95" customHeight="1">
      <c r="A1057" s="1375" t="s">
        <v>600</v>
      </c>
      <c r="B1057" s="1375"/>
      <c r="C1057" s="8">
        <v>6</v>
      </c>
      <c r="D1057" s="1263" t="s">
        <v>1154</v>
      </c>
      <c r="E1057" s="1263"/>
      <c r="F1057" s="1263"/>
      <c r="G1057" s="1263"/>
      <c r="H1057" s="1263"/>
      <c r="I1057" s="1263"/>
      <c r="J1057" s="1263"/>
      <c r="K1057" s="1263"/>
      <c r="L1057" s="1263"/>
      <c r="M1057" s="1263"/>
      <c r="N1057" s="1263"/>
      <c r="O1057" s="1263"/>
      <c r="P1057" s="1263"/>
      <c r="Q1057" s="1263"/>
      <c r="R1057" s="1263"/>
      <c r="S1057" s="1263"/>
      <c r="T1057" s="1263"/>
      <c r="U1057" s="1263"/>
      <c r="V1057" s="1263"/>
      <c r="W1057" s="1263"/>
      <c r="X1057" s="1263"/>
      <c r="Y1057" s="1263"/>
      <c r="Z1057" s="1263"/>
      <c r="AA1057" s="1263"/>
      <c r="AB1057" s="1263"/>
      <c r="AC1057" s="1263"/>
      <c r="AD1057" s="1263"/>
      <c r="AE1057" s="1263"/>
      <c r="AF1057" s="1263"/>
      <c r="AG1057" s="1263"/>
      <c r="AH1057" s="1263"/>
      <c r="AI1057" s="1263"/>
      <c r="AJ1057" s="1263"/>
      <c r="AK1057" s="1263"/>
    </row>
    <row r="1058" spans="1:37" ht="12.95" customHeight="1">
      <c r="A1058" s="35"/>
      <c r="B1058" s="25"/>
      <c r="C1058" s="8"/>
      <c r="D1058" s="1263"/>
      <c r="E1058" s="1263"/>
      <c r="F1058" s="1263"/>
      <c r="G1058" s="1263"/>
      <c r="H1058" s="1263"/>
      <c r="I1058" s="1263"/>
      <c r="J1058" s="1263"/>
      <c r="K1058" s="1263"/>
      <c r="L1058" s="1263"/>
      <c r="M1058" s="1263"/>
      <c r="N1058" s="1263"/>
      <c r="O1058" s="1263"/>
      <c r="P1058" s="1263"/>
      <c r="Q1058" s="1263"/>
      <c r="R1058" s="1263"/>
      <c r="S1058" s="1263"/>
      <c r="T1058" s="1263"/>
      <c r="U1058" s="1263"/>
      <c r="V1058" s="1263"/>
      <c r="W1058" s="1263"/>
      <c r="X1058" s="1263"/>
      <c r="Y1058" s="1263"/>
      <c r="Z1058" s="1263"/>
      <c r="AA1058" s="1263"/>
      <c r="AB1058" s="1263"/>
      <c r="AC1058" s="1263"/>
      <c r="AD1058" s="1263"/>
      <c r="AE1058" s="1263"/>
      <c r="AF1058" s="1263"/>
      <c r="AG1058" s="1263"/>
      <c r="AH1058" s="1263"/>
      <c r="AI1058" s="1263"/>
      <c r="AJ1058" s="1263"/>
      <c r="AK1058" s="1263"/>
    </row>
    <row r="1059" spans="1:37" ht="12.95" customHeight="1">
      <c r="A1059" s="35"/>
      <c r="B1059" s="25"/>
      <c r="C1059" s="8"/>
      <c r="D1059" s="1263"/>
      <c r="E1059" s="1263"/>
      <c r="F1059" s="1263"/>
      <c r="G1059" s="1263"/>
      <c r="H1059" s="1263"/>
      <c r="I1059" s="1263"/>
      <c r="J1059" s="1263"/>
      <c r="K1059" s="1263"/>
      <c r="L1059" s="1263"/>
      <c r="M1059" s="1263"/>
      <c r="N1059" s="1263"/>
      <c r="O1059" s="1263"/>
      <c r="P1059" s="1263"/>
      <c r="Q1059" s="1263"/>
      <c r="R1059" s="1263"/>
      <c r="S1059" s="1263"/>
      <c r="T1059" s="1263"/>
      <c r="U1059" s="1263"/>
      <c r="V1059" s="1263"/>
      <c r="W1059" s="1263"/>
      <c r="X1059" s="1263"/>
      <c r="Y1059" s="1263"/>
      <c r="Z1059" s="1263"/>
      <c r="AA1059" s="1263"/>
      <c r="AB1059" s="1263"/>
      <c r="AC1059" s="1263"/>
      <c r="AD1059" s="1263"/>
      <c r="AE1059" s="1263"/>
      <c r="AF1059" s="1263"/>
      <c r="AG1059" s="1263"/>
      <c r="AH1059" s="1263"/>
      <c r="AI1059" s="1263"/>
      <c r="AJ1059" s="1263"/>
      <c r="AK1059" s="1263"/>
    </row>
    <row r="1060" spans="1:37" ht="12.95" customHeight="1">
      <c r="A1060" s="1375" t="s">
        <v>600</v>
      </c>
      <c r="B1060" s="1375"/>
      <c r="C1060" s="212">
        <v>7</v>
      </c>
      <c r="D1060" s="1263" t="s">
        <v>1156</v>
      </c>
      <c r="E1060" s="1263"/>
      <c r="F1060" s="1263"/>
      <c r="G1060" s="1263"/>
      <c r="H1060" s="1263"/>
      <c r="I1060" s="1263"/>
      <c r="J1060" s="1263"/>
      <c r="K1060" s="1263"/>
      <c r="L1060" s="1263"/>
      <c r="M1060" s="1263"/>
      <c r="N1060" s="1263"/>
      <c r="O1060" s="1263"/>
      <c r="P1060" s="1263"/>
      <c r="Q1060" s="1263"/>
      <c r="R1060" s="1263"/>
      <c r="S1060" s="1263"/>
      <c r="T1060" s="1263"/>
      <c r="U1060" s="1263"/>
      <c r="V1060" s="1263"/>
      <c r="W1060" s="1263"/>
      <c r="X1060" s="1263"/>
      <c r="Y1060" s="1263"/>
      <c r="Z1060" s="1263"/>
      <c r="AA1060" s="1263"/>
      <c r="AB1060" s="1263"/>
      <c r="AC1060" s="1263"/>
      <c r="AD1060" s="1263"/>
      <c r="AE1060" s="1263"/>
      <c r="AF1060" s="1263"/>
      <c r="AG1060" s="1263"/>
      <c r="AH1060" s="1263"/>
      <c r="AI1060" s="1263"/>
      <c r="AJ1060" s="1263"/>
      <c r="AK1060" s="1263"/>
    </row>
    <row r="1061" spans="1:37" ht="12.95" customHeight="1">
      <c r="A1061" s="1"/>
      <c r="B1061" s="1"/>
      <c r="C1061" s="212"/>
      <c r="D1061" s="1263"/>
      <c r="E1061" s="1263"/>
      <c r="F1061" s="1263"/>
      <c r="G1061" s="1263"/>
      <c r="H1061" s="1263"/>
      <c r="I1061" s="1263"/>
      <c r="J1061" s="1263"/>
      <c r="K1061" s="1263"/>
      <c r="L1061" s="1263"/>
      <c r="M1061" s="1263"/>
      <c r="N1061" s="1263"/>
      <c r="O1061" s="1263"/>
      <c r="P1061" s="1263"/>
      <c r="Q1061" s="1263"/>
      <c r="R1061" s="1263"/>
      <c r="S1061" s="1263"/>
      <c r="T1061" s="1263"/>
      <c r="U1061" s="1263"/>
      <c r="V1061" s="1263"/>
      <c r="W1061" s="1263"/>
      <c r="X1061" s="1263"/>
      <c r="Y1061" s="1263"/>
      <c r="Z1061" s="1263"/>
      <c r="AA1061" s="1263"/>
      <c r="AB1061" s="1263"/>
      <c r="AC1061" s="1263"/>
      <c r="AD1061" s="1263"/>
      <c r="AE1061" s="1263"/>
      <c r="AF1061" s="1263"/>
      <c r="AG1061" s="1263"/>
      <c r="AH1061" s="1263"/>
      <c r="AI1061" s="1263"/>
      <c r="AJ1061" s="1263"/>
      <c r="AK1061" s="1263"/>
    </row>
    <row r="1062" spans="1:37" ht="12.95" customHeight="1">
      <c r="A1062" s="1"/>
      <c r="B1062" s="1"/>
      <c r="C1062" s="212"/>
      <c r="D1062" s="1263"/>
      <c r="E1062" s="1263"/>
      <c r="F1062" s="1263"/>
      <c r="G1062" s="1263"/>
      <c r="H1062" s="1263"/>
      <c r="I1062" s="1263"/>
      <c r="J1062" s="1263"/>
      <c r="K1062" s="1263"/>
      <c r="L1062" s="1263"/>
      <c r="M1062" s="1263"/>
      <c r="N1062" s="1263"/>
      <c r="O1062" s="1263"/>
      <c r="P1062" s="1263"/>
      <c r="Q1062" s="1263"/>
      <c r="R1062" s="1263"/>
      <c r="S1062" s="1263"/>
      <c r="T1062" s="1263"/>
      <c r="U1062" s="1263"/>
      <c r="V1062" s="1263"/>
      <c r="W1062" s="1263"/>
      <c r="X1062" s="1263"/>
      <c r="Y1062" s="1263"/>
      <c r="Z1062" s="1263"/>
      <c r="AA1062" s="1263"/>
      <c r="AB1062" s="1263"/>
      <c r="AC1062" s="1263"/>
      <c r="AD1062" s="1263"/>
      <c r="AE1062" s="1263"/>
      <c r="AF1062" s="1263"/>
      <c r="AG1062" s="1263"/>
      <c r="AH1062" s="1263"/>
      <c r="AI1062" s="1263"/>
      <c r="AJ1062" s="1263"/>
      <c r="AK1062" s="1263"/>
    </row>
    <row r="1063" spans="1:37" ht="12.95" customHeight="1">
      <c r="A1063" s="35"/>
      <c r="B1063" s="25"/>
      <c r="C1063" s="212"/>
      <c r="D1063" s="1263"/>
      <c r="E1063" s="1263"/>
      <c r="F1063" s="1263"/>
      <c r="G1063" s="1263"/>
      <c r="H1063" s="1263"/>
      <c r="I1063" s="1263"/>
      <c r="J1063" s="1263"/>
      <c r="K1063" s="1263"/>
      <c r="L1063" s="1263"/>
      <c r="M1063" s="1263"/>
      <c r="N1063" s="1263"/>
      <c r="O1063" s="1263"/>
      <c r="P1063" s="1263"/>
      <c r="Q1063" s="1263"/>
      <c r="R1063" s="1263"/>
      <c r="S1063" s="1263"/>
      <c r="T1063" s="1263"/>
      <c r="U1063" s="1263"/>
      <c r="V1063" s="1263"/>
      <c r="W1063" s="1263"/>
      <c r="X1063" s="1263"/>
      <c r="Y1063" s="1263"/>
      <c r="Z1063" s="1263"/>
      <c r="AA1063" s="1263"/>
      <c r="AB1063" s="1263"/>
      <c r="AC1063" s="1263"/>
      <c r="AD1063" s="1263"/>
      <c r="AE1063" s="1263"/>
      <c r="AF1063" s="1263"/>
      <c r="AG1063" s="1263"/>
      <c r="AH1063" s="1263"/>
      <c r="AI1063" s="1263"/>
      <c r="AJ1063" s="1263"/>
      <c r="AK1063" s="1263"/>
    </row>
    <row r="1064" spans="1:37" ht="12.95" customHeight="1">
      <c r="A1064" s="1375" t="s">
        <v>600</v>
      </c>
      <c r="B1064" s="1375"/>
      <c r="C1064" s="212">
        <v>8</v>
      </c>
      <c r="D1064" s="1323" t="s">
        <v>1940</v>
      </c>
      <c r="E1064" s="1323"/>
      <c r="F1064" s="1323"/>
      <c r="G1064" s="1323"/>
      <c r="H1064" s="1323"/>
      <c r="I1064" s="1323"/>
      <c r="J1064" s="1323"/>
      <c r="K1064" s="1323"/>
      <c r="L1064" s="1323"/>
      <c r="M1064" s="1323"/>
      <c r="N1064" s="1323"/>
      <c r="O1064" s="1323"/>
      <c r="P1064" s="1323"/>
      <c r="Q1064" s="1323"/>
      <c r="R1064" s="1323"/>
      <c r="S1064" s="1323"/>
      <c r="T1064" s="1323"/>
      <c r="U1064" s="1323"/>
      <c r="V1064" s="1323"/>
      <c r="W1064" s="1323"/>
      <c r="X1064" s="1323"/>
      <c r="Y1064" s="1323"/>
      <c r="Z1064" s="1323"/>
      <c r="AA1064" s="1323"/>
      <c r="AB1064" s="1323"/>
      <c r="AC1064" s="1323"/>
      <c r="AD1064" s="1323"/>
      <c r="AE1064" s="1323"/>
      <c r="AF1064" s="1323"/>
      <c r="AG1064" s="1323"/>
      <c r="AH1064" s="1323"/>
      <c r="AI1064" s="1323"/>
      <c r="AJ1064" s="1323"/>
      <c r="AK1064" s="1323"/>
    </row>
    <row r="1065" spans="1:37" ht="12.95" customHeight="1">
      <c r="A1065" s="1"/>
      <c r="B1065" s="1"/>
      <c r="C1065" s="212"/>
      <c r="D1065" s="1323"/>
      <c r="E1065" s="1323"/>
      <c r="F1065" s="1323"/>
      <c r="G1065" s="1323"/>
      <c r="H1065" s="1323"/>
      <c r="I1065" s="1323"/>
      <c r="J1065" s="1323"/>
      <c r="K1065" s="1323"/>
      <c r="L1065" s="1323"/>
      <c r="M1065" s="1323"/>
      <c r="N1065" s="1323"/>
      <c r="O1065" s="1323"/>
      <c r="P1065" s="1323"/>
      <c r="Q1065" s="1323"/>
      <c r="R1065" s="1323"/>
      <c r="S1065" s="1323"/>
      <c r="T1065" s="1323"/>
      <c r="U1065" s="1323"/>
      <c r="V1065" s="1323"/>
      <c r="W1065" s="1323"/>
      <c r="X1065" s="1323"/>
      <c r="Y1065" s="1323"/>
      <c r="Z1065" s="1323"/>
      <c r="AA1065" s="1323"/>
      <c r="AB1065" s="1323"/>
      <c r="AC1065" s="1323"/>
      <c r="AD1065" s="1323"/>
      <c r="AE1065" s="1323"/>
      <c r="AF1065" s="1323"/>
      <c r="AG1065" s="1323"/>
      <c r="AH1065" s="1323"/>
      <c r="AI1065" s="1323"/>
      <c r="AJ1065" s="1323"/>
      <c r="AK1065" s="1323"/>
    </row>
    <row r="1066" spans="1:37" ht="12.95" customHeight="1">
      <c r="A1066" s="1"/>
      <c r="B1066" s="1"/>
      <c r="C1066" s="212"/>
      <c r="D1066" s="1323"/>
      <c r="E1066" s="1323"/>
      <c r="F1066" s="1323"/>
      <c r="G1066" s="1323"/>
      <c r="H1066" s="1323"/>
      <c r="I1066" s="1323"/>
      <c r="J1066" s="1323"/>
      <c r="K1066" s="1323"/>
      <c r="L1066" s="1323"/>
      <c r="M1066" s="1323"/>
      <c r="N1066" s="1323"/>
      <c r="O1066" s="1323"/>
      <c r="P1066" s="1323"/>
      <c r="Q1066" s="1323"/>
      <c r="R1066" s="1323"/>
      <c r="S1066" s="1323"/>
      <c r="T1066" s="1323"/>
      <c r="U1066" s="1323"/>
      <c r="V1066" s="1323"/>
      <c r="W1066" s="1323"/>
      <c r="X1066" s="1323"/>
      <c r="Y1066" s="1323"/>
      <c r="Z1066" s="1323"/>
      <c r="AA1066" s="1323"/>
      <c r="AB1066" s="1323"/>
      <c r="AC1066" s="1323"/>
      <c r="AD1066" s="1323"/>
      <c r="AE1066" s="1323"/>
      <c r="AF1066" s="1323"/>
      <c r="AG1066" s="1323"/>
      <c r="AH1066" s="1323"/>
      <c r="AI1066" s="1323"/>
      <c r="AJ1066" s="1323"/>
      <c r="AK1066" s="1323"/>
    </row>
    <row r="1067" spans="1:37" ht="12.95" customHeight="1">
      <c r="A1067" s="35"/>
      <c r="B1067" s="25"/>
      <c r="C1067" s="212"/>
      <c r="D1067" s="1323"/>
      <c r="E1067" s="1323"/>
      <c r="F1067" s="1323"/>
      <c r="G1067" s="1323"/>
      <c r="H1067" s="1323"/>
      <c r="I1067" s="1323"/>
      <c r="J1067" s="1323"/>
      <c r="K1067" s="1323"/>
      <c r="L1067" s="1323"/>
      <c r="M1067" s="1323"/>
      <c r="N1067" s="1323"/>
      <c r="O1067" s="1323"/>
      <c r="P1067" s="1323"/>
      <c r="Q1067" s="1323"/>
      <c r="R1067" s="1323"/>
      <c r="S1067" s="1323"/>
      <c r="T1067" s="1323"/>
      <c r="U1067" s="1323"/>
      <c r="V1067" s="1323"/>
      <c r="W1067" s="1323"/>
      <c r="X1067" s="1323"/>
      <c r="Y1067" s="1323"/>
      <c r="Z1067" s="1323"/>
      <c r="AA1067" s="1323"/>
      <c r="AB1067" s="1323"/>
      <c r="AC1067" s="1323"/>
      <c r="AD1067" s="1323"/>
      <c r="AE1067" s="1323"/>
      <c r="AF1067" s="1323"/>
      <c r="AG1067" s="1323"/>
      <c r="AH1067" s="1323"/>
      <c r="AI1067" s="1323"/>
      <c r="AJ1067" s="1323"/>
      <c r="AK1067" s="1323"/>
    </row>
    <row r="1068" spans="1:37" ht="12.95" customHeight="1">
      <c r="A1068" s="1375" t="s">
        <v>600</v>
      </c>
      <c r="B1068" s="1375"/>
      <c r="C1068" s="212">
        <v>9</v>
      </c>
      <c r="D1068" s="1263" t="s">
        <v>1155</v>
      </c>
      <c r="E1068" s="1263"/>
      <c r="F1068" s="1263"/>
      <c r="G1068" s="1263"/>
      <c r="H1068" s="1263"/>
      <c r="I1068" s="1263"/>
      <c r="J1068" s="1263"/>
      <c r="K1068" s="1263"/>
      <c r="L1068" s="1263"/>
      <c r="M1068" s="1263"/>
      <c r="N1068" s="1263"/>
      <c r="O1068" s="1263"/>
      <c r="P1068" s="1263"/>
      <c r="Q1068" s="1263"/>
      <c r="R1068" s="1263"/>
      <c r="S1068" s="1263"/>
      <c r="T1068" s="1263"/>
      <c r="U1068" s="1263"/>
      <c r="V1068" s="1263"/>
      <c r="W1068" s="1263"/>
      <c r="X1068" s="1263"/>
      <c r="Y1068" s="1263"/>
      <c r="Z1068" s="1263"/>
      <c r="AA1068" s="1263"/>
      <c r="AB1068" s="1263"/>
      <c r="AC1068" s="1263"/>
      <c r="AD1068" s="1263"/>
      <c r="AE1068" s="1263"/>
      <c r="AF1068" s="1263"/>
      <c r="AG1068" s="1263"/>
      <c r="AH1068" s="1263"/>
      <c r="AI1068" s="1263"/>
      <c r="AJ1068" s="1263"/>
      <c r="AK1068" s="1263"/>
    </row>
    <row r="1069" spans="1:37" ht="12.95" customHeight="1">
      <c r="A1069" s="35"/>
      <c r="B1069" s="25"/>
      <c r="C1069" s="212"/>
      <c r="D1069" s="1263"/>
      <c r="E1069" s="1263"/>
      <c r="F1069" s="1263"/>
      <c r="G1069" s="1263"/>
      <c r="H1069" s="1263"/>
      <c r="I1069" s="1263"/>
      <c r="J1069" s="1263"/>
      <c r="K1069" s="1263"/>
      <c r="L1069" s="1263"/>
      <c r="M1069" s="1263"/>
      <c r="N1069" s="1263"/>
      <c r="O1069" s="1263"/>
      <c r="P1069" s="1263"/>
      <c r="Q1069" s="1263"/>
      <c r="R1069" s="1263"/>
      <c r="S1069" s="1263"/>
      <c r="T1069" s="1263"/>
      <c r="U1069" s="1263"/>
      <c r="V1069" s="1263"/>
      <c r="W1069" s="1263"/>
      <c r="X1069" s="1263"/>
      <c r="Y1069" s="1263"/>
      <c r="Z1069" s="1263"/>
      <c r="AA1069" s="1263"/>
      <c r="AB1069" s="1263"/>
      <c r="AC1069" s="1263"/>
      <c r="AD1069" s="1263"/>
      <c r="AE1069" s="1263"/>
      <c r="AF1069" s="1263"/>
      <c r="AG1069" s="1263"/>
      <c r="AH1069" s="1263"/>
      <c r="AI1069" s="1263"/>
      <c r="AJ1069" s="1263"/>
      <c r="AK1069" s="1263"/>
    </row>
    <row r="1070" spans="1:37" ht="12.95" customHeight="1">
      <c r="D1070" s="1263"/>
      <c r="E1070" s="1263"/>
      <c r="F1070" s="1263"/>
      <c r="G1070" s="1263"/>
      <c r="H1070" s="1263"/>
      <c r="I1070" s="1263"/>
      <c r="J1070" s="1263"/>
      <c r="K1070" s="1263"/>
      <c r="L1070" s="1263"/>
      <c r="M1070" s="1263"/>
      <c r="N1070" s="1263"/>
      <c r="O1070" s="1263"/>
      <c r="P1070" s="1263"/>
      <c r="Q1070" s="1263"/>
      <c r="R1070" s="1263"/>
      <c r="S1070" s="1263"/>
      <c r="T1070" s="1263"/>
      <c r="U1070" s="1263"/>
      <c r="V1070" s="1263"/>
      <c r="W1070" s="1263"/>
      <c r="X1070" s="1263"/>
      <c r="Y1070" s="1263"/>
      <c r="Z1070" s="1263"/>
      <c r="AA1070" s="1263"/>
      <c r="AB1070" s="1263"/>
      <c r="AC1070" s="1263"/>
      <c r="AD1070" s="1263"/>
      <c r="AE1070" s="1263"/>
      <c r="AF1070" s="1263"/>
      <c r="AG1070" s="1263"/>
      <c r="AH1070" s="1263"/>
      <c r="AI1070" s="1263"/>
      <c r="AJ1070" s="1263"/>
      <c r="AK1070" s="1263"/>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1">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AE554:AH554"/>
    <mergeCell ref="W471:Y471"/>
    <mergeCell ref="D468:V468"/>
    <mergeCell ref="AC518:AF518"/>
    <mergeCell ref="AC525:AF525"/>
    <mergeCell ref="B518:H540"/>
    <mergeCell ref="D444:AF444"/>
    <mergeCell ref="T553:V55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C519:AF519"/>
    <mergeCell ref="AH507:AK507"/>
    <mergeCell ref="AC501:AF501"/>
    <mergeCell ref="AC524:AF524"/>
    <mergeCell ref="AH529:AK529"/>
    <mergeCell ref="AH538:AK538"/>
    <mergeCell ref="AI549:AL549"/>
    <mergeCell ref="AC513:AF513"/>
    <mergeCell ref="AC512:AF512"/>
    <mergeCell ref="AH504:AK504"/>
    <mergeCell ref="AC536:AF536"/>
    <mergeCell ref="AC538:AF538"/>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AM550:AS550"/>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O33:P33"/>
    <mergeCell ref="AH245:AK245"/>
    <mergeCell ref="AI396:AJ396"/>
    <mergeCell ref="T398:AJ398"/>
    <mergeCell ref="T397:AJ397"/>
    <mergeCell ref="AG439:AJ439"/>
    <mergeCell ref="AC386:AJ386"/>
    <mergeCell ref="V387:AJ387"/>
    <mergeCell ref="D442:AF442"/>
    <mergeCell ref="W470:Y470"/>
    <mergeCell ref="AI391:AJ391"/>
    <mergeCell ref="R411:S411"/>
    <mergeCell ref="Q428:R428"/>
    <mergeCell ref="D447:AF447"/>
    <mergeCell ref="AG444:AJ444"/>
    <mergeCell ref="P348:AE348"/>
    <mergeCell ref="AC369:AF369"/>
    <mergeCell ref="P347:Z347"/>
    <mergeCell ref="N372:AF373"/>
    <mergeCell ref="AJ354:AK354"/>
    <mergeCell ref="Q392:U392"/>
    <mergeCell ref="AG394:AJ394"/>
    <mergeCell ref="A350:AL351"/>
    <mergeCell ref="AC384:AJ384"/>
    <mergeCell ref="AG376:AH376"/>
    <mergeCell ref="E417:G417"/>
    <mergeCell ref="AD410:AE410"/>
    <mergeCell ref="F426:AH427"/>
    <mergeCell ref="N377:P377"/>
    <mergeCell ref="V376:W376"/>
    <mergeCell ref="S376:T376"/>
    <mergeCell ref="AG392:AJ392"/>
    <mergeCell ref="D445:AF445"/>
    <mergeCell ref="D446:AF446"/>
    <mergeCell ref="AC516:AF516"/>
    <mergeCell ref="AC511:AF511"/>
    <mergeCell ref="AH511:AK511"/>
    <mergeCell ref="AH503:AK503"/>
    <mergeCell ref="B501:H506"/>
    <mergeCell ref="AC506:AF506"/>
    <mergeCell ref="AH514:AK514"/>
    <mergeCell ref="Q489:AK489"/>
    <mergeCell ref="AI554:AL554"/>
    <mergeCell ref="K403:AJ403"/>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AA338:AF338"/>
    <mergeCell ref="AA296:AK296"/>
    <mergeCell ref="AG400:AJ400"/>
    <mergeCell ref="H602:R602"/>
    <mergeCell ref="P601:R601"/>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Z551:AD551"/>
    <mergeCell ref="BX614:CB614"/>
    <mergeCell ref="X781:AB781"/>
    <mergeCell ref="G732:J732"/>
    <mergeCell ref="X734:AB734"/>
    <mergeCell ref="X735:AB735"/>
    <mergeCell ref="X725:AB725"/>
    <mergeCell ref="C748:AR750"/>
    <mergeCell ref="C751:AR753"/>
    <mergeCell ref="B740:AH741"/>
    <mergeCell ref="AK735:AO735"/>
    <mergeCell ref="X778:AB778"/>
    <mergeCell ref="K736:N736"/>
    <mergeCell ref="X728:AB728"/>
    <mergeCell ref="K730:N730"/>
    <mergeCell ref="K731:N731"/>
    <mergeCell ref="K732:N732"/>
    <mergeCell ref="AD744:AF744"/>
    <mergeCell ref="T776:W776"/>
    <mergeCell ref="T772:W772"/>
    <mergeCell ref="T773:W773"/>
    <mergeCell ref="O774:S774"/>
    <mergeCell ref="J760:N760"/>
    <mergeCell ref="AC759:AG759"/>
    <mergeCell ref="AC760:AG760"/>
    <mergeCell ref="AC768:AG771"/>
    <mergeCell ref="B725:F725"/>
    <mergeCell ref="T725:W725"/>
    <mergeCell ref="G733:J733"/>
    <mergeCell ref="B726:F726"/>
    <mergeCell ref="T768:W771"/>
    <mergeCell ref="X758:AB758"/>
    <mergeCell ref="T758:W758"/>
    <mergeCell ref="Z555:AD555"/>
    <mergeCell ref="Z556:AD556"/>
    <mergeCell ref="G600:R600"/>
    <mergeCell ref="Z600:AK600"/>
    <mergeCell ref="BN626:BR626"/>
    <mergeCell ref="BS620:BW620"/>
    <mergeCell ref="BN644:BR644"/>
    <mergeCell ref="BS629:BW629"/>
    <mergeCell ref="BX628:CB628"/>
    <mergeCell ref="BX629:CB629"/>
    <mergeCell ref="BI619:BJ619"/>
    <mergeCell ref="BG610:BH610"/>
    <mergeCell ref="BK606:BL606"/>
    <mergeCell ref="BN606:BR606"/>
    <mergeCell ref="BS606:BW606"/>
    <mergeCell ref="Z573:AK573"/>
    <mergeCell ref="AE561:AH561"/>
    <mergeCell ref="G576:R576"/>
    <mergeCell ref="G593:L593"/>
    <mergeCell ref="Z577:AE577"/>
    <mergeCell ref="Z582:AK582"/>
    <mergeCell ref="T561:V561"/>
    <mergeCell ref="BX601:CB601"/>
    <mergeCell ref="BX607:CB607"/>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G602:BH602"/>
    <mergeCell ref="BE620:BF620"/>
    <mergeCell ref="BS615:BW615"/>
    <mergeCell ref="CC608:CG608"/>
    <mergeCell ref="BX610:CB610"/>
    <mergeCell ref="CC605:CG605"/>
    <mergeCell ref="BX606:CB606"/>
    <mergeCell ref="BS597:BW597"/>
    <mergeCell ref="BS598:BW598"/>
    <mergeCell ref="BE596:BF596"/>
    <mergeCell ref="BN605:BR605"/>
    <mergeCell ref="BK605:BL605"/>
    <mergeCell ref="BK603:BL603"/>
    <mergeCell ref="BX596:CB596"/>
    <mergeCell ref="CC597:CG597"/>
    <mergeCell ref="BX602:CB602"/>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6:BJ606"/>
    <mergeCell ref="BK608:BL608"/>
    <mergeCell ref="BI605:BJ605"/>
    <mergeCell ref="BG604:BH604"/>
    <mergeCell ref="BI607:BJ607"/>
    <mergeCell ref="BG609:BH609"/>
    <mergeCell ref="BK599:BL599"/>
    <mergeCell ref="BG597:BH597"/>
    <mergeCell ref="BG606:BH606"/>
    <mergeCell ref="CC615:CG615"/>
    <mergeCell ref="BX617:CB617"/>
    <mergeCell ref="CC617:CG617"/>
    <mergeCell ref="BI617:BJ617"/>
    <mergeCell ref="BK617:BL617"/>
    <mergeCell ref="BE601:BF601"/>
    <mergeCell ref="BE598:BF598"/>
    <mergeCell ref="BS609:BW609"/>
    <mergeCell ref="BG598:BH598"/>
    <mergeCell ref="BK609:BL609"/>
    <mergeCell ref="BS599:BW599"/>
    <mergeCell ref="BK607:BL607"/>
    <mergeCell ref="BX613:CB613"/>
    <mergeCell ref="BS612:BW612"/>
    <mergeCell ref="BI610:BJ610"/>
    <mergeCell ref="BX611:CB611"/>
    <mergeCell ref="AI585:AK585"/>
    <mergeCell ref="Z591:AK591"/>
    <mergeCell ref="Z585:AE585"/>
    <mergeCell ref="Z593:AE593"/>
    <mergeCell ref="Z597:AK597"/>
    <mergeCell ref="BI604:BJ604"/>
    <mergeCell ref="CC603:CG603"/>
    <mergeCell ref="BN604:BR604"/>
    <mergeCell ref="BN597:BR597"/>
    <mergeCell ref="BG603:BH603"/>
    <mergeCell ref="BK602:BL602"/>
    <mergeCell ref="CC600:CG600"/>
    <mergeCell ref="CC601:CG601"/>
    <mergeCell ref="BS603:BW603"/>
    <mergeCell ref="CC604:CG604"/>
    <mergeCell ref="BS601:BW601"/>
    <mergeCell ref="CC596:CG596"/>
    <mergeCell ref="BE600:BF600"/>
    <mergeCell ref="BE597:BF597"/>
    <mergeCell ref="AG595:AH595"/>
    <mergeCell ref="AI593:AK593"/>
    <mergeCell ref="AI568:AK568"/>
    <mergeCell ref="BG595:BH595"/>
    <mergeCell ref="AG603:AH603"/>
    <mergeCell ref="CH596:CL596"/>
    <mergeCell ref="BX597:CB597"/>
    <mergeCell ref="BK596:BL596"/>
    <mergeCell ref="BS596:BW596"/>
    <mergeCell ref="CH597:CL597"/>
    <mergeCell ref="N587:O587"/>
    <mergeCell ref="AA569:AK569"/>
    <mergeCell ref="Z590:AK590"/>
    <mergeCell ref="AE551:AH551"/>
    <mergeCell ref="M553:P553"/>
    <mergeCell ref="BS595:BW595"/>
    <mergeCell ref="AM561:AS561"/>
    <mergeCell ref="Z576:AK576"/>
    <mergeCell ref="Z565:AK565"/>
    <mergeCell ref="AI561:AL561"/>
    <mergeCell ref="AM554:AS554"/>
    <mergeCell ref="AM562:AS562"/>
    <mergeCell ref="H569:R569"/>
    <mergeCell ref="B562:AL562"/>
    <mergeCell ref="H578:R578"/>
    <mergeCell ref="G564:R564"/>
    <mergeCell ref="AM557:AS557"/>
    <mergeCell ref="AM555:AS555"/>
    <mergeCell ref="Q560:S560"/>
    <mergeCell ref="C554:L554"/>
    <mergeCell ref="M554:P554"/>
    <mergeCell ref="G567:R567"/>
    <mergeCell ref="G581:R581"/>
    <mergeCell ref="AG571:AH571"/>
    <mergeCell ref="Z564:AK564"/>
    <mergeCell ref="Z566:AK566"/>
    <mergeCell ref="BK597:BL597"/>
    <mergeCell ref="AM552:AS552"/>
    <mergeCell ref="AM558:AS558"/>
    <mergeCell ref="C556:L556"/>
    <mergeCell ref="M556:P556"/>
    <mergeCell ref="C557:L557"/>
    <mergeCell ref="AE559:AH559"/>
    <mergeCell ref="AI556:AL556"/>
    <mergeCell ref="AM560:AS560"/>
    <mergeCell ref="AM559:AS559"/>
    <mergeCell ref="BK595:BL595"/>
    <mergeCell ref="P577:R577"/>
    <mergeCell ref="G566:R566"/>
    <mergeCell ref="Z557:AD557"/>
    <mergeCell ref="AI558:AL558"/>
    <mergeCell ref="AA578:AK578"/>
    <mergeCell ref="AA586:AK586"/>
    <mergeCell ref="Z589:AK589"/>
    <mergeCell ref="AG579:AH579"/>
    <mergeCell ref="H586:R586"/>
    <mergeCell ref="H594:R594"/>
    <mergeCell ref="G591:R591"/>
    <mergeCell ref="G592:R592"/>
    <mergeCell ref="G583:R583"/>
    <mergeCell ref="G574:R574"/>
    <mergeCell ref="M557:P557"/>
    <mergeCell ref="BS604:BW604"/>
    <mergeCell ref="BX604:CB604"/>
    <mergeCell ref="BI600:BJ600"/>
    <mergeCell ref="BI599:BJ599"/>
    <mergeCell ref="BN602:BR602"/>
    <mergeCell ref="BI602:BJ602"/>
    <mergeCell ref="P423:Q423"/>
    <mergeCell ref="Q490:AK490"/>
    <mergeCell ref="AF417:AH417"/>
    <mergeCell ref="Z433:AA433"/>
    <mergeCell ref="M549:P549"/>
    <mergeCell ref="B549:L549"/>
    <mergeCell ref="M550:P550"/>
    <mergeCell ref="C550:L550"/>
    <mergeCell ref="C551:L551"/>
    <mergeCell ref="M551:P551"/>
    <mergeCell ref="C552:L552"/>
    <mergeCell ref="M552:P552"/>
    <mergeCell ref="C553:L553"/>
    <mergeCell ref="W550:Y550"/>
    <mergeCell ref="W551:Y551"/>
    <mergeCell ref="Z554:AD554"/>
    <mergeCell ref="W553:Y553"/>
    <mergeCell ref="D464:V464"/>
    <mergeCell ref="AG446:AJ446"/>
    <mergeCell ref="AH533:AK533"/>
    <mergeCell ref="W466:Y466"/>
    <mergeCell ref="AC499:AF499"/>
    <mergeCell ref="AH524:AK524"/>
    <mergeCell ref="AC531:AF531"/>
    <mergeCell ref="AC507:AF507"/>
    <mergeCell ref="AC523:AF523"/>
    <mergeCell ref="AH501:AK501"/>
    <mergeCell ref="AC498:AF498"/>
    <mergeCell ref="L506:AB506"/>
    <mergeCell ref="AH530:AK530"/>
    <mergeCell ref="AH513:AK513"/>
    <mergeCell ref="AC514:AF514"/>
    <mergeCell ref="AD411:AE411"/>
    <mergeCell ref="AI577:AK577"/>
    <mergeCell ref="AC455:AF455"/>
    <mergeCell ref="D443:AF443"/>
    <mergeCell ref="AH536:AK536"/>
    <mergeCell ref="AH532:AK532"/>
    <mergeCell ref="AH535:AK535"/>
    <mergeCell ref="AC526:AF526"/>
    <mergeCell ref="O527:AA527"/>
    <mergeCell ref="AH531:AK531"/>
    <mergeCell ref="AI559:AL559"/>
    <mergeCell ref="Z558:AD558"/>
    <mergeCell ref="Z559:AD559"/>
    <mergeCell ref="AI560:AL560"/>
    <mergeCell ref="Z550:AD550"/>
    <mergeCell ref="AC535:AF535"/>
    <mergeCell ref="AH537:AK537"/>
    <mergeCell ref="AH525:AK525"/>
    <mergeCell ref="AC515:AF515"/>
    <mergeCell ref="W552:Y552"/>
    <mergeCell ref="AE560:AH560"/>
    <mergeCell ref="T557:V557"/>
    <mergeCell ref="T558:V558"/>
    <mergeCell ref="AE557:AH557"/>
    <mergeCell ref="D467:V467"/>
    <mergeCell ref="M493:P493"/>
    <mergeCell ref="AH493:AK493"/>
    <mergeCell ref="AH527:AK527"/>
    <mergeCell ref="T549:V549"/>
    <mergeCell ref="AH505:AK505"/>
    <mergeCell ref="AC502:AF502"/>
    <mergeCell ref="T550:V550"/>
    <mergeCell ref="S401:U401"/>
    <mergeCell ref="E419:AJ419"/>
    <mergeCell ref="P424:Q424"/>
    <mergeCell ref="I417:K417"/>
    <mergeCell ref="S412:T412"/>
    <mergeCell ref="AE424:AF424"/>
    <mergeCell ref="AC505:AF505"/>
    <mergeCell ref="D469:V469"/>
    <mergeCell ref="F456:AB457"/>
    <mergeCell ref="N571:O571"/>
    <mergeCell ref="G565:R565"/>
    <mergeCell ref="AE401:AJ401"/>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F429:AG429"/>
    <mergeCell ref="M570:R570"/>
    <mergeCell ref="Q552:S552"/>
    <mergeCell ref="Q557:S557"/>
    <mergeCell ref="Q558:S558"/>
    <mergeCell ref="Q559:S559"/>
    <mergeCell ref="S404:AJ404"/>
    <mergeCell ref="AA287:AK287"/>
    <mergeCell ref="H286:R286"/>
    <mergeCell ref="AA256:AK256"/>
    <mergeCell ref="AA323:AF323"/>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H313:R313"/>
    <mergeCell ref="W260:X260"/>
    <mergeCell ref="AH499:AK499"/>
    <mergeCell ref="D449:AF449"/>
    <mergeCell ref="D450:AJ451"/>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00:AK300"/>
    <mergeCell ref="H300:R300"/>
    <mergeCell ref="H307:M307"/>
    <mergeCell ref="H315:M315"/>
    <mergeCell ref="AI314:AK314"/>
    <mergeCell ref="AA303:AK303"/>
    <mergeCell ref="AA311:AK311"/>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L278:AD278"/>
    <mergeCell ref="M248:T248"/>
    <mergeCell ref="W252:X252"/>
    <mergeCell ref="M250:AE250"/>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H339:M339"/>
    <mergeCell ref="AA312:AK312"/>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W620:Y622"/>
    <mergeCell ref="T620:V622"/>
    <mergeCell ref="C558:L558"/>
    <mergeCell ref="M558:P558"/>
    <mergeCell ref="C559:L559"/>
    <mergeCell ref="M260:T260"/>
    <mergeCell ref="P342:AE342"/>
    <mergeCell ref="H320:R320"/>
    <mergeCell ref="H321:R321"/>
    <mergeCell ref="AA330:AF330"/>
    <mergeCell ref="P314:R314"/>
    <mergeCell ref="Z262:AE262"/>
    <mergeCell ref="H310:R310"/>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I391:N391"/>
    <mergeCell ref="AI338:AK338"/>
    <mergeCell ref="W467:Y467"/>
    <mergeCell ref="T719:W719"/>
    <mergeCell ref="T718:W718"/>
    <mergeCell ref="B721:F721"/>
    <mergeCell ref="B720:F720"/>
    <mergeCell ref="B724:F724"/>
    <mergeCell ref="O719:S719"/>
    <mergeCell ref="G720:J720"/>
    <mergeCell ref="K718:N718"/>
    <mergeCell ref="K719:N719"/>
    <mergeCell ref="B723:F723"/>
    <mergeCell ref="X718:AB718"/>
    <mergeCell ref="G719:J719"/>
    <mergeCell ref="O721:S721"/>
    <mergeCell ref="O722:S722"/>
    <mergeCell ref="K723:N723"/>
    <mergeCell ref="AH723:AJ723"/>
    <mergeCell ref="G723:J723"/>
    <mergeCell ref="X721:AB721"/>
    <mergeCell ref="X724:AB724"/>
    <mergeCell ref="N369:Q369"/>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G607:R607"/>
    <mergeCell ref="T734:W734"/>
    <mergeCell ref="O781:S781"/>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M561:P561"/>
    <mergeCell ref="B620:L622"/>
    <mergeCell ref="N371:Q371"/>
    <mergeCell ref="B635:AN635"/>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8:AE798"/>
    <mergeCell ref="Z792:AE792"/>
    <mergeCell ref="Q816:T816"/>
    <mergeCell ref="X779:AB779"/>
    <mergeCell ref="T781:W781"/>
    <mergeCell ref="X759:AB759"/>
    <mergeCell ref="J776:N776"/>
    <mergeCell ref="X777:AB777"/>
    <mergeCell ref="AG814:AJ814"/>
    <mergeCell ref="J773:N773"/>
    <mergeCell ref="U815:X815"/>
    <mergeCell ref="Q815:T815"/>
    <mergeCell ref="AC815:AF815"/>
    <mergeCell ref="Y813:AB813"/>
    <mergeCell ref="AC813:AF813"/>
    <mergeCell ref="Q814:T814"/>
    <mergeCell ref="Z791:AE791"/>
    <mergeCell ref="AG815:AJ815"/>
    <mergeCell ref="O759:S759"/>
    <mergeCell ref="O779:S779"/>
    <mergeCell ref="X762:AB762"/>
    <mergeCell ref="X754:AB757"/>
    <mergeCell ref="T754:W757"/>
    <mergeCell ref="AC778:AG778"/>
    <mergeCell ref="X760:AB760"/>
    <mergeCell ref="X761:AB761"/>
    <mergeCell ref="C623:L623"/>
    <mergeCell ref="C631:L631"/>
    <mergeCell ref="X723:AB723"/>
    <mergeCell ref="B719:F719"/>
    <mergeCell ref="X719:AB719"/>
    <mergeCell ref="O718:S718"/>
    <mergeCell ref="B636:AN636"/>
    <mergeCell ref="B637:AN637"/>
    <mergeCell ref="AC626:AE626"/>
    <mergeCell ref="AC627:AE627"/>
    <mergeCell ref="AC628:AE628"/>
    <mergeCell ref="Z642:AK642"/>
    <mergeCell ref="Z802:AE802"/>
    <mergeCell ref="Q809:T809"/>
    <mergeCell ref="U809:X809"/>
    <mergeCell ref="M807:P808"/>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AC812:AF812"/>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38:AC838"/>
    <mergeCell ref="W846:AC846"/>
    <mergeCell ref="W862:AC862"/>
    <mergeCell ref="M830:V830"/>
    <mergeCell ref="W827:AC827"/>
    <mergeCell ref="J833:V833"/>
    <mergeCell ref="AC877:AH877"/>
    <mergeCell ref="W839:AC839"/>
    <mergeCell ref="AC876:AH876"/>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A949:AS950"/>
    <mergeCell ref="M941:S941"/>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O768:S771"/>
    <mergeCell ref="O742:R742"/>
    <mergeCell ref="AG742:AJ742"/>
    <mergeCell ref="Y785:AC785"/>
    <mergeCell ref="J768:N771"/>
    <mergeCell ref="R957:AA957"/>
    <mergeCell ref="R958:AA958"/>
    <mergeCell ref="D1052:AK1056"/>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AC731:AG731"/>
    <mergeCell ref="AC719:AG719"/>
    <mergeCell ref="AH717:AJ717"/>
    <mergeCell ref="T714:W714"/>
    <mergeCell ref="AH725:AJ725"/>
    <mergeCell ref="T723:W723"/>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K619:BL619"/>
    <mergeCell ref="BX612:CB612"/>
    <mergeCell ref="CC612:CG612"/>
    <mergeCell ref="BG613:BH613"/>
    <mergeCell ref="BG612:BH612"/>
    <mergeCell ref="BK614:BL614"/>
    <mergeCell ref="CC613:CG613"/>
    <mergeCell ref="BN614:BR614"/>
    <mergeCell ref="BK615:BL615"/>
    <mergeCell ref="CH611:CL611"/>
    <mergeCell ref="CH612:CL612"/>
    <mergeCell ref="BX618:CB618"/>
    <mergeCell ref="BN618:BR618"/>
    <mergeCell ref="BS618:BW618"/>
    <mergeCell ref="BG617:BH617"/>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AH721:AJ721"/>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G716:J716"/>
    <mergeCell ref="B717:F717"/>
    <mergeCell ref="X717:AB717"/>
    <mergeCell ref="AH724:AJ724"/>
    <mergeCell ref="B718:F718"/>
    <mergeCell ref="T710:W713"/>
    <mergeCell ref="O715:S715"/>
    <mergeCell ref="X720:AB720"/>
    <mergeCell ref="AH718:AJ718"/>
    <mergeCell ref="AC720:AG720"/>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W829:AC829"/>
    <mergeCell ref="U914:Z914"/>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AF630:AJ630"/>
    <mergeCell ref="G568:L568"/>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C814:H814"/>
    <mergeCell ref="Y815:AB815"/>
    <mergeCell ref="O738:S738"/>
    <mergeCell ref="U807:X808"/>
    <mergeCell ref="T733:W733"/>
    <mergeCell ref="Z790:AE790"/>
    <mergeCell ref="AG813:AJ813"/>
    <mergeCell ref="AG811:AJ811"/>
    <mergeCell ref="Z793:AE793"/>
    <mergeCell ref="M810:P810"/>
    <mergeCell ref="O782:S782"/>
    <mergeCell ref="AC754:AG757"/>
    <mergeCell ref="T779:W779"/>
    <mergeCell ref="T777:W777"/>
    <mergeCell ref="O762:S762"/>
    <mergeCell ref="X773:AB773"/>
    <mergeCell ref="X774:AB774"/>
    <mergeCell ref="X775:AB775"/>
    <mergeCell ref="X776:AB776"/>
    <mergeCell ref="AH730:AJ730"/>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G731:J731"/>
    <mergeCell ref="O727:S727"/>
    <mergeCell ref="K733:N733"/>
    <mergeCell ref="B727:F727"/>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A942:AG942"/>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T629:V629"/>
    <mergeCell ref="T630:V630"/>
    <mergeCell ref="T631:V631"/>
    <mergeCell ref="T632:V632"/>
    <mergeCell ref="T633:V633"/>
    <mergeCell ref="T634:V634"/>
    <mergeCell ref="Q620:S622"/>
    <mergeCell ref="Q623:S623"/>
    <mergeCell ref="Q624:S624"/>
    <mergeCell ref="N611:O611"/>
    <mergeCell ref="Q625:S625"/>
    <mergeCell ref="Q626:S626"/>
    <mergeCell ref="Q627:S627"/>
    <mergeCell ref="Q628:S628"/>
    <mergeCell ref="Q629:S629"/>
    <mergeCell ref="Q630:S630"/>
    <mergeCell ref="Q631:S631"/>
    <mergeCell ref="Q632:S632"/>
    <mergeCell ref="Q633:S633"/>
    <mergeCell ref="Q634:S634"/>
    <mergeCell ref="C632:L632"/>
    <mergeCell ref="C633:L633"/>
    <mergeCell ref="C634:L634"/>
    <mergeCell ref="P609:R609"/>
    <mergeCell ref="G573:R573"/>
    <mergeCell ref="G590:R590"/>
    <mergeCell ref="W556:Y556"/>
    <mergeCell ref="T623:V623"/>
    <mergeCell ref="Z620:AB622"/>
    <mergeCell ref="Z623:AB623"/>
    <mergeCell ref="Z630:AB630"/>
    <mergeCell ref="Z631:AB631"/>
    <mergeCell ref="W624:Y624"/>
    <mergeCell ref="W625:Y625"/>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T624:V624"/>
    <mergeCell ref="T625:V625"/>
    <mergeCell ref="T626:V626"/>
    <mergeCell ref="T627:V627"/>
    <mergeCell ref="T628:V628"/>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5">
    <dataValidation type="list" allowBlank="1" showInputMessage="1" showErrorMessage="1" sqref="S412:T412 A1042:B1042 AE424:AF424 A1049:B1049 A1064:B1064 A1068:B1068 A1060:B1060 A1030:B1030 A1036:B1036 R410:S411 A1052:B1052 A1057:B1057 M354:N357" xr:uid="{839462A3-462B-42C8-936F-4BE778D70598}">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32083B82-A2F1-45BE-ACE4-411D04EF32A4}">
      <formula1>"Yes, No"</formula1>
    </dataValidation>
    <dataValidation type="list" allowBlank="1" showInputMessage="1" showErrorMessage="1" sqref="AG976 AG985 AG994 AG963 AG966 AG1001 Q487 AG972 AG978 AG981 AG990 AG997 AG1006" xr:uid="{CE70B2E7-37A7-48D0-A6B5-769B57B176D8}">
      <formula1>"Yes,No"</formula1>
    </dataValidation>
    <dataValidation type="list" allowBlank="1" showInputMessage="1" showErrorMessage="1" sqref="J989" xr:uid="{0ED56971-60C6-4B1B-9191-74E86F085397}">
      <formula1>"N/A,Seismic Upgrading, Environmental Mitigation"</formula1>
    </dataValidation>
    <dataValidation type="list" showInputMessage="1" showErrorMessage="1" sqref="Z271:AD271" xr:uid="{8685FD6C-973E-4FCF-AB1F-90CC8B710E1E}">
      <formula1>"Nonprofit, For-Profit, N/A"</formula1>
    </dataValidation>
    <dataValidation type="list" allowBlank="1" showInputMessage="1" showErrorMessage="1" sqref="AE698:AF698 Q428:R428 AE689:AF690 Z431:AA431 AI391:AJ391 AI388:AJ388 AI396:AJ396" xr:uid="{2AA13A7E-4215-4D22-BCD9-1284A919FD58}">
      <formula1>"No, Yes"</formula1>
    </dataValidation>
    <dataValidation type="decimal" allowBlank="1" showInputMessage="1" showErrorMessage="1" error="example: enter 30 for 30%, hit cancel and try again._x000a_" sqref="AC714:AC738 AD716:AG738 AH772:AL781 AI759:AJ762 AH758:AH761 AK758:AL761" xr:uid="{BCA71964-1F15-49EE-9DD3-43B21B341DBA}">
      <formula1>0</formula1>
      <formula2>1</formula2>
    </dataValidation>
    <dataValidation type="list" allowBlank="1" showInputMessage="1" showErrorMessage="1" sqref="W702:AK702" xr:uid="{321ED8B4-D933-496A-86D8-DBFFF40C3A9B}">
      <formula1>"(select one),FHA Insurance, Private Mortgage Insurance, Letter(s) of Credit, Other"</formula1>
    </dataValidation>
    <dataValidation type="list" showInputMessage="1" showErrorMessage="1" sqref="Z433 AF429" xr:uid="{D00C1412-B6C9-49D0-8446-2D75C56FFF7A}">
      <formula1>$BN$342:$BN$344</formula1>
    </dataValidation>
    <dataValidation type="list" allowBlank="1" showInputMessage="1" showErrorMessage="1" sqref="Y363:Z363 N362:O362 J366:K366 AJ356:AK356 AJ354:AK354" xr:uid="{A786440F-FB32-4ECB-A3C2-F48C0E37BFA0}">
      <formula1>"N/A, Yes, No"</formula1>
    </dataValidation>
    <dataValidation type="list" showInputMessage="1" showErrorMessage="1" sqref="J764:K764" xr:uid="{FE230757-99E8-49E0-8950-7E25F4727C9D}">
      <formula1>"No,Yes"</formula1>
    </dataValidation>
    <dataValidation type="list" allowBlank="1" showInputMessage="1" showErrorMessage="1" sqref="U901:U920" xr:uid="{1929590E-3648-4C1D-B4C4-8069175D0721}">
      <formula1>"Yes, No,N/A"</formula1>
    </dataValidation>
    <dataValidation type="list" showInputMessage="1" showErrorMessage="1" sqref="J173:S173" xr:uid="{83ED7741-1BC9-488D-A087-C2399E05A8EC}">
      <formula1>"Preliminary Reservation, Subsidy Layering, Placed in Service, Re-Application,Supplemental Allocation"</formula1>
    </dataValidation>
    <dataValidation type="whole" allowBlank="1" showInputMessage="1" showErrorMessage="1" error="Please enter a number" sqref="AH194:AI197 AH210:AI210" xr:uid="{BF4809E3-4509-4316-BE75-579A8449A94D}">
      <formula1>0</formula1>
      <formula2>999</formula2>
    </dataValidation>
    <dataValidation type="list" showInputMessage="1" showErrorMessage="1" sqref="D207:M207" xr:uid="{445F9A18-38DC-47B9-8CE5-C27331DB8DDC}">
      <formula1>"(select one),20%/50%,40%/60%,40%/60% Average Income"</formula1>
    </dataValidation>
    <dataValidation showInputMessage="1" showErrorMessage="1" sqref="W267" xr:uid="{FEBA85A2-3C55-4071-B20F-EF5ED2099C4E}"/>
    <dataValidation type="list" allowBlank="1" showInputMessage="1" showErrorMessage="1" sqref="BN785:BO785" xr:uid="{17783441-3295-43DE-8781-C2E83B33FEC4}">
      <formula1>$BN$787:$BN$788</formula1>
    </dataValidation>
    <dataValidation type="list" allowBlank="1" showInputMessage="1" showErrorMessage="1" sqref="M256:T256 M264:T264 M248:T248" xr:uid="{72FBE353-FAA0-4E1C-94A9-7F4EC78D2654}">
      <formula1>"(select one),Nonprofit, For Profit"</formula1>
    </dataValidation>
    <dataValidation type="list" allowBlank="1" showInputMessage="1" showErrorMessage="1" sqref="AI225:AJ228" xr:uid="{22756B8C-1B12-4552-8CC3-DD6EF93E640E}">
      <formula1>"N/A,Yes,"</formula1>
    </dataValidation>
    <dataValidation type="list" showInputMessage="1" showErrorMessage="1" sqref="U175:V175" xr:uid="{AB611B8A-E7FC-4942-8C55-666DD193FC48}">
      <formula1>$BJ$160:$BJ$162</formula1>
    </dataValidation>
    <dataValidation type="list" allowBlank="1" showInputMessage="1" showErrorMessage="1" sqref="P916:T916 S400:U400" xr:uid="{8A90A776-D908-47F1-84BE-20AF2622045A}">
      <formula1>"No,Yes"</formula1>
    </dataValidation>
    <dataValidation type="list" allowBlank="1" showInputMessage="1" showErrorMessage="1" sqref="M942:S942" xr:uid="{CA4D42B8-F119-4E4F-B266-56CB51727B92}">
      <formula1>"(select one),Project-based vouchers,Project-based contract"</formula1>
    </dataValidation>
    <dataValidation type="list" allowBlank="1" showInputMessage="1" showErrorMessage="1" sqref="M939:S939" xr:uid="{0DE663B5-1237-426C-9F48-9C1852651F4B}">
      <formula1>"N/A,IRP,Decoupled IRP"</formula1>
    </dataValidation>
    <dataValidation type="list" allowBlank="1" showInputMessage="1" showErrorMessage="1" sqref="AF242:AK242 AF250:AK250 AF258:AK258" xr:uid="{739EEEB2-07ED-4BA0-891F-843BA2DBC12F}">
      <formula1>"(select one),Managing GP,Administrative GP"</formula1>
    </dataValidation>
    <dataValidation type="list" allowBlank="1" showInputMessage="1" showErrorMessage="1" sqref="AG378:AH379 V380:W381 AD744:AF744" xr:uid="{0C1405DF-95AC-46ED-9282-75C5DE0F7F57}">
      <formula1>"N/A,Yes,No"</formula1>
    </dataValidation>
    <dataValidation type="list" allowBlank="1" showInputMessage="1" showErrorMessage="1" sqref="Q364" xr:uid="{F3A72DEE-CAD7-4866-A379-BF18E10727B2}">
      <formula1>"N/A,Appraisal,Third party debt encumbering the seller's property"</formula1>
    </dataValidation>
    <dataValidation type="whole" operator="greaterThanOrEqual" allowBlank="1" showInputMessage="1" showErrorMessage="1" sqref="Z790:AE790 AG394:AJ394 Q623:V634 Q550:V561 AE550:AH561 AC623:AE634" xr:uid="{55209A9A-CB87-4453-861A-64B6F009743D}">
      <formula1>0</formula1>
    </dataValidation>
    <dataValidation type="list" allowBlank="1" showInputMessage="1" showErrorMessage="1" sqref="Z550:AD561" xr:uid="{C81FA4DF-5E41-4E3A-AAA0-BD3E3D370E30}">
      <formula1>"(select),Fixed,Variable,N/A"</formula1>
    </dataValidation>
    <dataValidation type="list" allowBlank="1" showInputMessage="1" showErrorMessage="1" sqref="I409:AE409" xr:uid="{D77826C9-27A3-495A-A489-8BF9D58CEAFF}">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8F31254B-14B6-4EE5-A700-C137E64299A5}">
      <formula1>"(select one),Project-based vouchers (PBVs),Project-based contract (PBC),RAD conversion - PBVs, RAD conversion - PBC"</formula1>
    </dataValidation>
    <dataValidation type="list" allowBlank="1" showInputMessage="1" showErrorMessage="1" sqref="D213" xr:uid="{D032DF93-FD92-4E94-B649-423F12683EC9}">
      <formula1>$BH$189:$BH$193</formula1>
    </dataValidation>
    <dataValidation type="list" showInputMessage="1" showErrorMessage="1" sqref="D219:Z219" xr:uid="{C6A45217-536C-417D-830A-7FE72998EA82}">
      <formula1>$BC$197:$BC$209</formula1>
    </dataValidation>
    <dataValidation type="list" allowBlank="1" showInputMessage="1" showErrorMessage="1" sqref="T189:AE189" xr:uid="{0126F9DF-4E44-4F16-BD9D-F040207B4652}">
      <formula1>$BT$156:$BT$214</formula1>
    </dataValidation>
    <dataValidation type="list" allowBlank="1" showInputMessage="1" showErrorMessage="1" sqref="T193:AI193" xr:uid="{2831AEBF-8201-40C4-AF6F-CFEAD422A981}">
      <formula1>"Highest Resource,High Resource, Moderate Resource (Rapidly Changing),Moderate Resource,Low Resource,High Segregation &amp; Poverty,Missing/Insufficient Data"</formula1>
    </dataValidation>
    <dataValidation type="list" allowBlank="1" showInputMessage="1" showErrorMessage="1" sqref="S401:U401" xr:uid="{64469E01-B73C-4C12-BA36-C159451CFE1A}">
      <formula1>"N/A,No,Yes"</formula1>
    </dataValidation>
    <dataValidation type="list" allowBlank="1" showInputMessage="1" showErrorMessage="1" sqref="S404:AJ404" xr:uid="{449514EC-83BD-4AE4-9F05-9ED617E43B1E}">
      <formula1>"(select),Secured by Leasehold Interest,Secured by Fee Interest,Secured by both Leasehold &amp; Fee Interests,Other"</formula1>
    </dataValidation>
    <dataValidation type="whole" allowBlank="1" showInputMessage="1" showErrorMessage="1" sqref="AG400:AJ400" xr:uid="{324EE1EA-3C1B-4027-9FE1-B51CA6555A9A}">
      <formula1>0</formula1>
      <formula2>AG399</formula2>
    </dataValidation>
    <dataValidation type="list" showInputMessage="1" showErrorMessage="1" sqref="AC512:AF540 AC499:AF506" xr:uid="{9C46A9DA-43B4-45C0-8AE7-6C727CFB29D9}">
      <formula1>"N/A,1,2,3,4,5,6,7,8,9,10,11,12"</formula1>
    </dataValidation>
    <dataValidation type="list" allowBlank="1" showInputMessage="1" showErrorMessage="1" sqref="AC507:AF507" xr:uid="{06296BD8-6E61-48B3-BC70-5D2C13BCE16E}">
      <formula1>"(select),Yes,No"</formula1>
    </dataValidation>
    <dataValidation type="list" allowBlank="1" showInputMessage="1" showErrorMessage="1" sqref="D269:H269" xr:uid="{5232BCDA-90AD-451A-8939-7AC06F1679EE}">
      <formula1>$BB$244:$BB$246</formula1>
    </dataValidation>
    <dataValidation type="list" allowBlank="1" showInputMessage="1" showErrorMessage="1" sqref="B714:F738 J772:N781 J758:N761" xr:uid="{001F8CE2-6F49-468C-BC56-EDCB4CF4A5A3}">
      <formula1>$BA$594:$BA$600</formula1>
    </dataValidation>
    <dataValidation type="list" allowBlank="1" showInputMessage="1" showErrorMessage="1" sqref="M237:T237" xr:uid="{A29CB6C8-44D8-4C8B-998A-3EE20928A1A8}">
      <formula1>$BC$212:$BC$220</formula1>
    </dataValidation>
    <dataValidation type="list" allowBlank="1" showInputMessage="1" showErrorMessage="1" sqref="Z623:AB634" xr:uid="{0DF6A43C-D797-40CD-B41D-A693A6BC6495}">
      <formula1>$BA$623:$BA$627</formula1>
    </dataValidation>
    <dataValidation type="list" allowBlank="1" showInputMessage="1" showErrorMessage="1" sqref="Z203" xr:uid="{4001836D-688B-49A7-B2CF-4527D1799139}">
      <formula1>"(select),$500M,15% set-aside,15% set-aside with qualifying low value rehab"</formula1>
    </dataValidation>
    <dataValidation type="list" showInputMessage="1" showErrorMessage="1" sqref="D210:M210" xr:uid="{F7018BCC-1321-42FA-9179-A29FEC083A89}">
      <formula1>$BC$189:$BC$195</formula1>
    </dataValidation>
    <dataValidation type="whole" operator="greaterThanOrEqual" allowBlank="1" showInputMessage="1" showErrorMessage="1" errorTitle="Must be a number" error="Enter a whole number greater than or equal to 0." sqref="AG742:AJ742" xr:uid="{26C9FFB3-31F2-4973-82AB-392222D510AB}">
      <formula1>0</formula1>
    </dataValidation>
    <dataValidation type="list" allowBlank="1" showInputMessage="1" showErrorMessage="1" sqref="AK714:AO738" xr:uid="{3B366954-A07B-4E19-8C5B-90B40F21E8E2}">
      <formula1>"Special Needs,Homeless,Veterans,N/A"</formula1>
    </dataValidation>
    <dataValidation type="whole" operator="greaterThanOrEqual" allowBlank="1" showInputMessage="1" showErrorMessage="1" errorTitle="Whole numbers only" error="If not applicable, leave blank or enter zero (0)." sqref="Y211:Z211" xr:uid="{AC86ECE2-32AC-4C7E-AE3A-73848E5C3178}">
      <formula1>0</formula1>
    </dataValidation>
    <dataValidation type="list" showInputMessage="1" showErrorMessage="1" sqref="J174:AB174" xr:uid="{402A3C7F-87DC-49B8-93A8-39C6210847A6}">
      <formula1>"(select one),CDLAC-CTCAC Joint Application (submitting concurrently),CDLAC-only application (bonds without tax credits)"</formula1>
    </dataValidation>
    <dataValidation type="whole" operator="greaterThan" allowBlank="1" showInputMessage="1" showErrorMessage="1" sqref="AE932:AK932" xr:uid="{F4612809-E7AE-4EEA-AB5B-113069DCE46B}">
      <formula1>0</formula1>
    </dataValidation>
    <dataValidation type="list" allowBlank="1" showInputMessage="1" showErrorMessage="1" sqref="M550:P561 M623:P634" xr:uid="{E0110AD2-CA24-47E2-AACB-238455D57414}">
      <formula1>ListofSources</formula1>
    </dataValidation>
    <dataValidation type="decimal" operator="greaterThanOrEqual" allowBlank="1" showInputMessage="1" showErrorMessage="1" sqref="W550:Y561 AI550:AS561 AF623:AS634 W623:Y634" xr:uid="{B62F6F96-D91F-40E7-B9ED-0734697A4411}">
      <formula1>0</formula1>
    </dataValidation>
    <dataValidation type="whole" operator="greaterThanOrEqual" allowBlank="1" showInputMessage="1" showErrorMessage="1" error="Please enter a whole number. If none or N/A, enter 0." sqref="AJ355:AK355" xr:uid="{349FBA9C-CC86-4DF7-8ABF-E3278D8BE0D6}">
      <formula1>0</formula1>
    </dataValidation>
    <dataValidation type="whole" operator="greaterThan" allowBlank="1" showInputMessage="1" showErrorMessage="1" error="Please enter the subsidy term as a number in years, no text." sqref="M932:S932" xr:uid="{73A03976-EA7A-41CC-9005-97F6D6F48D59}">
      <formula1>0</formula1>
    </dataValidation>
    <dataValidation type="whole" allowBlank="1" showInputMessage="1" showErrorMessage="1" sqref="AG407:AJ407 AG396:AH396 AG399:AJ399 AG395:AJ395" xr:uid="{E128C59A-16B4-417B-AE50-429644B12DD5}">
      <formula1>0</formula1>
      <formula2>#REF!</formula2>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75" zoomScaleNormal="100" zoomScaleSheetLayoutView="90" workbookViewId="0">
      <selection activeCell="O21" sqref="O21"/>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61" t="s">
        <v>630</v>
      </c>
      <c r="G1" s="1862"/>
      <c r="H1" s="1862"/>
      <c r="I1" s="1862"/>
      <c r="J1" s="1862"/>
      <c r="K1" s="1862"/>
      <c r="L1" s="1862"/>
      <c r="M1" s="1862"/>
      <c r="N1" s="1862"/>
      <c r="O1" s="1862"/>
      <c r="P1" s="1862"/>
      <c r="Q1" s="1862"/>
      <c r="R1" s="1863"/>
      <c r="S1" s="112"/>
      <c r="T1" s="111"/>
      <c r="U1" s="113"/>
    </row>
    <row r="2" spans="1:21" s="138" customFormat="1" ht="71.25" customHeight="1">
      <c r="A2" s="137"/>
      <c r="B2" s="138" t="s">
        <v>23</v>
      </c>
      <c r="C2" s="138" t="s">
        <v>376</v>
      </c>
      <c r="D2" s="138" t="s">
        <v>375</v>
      </c>
      <c r="E2" s="138" t="s">
        <v>24</v>
      </c>
      <c r="F2" s="139" t="str">
        <f>Application!B623&amp;Application!C623</f>
        <v>1)Citibank Tax-Exempt Loan</v>
      </c>
      <c r="G2" s="139" t="str">
        <f>Application!B624&amp;Application!C624</f>
        <v>2)Deferred Developer Fee</v>
      </c>
      <c r="H2" s="139" t="str">
        <f>Application!B625&amp;Application!C625</f>
        <v>3)</v>
      </c>
      <c r="I2" s="139" t="str">
        <f>Application!B626&amp;Application!C626</f>
        <v>4)</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10650300</v>
      </c>
      <c r="C4" s="147">
        <v>10650300</v>
      </c>
      <c r="D4" s="147"/>
      <c r="E4" s="147">
        <f>C4-SUM(F4:M4)</f>
        <v>10650300</v>
      </c>
      <c r="F4" s="147"/>
      <c r="G4" s="147"/>
      <c r="H4" s="147"/>
      <c r="I4" s="147"/>
      <c r="J4" s="147"/>
      <c r="K4" s="147"/>
      <c r="L4" s="147"/>
      <c r="M4" s="147"/>
      <c r="N4" s="147"/>
      <c r="O4" s="147"/>
      <c r="P4" s="147"/>
      <c r="Q4" s="147"/>
      <c r="R4" s="551">
        <f>SUM(E4:Q4)</f>
        <v>10650300</v>
      </c>
      <c r="S4" s="148"/>
      <c r="T4" s="148"/>
      <c r="U4" s="143"/>
    </row>
    <row r="5" spans="1:21" s="144" customFormat="1">
      <c r="A5" s="145" t="s">
        <v>28</v>
      </c>
      <c r="B5" s="146">
        <f>SUM(C5+D5)</f>
        <v>225000</v>
      </c>
      <c r="C5" s="147">
        <v>225000</v>
      </c>
      <c r="D5" s="147"/>
      <c r="E5" s="147">
        <f t="shared" ref="E5:E7" si="0">C5-SUM(F5:M5)</f>
        <v>225000</v>
      </c>
      <c r="F5" s="147"/>
      <c r="G5" s="147"/>
      <c r="H5" s="147"/>
      <c r="I5" s="147"/>
      <c r="J5" s="147"/>
      <c r="K5" s="147"/>
      <c r="L5" s="147"/>
      <c r="M5" s="147"/>
      <c r="N5" s="147"/>
      <c r="O5" s="147"/>
      <c r="P5" s="147"/>
      <c r="Q5" s="147"/>
      <c r="R5" s="551">
        <f>SUM(E5:Q5)</f>
        <v>225000</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f t="shared" si="0"/>
        <v>0</v>
      </c>
      <c r="F7" s="147"/>
      <c r="G7" s="147"/>
      <c r="H7" s="147"/>
      <c r="I7" s="147"/>
      <c r="J7" s="147"/>
      <c r="K7" s="147"/>
      <c r="L7" s="147"/>
      <c r="M7" s="147"/>
      <c r="N7" s="147"/>
      <c r="O7" s="147"/>
      <c r="P7" s="147"/>
      <c r="Q7" s="147"/>
      <c r="R7" s="551">
        <f>SUM(E7:Q7)</f>
        <v>0</v>
      </c>
      <c r="S7" s="148"/>
      <c r="T7" s="148"/>
      <c r="U7" s="143"/>
    </row>
    <row r="8" spans="1:21" s="144" customFormat="1">
      <c r="A8" s="149" t="s">
        <v>602</v>
      </c>
      <c r="B8" s="146">
        <f>SUM(C8:D8)</f>
        <v>10875300</v>
      </c>
      <c r="C8" s="146">
        <f t="shared" ref="C8:Q8" si="1">SUM(C4:C7)</f>
        <v>10875300</v>
      </c>
      <c r="D8" s="146">
        <f t="shared" si="1"/>
        <v>0</v>
      </c>
      <c r="E8" s="146">
        <f t="shared" si="1"/>
        <v>10875300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71">
        <f>SUM(R4:R7)</f>
        <v>10875300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605</v>
      </c>
      <c r="B11" s="146">
        <f>SUM(C11:D11)</f>
        <v>0</v>
      </c>
      <c r="C11" s="146">
        <f t="shared" ref="C11:Q11" si="2">SUM(C9:C10)</f>
        <v>0</v>
      </c>
      <c r="D11" s="146">
        <f t="shared" si="2"/>
        <v>0</v>
      </c>
      <c r="E11" s="146">
        <f t="shared" si="2"/>
        <v>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71">
        <f>SUM(R9:R10)</f>
        <v>0</v>
      </c>
      <c r="S11" s="148"/>
      <c r="T11" s="150">
        <f>SUM(T9:T10)</f>
        <v>0</v>
      </c>
      <c r="U11" s="143"/>
    </row>
    <row r="12" spans="1:21" s="144" customFormat="1">
      <c r="A12" s="149" t="s">
        <v>85</v>
      </c>
      <c r="B12" s="146">
        <f t="shared" ref="B12:Q12" si="3">SUM(B8+B11)</f>
        <v>10875300</v>
      </c>
      <c r="C12" s="146">
        <f t="shared" si="3"/>
        <v>10875300</v>
      </c>
      <c r="D12" s="146">
        <f t="shared" si="3"/>
        <v>0</v>
      </c>
      <c r="E12" s="146">
        <f t="shared" si="3"/>
        <v>10875300</v>
      </c>
      <c r="F12" s="146">
        <f t="shared" si="3"/>
        <v>0</v>
      </c>
      <c r="G12" s="146">
        <f t="shared" si="3"/>
        <v>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71">
        <f>SUM(R8+R11)</f>
        <v>10875300</v>
      </c>
      <c r="S12" s="148"/>
      <c r="T12" s="148"/>
      <c r="U12" s="143"/>
    </row>
    <row r="13" spans="1:21" s="144" customFormat="1">
      <c r="A13" s="309" t="s">
        <v>935</v>
      </c>
      <c r="B13" s="146">
        <f>SUM(C13+D13)</f>
        <v>355000</v>
      </c>
      <c r="C13" s="147">
        <v>355000</v>
      </c>
      <c r="D13" s="147"/>
      <c r="E13" s="147">
        <f>B13-SUM(F13:M13)</f>
        <v>355000</v>
      </c>
      <c r="F13" s="147"/>
      <c r="G13" s="147"/>
      <c r="H13" s="147"/>
      <c r="I13" s="147"/>
      <c r="J13" s="147"/>
      <c r="K13" s="147"/>
      <c r="L13" s="147"/>
      <c r="M13" s="147"/>
      <c r="N13" s="147"/>
      <c r="O13" s="147"/>
      <c r="P13" s="147"/>
      <c r="Q13" s="147"/>
      <c r="R13" s="551">
        <f>SUM(E13:Q13)</f>
        <v>355000</v>
      </c>
      <c r="S13" s="147">
        <v>184375</v>
      </c>
      <c r="T13" s="147"/>
      <c r="U13" s="143"/>
    </row>
    <row r="14" spans="1:21" s="144" customFormat="1" ht="24">
      <c r="A14" s="310" t="s">
        <v>1821</v>
      </c>
      <c r="B14" s="146">
        <f>SUM(C14+D14)</f>
        <v>0</v>
      </c>
      <c r="C14" s="147"/>
      <c r="D14" s="147"/>
      <c r="E14" s="147">
        <f>B14-SUM(F14:M14)</f>
        <v>0</v>
      </c>
      <c r="F14" s="147"/>
      <c r="G14" s="147"/>
      <c r="H14" s="147"/>
      <c r="I14" s="147"/>
      <c r="J14" s="147"/>
      <c r="K14" s="147"/>
      <c r="L14" s="147"/>
      <c r="M14" s="147"/>
      <c r="N14" s="147"/>
      <c r="O14" s="147"/>
      <c r="P14" s="147"/>
      <c r="Q14" s="147"/>
      <c r="R14" s="551">
        <f>SUM(E14:Q14)</f>
        <v>0</v>
      </c>
      <c r="S14" s="147"/>
      <c r="T14" s="147"/>
      <c r="U14" s="143"/>
    </row>
    <row r="15" spans="1:21" s="144" customFormat="1">
      <c r="A15" s="310" t="s">
        <v>1301</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4">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4"/>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609</v>
      </c>
      <c r="B19" s="146">
        <f t="shared" si="4"/>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4"/>
        <v>0</v>
      </c>
      <c r="C20" s="147"/>
      <c r="D20" s="147"/>
      <c r="E20" s="147"/>
      <c r="F20" s="147"/>
      <c r="G20" s="147"/>
      <c r="H20" s="147"/>
      <c r="I20" s="147"/>
      <c r="J20" s="147"/>
      <c r="K20" s="147"/>
      <c r="L20" s="147"/>
      <c r="M20" s="147"/>
      <c r="N20" s="147"/>
      <c r="O20" s="147"/>
      <c r="P20" s="147"/>
      <c r="Q20" s="147"/>
      <c r="R20" s="551">
        <f t="shared" ref="R20:R27" si="5">SUM(E20:Q20)</f>
        <v>0</v>
      </c>
      <c r="S20" s="147"/>
      <c r="T20" s="147"/>
      <c r="U20" s="143"/>
    </row>
    <row r="21" spans="1:21" s="144" customFormat="1">
      <c r="A21" s="145" t="s">
        <v>139</v>
      </c>
      <c r="B21" s="146">
        <f t="shared" si="4"/>
        <v>0</v>
      </c>
      <c r="C21" s="147"/>
      <c r="D21" s="147"/>
      <c r="E21" s="147"/>
      <c r="F21" s="147"/>
      <c r="G21" s="147"/>
      <c r="H21" s="147"/>
      <c r="I21" s="147"/>
      <c r="J21" s="147"/>
      <c r="K21" s="147"/>
      <c r="L21" s="147"/>
      <c r="M21" s="147"/>
      <c r="N21" s="147"/>
      <c r="O21" s="147"/>
      <c r="P21" s="147"/>
      <c r="Q21" s="147"/>
      <c r="R21" s="551">
        <f t="shared" si="5"/>
        <v>0</v>
      </c>
      <c r="S21" s="147"/>
      <c r="T21" s="147"/>
      <c r="U21" s="143"/>
    </row>
    <row r="22" spans="1:21" s="144" customFormat="1">
      <c r="A22" s="145" t="s">
        <v>140</v>
      </c>
      <c r="B22" s="146">
        <f t="shared" si="4"/>
        <v>0</v>
      </c>
      <c r="C22" s="147"/>
      <c r="D22" s="147"/>
      <c r="E22" s="147"/>
      <c r="F22" s="147"/>
      <c r="G22" s="147"/>
      <c r="H22" s="147"/>
      <c r="I22" s="147"/>
      <c r="J22" s="147"/>
      <c r="K22" s="147"/>
      <c r="L22" s="147"/>
      <c r="M22" s="147"/>
      <c r="N22" s="147"/>
      <c r="O22" s="147"/>
      <c r="P22" s="147"/>
      <c r="Q22" s="147"/>
      <c r="R22" s="551">
        <f t="shared" si="5"/>
        <v>0</v>
      </c>
      <c r="S22" s="147"/>
      <c r="T22" s="147"/>
      <c r="U22" s="143"/>
    </row>
    <row r="23" spans="1:21" s="144" customFormat="1">
      <c r="A23" s="145" t="s">
        <v>141</v>
      </c>
      <c r="B23" s="146">
        <f t="shared" si="4"/>
        <v>0</v>
      </c>
      <c r="C23" s="147"/>
      <c r="D23" s="147"/>
      <c r="E23" s="147"/>
      <c r="F23" s="147"/>
      <c r="G23" s="147"/>
      <c r="H23" s="147"/>
      <c r="I23" s="147"/>
      <c r="J23" s="147"/>
      <c r="K23" s="147"/>
      <c r="L23" s="147"/>
      <c r="M23" s="147"/>
      <c r="N23" s="147"/>
      <c r="O23" s="147"/>
      <c r="P23" s="147"/>
      <c r="Q23" s="147"/>
      <c r="R23" s="551">
        <f t="shared" si="5"/>
        <v>0</v>
      </c>
      <c r="S23" s="147"/>
      <c r="T23" s="147"/>
      <c r="U23" s="143"/>
    </row>
    <row r="24" spans="1:21" s="144" customFormat="1">
      <c r="A24" s="543" t="s">
        <v>1818</v>
      </c>
      <c r="B24" s="146">
        <f t="shared" si="4"/>
        <v>0</v>
      </c>
      <c r="C24" s="147"/>
      <c r="D24" s="147"/>
      <c r="E24" s="147"/>
      <c r="F24" s="147"/>
      <c r="G24" s="147"/>
      <c r="H24" s="147"/>
      <c r="I24" s="147"/>
      <c r="J24" s="147"/>
      <c r="K24" s="147"/>
      <c r="L24" s="147"/>
      <c r="M24" s="147"/>
      <c r="N24" s="147"/>
      <c r="O24" s="147"/>
      <c r="P24" s="147"/>
      <c r="Q24" s="147"/>
      <c r="R24" s="551">
        <f t="shared" si="5"/>
        <v>0</v>
      </c>
      <c r="S24" s="147"/>
      <c r="T24" s="147"/>
      <c r="U24" s="143"/>
    </row>
    <row r="25" spans="1:21" s="144" customFormat="1">
      <c r="A25" s="1201" t="s">
        <v>34</v>
      </c>
      <c r="B25" s="146">
        <f t="shared" si="4"/>
        <v>0</v>
      </c>
      <c r="C25" s="147"/>
      <c r="D25" s="147"/>
      <c r="E25" s="147"/>
      <c r="F25" s="147"/>
      <c r="G25" s="147"/>
      <c r="H25" s="147"/>
      <c r="I25" s="147"/>
      <c r="J25" s="147"/>
      <c r="K25" s="147"/>
      <c r="L25" s="147"/>
      <c r="M25" s="147"/>
      <c r="N25" s="147"/>
      <c r="O25" s="147"/>
      <c r="P25" s="147"/>
      <c r="Q25" s="147"/>
      <c r="R25" s="551">
        <f t="shared" si="5"/>
        <v>0</v>
      </c>
      <c r="S25" s="147"/>
      <c r="T25" s="147"/>
      <c r="U25" s="143"/>
    </row>
    <row r="26" spans="1:21" s="144" customFormat="1">
      <c r="A26" s="149" t="s">
        <v>134</v>
      </c>
      <c r="B26" s="146">
        <f t="shared" si="4"/>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5"/>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7">SUM(C29+D29)</f>
        <v>240000</v>
      </c>
      <c r="C29" s="147">
        <v>240000</v>
      </c>
      <c r="D29" s="147"/>
      <c r="E29" s="147">
        <f>B29-SUM(F29:N29)</f>
        <v>240000</v>
      </c>
      <c r="F29" s="147"/>
      <c r="G29" s="147"/>
      <c r="H29" s="147"/>
      <c r="I29" s="147"/>
      <c r="J29" s="147"/>
      <c r="K29" s="147"/>
      <c r="L29" s="147"/>
      <c r="M29" s="147"/>
      <c r="N29" s="147"/>
      <c r="O29" s="147"/>
      <c r="P29" s="147"/>
      <c r="Q29" s="147"/>
      <c r="R29" s="551">
        <f t="shared" ref="R29:R37" si="8">SUM(E29:Q29)</f>
        <v>240000</v>
      </c>
      <c r="S29" s="147">
        <v>240000</v>
      </c>
      <c r="T29" s="147"/>
      <c r="U29" s="143"/>
    </row>
    <row r="30" spans="1:21" s="144" customFormat="1">
      <c r="A30" s="145" t="s">
        <v>608</v>
      </c>
      <c r="B30" s="146">
        <f t="shared" si="7"/>
        <v>49054150</v>
      </c>
      <c r="C30" s="147">
        <v>49054150</v>
      </c>
      <c r="D30" s="147"/>
      <c r="E30" s="147">
        <f t="shared" ref="E30:E37" si="9">B30-SUM(F30:N30)</f>
        <v>19425786.420795649</v>
      </c>
      <c r="F30" s="147">
        <f>F108</f>
        <v>29628363.579204351</v>
      </c>
      <c r="G30" s="147"/>
      <c r="H30" s="147"/>
      <c r="I30" s="147"/>
      <c r="J30" s="147"/>
      <c r="K30" s="147"/>
      <c r="L30" s="147"/>
      <c r="M30" s="147"/>
      <c r="N30" s="147"/>
      <c r="O30" s="147"/>
      <c r="P30" s="147"/>
      <c r="Q30" s="147"/>
      <c r="R30" s="551">
        <f t="shared" si="8"/>
        <v>49054150</v>
      </c>
      <c r="S30" s="147">
        <v>48874150</v>
      </c>
      <c r="T30" s="147"/>
      <c r="U30" s="143"/>
    </row>
    <row r="31" spans="1:21" s="144" customFormat="1">
      <c r="A31" s="145" t="s">
        <v>609</v>
      </c>
      <c r="B31" s="146">
        <f t="shared" si="7"/>
        <v>2292250</v>
      </c>
      <c r="C31" s="147">
        <v>2292250</v>
      </c>
      <c r="D31" s="147"/>
      <c r="E31" s="147">
        <f t="shared" si="9"/>
        <v>2292250</v>
      </c>
      <c r="F31" s="147"/>
      <c r="G31" s="147"/>
      <c r="H31" s="147"/>
      <c r="I31" s="147"/>
      <c r="J31" s="147"/>
      <c r="K31" s="147"/>
      <c r="L31" s="147"/>
      <c r="M31" s="147"/>
      <c r="N31" s="147"/>
      <c r="O31" s="147"/>
      <c r="P31" s="147"/>
      <c r="Q31" s="147"/>
      <c r="R31" s="551">
        <f t="shared" si="8"/>
        <v>2292250</v>
      </c>
      <c r="S31" s="1015">
        <v>2292250</v>
      </c>
      <c r="T31" s="147"/>
      <c r="U31" s="143"/>
    </row>
    <row r="32" spans="1:21" s="144" customFormat="1">
      <c r="A32" s="145" t="s">
        <v>138</v>
      </c>
      <c r="B32" s="146">
        <f t="shared" si="7"/>
        <v>1026928</v>
      </c>
      <c r="C32" s="147">
        <v>1026928</v>
      </c>
      <c r="D32" s="147"/>
      <c r="E32" s="147">
        <f t="shared" si="9"/>
        <v>1026928</v>
      </c>
      <c r="F32" s="147"/>
      <c r="G32" s="147"/>
      <c r="H32" s="147"/>
      <c r="I32" s="147"/>
      <c r="J32" s="147"/>
      <c r="K32" s="147"/>
      <c r="L32" s="147"/>
      <c r="M32" s="147"/>
      <c r="N32" s="147"/>
      <c r="O32" s="147"/>
      <c r="P32" s="147"/>
      <c r="Q32" s="147"/>
      <c r="R32" s="551">
        <f t="shared" si="8"/>
        <v>1026928</v>
      </c>
      <c r="S32" s="147">
        <v>1026928</v>
      </c>
      <c r="T32" s="147"/>
      <c r="U32" s="143"/>
    </row>
    <row r="33" spans="1:21" s="144" customFormat="1">
      <c r="A33" s="145" t="s">
        <v>139</v>
      </c>
      <c r="B33" s="146">
        <f t="shared" si="7"/>
        <v>1026928</v>
      </c>
      <c r="C33" s="147">
        <v>1026928</v>
      </c>
      <c r="D33" s="147"/>
      <c r="E33" s="147">
        <f t="shared" si="9"/>
        <v>1026928</v>
      </c>
      <c r="F33" s="147"/>
      <c r="G33" s="147"/>
      <c r="H33" s="147"/>
      <c r="I33" s="147"/>
      <c r="J33" s="147"/>
      <c r="K33" s="147"/>
      <c r="L33" s="147"/>
      <c r="M33" s="147"/>
      <c r="N33" s="147"/>
      <c r="O33" s="147"/>
      <c r="P33" s="147"/>
      <c r="Q33" s="147"/>
      <c r="R33" s="551">
        <f t="shared" si="8"/>
        <v>1026928</v>
      </c>
      <c r="S33" s="147">
        <v>1026928</v>
      </c>
      <c r="T33" s="147"/>
      <c r="U33" s="143"/>
    </row>
    <row r="34" spans="1:21" s="144" customFormat="1">
      <c r="A34" s="145" t="s">
        <v>140</v>
      </c>
      <c r="B34" s="146">
        <f t="shared" si="7"/>
        <v>0</v>
      </c>
      <c r="C34" s="147"/>
      <c r="D34" s="147"/>
      <c r="E34" s="147">
        <f t="shared" si="9"/>
        <v>0</v>
      </c>
      <c r="F34" s="147"/>
      <c r="G34" s="147"/>
      <c r="H34" s="147"/>
      <c r="I34" s="147"/>
      <c r="J34" s="147"/>
      <c r="K34" s="147"/>
      <c r="L34" s="147"/>
      <c r="M34" s="147"/>
      <c r="N34" s="147"/>
      <c r="O34" s="147"/>
      <c r="P34" s="147"/>
      <c r="Q34" s="147"/>
      <c r="R34" s="551">
        <f t="shared" si="8"/>
        <v>0</v>
      </c>
      <c r="S34" s="147"/>
      <c r="T34" s="147"/>
      <c r="U34" s="143"/>
    </row>
    <row r="35" spans="1:21" s="144" customFormat="1">
      <c r="A35" s="145" t="s">
        <v>141</v>
      </c>
      <c r="B35" s="146">
        <f t="shared" si="7"/>
        <v>133500.64000000001</v>
      </c>
      <c r="C35" s="147">
        <v>133500.64000000001</v>
      </c>
      <c r="D35" s="147"/>
      <c r="E35" s="147">
        <f t="shared" si="9"/>
        <v>133500.64000000001</v>
      </c>
      <c r="F35" s="147"/>
      <c r="G35" s="147"/>
      <c r="H35" s="147"/>
      <c r="I35" s="147"/>
      <c r="J35" s="147"/>
      <c r="K35" s="147"/>
      <c r="L35" s="147"/>
      <c r="M35" s="147"/>
      <c r="N35" s="147"/>
      <c r="O35" s="147"/>
      <c r="P35" s="147"/>
      <c r="Q35" s="147"/>
      <c r="R35" s="551">
        <f t="shared" si="8"/>
        <v>133500.64000000001</v>
      </c>
      <c r="S35" s="147">
        <v>133500.64000000001</v>
      </c>
      <c r="T35" s="147"/>
      <c r="U35" s="143"/>
    </row>
    <row r="36" spans="1:21" s="144" customFormat="1">
      <c r="A36" s="304" t="s">
        <v>1818</v>
      </c>
      <c r="B36" s="146">
        <f t="shared" si="7"/>
        <v>0</v>
      </c>
      <c r="C36" s="147"/>
      <c r="D36" s="147"/>
      <c r="E36" s="147">
        <f t="shared" si="9"/>
        <v>0</v>
      </c>
      <c r="F36" s="147"/>
      <c r="G36" s="147"/>
      <c r="H36" s="147"/>
      <c r="I36" s="147"/>
      <c r="J36" s="147"/>
      <c r="K36" s="147"/>
      <c r="L36" s="147"/>
      <c r="M36" s="147"/>
      <c r="N36" s="147"/>
      <c r="O36" s="147"/>
      <c r="P36" s="147"/>
      <c r="Q36" s="147"/>
      <c r="R36" s="551">
        <f t="shared" si="8"/>
        <v>0</v>
      </c>
      <c r="S36" s="147"/>
      <c r="T36" s="147"/>
      <c r="U36" s="143"/>
    </row>
    <row r="37" spans="1:21" s="144" customFormat="1">
      <c r="A37" s="1201" t="s">
        <v>2708</v>
      </c>
      <c r="B37" s="146">
        <f t="shared" si="7"/>
        <v>535337.56640000001</v>
      </c>
      <c r="C37" s="147">
        <v>535337.56640000001</v>
      </c>
      <c r="D37" s="147"/>
      <c r="E37" s="147">
        <f t="shared" si="9"/>
        <v>535337.56640000001</v>
      </c>
      <c r="F37" s="147"/>
      <c r="G37" s="147"/>
      <c r="H37" s="147"/>
      <c r="I37" s="147"/>
      <c r="J37" s="147"/>
      <c r="K37" s="147"/>
      <c r="L37" s="147"/>
      <c r="M37" s="147"/>
      <c r="N37" s="147"/>
      <c r="O37" s="147"/>
      <c r="P37" s="147"/>
      <c r="Q37" s="147"/>
      <c r="R37" s="551">
        <f t="shared" si="8"/>
        <v>535337.56640000001</v>
      </c>
      <c r="S37" s="147">
        <v>535337.56640000001</v>
      </c>
      <c r="T37" s="147"/>
      <c r="U37" s="143"/>
    </row>
    <row r="38" spans="1:21" s="144" customFormat="1">
      <c r="A38" s="149" t="s">
        <v>144</v>
      </c>
      <c r="B38" s="146">
        <f t="shared" si="7"/>
        <v>54309094.2064</v>
      </c>
      <c r="C38" s="146">
        <f>SUM(C29:C37)</f>
        <v>54309094.2064</v>
      </c>
      <c r="D38" s="146">
        <f t="shared" ref="D38:Q38" si="10">SUM(D29:D37)</f>
        <v>0</v>
      </c>
      <c r="E38" s="146">
        <f t="shared" si="10"/>
        <v>24680730.627195649</v>
      </c>
      <c r="F38" s="146">
        <f t="shared" si="10"/>
        <v>29628363.579204351</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1">
        <f>SUM(R29:R37)</f>
        <v>54309094.2064</v>
      </c>
      <c r="S38" s="150">
        <f>SUM(S29:S37)</f>
        <v>54129094.2064</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924000</v>
      </c>
      <c r="C40" s="147">
        <v>924000</v>
      </c>
      <c r="D40" s="147"/>
      <c r="E40" s="147">
        <f>B40-SUM(F40:M40)</f>
        <v>924000</v>
      </c>
      <c r="F40" s="147"/>
      <c r="G40" s="147"/>
      <c r="H40" s="147"/>
      <c r="I40" s="147"/>
      <c r="J40" s="147"/>
      <c r="K40" s="147"/>
      <c r="L40" s="147"/>
      <c r="M40" s="147"/>
      <c r="N40" s="147"/>
      <c r="O40" s="147"/>
      <c r="P40" s="147"/>
      <c r="Q40" s="147"/>
      <c r="R40" s="551">
        <f>SUM(E40:Q40)</f>
        <v>924000</v>
      </c>
      <c r="S40" s="147">
        <v>924000</v>
      </c>
      <c r="T40" s="147"/>
      <c r="U40" s="143"/>
    </row>
    <row r="41" spans="1:21" s="144" customFormat="1">
      <c r="A41" s="145" t="s">
        <v>147</v>
      </c>
      <c r="B41" s="146">
        <f>SUM(C41+D41)</f>
        <v>288000</v>
      </c>
      <c r="C41" s="147">
        <v>288000</v>
      </c>
      <c r="D41" s="147"/>
      <c r="E41" s="147">
        <f>B41-SUM(F41:M41)</f>
        <v>288000</v>
      </c>
      <c r="F41" s="147"/>
      <c r="G41" s="147"/>
      <c r="H41" s="147"/>
      <c r="I41" s="147"/>
      <c r="J41" s="147"/>
      <c r="K41" s="147"/>
      <c r="L41" s="147"/>
      <c r="M41" s="147"/>
      <c r="N41" s="147"/>
      <c r="O41" s="147"/>
      <c r="P41" s="147"/>
      <c r="Q41" s="147"/>
      <c r="R41" s="551">
        <f>SUM(E41:Q41)</f>
        <v>288000</v>
      </c>
      <c r="S41" s="147">
        <v>288000</v>
      </c>
      <c r="T41" s="147"/>
      <c r="U41" s="143"/>
    </row>
    <row r="42" spans="1:21" s="144" customFormat="1">
      <c r="A42" s="149" t="s">
        <v>148</v>
      </c>
      <c r="B42" s="146">
        <f>SUM(C42:D42)</f>
        <v>1212000</v>
      </c>
      <c r="C42" s="146">
        <f>SUM(C39:C41)</f>
        <v>1212000</v>
      </c>
      <c r="D42" s="146">
        <f>SUM(D39:D41)</f>
        <v>0</v>
      </c>
      <c r="E42" s="146">
        <f t="shared" ref="E42:T42" si="11">SUM(E40:E41)</f>
        <v>1212000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1">
        <f>SUM(R40:R41)</f>
        <v>1212000</v>
      </c>
      <c r="S42" s="150">
        <f t="shared" si="11"/>
        <v>1212000</v>
      </c>
      <c r="T42" s="150">
        <f t="shared" si="11"/>
        <v>0</v>
      </c>
      <c r="U42" s="143"/>
    </row>
    <row r="43" spans="1:21" s="144" customFormat="1">
      <c r="A43" s="149" t="s">
        <v>149</v>
      </c>
      <c r="B43" s="146">
        <f>SUM(C43:D43)</f>
        <v>1352415</v>
      </c>
      <c r="C43" s="147">
        <v>1352415</v>
      </c>
      <c r="D43" s="147"/>
      <c r="E43" s="147">
        <f>B43-SUM(F43:N43)</f>
        <v>1352415</v>
      </c>
      <c r="F43" s="147"/>
      <c r="G43" s="147"/>
      <c r="H43" s="147"/>
      <c r="I43" s="147"/>
      <c r="J43" s="147"/>
      <c r="K43" s="147"/>
      <c r="L43" s="147"/>
      <c r="M43" s="147"/>
      <c r="N43" s="147"/>
      <c r="O43" s="147"/>
      <c r="P43" s="147"/>
      <c r="Q43" s="147"/>
      <c r="R43" s="551">
        <f>SUM(E43:Q43)</f>
        <v>1352415</v>
      </c>
      <c r="S43" s="147">
        <v>1352415</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2">SUM(C45+D45)</f>
        <v>5770998.333333333</v>
      </c>
      <c r="C45" s="147">
        <v>5770998.333333333</v>
      </c>
      <c r="D45" s="147"/>
      <c r="E45" s="147">
        <f>B45-SUM(F45:N45)</f>
        <v>5770998.333333333</v>
      </c>
      <c r="F45" s="147"/>
      <c r="G45" s="147"/>
      <c r="H45" s="147"/>
      <c r="I45" s="147"/>
      <c r="J45" s="147"/>
      <c r="K45" s="147"/>
      <c r="L45" s="147"/>
      <c r="M45" s="147"/>
      <c r="N45" s="147"/>
      <c r="O45" s="147"/>
      <c r="P45" s="147"/>
      <c r="Q45" s="147"/>
      <c r="R45" s="551">
        <f t="shared" ref="R45:R53" si="13">SUM(E45:Q45)</f>
        <v>5770998.333333333</v>
      </c>
      <c r="S45" s="147">
        <v>5770998.333333333</v>
      </c>
      <c r="T45" s="147"/>
      <c r="U45" s="143"/>
    </row>
    <row r="46" spans="1:21" s="144" customFormat="1">
      <c r="A46" s="145" t="s">
        <v>152</v>
      </c>
      <c r="B46" s="146">
        <f t="shared" si="12"/>
        <v>544700</v>
      </c>
      <c r="C46" s="147">
        <v>544700</v>
      </c>
      <c r="D46" s="147"/>
      <c r="E46" s="147">
        <f t="shared" ref="E46:E53" si="14">B46-SUM(F46:N46)</f>
        <v>544700</v>
      </c>
      <c r="F46" s="147"/>
      <c r="G46" s="147"/>
      <c r="H46" s="147"/>
      <c r="I46" s="147"/>
      <c r="J46" s="147"/>
      <c r="K46" s="147"/>
      <c r="L46" s="147"/>
      <c r="M46" s="147"/>
      <c r="N46" s="147"/>
      <c r="O46" s="147"/>
      <c r="P46" s="147"/>
      <c r="Q46" s="147"/>
      <c r="R46" s="551">
        <f t="shared" si="13"/>
        <v>544700</v>
      </c>
      <c r="S46" s="147">
        <v>544700</v>
      </c>
      <c r="T46" s="147"/>
      <c r="U46" s="143"/>
    </row>
    <row r="47" spans="1:21" s="144" customFormat="1">
      <c r="A47" s="198" t="s">
        <v>153</v>
      </c>
      <c r="B47" s="146">
        <f t="shared" si="12"/>
        <v>51000</v>
      </c>
      <c r="C47" s="147">
        <v>51000</v>
      </c>
      <c r="D47" s="147"/>
      <c r="E47" s="147">
        <f t="shared" si="14"/>
        <v>51000</v>
      </c>
      <c r="F47" s="147"/>
      <c r="G47" s="147"/>
      <c r="H47" s="147"/>
      <c r="I47" s="147"/>
      <c r="J47" s="147"/>
      <c r="K47" s="147"/>
      <c r="L47" s="147"/>
      <c r="M47" s="147"/>
      <c r="N47" s="147"/>
      <c r="O47" s="147"/>
      <c r="P47" s="147"/>
      <c r="Q47" s="147"/>
      <c r="R47" s="551">
        <f t="shared" si="13"/>
        <v>51000</v>
      </c>
      <c r="S47" s="147">
        <v>51000</v>
      </c>
      <c r="T47" s="147"/>
      <c r="U47" s="143"/>
    </row>
    <row r="48" spans="1:21" s="144" customFormat="1">
      <c r="A48" s="145" t="s">
        <v>154</v>
      </c>
      <c r="B48" s="146">
        <f t="shared" si="12"/>
        <v>203100</v>
      </c>
      <c r="C48" s="147">
        <v>203100</v>
      </c>
      <c r="D48" s="147"/>
      <c r="E48" s="147">
        <f t="shared" si="14"/>
        <v>203100</v>
      </c>
      <c r="F48" s="147"/>
      <c r="G48" s="147"/>
      <c r="H48" s="147"/>
      <c r="I48" s="147"/>
      <c r="J48" s="147"/>
      <c r="K48" s="147"/>
      <c r="L48" s="147"/>
      <c r="M48" s="147"/>
      <c r="N48" s="147"/>
      <c r="O48" s="147"/>
      <c r="P48" s="147"/>
      <c r="Q48" s="147"/>
      <c r="R48" s="551">
        <f t="shared" si="13"/>
        <v>203100</v>
      </c>
      <c r="S48" s="147"/>
      <c r="T48" s="147"/>
      <c r="U48" s="143"/>
    </row>
    <row r="49" spans="1:21" s="144" customFormat="1">
      <c r="A49" s="145" t="s">
        <v>57</v>
      </c>
      <c r="B49" s="146">
        <f t="shared" si="12"/>
        <v>0</v>
      </c>
      <c r="C49" s="147"/>
      <c r="D49" s="147"/>
      <c r="E49" s="147">
        <f t="shared" si="14"/>
        <v>0</v>
      </c>
      <c r="F49" s="147"/>
      <c r="G49" s="147"/>
      <c r="H49" s="147"/>
      <c r="I49" s="147"/>
      <c r="J49" s="147"/>
      <c r="K49" s="147"/>
      <c r="L49" s="147"/>
      <c r="M49" s="147"/>
      <c r="N49" s="147"/>
      <c r="O49" s="147"/>
      <c r="P49" s="147"/>
      <c r="Q49" s="147"/>
      <c r="R49" s="551">
        <f t="shared" si="13"/>
        <v>0</v>
      </c>
      <c r="S49" s="147"/>
      <c r="T49" s="147"/>
      <c r="U49" s="143"/>
    </row>
    <row r="50" spans="1:21" s="144" customFormat="1">
      <c r="A50" s="145" t="s">
        <v>157</v>
      </c>
      <c r="B50" s="146">
        <f t="shared" si="12"/>
        <v>115500</v>
      </c>
      <c r="C50" s="147">
        <v>115500</v>
      </c>
      <c r="D50" s="147"/>
      <c r="E50" s="147">
        <f t="shared" si="14"/>
        <v>115500</v>
      </c>
      <c r="F50" s="147"/>
      <c r="G50" s="147"/>
      <c r="H50" s="147"/>
      <c r="I50" s="147"/>
      <c r="J50" s="147"/>
      <c r="K50" s="147"/>
      <c r="L50" s="147"/>
      <c r="M50" s="147"/>
      <c r="N50" s="147"/>
      <c r="O50" s="147"/>
      <c r="P50" s="147"/>
      <c r="Q50" s="147"/>
      <c r="R50" s="551">
        <f t="shared" si="13"/>
        <v>115500</v>
      </c>
      <c r="S50" s="147">
        <v>105500</v>
      </c>
      <c r="T50" s="147"/>
      <c r="U50" s="143"/>
    </row>
    <row r="51" spans="1:21" s="144" customFormat="1">
      <c r="A51" s="304" t="s">
        <v>155</v>
      </c>
      <c r="B51" s="146">
        <f t="shared" si="12"/>
        <v>78000</v>
      </c>
      <c r="C51" s="147">
        <v>78000</v>
      </c>
      <c r="D51" s="147"/>
      <c r="E51" s="147">
        <f t="shared" si="14"/>
        <v>78000</v>
      </c>
      <c r="F51" s="147"/>
      <c r="G51" s="147"/>
      <c r="H51" s="147"/>
      <c r="I51" s="147"/>
      <c r="J51" s="147"/>
      <c r="K51" s="147"/>
      <c r="L51" s="147"/>
      <c r="M51" s="147"/>
      <c r="N51" s="147"/>
      <c r="O51" s="147"/>
      <c r="P51" s="147"/>
      <c r="Q51" s="147"/>
      <c r="R51" s="551">
        <f t="shared" si="13"/>
        <v>78000</v>
      </c>
      <c r="S51" s="147">
        <v>78000</v>
      </c>
      <c r="T51" s="147"/>
      <c r="U51" s="143"/>
    </row>
    <row r="52" spans="1:21" s="144" customFormat="1">
      <c r="A52" s="145" t="s">
        <v>156</v>
      </c>
      <c r="B52" s="146">
        <f t="shared" si="12"/>
        <v>1800000</v>
      </c>
      <c r="C52" s="147">
        <v>1800000</v>
      </c>
      <c r="D52" s="147"/>
      <c r="E52" s="147">
        <f t="shared" si="14"/>
        <v>1800000</v>
      </c>
      <c r="F52" s="147"/>
      <c r="G52" s="147"/>
      <c r="H52" s="147"/>
      <c r="I52" s="147"/>
      <c r="J52" s="147"/>
      <c r="K52" s="147"/>
      <c r="L52" s="147"/>
      <c r="M52" s="147"/>
      <c r="N52" s="147"/>
      <c r="O52" s="147"/>
      <c r="P52" s="147"/>
      <c r="Q52" s="147"/>
      <c r="R52" s="551">
        <f t="shared" si="13"/>
        <v>1800000</v>
      </c>
      <c r="S52" s="147">
        <v>1800000</v>
      </c>
      <c r="T52" s="147"/>
      <c r="U52" s="143"/>
    </row>
    <row r="53" spans="1:21" s="144" customFormat="1">
      <c r="A53" s="1201" t="s">
        <v>34</v>
      </c>
      <c r="B53" s="146">
        <f t="shared" si="12"/>
        <v>0</v>
      </c>
      <c r="C53" s="147"/>
      <c r="D53" s="147"/>
      <c r="E53" s="147">
        <f t="shared" si="14"/>
        <v>0</v>
      </c>
      <c r="F53" s="147"/>
      <c r="G53" s="147"/>
      <c r="H53" s="147"/>
      <c r="I53" s="147"/>
      <c r="J53" s="147"/>
      <c r="K53" s="147"/>
      <c r="L53" s="147"/>
      <c r="M53" s="147"/>
      <c r="N53" s="147"/>
      <c r="O53" s="147"/>
      <c r="P53" s="147"/>
      <c r="Q53" s="147"/>
      <c r="R53" s="551">
        <f t="shared" si="13"/>
        <v>0</v>
      </c>
      <c r="S53" s="147"/>
      <c r="T53" s="147"/>
      <c r="U53" s="143"/>
    </row>
    <row r="54" spans="1:21" s="153" customFormat="1">
      <c r="A54" s="149" t="s">
        <v>158</v>
      </c>
      <c r="B54" s="150">
        <f>SUM(C54:D54)</f>
        <v>8563298.3333333321</v>
      </c>
      <c r="C54" s="150">
        <f t="shared" ref="C54:T54" si="15">SUM(C45:C53)</f>
        <v>8563298.3333333321</v>
      </c>
      <c r="D54" s="150">
        <f t="shared" si="15"/>
        <v>0</v>
      </c>
      <c r="E54" s="150">
        <f t="shared" si="15"/>
        <v>8563298.3333333321</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71">
        <f t="shared" si="15"/>
        <v>8563298.3333333321</v>
      </c>
      <c r="S54" s="150">
        <f t="shared" si="15"/>
        <v>8350198.333333333</v>
      </c>
      <c r="T54" s="150">
        <f t="shared" si="15"/>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6">SUM(C56+D56)</f>
        <v>0</v>
      </c>
      <c r="C56" s="147"/>
      <c r="D56" s="147"/>
      <c r="E56" s="147">
        <f>B56-SUM(F56:O56)</f>
        <v>0</v>
      </c>
      <c r="F56" s="147"/>
      <c r="G56" s="147"/>
      <c r="H56" s="147"/>
      <c r="I56" s="147"/>
      <c r="J56" s="147"/>
      <c r="K56" s="147"/>
      <c r="L56" s="147"/>
      <c r="M56" s="147"/>
      <c r="N56" s="147"/>
      <c r="O56" s="147"/>
      <c r="P56" s="147"/>
      <c r="Q56" s="147"/>
      <c r="R56" s="551">
        <f t="shared" ref="R56:R61" si="17">SUM(E56:Q56)</f>
        <v>0</v>
      </c>
      <c r="S56" s="148"/>
      <c r="T56" s="148"/>
      <c r="U56" s="143"/>
    </row>
    <row r="57" spans="1:21" s="204" customFormat="1">
      <c r="A57" s="198" t="s">
        <v>153</v>
      </c>
      <c r="B57" s="205">
        <f t="shared" si="16"/>
        <v>20000</v>
      </c>
      <c r="C57" s="202">
        <v>20000</v>
      </c>
      <c r="D57" s="202"/>
      <c r="E57" s="202">
        <f t="shared" ref="E57:E61" si="18">B57-SUM(F57:O57)</f>
        <v>20000</v>
      </c>
      <c r="F57" s="202"/>
      <c r="G57" s="202"/>
      <c r="H57" s="202"/>
      <c r="I57" s="202"/>
      <c r="J57" s="202"/>
      <c r="K57" s="202"/>
      <c r="L57" s="202"/>
      <c r="M57" s="202"/>
      <c r="N57" s="202"/>
      <c r="O57" s="202"/>
      <c r="P57" s="202"/>
      <c r="Q57" s="202"/>
      <c r="R57" s="551">
        <f t="shared" si="17"/>
        <v>20000</v>
      </c>
      <c r="S57" s="206"/>
      <c r="T57" s="206"/>
      <c r="U57" s="203"/>
    </row>
    <row r="58" spans="1:21" s="144" customFormat="1">
      <c r="A58" s="145" t="s">
        <v>157</v>
      </c>
      <c r="B58" s="146">
        <f t="shared" si="16"/>
        <v>30000</v>
      </c>
      <c r="C58" s="147">
        <v>30000</v>
      </c>
      <c r="D58" s="147"/>
      <c r="E58" s="147">
        <f t="shared" si="18"/>
        <v>30000</v>
      </c>
      <c r="F58" s="147"/>
      <c r="G58" s="147"/>
      <c r="H58" s="147"/>
      <c r="I58" s="147"/>
      <c r="J58" s="147"/>
      <c r="K58" s="147"/>
      <c r="L58" s="147"/>
      <c r="M58" s="147"/>
      <c r="N58" s="147"/>
      <c r="O58" s="147"/>
      <c r="P58" s="147"/>
      <c r="Q58" s="147"/>
      <c r="R58" s="551">
        <f t="shared" si="17"/>
        <v>30000</v>
      </c>
      <c r="S58" s="148"/>
      <c r="T58" s="148"/>
      <c r="U58" s="143"/>
    </row>
    <row r="59" spans="1:21" s="144" customFormat="1">
      <c r="A59" s="304" t="s">
        <v>155</v>
      </c>
      <c r="B59" s="146">
        <f t="shared" si="16"/>
        <v>0</v>
      </c>
      <c r="C59" s="147"/>
      <c r="D59" s="147"/>
      <c r="E59" s="147">
        <f t="shared" si="18"/>
        <v>0</v>
      </c>
      <c r="F59" s="147"/>
      <c r="G59" s="147"/>
      <c r="H59" s="147"/>
      <c r="I59" s="147"/>
      <c r="J59" s="147"/>
      <c r="K59" s="147"/>
      <c r="L59" s="147"/>
      <c r="M59" s="147"/>
      <c r="N59" s="147"/>
      <c r="O59" s="147"/>
      <c r="P59" s="147"/>
      <c r="Q59" s="147"/>
      <c r="R59" s="551">
        <f t="shared" si="17"/>
        <v>0</v>
      </c>
      <c r="S59" s="148"/>
      <c r="T59" s="148"/>
      <c r="U59" s="143"/>
    </row>
    <row r="60" spans="1:21" s="144" customFormat="1">
      <c r="A60" s="145" t="s">
        <v>156</v>
      </c>
      <c r="B60" s="146">
        <f t="shared" si="16"/>
        <v>0</v>
      </c>
      <c r="C60" s="147"/>
      <c r="D60" s="147"/>
      <c r="E60" s="147">
        <f t="shared" si="18"/>
        <v>0</v>
      </c>
      <c r="F60" s="147"/>
      <c r="G60" s="147"/>
      <c r="H60" s="147"/>
      <c r="I60" s="147"/>
      <c r="J60" s="147"/>
      <c r="K60" s="147"/>
      <c r="L60" s="147"/>
      <c r="M60" s="147"/>
      <c r="N60" s="147"/>
      <c r="O60" s="147"/>
      <c r="P60" s="147"/>
      <c r="Q60" s="147"/>
      <c r="R60" s="551">
        <f t="shared" si="17"/>
        <v>0</v>
      </c>
      <c r="S60" s="148"/>
      <c r="T60" s="148"/>
      <c r="U60" s="143"/>
    </row>
    <row r="61" spans="1:21" s="144" customFormat="1">
      <c r="A61" s="1201" t="s">
        <v>2709</v>
      </c>
      <c r="B61" s="146">
        <f t="shared" si="16"/>
        <v>3213573.8340707002</v>
      </c>
      <c r="C61" s="147">
        <v>3213573.8340707002</v>
      </c>
      <c r="D61" s="147"/>
      <c r="E61" s="147">
        <f t="shared" si="18"/>
        <v>3213573.8340707002</v>
      </c>
      <c r="F61" s="147"/>
      <c r="G61" s="147"/>
      <c r="H61" s="147"/>
      <c r="I61" s="147"/>
      <c r="J61" s="147"/>
      <c r="K61" s="147"/>
      <c r="L61" s="147"/>
      <c r="M61" s="147"/>
      <c r="N61" s="147"/>
      <c r="O61" s="147"/>
      <c r="P61" s="147"/>
      <c r="Q61" s="147"/>
      <c r="R61" s="551">
        <f t="shared" si="17"/>
        <v>3213573.8340707002</v>
      </c>
      <c r="S61" s="148"/>
      <c r="T61" s="148"/>
      <c r="U61" s="143"/>
    </row>
    <row r="62" spans="1:21" s="144" customFormat="1" ht="13.7" customHeight="1">
      <c r="A62" s="149" t="s">
        <v>303</v>
      </c>
      <c r="B62" s="146">
        <f>SUM(C62:D62)</f>
        <v>3263573.8340707002</v>
      </c>
      <c r="C62" s="146">
        <f t="shared" ref="C62:R62" si="19">SUM(C56:C61)</f>
        <v>3263573.8340707002</v>
      </c>
      <c r="D62" s="146">
        <f t="shared" si="19"/>
        <v>0</v>
      </c>
      <c r="E62" s="146">
        <f t="shared" si="19"/>
        <v>3263573.8340707002</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1">
        <f t="shared" si="19"/>
        <v>3263573.8340707002</v>
      </c>
      <c r="S62" s="148"/>
      <c r="T62" s="148"/>
      <c r="U62" s="143"/>
    </row>
    <row r="63" spans="1:21" s="144" customFormat="1">
      <c r="A63" s="154" t="s">
        <v>304</v>
      </c>
      <c r="B63" s="146">
        <f t="shared" ref="B63:R63" si="20">SUM(B8+B11+B13+B14+B15+B26+B27+B38+B42+B43+B54+B62)</f>
        <v>79930681.373804033</v>
      </c>
      <c r="C63" s="146">
        <f t="shared" si="20"/>
        <v>79930681.373804033</v>
      </c>
      <c r="D63" s="146">
        <f t="shared" si="20"/>
        <v>0</v>
      </c>
      <c r="E63" s="146">
        <f t="shared" si="20"/>
        <v>50302317.794599682</v>
      </c>
      <c r="F63" s="146">
        <f t="shared" si="20"/>
        <v>29628363.579204351</v>
      </c>
      <c r="G63" s="146">
        <f t="shared" si="20"/>
        <v>0</v>
      </c>
      <c r="H63" s="146">
        <f t="shared" si="20"/>
        <v>0</v>
      </c>
      <c r="I63" s="146">
        <f t="shared" si="20"/>
        <v>0</v>
      </c>
      <c r="J63" s="146">
        <f t="shared" si="20"/>
        <v>0</v>
      </c>
      <c r="K63" s="146">
        <f t="shared" si="20"/>
        <v>0</v>
      </c>
      <c r="L63" s="146">
        <f t="shared" si="20"/>
        <v>0</v>
      </c>
      <c r="M63" s="146">
        <f t="shared" si="20"/>
        <v>0</v>
      </c>
      <c r="N63" s="146">
        <f t="shared" si="20"/>
        <v>0</v>
      </c>
      <c r="O63" s="146">
        <f t="shared" si="20"/>
        <v>0</v>
      </c>
      <c r="P63" s="146">
        <f t="shared" si="20"/>
        <v>0</v>
      </c>
      <c r="Q63" s="146">
        <f t="shared" si="20"/>
        <v>0</v>
      </c>
      <c r="R63" s="371">
        <f t="shared" si="20"/>
        <v>79930681.373804033</v>
      </c>
      <c r="S63" s="146">
        <f>SUM(S10+S13+S14+S15+S26+S27+S38+S42+S43+S54)</f>
        <v>65228082.539733335</v>
      </c>
      <c r="T63" s="146">
        <f>SUM(T11+T13+T14+T15+T26+T27+T38+T42+T43+T54)</f>
        <v>0</v>
      </c>
      <c r="U63" s="143"/>
    </row>
    <row r="64" spans="1:21" s="144" customFormat="1" ht="24">
      <c r="A64" s="141" t="s">
        <v>1822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100000</v>
      </c>
      <c r="C65" s="147">
        <v>100000</v>
      </c>
      <c r="D65" s="147"/>
      <c r="E65" s="147">
        <f>B65-SUM(F65:N65)</f>
        <v>100000</v>
      </c>
      <c r="F65" s="147"/>
      <c r="G65" s="147"/>
      <c r="H65" s="147"/>
      <c r="I65" s="147"/>
      <c r="J65" s="147"/>
      <c r="K65" s="147"/>
      <c r="L65" s="147"/>
      <c r="M65" s="147"/>
      <c r="N65" s="147"/>
      <c r="O65" s="147"/>
      <c r="P65" s="147"/>
      <c r="Q65" s="147"/>
      <c r="R65" s="551">
        <f>SUM(E65:Q65)</f>
        <v>100000</v>
      </c>
      <c r="S65" s="1015">
        <v>70000</v>
      </c>
      <c r="T65" s="147"/>
      <c r="U65" s="143"/>
    </row>
    <row r="66" spans="1:21" s="144" customFormat="1" ht="24" customHeight="1">
      <c r="A66" s="304" t="s">
        <v>1819</v>
      </c>
      <c r="B66" s="146">
        <f>SUM(C66+D66)</f>
        <v>0</v>
      </c>
      <c r="C66" s="147"/>
      <c r="D66" s="147"/>
      <c r="E66" s="147">
        <f t="shared" ref="E66:E69" si="21">B66-SUM(F66:N66)</f>
        <v>0</v>
      </c>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1820</v>
      </c>
      <c r="B67" s="146">
        <f>SUM(C67+D67)</f>
        <v>0</v>
      </c>
      <c r="C67" s="147"/>
      <c r="D67" s="147"/>
      <c r="E67" s="147">
        <f t="shared" si="21"/>
        <v>0</v>
      </c>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1826</v>
      </c>
      <c r="B68" s="146">
        <f>SUM(C68+D68)</f>
        <v>0</v>
      </c>
      <c r="C68" s="147"/>
      <c r="D68" s="147"/>
      <c r="E68" s="147">
        <f t="shared" si="21"/>
        <v>0</v>
      </c>
      <c r="F68" s="147"/>
      <c r="G68" s="147"/>
      <c r="H68" s="147"/>
      <c r="I68" s="147"/>
      <c r="J68" s="147"/>
      <c r="K68" s="147"/>
      <c r="L68" s="147"/>
      <c r="M68" s="147"/>
      <c r="N68" s="147"/>
      <c r="O68" s="147"/>
      <c r="P68" s="147"/>
      <c r="Q68" s="147"/>
      <c r="R68" s="551">
        <f>SUM(E68:Q68)</f>
        <v>0</v>
      </c>
      <c r="S68" s="147"/>
      <c r="T68" s="147"/>
      <c r="U68" s="143"/>
    </row>
    <row r="69" spans="1:21" s="144" customFormat="1">
      <c r="A69" s="1201" t="s">
        <v>2710</v>
      </c>
      <c r="B69" s="146">
        <f>SUM(C69+D69)</f>
        <v>295000</v>
      </c>
      <c r="C69" s="147">
        <v>295000</v>
      </c>
      <c r="D69" s="147"/>
      <c r="E69" s="147">
        <f t="shared" si="21"/>
        <v>295000</v>
      </c>
      <c r="F69" s="147"/>
      <c r="G69" s="147"/>
      <c r="H69" s="147"/>
      <c r="I69" s="147"/>
      <c r="J69" s="147"/>
      <c r="K69" s="147"/>
      <c r="L69" s="147"/>
      <c r="M69" s="147"/>
      <c r="N69" s="147"/>
      <c r="O69" s="147"/>
      <c r="P69" s="147"/>
      <c r="Q69" s="147"/>
      <c r="R69" s="551">
        <f>SUM(E69:Q69)</f>
        <v>295000</v>
      </c>
      <c r="S69" s="147">
        <v>130000</v>
      </c>
      <c r="T69" s="147"/>
      <c r="U69" s="143"/>
    </row>
    <row r="70" spans="1:21" s="144" customFormat="1">
      <c r="A70" s="149" t="s">
        <v>1823</v>
      </c>
      <c r="B70" s="146">
        <f>SUM(C70:D70)</f>
        <v>395000</v>
      </c>
      <c r="C70" s="146">
        <f>SUM(C65:C69)</f>
        <v>395000</v>
      </c>
      <c r="D70" s="146">
        <f>SUM(D65:D69)</f>
        <v>0</v>
      </c>
      <c r="E70" s="146">
        <f t="shared" ref="E70:T70" si="22">SUM(E65:E69)</f>
        <v>395000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71">
        <f t="shared" si="22"/>
        <v>395000</v>
      </c>
      <c r="S70" s="150">
        <f t="shared" si="22"/>
        <v>200000</v>
      </c>
      <c r="T70" s="150">
        <f t="shared" si="22"/>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f>B72-SUM(F72:M72)</f>
        <v>0</v>
      </c>
      <c r="F72" s="147"/>
      <c r="G72" s="147"/>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47"/>
      <c r="D73" s="147"/>
      <c r="E73" s="147">
        <f t="shared" ref="E73:E76" si="23">B73-SUM(F73:M73)</f>
        <v>0</v>
      </c>
      <c r="F73" s="147"/>
      <c r="G73" s="147"/>
      <c r="H73" s="147"/>
      <c r="I73" s="147"/>
      <c r="J73" s="147"/>
      <c r="K73" s="147"/>
      <c r="L73" s="147"/>
      <c r="M73" s="147"/>
      <c r="N73" s="147"/>
      <c r="O73" s="147"/>
      <c r="P73" s="147"/>
      <c r="Q73" s="147"/>
      <c r="R73" s="551">
        <f>SUM(E73:Q73)</f>
        <v>0</v>
      </c>
      <c r="S73" s="148"/>
      <c r="T73" s="148"/>
      <c r="U73" s="143"/>
    </row>
    <row r="74" spans="1:21" s="144" customFormat="1">
      <c r="A74" s="485" t="s">
        <v>1038</v>
      </c>
      <c r="B74" s="146">
        <f>SUM(C74+D74)</f>
        <v>0</v>
      </c>
      <c r="C74" s="147"/>
      <c r="D74" s="147"/>
      <c r="E74" s="147">
        <f t="shared" si="23"/>
        <v>0</v>
      </c>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722874.85743527126</v>
      </c>
      <c r="C75" s="147">
        <v>722874.85743527126</v>
      </c>
      <c r="D75" s="147"/>
      <c r="E75" s="147">
        <f t="shared" si="23"/>
        <v>722874.85743527126</v>
      </c>
      <c r="F75" s="147"/>
      <c r="G75" s="147"/>
      <c r="H75" s="147"/>
      <c r="I75" s="147"/>
      <c r="J75" s="147"/>
      <c r="K75" s="147"/>
      <c r="L75" s="147"/>
      <c r="M75" s="147"/>
      <c r="N75" s="147"/>
      <c r="O75" s="147"/>
      <c r="P75" s="147"/>
      <c r="Q75" s="147"/>
      <c r="R75" s="551">
        <f>SUM(E75:Q75)</f>
        <v>722874.85743527126</v>
      </c>
      <c r="S75" s="148"/>
      <c r="T75" s="148"/>
      <c r="U75" s="143"/>
    </row>
    <row r="76" spans="1:21" s="144" customFormat="1">
      <c r="A76" s="1201" t="s">
        <v>34</v>
      </c>
      <c r="B76" s="146">
        <f>SUM(C76+D76)</f>
        <v>0</v>
      </c>
      <c r="C76" s="147"/>
      <c r="D76" s="147"/>
      <c r="E76" s="147">
        <f t="shared" si="23"/>
        <v>0</v>
      </c>
      <c r="F76" s="147"/>
      <c r="G76" s="147"/>
      <c r="H76" s="147"/>
      <c r="I76" s="147"/>
      <c r="J76" s="147"/>
      <c r="K76" s="147"/>
      <c r="L76" s="147"/>
      <c r="M76" s="147"/>
      <c r="N76" s="147"/>
      <c r="O76" s="147"/>
      <c r="P76" s="147"/>
      <c r="Q76" s="147"/>
      <c r="R76" s="551">
        <f>SUM(E76:Q76)</f>
        <v>0</v>
      </c>
      <c r="S76" s="148"/>
      <c r="T76" s="148"/>
      <c r="U76" s="143"/>
    </row>
    <row r="77" spans="1:21" s="144" customFormat="1">
      <c r="A77" s="149" t="s">
        <v>615</v>
      </c>
      <c r="B77" s="146">
        <f>SUM(C77:D77)</f>
        <v>722874.85743527126</v>
      </c>
      <c r="C77" s="146">
        <f>SUM(C72:C76)</f>
        <v>722874.85743527126</v>
      </c>
      <c r="D77" s="146">
        <f>SUM(D72:D76)</f>
        <v>0</v>
      </c>
      <c r="E77" s="146">
        <f t="shared" ref="E77:Q77" si="24">SUM(E72:E76)</f>
        <v>722874.85743527126</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71">
        <f>SUM(R72:R76)</f>
        <v>722874.85743527126</v>
      </c>
      <c r="S77" s="148"/>
      <c r="T77" s="148"/>
      <c r="U77" s="143"/>
    </row>
    <row r="78" spans="1:21" s="144" customFormat="1">
      <c r="A78" s="141" t="s">
        <v>1351</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1353</v>
      </c>
      <c r="B79" s="146">
        <f>SUM(C79:D79)</f>
        <v>2714704.7103200001</v>
      </c>
      <c r="C79" s="147">
        <v>2714704.7103200001</v>
      </c>
      <c r="D79" s="147"/>
      <c r="E79" s="147">
        <f>B79-SUM(F79:N79)</f>
        <v>2714704.7103200001</v>
      </c>
      <c r="F79" s="147"/>
      <c r="G79" s="147"/>
      <c r="H79" s="147"/>
      <c r="I79" s="147"/>
      <c r="J79" s="147"/>
      <c r="K79" s="147"/>
      <c r="L79" s="147"/>
      <c r="M79" s="147"/>
      <c r="N79" s="147"/>
      <c r="O79" s="147"/>
      <c r="P79" s="147"/>
      <c r="Q79" s="147"/>
      <c r="R79" s="551">
        <f>SUM(E79:Q79)</f>
        <v>2714704.7103200001</v>
      </c>
      <c r="S79" s="147">
        <v>2714704.7103200001</v>
      </c>
      <c r="T79" s="147"/>
      <c r="U79" s="143"/>
    </row>
    <row r="80" spans="1:21" s="144" customFormat="1">
      <c r="A80" s="304" t="s">
        <v>58</v>
      </c>
      <c r="B80" s="146">
        <f>SUM(C80:D80)</f>
        <v>1050000</v>
      </c>
      <c r="C80" s="147">
        <v>1050000</v>
      </c>
      <c r="D80" s="147"/>
      <c r="E80" s="147">
        <f>B80-SUM(F80:N80)</f>
        <v>1050000</v>
      </c>
      <c r="F80" s="147"/>
      <c r="G80" s="147"/>
      <c r="H80" s="147"/>
      <c r="I80" s="147"/>
      <c r="J80" s="147"/>
      <c r="K80" s="147"/>
      <c r="L80" s="147"/>
      <c r="M80" s="147"/>
      <c r="N80" s="147"/>
      <c r="O80" s="147"/>
      <c r="P80" s="147"/>
      <c r="Q80" s="147"/>
      <c r="R80" s="551">
        <f>SUM(E80:Q80)</f>
        <v>1050000</v>
      </c>
      <c r="S80" s="147">
        <v>1050000</v>
      </c>
      <c r="T80" s="147"/>
      <c r="U80" s="143"/>
    </row>
    <row r="81" spans="1:21" s="144" customFormat="1">
      <c r="A81" s="149" t="s">
        <v>1350</v>
      </c>
      <c r="B81" s="146">
        <f>SUM(C81:D81)</f>
        <v>3764704.7103200001</v>
      </c>
      <c r="C81" s="544">
        <f>SUM(C79:C80)</f>
        <v>3764704.7103200001</v>
      </c>
      <c r="D81" s="544">
        <f t="shared" ref="D81:T81" si="25">SUM(D79:D80)</f>
        <v>0</v>
      </c>
      <c r="E81" s="544">
        <f t="shared" si="25"/>
        <v>3764704.7103200001</v>
      </c>
      <c r="F81" s="544">
        <f t="shared" si="25"/>
        <v>0</v>
      </c>
      <c r="G81" s="544">
        <f t="shared" si="25"/>
        <v>0</v>
      </c>
      <c r="H81" s="544">
        <f t="shared" si="25"/>
        <v>0</v>
      </c>
      <c r="I81" s="544">
        <f t="shared" si="25"/>
        <v>0</v>
      </c>
      <c r="J81" s="544">
        <f t="shared" si="25"/>
        <v>0</v>
      </c>
      <c r="K81" s="544">
        <f t="shared" si="25"/>
        <v>0</v>
      </c>
      <c r="L81" s="544">
        <f t="shared" si="25"/>
        <v>0</v>
      </c>
      <c r="M81" s="544">
        <f t="shared" si="25"/>
        <v>0</v>
      </c>
      <c r="N81" s="544">
        <f t="shared" si="25"/>
        <v>0</v>
      </c>
      <c r="O81" s="544">
        <f t="shared" si="25"/>
        <v>0</v>
      </c>
      <c r="P81" s="544">
        <f t="shared" si="25"/>
        <v>0</v>
      </c>
      <c r="Q81" s="544">
        <f t="shared" si="25"/>
        <v>0</v>
      </c>
      <c r="R81" s="544">
        <f t="shared" si="25"/>
        <v>3764704.7103200001</v>
      </c>
      <c r="S81" s="544">
        <f t="shared" si="25"/>
        <v>3764704.7103200001</v>
      </c>
      <c r="T81" s="544">
        <f t="shared" si="25"/>
        <v>0</v>
      </c>
      <c r="U81" s="143"/>
    </row>
    <row r="82" spans="1:21" s="144" customFormat="1">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2516</v>
      </c>
      <c r="B83" s="146">
        <f t="shared" ref="B83:B95" si="26">SUM(C83+D83)</f>
        <v>119000</v>
      </c>
      <c r="C83" s="147">
        <v>119000</v>
      </c>
      <c r="D83" s="147"/>
      <c r="E83" s="147">
        <f>B83-SUM(F83:N83)</f>
        <v>119000</v>
      </c>
      <c r="F83" s="147"/>
      <c r="G83" s="147"/>
      <c r="H83" s="147"/>
      <c r="I83" s="147"/>
      <c r="J83" s="147"/>
      <c r="K83" s="147"/>
      <c r="L83" s="147"/>
      <c r="M83" s="147"/>
      <c r="N83" s="147"/>
      <c r="O83" s="147"/>
      <c r="P83" s="147"/>
      <c r="Q83" s="147"/>
      <c r="R83" s="551">
        <f t="shared" ref="R83:R95" si="27">SUM(E83:Q83)</f>
        <v>119000</v>
      </c>
      <c r="S83" s="148"/>
      <c r="T83" s="148"/>
      <c r="U83" s="143"/>
    </row>
    <row r="84" spans="1:21" s="144" customFormat="1">
      <c r="A84" s="145" t="s">
        <v>791</v>
      </c>
      <c r="B84" s="146">
        <f t="shared" si="26"/>
        <v>10605</v>
      </c>
      <c r="C84" s="147">
        <v>10605</v>
      </c>
      <c r="D84" s="147"/>
      <c r="E84" s="147">
        <f t="shared" ref="E84:E95" si="28">B84-SUM(F84:N84)</f>
        <v>10605</v>
      </c>
      <c r="F84" s="147"/>
      <c r="G84" s="147"/>
      <c r="H84" s="147"/>
      <c r="I84" s="147"/>
      <c r="J84" s="147"/>
      <c r="K84" s="147"/>
      <c r="L84" s="147"/>
      <c r="M84" s="147"/>
      <c r="N84" s="147"/>
      <c r="O84" s="147"/>
      <c r="P84" s="147"/>
      <c r="Q84" s="147"/>
      <c r="R84" s="551">
        <f t="shared" si="27"/>
        <v>10605</v>
      </c>
      <c r="S84" s="147">
        <v>10605</v>
      </c>
      <c r="T84" s="147"/>
      <c r="U84" s="143"/>
    </row>
    <row r="85" spans="1:21" s="144" customFormat="1">
      <c r="A85" s="145" t="s">
        <v>792</v>
      </c>
      <c r="B85" s="146">
        <f t="shared" si="26"/>
        <v>1417685.5282022473</v>
      </c>
      <c r="C85" s="147">
        <v>1417685.5282022473</v>
      </c>
      <c r="D85" s="147"/>
      <c r="E85" s="147">
        <f t="shared" si="28"/>
        <v>1417685.5282022473</v>
      </c>
      <c r="F85" s="147"/>
      <c r="G85" s="147"/>
      <c r="H85" s="147"/>
      <c r="I85" s="147"/>
      <c r="J85" s="147"/>
      <c r="K85" s="147"/>
      <c r="L85" s="147"/>
      <c r="M85" s="147"/>
      <c r="N85" s="147"/>
      <c r="O85" s="147"/>
      <c r="P85" s="147"/>
      <c r="Q85" s="147"/>
      <c r="R85" s="551">
        <f t="shared" si="27"/>
        <v>1417685.5282022473</v>
      </c>
      <c r="S85" s="147">
        <v>1417685.5282022473</v>
      </c>
      <c r="T85" s="147"/>
      <c r="U85" s="143"/>
    </row>
    <row r="86" spans="1:21" s="144" customFormat="1">
      <c r="A86" s="145" t="s">
        <v>793</v>
      </c>
      <c r="B86" s="146">
        <f t="shared" si="26"/>
        <v>666071.67696629209</v>
      </c>
      <c r="C86" s="147">
        <v>666071.67696629209</v>
      </c>
      <c r="D86" s="147"/>
      <c r="E86" s="147">
        <f t="shared" si="28"/>
        <v>666071.67696629209</v>
      </c>
      <c r="F86" s="147"/>
      <c r="G86" s="147"/>
      <c r="H86" s="147"/>
      <c r="I86" s="147"/>
      <c r="J86" s="147"/>
      <c r="K86" s="147"/>
      <c r="L86" s="147"/>
      <c r="M86" s="147"/>
      <c r="N86" s="147"/>
      <c r="O86" s="147"/>
      <c r="P86" s="147"/>
      <c r="Q86" s="147"/>
      <c r="R86" s="551">
        <f t="shared" si="27"/>
        <v>666071.67696629209</v>
      </c>
      <c r="S86" s="147">
        <v>666071.67696629209</v>
      </c>
      <c r="T86" s="147"/>
      <c r="U86" s="143"/>
    </row>
    <row r="87" spans="1:21" s="144" customFormat="1">
      <c r="A87" s="145" t="s">
        <v>794</v>
      </c>
      <c r="B87" s="146">
        <f t="shared" si="26"/>
        <v>0</v>
      </c>
      <c r="C87" s="147"/>
      <c r="D87" s="147"/>
      <c r="E87" s="147">
        <f t="shared" si="28"/>
        <v>0</v>
      </c>
      <c r="F87" s="147"/>
      <c r="G87" s="147"/>
      <c r="H87" s="147"/>
      <c r="I87" s="147"/>
      <c r="J87" s="147"/>
      <c r="K87" s="147"/>
      <c r="L87" s="147"/>
      <c r="M87" s="147"/>
      <c r="N87" s="147"/>
      <c r="O87" s="147"/>
      <c r="P87" s="147"/>
      <c r="Q87" s="147"/>
      <c r="R87" s="551">
        <f t="shared" si="27"/>
        <v>0</v>
      </c>
      <c r="S87" s="147"/>
      <c r="T87" s="147"/>
      <c r="U87" s="143"/>
    </row>
    <row r="88" spans="1:21" s="144" customFormat="1">
      <c r="A88" s="145" t="s">
        <v>795</v>
      </c>
      <c r="B88" s="146">
        <f t="shared" si="26"/>
        <v>235000</v>
      </c>
      <c r="C88" s="147">
        <v>235000</v>
      </c>
      <c r="D88" s="147"/>
      <c r="E88" s="147">
        <f t="shared" si="28"/>
        <v>235000</v>
      </c>
      <c r="F88" s="147"/>
      <c r="G88" s="147"/>
      <c r="H88" s="147"/>
      <c r="I88" s="147"/>
      <c r="J88" s="147"/>
      <c r="K88" s="147"/>
      <c r="L88" s="147"/>
      <c r="M88" s="147"/>
      <c r="N88" s="147"/>
      <c r="O88" s="147"/>
      <c r="P88" s="147"/>
      <c r="Q88" s="147"/>
      <c r="R88" s="551">
        <f t="shared" si="27"/>
        <v>235000</v>
      </c>
      <c r="S88" s="148"/>
      <c r="T88" s="148"/>
      <c r="U88" s="143"/>
    </row>
    <row r="89" spans="1:21" s="144" customFormat="1">
      <c r="A89" s="145" t="s">
        <v>796</v>
      </c>
      <c r="B89" s="146">
        <f t="shared" si="26"/>
        <v>380000</v>
      </c>
      <c r="C89" s="147">
        <v>380000</v>
      </c>
      <c r="D89" s="147"/>
      <c r="E89" s="147">
        <f t="shared" si="28"/>
        <v>380000</v>
      </c>
      <c r="F89" s="147"/>
      <c r="G89" s="147"/>
      <c r="H89" s="147"/>
      <c r="I89" s="147"/>
      <c r="J89" s="147"/>
      <c r="K89" s="147"/>
      <c r="L89" s="147"/>
      <c r="M89" s="147"/>
      <c r="N89" s="147"/>
      <c r="O89" s="147"/>
      <c r="P89" s="147"/>
      <c r="Q89" s="147"/>
      <c r="R89" s="551">
        <f t="shared" si="27"/>
        <v>380000</v>
      </c>
      <c r="S89" s="147">
        <v>380000</v>
      </c>
      <c r="T89" s="147"/>
      <c r="U89" s="143"/>
    </row>
    <row r="90" spans="1:21" s="144" customFormat="1">
      <c r="A90" s="145" t="s">
        <v>797</v>
      </c>
      <c r="B90" s="146">
        <f t="shared" si="26"/>
        <v>8250</v>
      </c>
      <c r="C90" s="147">
        <v>8250</v>
      </c>
      <c r="D90" s="147"/>
      <c r="E90" s="147">
        <f t="shared" si="28"/>
        <v>8250</v>
      </c>
      <c r="F90" s="147"/>
      <c r="G90" s="147"/>
      <c r="H90" s="147"/>
      <c r="I90" s="147"/>
      <c r="J90" s="147"/>
      <c r="K90" s="147"/>
      <c r="L90" s="147"/>
      <c r="M90" s="147"/>
      <c r="N90" s="147"/>
      <c r="O90" s="147"/>
      <c r="P90" s="147"/>
      <c r="Q90" s="147"/>
      <c r="R90" s="551">
        <f t="shared" si="27"/>
        <v>8250</v>
      </c>
      <c r="S90" s="147">
        <v>8250</v>
      </c>
      <c r="T90" s="147"/>
      <c r="U90" s="143"/>
    </row>
    <row r="91" spans="1:21" s="144" customFormat="1">
      <c r="A91" s="145" t="s">
        <v>374</v>
      </c>
      <c r="B91" s="146">
        <f t="shared" si="26"/>
        <v>120000</v>
      </c>
      <c r="C91" s="147">
        <v>120000</v>
      </c>
      <c r="D91" s="147"/>
      <c r="E91" s="147">
        <f t="shared" si="28"/>
        <v>120000</v>
      </c>
      <c r="F91" s="147"/>
      <c r="G91" s="147"/>
      <c r="H91" s="147"/>
      <c r="I91" s="147"/>
      <c r="J91" s="147"/>
      <c r="K91" s="147"/>
      <c r="L91" s="147"/>
      <c r="M91" s="147"/>
      <c r="N91" s="147"/>
      <c r="O91" s="147"/>
      <c r="P91" s="147"/>
      <c r="Q91" s="147"/>
      <c r="R91" s="551">
        <f t="shared" si="27"/>
        <v>120000</v>
      </c>
      <c r="S91" s="147"/>
      <c r="T91" s="147"/>
      <c r="U91" s="143"/>
    </row>
    <row r="92" spans="1:21" s="144" customFormat="1">
      <c r="A92" s="304" t="s">
        <v>1352</v>
      </c>
      <c r="B92" s="146">
        <f t="shared" si="26"/>
        <v>0</v>
      </c>
      <c r="C92" s="147"/>
      <c r="D92" s="147"/>
      <c r="E92" s="147">
        <f t="shared" si="28"/>
        <v>0</v>
      </c>
      <c r="F92" s="147"/>
      <c r="G92" s="147"/>
      <c r="H92" s="147"/>
      <c r="I92" s="147"/>
      <c r="J92" s="147"/>
      <c r="K92" s="147"/>
      <c r="L92" s="147"/>
      <c r="M92" s="147"/>
      <c r="N92" s="147"/>
      <c r="O92" s="147"/>
      <c r="P92" s="147"/>
      <c r="Q92" s="147"/>
      <c r="R92" s="551">
        <f t="shared" si="27"/>
        <v>0</v>
      </c>
      <c r="S92" s="147"/>
      <c r="T92" s="147"/>
      <c r="U92" s="143"/>
    </row>
    <row r="93" spans="1:21" s="144" customFormat="1">
      <c r="A93" s="1201" t="s">
        <v>2711</v>
      </c>
      <c r="B93" s="146">
        <f t="shared" si="26"/>
        <v>18060</v>
      </c>
      <c r="C93" s="147">
        <v>18060</v>
      </c>
      <c r="D93" s="147"/>
      <c r="E93" s="147">
        <f t="shared" si="28"/>
        <v>18060</v>
      </c>
      <c r="F93" s="147"/>
      <c r="G93" s="147"/>
      <c r="H93" s="147"/>
      <c r="I93" s="147"/>
      <c r="J93" s="147"/>
      <c r="K93" s="147"/>
      <c r="L93" s="147"/>
      <c r="M93" s="147"/>
      <c r="N93" s="147"/>
      <c r="O93" s="147"/>
      <c r="P93" s="147"/>
      <c r="Q93" s="147"/>
      <c r="R93" s="551">
        <f t="shared" si="27"/>
        <v>18060</v>
      </c>
      <c r="S93" s="147"/>
      <c r="T93" s="147"/>
      <c r="U93" s="143"/>
    </row>
    <row r="94" spans="1:21" s="144" customFormat="1">
      <c r="A94" s="1201" t="s">
        <v>2748</v>
      </c>
      <c r="B94" s="146">
        <f t="shared" si="26"/>
        <v>70000</v>
      </c>
      <c r="C94" s="147">
        <v>70000</v>
      </c>
      <c r="D94" s="147"/>
      <c r="E94" s="147">
        <f t="shared" si="28"/>
        <v>70000</v>
      </c>
      <c r="F94" s="147"/>
      <c r="G94" s="147"/>
      <c r="H94" s="147"/>
      <c r="I94" s="147"/>
      <c r="J94" s="147"/>
      <c r="K94" s="147"/>
      <c r="L94" s="147"/>
      <c r="M94" s="147"/>
      <c r="N94" s="147"/>
      <c r="O94" s="147"/>
      <c r="P94" s="147"/>
      <c r="Q94" s="147"/>
      <c r="R94" s="551">
        <f t="shared" si="27"/>
        <v>70000</v>
      </c>
      <c r="S94" s="147">
        <v>15000</v>
      </c>
      <c r="T94" s="147"/>
      <c r="U94" s="143"/>
    </row>
    <row r="95" spans="1:21" s="144" customFormat="1">
      <c r="A95" s="1201" t="s">
        <v>2712</v>
      </c>
      <c r="B95" s="146">
        <f t="shared" si="26"/>
        <v>1698912</v>
      </c>
      <c r="C95" s="147">
        <v>1698912</v>
      </c>
      <c r="D95" s="147"/>
      <c r="E95" s="147">
        <f t="shared" si="28"/>
        <v>1698912</v>
      </c>
      <c r="F95" s="147"/>
      <c r="G95" s="147"/>
      <c r="H95" s="147"/>
      <c r="I95" s="147"/>
      <c r="J95" s="147"/>
      <c r="K95" s="147"/>
      <c r="L95" s="147"/>
      <c r="M95" s="147"/>
      <c r="N95" s="147"/>
      <c r="O95" s="147"/>
      <c r="P95" s="147"/>
      <c r="Q95" s="147"/>
      <c r="R95" s="551">
        <f t="shared" si="27"/>
        <v>1698912</v>
      </c>
      <c r="S95" s="147">
        <v>1498912</v>
      </c>
      <c r="T95" s="147"/>
      <c r="U95" s="143"/>
    </row>
    <row r="96" spans="1:21" s="144" customFormat="1">
      <c r="A96" s="149" t="s">
        <v>798</v>
      </c>
      <c r="B96" s="146">
        <f>SUM(C96:D96)</f>
        <v>4743584.2051685397</v>
      </c>
      <c r="C96" s="146">
        <f t="shared" ref="C96:R96" si="29">SUM(C83:C95)</f>
        <v>4743584.2051685397</v>
      </c>
      <c r="D96" s="146">
        <f t="shared" si="29"/>
        <v>0</v>
      </c>
      <c r="E96" s="146">
        <f t="shared" si="29"/>
        <v>4743584.2051685397</v>
      </c>
      <c r="F96" s="146">
        <f t="shared" si="29"/>
        <v>0</v>
      </c>
      <c r="G96" s="146">
        <f t="shared" si="29"/>
        <v>0</v>
      </c>
      <c r="H96" s="146">
        <f t="shared" si="29"/>
        <v>0</v>
      </c>
      <c r="I96" s="146">
        <f t="shared" si="29"/>
        <v>0</v>
      </c>
      <c r="J96" s="146">
        <f t="shared" si="29"/>
        <v>0</v>
      </c>
      <c r="K96" s="146">
        <f t="shared" si="29"/>
        <v>0</v>
      </c>
      <c r="L96" s="146">
        <f t="shared" si="29"/>
        <v>0</v>
      </c>
      <c r="M96" s="146">
        <f t="shared" si="29"/>
        <v>0</v>
      </c>
      <c r="N96" s="146">
        <f t="shared" si="29"/>
        <v>0</v>
      </c>
      <c r="O96" s="146">
        <f t="shared" si="29"/>
        <v>0</v>
      </c>
      <c r="P96" s="146">
        <f t="shared" si="29"/>
        <v>0</v>
      </c>
      <c r="Q96" s="146">
        <f t="shared" si="29"/>
        <v>0</v>
      </c>
      <c r="R96" s="371">
        <f t="shared" si="29"/>
        <v>4743584.2051685397</v>
      </c>
      <c r="S96" s="150">
        <f>SUM(S84:S87,S89:S95)</f>
        <v>3996524.2051685397</v>
      </c>
      <c r="T96" s="146">
        <f>SUM(T84:T87,T89:T95)</f>
        <v>0</v>
      </c>
      <c r="U96" s="143"/>
    </row>
    <row r="97" spans="1:21" s="144" customFormat="1">
      <c r="A97" s="149" t="s">
        <v>799</v>
      </c>
      <c r="B97" s="146">
        <f>SUM(C97:D97)</f>
        <v>89556845.146727845</v>
      </c>
      <c r="C97" s="146">
        <f t="shared" ref="C97:R97" si="30">SUM(C63+C70+C77+C81+C96)</f>
        <v>89556845.146727845</v>
      </c>
      <c r="D97" s="146">
        <f t="shared" si="30"/>
        <v>0</v>
      </c>
      <c r="E97" s="146">
        <f t="shared" si="30"/>
        <v>59928481.567523494</v>
      </c>
      <c r="F97" s="146">
        <f t="shared" si="30"/>
        <v>29628363.579204351</v>
      </c>
      <c r="G97" s="146">
        <f t="shared" si="30"/>
        <v>0</v>
      </c>
      <c r="H97" s="146">
        <f t="shared" si="30"/>
        <v>0</v>
      </c>
      <c r="I97" s="146">
        <f t="shared" si="30"/>
        <v>0</v>
      </c>
      <c r="J97" s="146">
        <f t="shared" si="30"/>
        <v>0</v>
      </c>
      <c r="K97" s="146">
        <f t="shared" si="30"/>
        <v>0</v>
      </c>
      <c r="L97" s="146">
        <f t="shared" si="30"/>
        <v>0</v>
      </c>
      <c r="M97" s="146">
        <f t="shared" si="30"/>
        <v>0</v>
      </c>
      <c r="N97" s="146">
        <f t="shared" si="30"/>
        <v>0</v>
      </c>
      <c r="O97" s="146">
        <f t="shared" si="30"/>
        <v>0</v>
      </c>
      <c r="P97" s="146">
        <f t="shared" si="30"/>
        <v>0</v>
      </c>
      <c r="Q97" s="146">
        <f t="shared" si="30"/>
        <v>0</v>
      </c>
      <c r="R97" s="146">
        <f t="shared" si="30"/>
        <v>89556845.146727845</v>
      </c>
      <c r="S97" s="146">
        <f>SUM(S63+S70+S81+S96)</f>
        <v>73189311.455221877</v>
      </c>
      <c r="T97" s="146">
        <f>SUM(T63+T70+T81+T96)</f>
        <v>0</v>
      </c>
      <c r="U97" s="143"/>
    </row>
    <row r="98" spans="1:21" s="144" customFormat="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10978396.718283281</v>
      </c>
      <c r="C99" s="1015">
        <v>10978396.718283281</v>
      </c>
      <c r="D99" s="1015"/>
      <c r="E99" s="1015">
        <f>C99-SUM(F99:M99)</f>
        <v>2824606.2560029179</v>
      </c>
      <c r="F99" s="147"/>
      <c r="G99" s="147">
        <f>G108</f>
        <v>8153790.4622803628</v>
      </c>
      <c r="H99" s="147"/>
      <c r="I99" s="147"/>
      <c r="J99" s="147"/>
      <c r="K99" s="147"/>
      <c r="L99" s="147"/>
      <c r="M99" s="147"/>
      <c r="N99" s="147"/>
      <c r="O99" s="147"/>
      <c r="P99" s="147"/>
      <c r="Q99" s="147"/>
      <c r="R99" s="551">
        <f>SUM(E99:Q99)</f>
        <v>10978396.718283281</v>
      </c>
      <c r="S99" s="147">
        <v>10978396.718283281</v>
      </c>
      <c r="T99" s="147"/>
      <c r="U99" s="143"/>
    </row>
    <row r="100" spans="1:21" s="144" customFormat="1">
      <c r="A100" s="304" t="s">
        <v>1824</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1825</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1"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803</v>
      </c>
      <c r="B104" s="146">
        <f>SUM(C104:D104)</f>
        <v>10978396.718283281</v>
      </c>
      <c r="C104" s="146">
        <f>SUM(C99:C103)</f>
        <v>10978396.718283281</v>
      </c>
      <c r="D104" s="146">
        <f t="shared" ref="D104:T104" si="31">SUM(D99:D103)</f>
        <v>0</v>
      </c>
      <c r="E104" s="146">
        <f t="shared" si="31"/>
        <v>2824606.2560029179</v>
      </c>
      <c r="F104" s="146">
        <f t="shared" si="31"/>
        <v>0</v>
      </c>
      <c r="G104" s="146">
        <f t="shared" si="31"/>
        <v>8153790.4622803628</v>
      </c>
      <c r="H104" s="146">
        <f t="shared" si="31"/>
        <v>0</v>
      </c>
      <c r="I104" s="146">
        <f t="shared" si="31"/>
        <v>0</v>
      </c>
      <c r="J104" s="146">
        <f t="shared" si="31"/>
        <v>0</v>
      </c>
      <c r="K104" s="146">
        <f t="shared" si="31"/>
        <v>0</v>
      </c>
      <c r="L104" s="146">
        <f t="shared" si="31"/>
        <v>0</v>
      </c>
      <c r="M104" s="146">
        <f t="shared" si="31"/>
        <v>0</v>
      </c>
      <c r="N104" s="146">
        <f t="shared" si="31"/>
        <v>0</v>
      </c>
      <c r="O104" s="146">
        <f t="shared" si="31"/>
        <v>0</v>
      </c>
      <c r="P104" s="146">
        <f t="shared" si="31"/>
        <v>0</v>
      </c>
      <c r="Q104" s="146">
        <f t="shared" si="31"/>
        <v>0</v>
      </c>
      <c r="R104" s="371">
        <f t="shared" si="31"/>
        <v>10978396.718283281</v>
      </c>
      <c r="S104" s="150">
        <f t="shared" si="31"/>
        <v>10978396.718283281</v>
      </c>
      <c r="T104" s="150">
        <f t="shared" si="31"/>
        <v>0</v>
      </c>
      <c r="U104" s="143"/>
    </row>
    <row r="105" spans="1:21" s="144" customFormat="1">
      <c r="A105" s="149" t="s">
        <v>804</v>
      </c>
      <c r="B105" s="150">
        <f>SUM(C105:D105)</f>
        <v>100535241.86501113</v>
      </c>
      <c r="C105" s="150">
        <f t="shared" ref="C105:R105" si="32">SUM(C97+C104)</f>
        <v>100535241.86501113</v>
      </c>
      <c r="D105" s="150">
        <f t="shared" si="32"/>
        <v>0</v>
      </c>
      <c r="E105" s="150">
        <f t="shared" si="32"/>
        <v>62753087.823526412</v>
      </c>
      <c r="F105" s="150">
        <f t="shared" si="32"/>
        <v>29628363.579204351</v>
      </c>
      <c r="G105" s="150">
        <f t="shared" si="32"/>
        <v>8153790.4622803628</v>
      </c>
      <c r="H105" s="150">
        <f t="shared" si="32"/>
        <v>0</v>
      </c>
      <c r="I105" s="150">
        <f t="shared" si="32"/>
        <v>0</v>
      </c>
      <c r="J105" s="150">
        <f t="shared" si="32"/>
        <v>0</v>
      </c>
      <c r="K105" s="150">
        <f t="shared" si="32"/>
        <v>0</v>
      </c>
      <c r="L105" s="150">
        <f t="shared" si="32"/>
        <v>0</v>
      </c>
      <c r="M105" s="150">
        <f t="shared" si="32"/>
        <v>0</v>
      </c>
      <c r="N105" s="150">
        <f t="shared" si="32"/>
        <v>0</v>
      </c>
      <c r="O105" s="150">
        <f t="shared" si="32"/>
        <v>0</v>
      </c>
      <c r="P105" s="150">
        <f t="shared" si="32"/>
        <v>0</v>
      </c>
      <c r="Q105" s="150">
        <f t="shared" si="32"/>
        <v>0</v>
      </c>
      <c r="R105" s="371">
        <f t="shared" si="32"/>
        <v>100535241.86501113</v>
      </c>
      <c r="S105" s="150">
        <f>S97+S104</f>
        <v>84167708.173505157</v>
      </c>
      <c r="T105" s="150">
        <f>T97+T104</f>
        <v>0</v>
      </c>
      <c r="U105" s="143"/>
    </row>
    <row r="106" spans="1:21">
      <c r="A106" s="549" t="s">
        <v>1079</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84167708.173505157</v>
      </c>
      <c r="T107" s="150">
        <f>T105+T106</f>
        <v>0</v>
      </c>
    </row>
    <row r="108" spans="1:21" s="201" customFormat="1">
      <c r="A108" s="162" t="s">
        <v>908</v>
      </c>
      <c r="B108" s="157"/>
      <c r="C108" s="157"/>
      <c r="D108" s="157"/>
      <c r="E108" s="323">
        <f>Application!AO636</f>
        <v>62753087.823526397</v>
      </c>
      <c r="F108" s="323">
        <f>Application!AO623</f>
        <v>29628363.579204351</v>
      </c>
      <c r="G108" s="323">
        <f>Application!AO624</f>
        <v>8153790.4622803628</v>
      </c>
      <c r="H108" s="323">
        <f>Application!AO625</f>
        <v>0</v>
      </c>
      <c r="I108" s="323">
        <f>Application!AO626</f>
        <v>0</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997</v>
      </c>
      <c r="B110" s="157"/>
      <c r="C110" s="157"/>
      <c r="D110" s="157"/>
    </row>
    <row r="111" spans="1:21">
      <c r="A111" s="156" t="s">
        <v>998</v>
      </c>
      <c r="B111" s="157"/>
      <c r="C111" s="157"/>
      <c r="D111" s="157"/>
    </row>
    <row r="112" spans="1:21" ht="12" customHeight="1">
      <c r="A112" s="336"/>
      <c r="B112" s="157"/>
      <c r="C112" s="157"/>
      <c r="D112" s="157"/>
    </row>
    <row r="113" spans="1:21">
      <c r="A113" s="156" t="s">
        <v>1075</v>
      </c>
      <c r="B113" s="157"/>
      <c r="C113" s="157"/>
      <c r="D113" s="157"/>
    </row>
    <row r="114" spans="1:21">
      <c r="A114" s="156" t="s">
        <v>2517</v>
      </c>
      <c r="B114" s="157"/>
      <c r="C114" s="157"/>
      <c r="D114" s="157"/>
    </row>
    <row r="115" spans="1:21" ht="12" customHeight="1">
      <c r="A115" s="336"/>
      <c r="B115" s="157"/>
      <c r="C115" s="157"/>
      <c r="D115" s="157"/>
    </row>
    <row r="116" spans="1:21">
      <c r="A116" s="374" t="s">
        <v>1081</v>
      </c>
      <c r="B116" s="157"/>
      <c r="C116" s="157"/>
      <c r="D116" s="157"/>
    </row>
    <row r="117" spans="1:21">
      <c r="A117" s="374" t="s">
        <v>1368</v>
      </c>
      <c r="B117" s="157"/>
      <c r="C117" s="157"/>
      <c r="D117" s="157"/>
    </row>
    <row r="118" spans="1:21">
      <c r="A118" s="374" t="s">
        <v>1080</v>
      </c>
      <c r="B118" s="157"/>
      <c r="C118" s="157"/>
      <c r="D118" s="157"/>
    </row>
    <row r="119" spans="1:21">
      <c r="A119" s="374" t="s">
        <v>1082</v>
      </c>
      <c r="B119" s="157"/>
      <c r="C119" s="157"/>
      <c r="D119" s="157"/>
    </row>
    <row r="120" spans="1:21" ht="12" customHeight="1">
      <c r="A120" s="373"/>
      <c r="B120" s="157"/>
      <c r="C120" s="157"/>
      <c r="D120" s="157"/>
    </row>
    <row r="121" spans="1:21" ht="15.75">
      <c r="A121" s="367" t="s">
        <v>1060</v>
      </c>
      <c r="B121" s="157"/>
      <c r="C121" s="157"/>
      <c r="D121" s="157"/>
    </row>
    <row r="122" spans="1:21">
      <c r="A122" s="354" t="s">
        <v>1044</v>
      </c>
      <c r="B122" s="353"/>
      <c r="C122" s="353"/>
      <c r="D122" s="1867" t="s">
        <v>1045</v>
      </c>
      <c r="E122" s="1867"/>
      <c r="F122" s="1867"/>
      <c r="G122" s="353"/>
      <c r="H122" s="353"/>
      <c r="I122" s="353"/>
      <c r="J122" s="353"/>
      <c r="K122" s="353"/>
      <c r="L122" s="353"/>
      <c r="M122" s="353"/>
      <c r="N122" s="353"/>
      <c r="O122" s="353"/>
      <c r="P122" s="353"/>
      <c r="Q122" s="353"/>
      <c r="R122" s="353"/>
      <c r="S122" s="353"/>
      <c r="T122" s="353"/>
      <c r="U122" s="355"/>
    </row>
    <row r="123" spans="1:21">
      <c r="A123" s="353" t="s">
        <v>1046</v>
      </c>
      <c r="B123" s="362"/>
      <c r="C123" s="353"/>
      <c r="D123" s="1869" t="s">
        <v>1369</v>
      </c>
      <c r="E123" s="1870"/>
      <c r="F123" s="1870"/>
      <c r="G123" s="1870"/>
      <c r="H123" s="1870"/>
      <c r="I123" s="1870"/>
      <c r="J123" s="1870"/>
      <c r="K123" s="1870"/>
      <c r="L123" s="1870"/>
      <c r="M123" s="1870"/>
      <c r="N123" s="1870"/>
      <c r="O123" s="1870"/>
      <c r="P123" s="1870"/>
      <c r="Q123" s="1870"/>
      <c r="R123" s="1870"/>
      <c r="S123" s="1870"/>
      <c r="T123" s="353"/>
      <c r="U123" s="355"/>
    </row>
    <row r="124" spans="1:21" ht="12.75">
      <c r="A124" s="117" t="s">
        <v>1047</v>
      </c>
      <c r="B124" s="362"/>
      <c r="C124" s="117"/>
      <c r="D124" s="1870"/>
      <c r="E124" s="1870"/>
      <c r="F124" s="1870"/>
      <c r="G124" s="1870"/>
      <c r="H124" s="1870"/>
      <c r="I124" s="1870"/>
      <c r="J124" s="1870"/>
      <c r="K124" s="1870"/>
      <c r="L124" s="1870"/>
      <c r="M124" s="1870"/>
      <c r="N124" s="1870"/>
      <c r="O124" s="1870"/>
      <c r="P124" s="1870"/>
      <c r="Q124" s="1870"/>
      <c r="R124" s="1870"/>
      <c r="S124" s="1870"/>
      <c r="T124" s="353"/>
      <c r="U124" s="355"/>
    </row>
    <row r="125" spans="1:21" ht="12.75">
      <c r="A125" s="117" t="s">
        <v>1048</v>
      </c>
      <c r="B125" s="362"/>
      <c r="C125" s="117"/>
      <c r="D125" s="1870"/>
      <c r="E125" s="1870"/>
      <c r="F125" s="1870"/>
      <c r="G125" s="1870"/>
      <c r="H125" s="1870"/>
      <c r="I125" s="1870"/>
      <c r="J125" s="1870"/>
      <c r="K125" s="1870"/>
      <c r="L125" s="1870"/>
      <c r="M125" s="1870"/>
      <c r="N125" s="1870"/>
      <c r="O125" s="1870"/>
      <c r="P125" s="1870"/>
      <c r="Q125" s="1870"/>
      <c r="R125" s="1870"/>
      <c r="S125" s="1870"/>
      <c r="T125" s="353"/>
      <c r="U125" s="355"/>
    </row>
    <row r="126" spans="1:21" ht="12.75">
      <c r="A126" s="117" t="s">
        <v>1049</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1050</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1051</v>
      </c>
      <c r="B128" s="362"/>
      <c r="C128" s="117"/>
      <c r="D128" s="1864"/>
      <c r="E128" s="1864"/>
      <c r="F128" s="1864"/>
      <c r="G128" s="1864"/>
      <c r="H128" s="1864"/>
      <c r="I128" s="117"/>
      <c r="J128" s="1865"/>
      <c r="K128" s="1865"/>
      <c r="L128" s="117"/>
      <c r="M128" s="117"/>
      <c r="N128" s="117"/>
      <c r="O128" s="117"/>
      <c r="P128" s="117"/>
      <c r="Q128" s="117"/>
      <c r="R128" s="117"/>
      <c r="S128" s="117"/>
      <c r="T128" s="353"/>
      <c r="U128" s="355"/>
    </row>
    <row r="129" spans="1:21" ht="12.75">
      <c r="A129" s="117" t="s">
        <v>302</v>
      </c>
      <c r="B129" s="362"/>
      <c r="C129" s="117"/>
      <c r="D129" s="1866" t="s">
        <v>1052</v>
      </c>
      <c r="E129" s="1866"/>
      <c r="F129" s="1866"/>
      <c r="G129" s="1866"/>
      <c r="H129" s="1866"/>
      <c r="I129" s="117"/>
      <c r="J129" s="117" t="s">
        <v>1053</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1054</v>
      </c>
      <c r="B131" s="363">
        <f>SUM(B123:B129)</f>
        <v>0</v>
      </c>
      <c r="C131" s="117"/>
      <c r="D131" s="1839"/>
      <c r="E131" s="1839"/>
      <c r="F131" s="1839"/>
      <c r="G131" s="1839"/>
      <c r="H131" s="1839"/>
      <c r="I131" s="117"/>
      <c r="J131" s="1839"/>
      <c r="K131" s="1839"/>
      <c r="L131" s="1839"/>
      <c r="M131" s="1839"/>
      <c r="N131" s="117"/>
      <c r="O131" s="117"/>
      <c r="P131" s="117"/>
      <c r="Q131" s="117"/>
      <c r="R131" s="117"/>
      <c r="S131" s="117"/>
      <c r="T131" s="353"/>
      <c r="U131" s="355"/>
    </row>
    <row r="132" spans="1:21" ht="12" customHeight="1">
      <c r="A132" s="365"/>
      <c r="B132" s="117"/>
      <c r="C132" s="117"/>
      <c r="D132" s="1871" t="s">
        <v>1055</v>
      </c>
      <c r="E132" s="1871"/>
      <c r="F132" s="1871"/>
      <c r="G132" s="1871"/>
      <c r="H132" s="1871"/>
      <c r="I132" s="117"/>
      <c r="J132" s="1871" t="s">
        <v>1056</v>
      </c>
      <c r="K132" s="1871"/>
      <c r="L132" s="1871"/>
      <c r="M132" s="1871"/>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1057</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1058</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72"/>
      <c r="B138" s="1864"/>
      <c r="C138" s="1864"/>
      <c r="D138" s="357"/>
      <c r="E138" s="1865"/>
      <c r="F138" s="1865"/>
      <c r="G138" s="117"/>
      <c r="H138" s="117"/>
      <c r="I138" s="117"/>
      <c r="J138" s="117"/>
      <c r="K138" s="117"/>
      <c r="L138" s="117"/>
      <c r="M138" s="117"/>
      <c r="N138" s="117"/>
      <c r="O138" s="117"/>
      <c r="P138" s="117"/>
      <c r="Q138" s="117"/>
      <c r="R138" s="117"/>
      <c r="S138" s="117"/>
      <c r="T138" s="359"/>
      <c r="U138" s="360"/>
    </row>
    <row r="139" spans="1:21" ht="12.75">
      <c r="A139" s="1868" t="s">
        <v>1059</v>
      </c>
      <c r="B139" s="1868"/>
      <c r="C139" s="1868"/>
      <c r="D139" s="357"/>
      <c r="E139" s="117" t="s">
        <v>1053</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32" zoomScaleNormal="100" zoomScaleSheetLayoutView="100" workbookViewId="0">
      <selection activeCell="AB71" sqref="AB71:AU71"/>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75" t="s">
        <v>1372</v>
      </c>
      <c r="B1" s="1876"/>
      <c r="C1" s="1876"/>
      <c r="D1" s="1876"/>
      <c r="E1" s="1876"/>
      <c r="F1" s="1876"/>
      <c r="G1" s="1876"/>
      <c r="H1" s="1876"/>
      <c r="I1" s="1876"/>
      <c r="J1" s="1877"/>
      <c r="K1" s="387"/>
    </row>
    <row r="2" spans="1:11" s="433" customFormat="1" ht="72">
      <c r="A2" s="430"/>
      <c r="B2" s="431" t="s">
        <v>1086</v>
      </c>
      <c r="C2" s="431" t="s">
        <v>1374</v>
      </c>
      <c r="D2" s="431" t="s">
        <v>1375</v>
      </c>
      <c r="E2" s="431" t="s">
        <v>1297</v>
      </c>
      <c r="F2" s="431" t="s">
        <v>1376</v>
      </c>
      <c r="G2" s="431" t="s">
        <v>1377</v>
      </c>
      <c r="H2" s="431" t="s">
        <v>1087</v>
      </c>
      <c r="I2" s="431" t="s">
        <v>1378</v>
      </c>
      <c r="J2" s="431" t="s">
        <v>1379</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10650300</v>
      </c>
      <c r="C4" s="394">
        <f>B4</f>
        <v>10650300</v>
      </c>
      <c r="D4" s="394"/>
      <c r="E4" s="395"/>
      <c r="F4" s="395"/>
      <c r="G4" s="395"/>
      <c r="H4" s="395"/>
      <c r="I4" s="395"/>
      <c r="J4" s="395"/>
      <c r="K4" s="391"/>
    </row>
    <row r="5" spans="1:11" s="392" customFormat="1">
      <c r="A5" s="396" t="s">
        <v>28</v>
      </c>
      <c r="B5" s="393">
        <f>'Sources and Uses Budget'!C5</f>
        <v>225000</v>
      </c>
      <c r="C5" s="394">
        <f>B5</f>
        <v>225000</v>
      </c>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602</v>
      </c>
      <c r="B8" s="393">
        <f>'Sources and Uses Budget'!C8</f>
        <v>10875300</v>
      </c>
      <c r="C8" s="393">
        <f>SUM(C4:C7)</f>
        <v>10875300</v>
      </c>
      <c r="D8" s="393">
        <f>SUM(D4:D7)</f>
        <v>0</v>
      </c>
      <c r="E8" s="395"/>
      <c r="F8" s="395"/>
      <c r="G8" s="395"/>
      <c r="H8" s="395"/>
      <c r="I8" s="395"/>
      <c r="J8" s="395"/>
      <c r="K8" s="391"/>
    </row>
    <row r="9" spans="1:11" s="392" customFormat="1">
      <c r="A9" s="396" t="s">
        <v>603</v>
      </c>
      <c r="B9" s="393">
        <f>'Sources and Uses Budget'!C9</f>
        <v>0</v>
      </c>
      <c r="C9" s="394"/>
      <c r="D9" s="394"/>
      <c r="E9" s="395"/>
      <c r="F9" s="395"/>
      <c r="G9" s="395"/>
      <c r="H9" s="393">
        <f>'Sources and Uses Budget'!T9</f>
        <v>0</v>
      </c>
      <c r="I9" s="394"/>
      <c r="J9" s="394"/>
      <c r="K9" s="391"/>
    </row>
    <row r="10" spans="1:11" s="392" customFormat="1">
      <c r="A10" s="396" t="s">
        <v>604</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605</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10875300</v>
      </c>
      <c r="C12" s="393">
        <f>SUM(C8+C11)</f>
        <v>10875300</v>
      </c>
      <c r="D12" s="393">
        <f>SUM(D8+D11)</f>
        <v>0</v>
      </c>
      <c r="E12" s="395"/>
      <c r="F12" s="395"/>
      <c r="G12" s="395"/>
      <c r="H12" s="395"/>
      <c r="I12" s="395"/>
      <c r="J12" s="395"/>
      <c r="K12" s="391"/>
    </row>
    <row r="13" spans="1:11" s="392" customFormat="1">
      <c r="A13" s="398" t="s">
        <v>935</v>
      </c>
      <c r="B13" s="393">
        <f>'Sources and Uses Budget'!C13</f>
        <v>355000</v>
      </c>
      <c r="C13" s="394" cm="1">
        <f t="array" ref="C13:C14">B13:B14</f>
        <v>355000</v>
      </c>
      <c r="D13" s="394"/>
      <c r="E13" s="393">
        <f>'Sources and Uses Budget'!S13</f>
        <v>184375</v>
      </c>
      <c r="F13" s="394">
        <f>E13</f>
        <v>184375</v>
      </c>
      <c r="G13" s="394"/>
      <c r="H13" s="393">
        <f>'Sources and Uses Budget'!T13</f>
        <v>0</v>
      </c>
      <c r="I13" s="394"/>
      <c r="J13" s="394"/>
      <c r="K13" s="391"/>
    </row>
    <row r="14" spans="1:11" s="392" customFormat="1" ht="24">
      <c r="A14" s="396" t="s">
        <v>936</v>
      </c>
      <c r="B14" s="393">
        <f>'Sources and Uses Budget'!C14</f>
        <v>0</v>
      </c>
      <c r="C14" s="394">
        <v>0</v>
      </c>
      <c r="D14" s="394"/>
      <c r="E14" s="393">
        <f>'Sources and Uses Budget'!S14</f>
        <v>0</v>
      </c>
      <c r="F14" s="394">
        <f>E14</f>
        <v>0</v>
      </c>
      <c r="G14" s="394"/>
      <c r="H14" s="393">
        <f>'Sources and Uses Budget'!T14</f>
        <v>0</v>
      </c>
      <c r="I14" s="394"/>
      <c r="J14" s="394"/>
      <c r="K14" s="391"/>
    </row>
    <row r="15" spans="1:11" s="392" customFormat="1">
      <c r="A15" s="396" t="s">
        <v>1301</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606</v>
      </c>
      <c r="B16" s="390"/>
      <c r="C16" s="390"/>
      <c r="D16" s="390"/>
      <c r="E16" s="390"/>
      <c r="F16" s="390"/>
      <c r="G16" s="390"/>
      <c r="H16" s="390"/>
      <c r="I16" s="390"/>
      <c r="J16" s="390"/>
      <c r="K16" s="391"/>
    </row>
    <row r="17" spans="1:11" s="392" customFormat="1">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608</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609</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1818</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607</v>
      </c>
      <c r="B29" s="393">
        <f>'Sources and Uses Budget'!C29</f>
        <v>240000</v>
      </c>
      <c r="C29" s="394">
        <f>B29</f>
        <v>240000</v>
      </c>
      <c r="D29" s="394"/>
      <c r="E29" s="393">
        <f>'Sources and Uses Budget'!S29</f>
        <v>240000</v>
      </c>
      <c r="F29" s="394">
        <f>E29</f>
        <v>240000</v>
      </c>
      <c r="G29" s="394"/>
      <c r="H29" s="393">
        <f>'Sources and Uses Budget'!T29</f>
        <v>0</v>
      </c>
      <c r="I29" s="394"/>
      <c r="J29" s="394"/>
      <c r="K29" s="391"/>
    </row>
    <row r="30" spans="1:11" s="392" customFormat="1">
      <c r="A30" s="145" t="s">
        <v>608</v>
      </c>
      <c r="B30" s="393">
        <f>'Sources and Uses Budget'!C30</f>
        <v>49054150</v>
      </c>
      <c r="C30" s="394">
        <f t="shared" ref="C30:C37" si="0">B30</f>
        <v>49054150</v>
      </c>
      <c r="D30" s="394"/>
      <c r="E30" s="393">
        <f>'Sources and Uses Budget'!S30</f>
        <v>48874150</v>
      </c>
      <c r="F30" s="394">
        <f t="shared" ref="F30:F37" si="1">E30</f>
        <v>48874150</v>
      </c>
      <c r="G30" s="394"/>
      <c r="H30" s="393">
        <f>'Sources and Uses Budget'!T30</f>
        <v>0</v>
      </c>
      <c r="I30" s="394"/>
      <c r="J30" s="394"/>
      <c r="K30" s="391"/>
    </row>
    <row r="31" spans="1:11" s="392" customFormat="1">
      <c r="A31" s="145" t="s">
        <v>609</v>
      </c>
      <c r="B31" s="393">
        <f>'Sources and Uses Budget'!C31</f>
        <v>2292250</v>
      </c>
      <c r="C31" s="394">
        <f t="shared" si="0"/>
        <v>2292250</v>
      </c>
      <c r="D31" s="394"/>
      <c r="E31" s="393">
        <f>'Sources and Uses Budget'!S31</f>
        <v>2292250</v>
      </c>
      <c r="F31" s="394">
        <f t="shared" si="1"/>
        <v>2292250</v>
      </c>
      <c r="G31" s="394"/>
      <c r="H31" s="393">
        <f>'Sources and Uses Budget'!T31</f>
        <v>0</v>
      </c>
      <c r="I31" s="394"/>
      <c r="J31" s="394"/>
      <c r="K31" s="391"/>
    </row>
    <row r="32" spans="1:11" s="392" customFormat="1">
      <c r="A32" s="145" t="s">
        <v>138</v>
      </c>
      <c r="B32" s="393">
        <f>'Sources and Uses Budget'!C32</f>
        <v>1026928</v>
      </c>
      <c r="C32" s="394">
        <f t="shared" si="0"/>
        <v>1026928</v>
      </c>
      <c r="D32" s="394"/>
      <c r="E32" s="393">
        <f>'Sources and Uses Budget'!S32</f>
        <v>1026928</v>
      </c>
      <c r="F32" s="394">
        <f t="shared" si="1"/>
        <v>1026928</v>
      </c>
      <c r="G32" s="394"/>
      <c r="H32" s="393">
        <f>'Sources and Uses Budget'!T32</f>
        <v>0</v>
      </c>
      <c r="I32" s="394"/>
      <c r="J32" s="394"/>
      <c r="K32" s="391"/>
    </row>
    <row r="33" spans="1:11" s="392" customFormat="1">
      <c r="A33" s="145" t="s">
        <v>139</v>
      </c>
      <c r="B33" s="393">
        <f>'Sources and Uses Budget'!C33</f>
        <v>1026928</v>
      </c>
      <c r="C33" s="394">
        <f t="shared" si="0"/>
        <v>1026928</v>
      </c>
      <c r="D33" s="394"/>
      <c r="E33" s="393">
        <f>'Sources and Uses Budget'!S33</f>
        <v>1026928</v>
      </c>
      <c r="F33" s="394">
        <f t="shared" si="1"/>
        <v>1026928</v>
      </c>
      <c r="G33" s="394"/>
      <c r="H33" s="393">
        <f>'Sources and Uses Budget'!T33</f>
        <v>0</v>
      </c>
      <c r="I33" s="394"/>
      <c r="J33" s="394"/>
      <c r="K33" s="391"/>
    </row>
    <row r="34" spans="1:11" s="392" customFormat="1">
      <c r="A34" s="145" t="s">
        <v>140</v>
      </c>
      <c r="B34" s="393">
        <f>'Sources and Uses Budget'!C34</f>
        <v>0</v>
      </c>
      <c r="C34" s="394">
        <f t="shared" si="0"/>
        <v>0</v>
      </c>
      <c r="D34" s="394"/>
      <c r="E34" s="393">
        <f>'Sources and Uses Budget'!S34</f>
        <v>0</v>
      </c>
      <c r="F34" s="394">
        <f t="shared" si="1"/>
        <v>0</v>
      </c>
      <c r="G34" s="394"/>
      <c r="H34" s="393">
        <f>'Sources and Uses Budget'!T34</f>
        <v>0</v>
      </c>
      <c r="I34" s="394"/>
      <c r="J34" s="394"/>
      <c r="K34" s="391"/>
    </row>
    <row r="35" spans="1:11" s="392" customFormat="1">
      <c r="A35" s="145" t="s">
        <v>141</v>
      </c>
      <c r="B35" s="393">
        <f>'Sources and Uses Budget'!C35</f>
        <v>133500.64000000001</v>
      </c>
      <c r="C35" s="394">
        <f t="shared" si="0"/>
        <v>133500.64000000001</v>
      </c>
      <c r="D35" s="394"/>
      <c r="E35" s="393">
        <f>'Sources and Uses Budget'!S35</f>
        <v>133500.64000000001</v>
      </c>
      <c r="F35" s="394">
        <f t="shared" si="1"/>
        <v>133500.64000000001</v>
      </c>
      <c r="G35" s="394"/>
      <c r="H35" s="393">
        <f>'Sources and Uses Budget'!T35</f>
        <v>0</v>
      </c>
      <c r="I35" s="394"/>
      <c r="J35" s="394"/>
      <c r="K35" s="391"/>
    </row>
    <row r="36" spans="1:11" s="392" customFormat="1">
      <c r="A36" s="543" t="s">
        <v>1818</v>
      </c>
      <c r="B36" s="393">
        <f>'Sources and Uses Budget'!C36</f>
        <v>0</v>
      </c>
      <c r="C36" s="394">
        <f t="shared" si="0"/>
        <v>0</v>
      </c>
      <c r="D36" s="394"/>
      <c r="E36" s="393">
        <f>'Sources and Uses Budget'!S36</f>
        <v>0</v>
      </c>
      <c r="F36" s="394">
        <f t="shared" si="1"/>
        <v>0</v>
      </c>
      <c r="G36" s="394"/>
      <c r="H36" s="393">
        <f>'Sources and Uses Budget'!T36</f>
        <v>0</v>
      </c>
      <c r="I36" s="394"/>
      <c r="J36" s="394"/>
      <c r="K36" s="391"/>
    </row>
    <row r="37" spans="1:11" s="392" customFormat="1">
      <c r="A37" s="396" t="str">
        <f>'Sources and Uses Budget'!$A37</f>
        <v>Other: (P&amp;P Bonds)</v>
      </c>
      <c r="B37" s="393">
        <f>'Sources and Uses Budget'!C37</f>
        <v>535337.56640000001</v>
      </c>
      <c r="C37" s="394">
        <f t="shared" si="0"/>
        <v>535337.56640000001</v>
      </c>
      <c r="D37" s="394"/>
      <c r="E37" s="393">
        <f>'Sources and Uses Budget'!S37</f>
        <v>535337.56640000001</v>
      </c>
      <c r="F37" s="394">
        <f t="shared" si="1"/>
        <v>535337.56640000001</v>
      </c>
      <c r="G37" s="394"/>
      <c r="H37" s="393">
        <f>'Sources and Uses Budget'!T37</f>
        <v>0</v>
      </c>
      <c r="I37" s="394"/>
      <c r="J37" s="394"/>
      <c r="K37" s="391"/>
    </row>
    <row r="38" spans="1:11" s="392" customFormat="1">
      <c r="A38" s="397" t="s">
        <v>144</v>
      </c>
      <c r="B38" s="393">
        <f>'Sources and Uses Budget'!C38</f>
        <v>54309094.2064</v>
      </c>
      <c r="C38" s="393">
        <f>SUM(C29:C37)</f>
        <v>54309094.2064</v>
      </c>
      <c r="D38" s="393">
        <f>SUM(D29:D37)</f>
        <v>0</v>
      </c>
      <c r="E38" s="393">
        <f>'Sources and Uses Budget'!S38</f>
        <v>54129094.2064</v>
      </c>
      <c r="F38" s="399">
        <f>SUM(F29:F37)</f>
        <v>54129094.2064</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924000</v>
      </c>
      <c r="C40" s="394">
        <f>B40</f>
        <v>924000</v>
      </c>
      <c r="D40" s="394"/>
      <c r="E40" s="393">
        <f>'Sources and Uses Budget'!S40</f>
        <v>924000</v>
      </c>
      <c r="F40" s="394">
        <f>E40</f>
        <v>924000</v>
      </c>
      <c r="G40" s="394"/>
      <c r="H40" s="393">
        <f>'Sources and Uses Budget'!T40</f>
        <v>0</v>
      </c>
      <c r="I40" s="394"/>
      <c r="J40" s="394"/>
      <c r="K40" s="391"/>
    </row>
    <row r="41" spans="1:11" s="392" customFormat="1">
      <c r="A41" s="396" t="s">
        <v>147</v>
      </c>
      <c r="B41" s="393">
        <f>'Sources and Uses Budget'!C41</f>
        <v>288000</v>
      </c>
      <c r="C41" s="394">
        <f>B41</f>
        <v>288000</v>
      </c>
      <c r="D41" s="394"/>
      <c r="E41" s="393">
        <f>'Sources and Uses Budget'!S41</f>
        <v>288000</v>
      </c>
      <c r="F41" s="394">
        <f>E41</f>
        <v>288000</v>
      </c>
      <c r="G41" s="394"/>
      <c r="H41" s="393">
        <f>'Sources and Uses Budget'!T41</f>
        <v>0</v>
      </c>
      <c r="I41" s="394"/>
      <c r="J41" s="394"/>
      <c r="K41" s="391"/>
    </row>
    <row r="42" spans="1:11" s="392" customFormat="1">
      <c r="A42" s="397" t="s">
        <v>148</v>
      </c>
      <c r="B42" s="393">
        <f>'Sources and Uses Budget'!C42</f>
        <v>1212000</v>
      </c>
      <c r="C42" s="393">
        <f>SUM(C39:C41)</f>
        <v>1212000</v>
      </c>
      <c r="D42" s="393">
        <f>SUM(D39:D41)</f>
        <v>0</v>
      </c>
      <c r="E42" s="393">
        <f>'Sources and Uses Budget'!S42</f>
        <v>1212000</v>
      </c>
      <c r="F42" s="399">
        <f>SUM(F40:F41)</f>
        <v>1212000</v>
      </c>
      <c r="G42" s="399">
        <f>SUM(G40:G41)</f>
        <v>0</v>
      </c>
      <c r="H42" s="393">
        <f>'Sources and Uses Budget'!T42</f>
        <v>0</v>
      </c>
      <c r="I42" s="399">
        <f>SUM(I40:I41)</f>
        <v>0</v>
      </c>
      <c r="J42" s="399">
        <f>SUM(J40:J41)</f>
        <v>0</v>
      </c>
      <c r="K42" s="391"/>
    </row>
    <row r="43" spans="1:11" s="392" customFormat="1">
      <c r="A43" s="397" t="s">
        <v>149</v>
      </c>
      <c r="B43" s="393">
        <f>'Sources and Uses Budget'!C43</f>
        <v>1352415</v>
      </c>
      <c r="C43" s="394">
        <f>B43</f>
        <v>1352415</v>
      </c>
      <c r="D43" s="394"/>
      <c r="E43" s="393">
        <f>'Sources and Uses Budget'!S43</f>
        <v>1352415</v>
      </c>
      <c r="F43" s="394">
        <f>E43</f>
        <v>1352415</v>
      </c>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5770998.333333333</v>
      </c>
      <c r="C45" s="394">
        <f>B45</f>
        <v>5770998.333333333</v>
      </c>
      <c r="D45" s="394"/>
      <c r="E45" s="393">
        <f>'Sources and Uses Budget'!S45</f>
        <v>5770998.333333333</v>
      </c>
      <c r="F45" s="394">
        <f>E45</f>
        <v>5770998.333333333</v>
      </c>
      <c r="G45" s="394"/>
      <c r="H45" s="393">
        <f>'Sources and Uses Budget'!T45</f>
        <v>0</v>
      </c>
      <c r="I45" s="394"/>
      <c r="J45" s="394"/>
      <c r="K45" s="391"/>
    </row>
    <row r="46" spans="1:11" s="392" customFormat="1">
      <c r="A46" s="396" t="s">
        <v>152</v>
      </c>
      <c r="B46" s="393">
        <f>'Sources and Uses Budget'!C46</f>
        <v>544700</v>
      </c>
      <c r="C46" s="394">
        <f t="shared" ref="C46:C53" si="2">B46</f>
        <v>544700</v>
      </c>
      <c r="D46" s="394"/>
      <c r="E46" s="393">
        <f>'Sources and Uses Budget'!S46</f>
        <v>544700</v>
      </c>
      <c r="F46" s="394">
        <f t="shared" ref="F46:F53" si="3">E46</f>
        <v>544700</v>
      </c>
      <c r="G46" s="394"/>
      <c r="H46" s="393">
        <f>'Sources and Uses Budget'!T46</f>
        <v>0</v>
      </c>
      <c r="I46" s="394"/>
      <c r="J46" s="394"/>
      <c r="K46" s="391"/>
    </row>
    <row r="47" spans="1:11" s="392" customFormat="1" ht="12" customHeight="1">
      <c r="A47" s="396" t="s">
        <v>153</v>
      </c>
      <c r="B47" s="393">
        <f>'Sources and Uses Budget'!C47</f>
        <v>51000</v>
      </c>
      <c r="C47" s="394">
        <f t="shared" si="2"/>
        <v>51000</v>
      </c>
      <c r="D47" s="394"/>
      <c r="E47" s="393">
        <f>'Sources and Uses Budget'!S47</f>
        <v>51000</v>
      </c>
      <c r="F47" s="394">
        <f t="shared" si="3"/>
        <v>51000</v>
      </c>
      <c r="G47" s="394"/>
      <c r="H47" s="393">
        <f>'Sources and Uses Budget'!T47</f>
        <v>0</v>
      </c>
      <c r="I47" s="394"/>
      <c r="J47" s="394"/>
      <c r="K47" s="391"/>
    </row>
    <row r="48" spans="1:11" s="392" customFormat="1">
      <c r="A48" s="396" t="s">
        <v>154</v>
      </c>
      <c r="B48" s="393">
        <f>'Sources and Uses Budget'!C48</f>
        <v>203100</v>
      </c>
      <c r="C48" s="394">
        <f t="shared" si="2"/>
        <v>203100</v>
      </c>
      <c r="D48" s="394"/>
      <c r="E48" s="393">
        <f>'Sources and Uses Budget'!S48</f>
        <v>0</v>
      </c>
      <c r="F48" s="394">
        <f t="shared" si="3"/>
        <v>0</v>
      </c>
      <c r="G48" s="394"/>
      <c r="H48" s="393">
        <f>'Sources and Uses Budget'!T48</f>
        <v>0</v>
      </c>
      <c r="I48" s="394"/>
      <c r="J48" s="394"/>
      <c r="K48" s="391"/>
    </row>
    <row r="49" spans="1:11" s="392" customFormat="1">
      <c r="A49" s="304" t="s">
        <v>57</v>
      </c>
      <c r="B49" s="393">
        <f>'Sources and Uses Budget'!C49</f>
        <v>0</v>
      </c>
      <c r="C49" s="394">
        <f t="shared" si="2"/>
        <v>0</v>
      </c>
      <c r="D49" s="394"/>
      <c r="E49" s="393">
        <f>'Sources and Uses Budget'!S49</f>
        <v>0</v>
      </c>
      <c r="F49" s="394">
        <f t="shared" si="3"/>
        <v>0</v>
      </c>
      <c r="G49" s="394"/>
      <c r="H49" s="393">
        <f>'Sources and Uses Budget'!T49</f>
        <v>0</v>
      </c>
      <c r="I49" s="394"/>
      <c r="J49" s="394"/>
      <c r="K49" s="391"/>
    </row>
    <row r="50" spans="1:11" s="392" customFormat="1">
      <c r="A50" s="396" t="s">
        <v>157</v>
      </c>
      <c r="B50" s="393">
        <f>'Sources and Uses Budget'!C50</f>
        <v>115500</v>
      </c>
      <c r="C50" s="394">
        <f t="shared" si="2"/>
        <v>115500</v>
      </c>
      <c r="D50" s="394"/>
      <c r="E50" s="393">
        <f>'Sources and Uses Budget'!S50</f>
        <v>105500</v>
      </c>
      <c r="F50" s="394">
        <f t="shared" si="3"/>
        <v>105500</v>
      </c>
      <c r="G50" s="394"/>
      <c r="H50" s="393">
        <f>'Sources and Uses Budget'!T50</f>
        <v>0</v>
      </c>
      <c r="I50" s="394"/>
      <c r="J50" s="394"/>
      <c r="K50" s="391"/>
    </row>
    <row r="51" spans="1:11" s="392" customFormat="1">
      <c r="A51" s="396" t="s">
        <v>155</v>
      </c>
      <c r="B51" s="393">
        <f>'Sources and Uses Budget'!C51</f>
        <v>78000</v>
      </c>
      <c r="C51" s="394">
        <f t="shared" si="2"/>
        <v>78000</v>
      </c>
      <c r="D51" s="394"/>
      <c r="E51" s="393">
        <f>'Sources and Uses Budget'!S51</f>
        <v>78000</v>
      </c>
      <c r="F51" s="394">
        <f t="shared" si="3"/>
        <v>78000</v>
      </c>
      <c r="G51" s="394"/>
      <c r="H51" s="393">
        <f>'Sources and Uses Budget'!T51</f>
        <v>0</v>
      </c>
      <c r="I51" s="394"/>
      <c r="J51" s="394"/>
      <c r="K51" s="391"/>
    </row>
    <row r="52" spans="1:11" s="392" customFormat="1">
      <c r="A52" s="396" t="s">
        <v>156</v>
      </c>
      <c r="B52" s="393">
        <f>'Sources and Uses Budget'!C52</f>
        <v>1800000</v>
      </c>
      <c r="C52" s="394">
        <f t="shared" si="2"/>
        <v>1800000</v>
      </c>
      <c r="D52" s="394"/>
      <c r="E52" s="393">
        <f>'Sources and Uses Budget'!S52</f>
        <v>1800000</v>
      </c>
      <c r="F52" s="394">
        <f t="shared" si="3"/>
        <v>1800000</v>
      </c>
      <c r="G52" s="394"/>
      <c r="H52" s="393">
        <f>'Sources and Uses Budget'!T52</f>
        <v>0</v>
      </c>
      <c r="I52" s="394"/>
      <c r="J52" s="394"/>
      <c r="K52" s="391"/>
    </row>
    <row r="53" spans="1:11" s="392" customFormat="1">
      <c r="A53" s="396" t="str">
        <f>'Sources and Uses Budget'!$A53</f>
        <v>Other: (Specify)</v>
      </c>
      <c r="B53" s="393">
        <f>'Sources and Uses Budget'!C53</f>
        <v>0</v>
      </c>
      <c r="C53" s="394">
        <f t="shared" si="2"/>
        <v>0</v>
      </c>
      <c r="D53" s="394"/>
      <c r="E53" s="393">
        <f>'Sources and Uses Budget'!S53</f>
        <v>0</v>
      </c>
      <c r="F53" s="394">
        <f t="shared" si="3"/>
        <v>0</v>
      </c>
      <c r="G53" s="394"/>
      <c r="H53" s="393">
        <f>'Sources and Uses Budget'!T53</f>
        <v>0</v>
      </c>
      <c r="I53" s="394"/>
      <c r="J53" s="394"/>
      <c r="K53" s="391"/>
    </row>
    <row r="54" spans="1:11" s="401" customFormat="1">
      <c r="A54" s="397" t="s">
        <v>158</v>
      </c>
      <c r="B54" s="393">
        <f>'Sources and Uses Budget'!C54</f>
        <v>8563298.3333333321</v>
      </c>
      <c r="C54" s="399">
        <f>SUM(C45:C53)</f>
        <v>8563298.3333333321</v>
      </c>
      <c r="D54" s="399">
        <f>SUM(D45:D53)</f>
        <v>0</v>
      </c>
      <c r="E54" s="393">
        <f>'Sources and Uses Budget'!S54</f>
        <v>8350198.333333333</v>
      </c>
      <c r="F54" s="399">
        <f>SUM(F45:F53)</f>
        <v>8350198.333333333</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0</v>
      </c>
      <c r="C56" s="394"/>
      <c r="D56" s="394"/>
      <c r="E56" s="395"/>
      <c r="F56" s="395"/>
      <c r="G56" s="395"/>
      <c r="H56" s="395"/>
      <c r="I56" s="395"/>
      <c r="J56" s="395"/>
      <c r="K56" s="391"/>
    </row>
    <row r="57" spans="1:11" s="392" customFormat="1" ht="12" customHeight="1">
      <c r="A57" s="396" t="s">
        <v>153</v>
      </c>
      <c r="B57" s="393">
        <f>'Sources and Uses Budget'!C57</f>
        <v>20000</v>
      </c>
      <c r="C57" s="394">
        <f>B57</f>
        <v>20000</v>
      </c>
      <c r="D57" s="394"/>
      <c r="E57" s="395"/>
      <c r="F57" s="395"/>
      <c r="G57" s="395"/>
      <c r="H57" s="395"/>
      <c r="I57" s="395"/>
      <c r="J57" s="395"/>
      <c r="K57" s="391"/>
    </row>
    <row r="58" spans="1:11" s="392" customFormat="1">
      <c r="A58" s="396" t="s">
        <v>157</v>
      </c>
      <c r="B58" s="393">
        <f>'Sources and Uses Budget'!C58</f>
        <v>30000</v>
      </c>
      <c r="C58" s="394">
        <f>B58</f>
        <v>30000</v>
      </c>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(Post CofO Construction Interest)</v>
      </c>
      <c r="B61" s="393">
        <f>'Sources and Uses Budget'!C61</f>
        <v>3213573.8340707002</v>
      </c>
      <c r="C61" s="394">
        <f>B61</f>
        <v>3213573.8340707002</v>
      </c>
      <c r="D61" s="394"/>
      <c r="E61" s="395"/>
      <c r="F61" s="395"/>
      <c r="G61" s="395"/>
      <c r="H61" s="395"/>
      <c r="I61" s="395"/>
      <c r="J61" s="395"/>
      <c r="K61" s="391"/>
    </row>
    <row r="62" spans="1:11" s="392" customFormat="1" ht="13.7" customHeight="1">
      <c r="A62" s="397" t="s">
        <v>303</v>
      </c>
      <c r="B62" s="393">
        <f>'Sources and Uses Budget'!C62</f>
        <v>3263573.8340707002</v>
      </c>
      <c r="C62" s="393">
        <f>SUM(C56:C61)</f>
        <v>3263573.8340707002</v>
      </c>
      <c r="D62" s="393">
        <f>SUM(D56:D61)</f>
        <v>0</v>
      </c>
      <c r="E62" s="395"/>
      <c r="F62" s="395"/>
      <c r="G62" s="395"/>
      <c r="H62" s="395"/>
      <c r="I62" s="395"/>
      <c r="J62" s="395"/>
      <c r="K62" s="391"/>
    </row>
    <row r="63" spans="1:11" s="392" customFormat="1">
      <c r="A63" s="402" t="s">
        <v>304</v>
      </c>
      <c r="B63" s="393">
        <f>'Sources and Uses Budget'!C63</f>
        <v>79930681.373804033</v>
      </c>
      <c r="C63" s="393">
        <f>SUM(C8+C11+C13+C14+C15+C26+C27+C38+C42+C43+C54+C62)</f>
        <v>79930681.373804033</v>
      </c>
      <c r="D63" s="393">
        <f>SUM(D8+D11+D13+D14+D15+D26+D27+D38+D42+D43+D54+D62)</f>
        <v>0</v>
      </c>
      <c r="E63" s="393">
        <f>'Sources and Uses Budget'!S63</f>
        <v>65228082.539733335</v>
      </c>
      <c r="F63" s="393">
        <f>SUM(F10+F13+F14+F15+F26+F27+F38+F42+F43+F54)</f>
        <v>65228082.539733335</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1822</v>
      </c>
      <c r="B64" s="390"/>
      <c r="C64" s="390"/>
      <c r="D64" s="390"/>
      <c r="E64" s="390"/>
      <c r="F64" s="390"/>
      <c r="G64" s="390"/>
      <c r="H64" s="390"/>
      <c r="I64" s="390"/>
      <c r="J64" s="390"/>
      <c r="K64" s="391"/>
    </row>
    <row r="65" spans="1:11" s="392" customFormat="1">
      <c r="A65" s="145" t="s">
        <v>172</v>
      </c>
      <c r="B65" s="393">
        <f>'Sources and Uses Budget'!C65</f>
        <v>100000</v>
      </c>
      <c r="C65" s="394">
        <f>B65</f>
        <v>100000</v>
      </c>
      <c r="D65" s="394"/>
      <c r="E65" s="393">
        <f>'Sources and Uses Budget'!S65</f>
        <v>70000</v>
      </c>
      <c r="F65" s="394">
        <f>E65</f>
        <v>70000</v>
      </c>
      <c r="G65" s="394"/>
      <c r="H65" s="393">
        <f>'Sources and Uses Budget'!T65</f>
        <v>0</v>
      </c>
      <c r="I65" s="394"/>
      <c r="J65" s="394"/>
      <c r="K65" s="391"/>
    </row>
    <row r="66" spans="1:11" s="392" customFormat="1" ht="24">
      <c r="A66" s="304" t="s">
        <v>1819</v>
      </c>
      <c r="B66" s="393">
        <f>'Sources and Uses Budget'!C66</f>
        <v>0</v>
      </c>
      <c r="C66" s="394"/>
      <c r="D66" s="394"/>
      <c r="E66" s="393">
        <f>'Sources and Uses Budget'!S66</f>
        <v>0</v>
      </c>
      <c r="F66" s="394"/>
      <c r="G66" s="394"/>
      <c r="H66" s="393">
        <f>'Sources and Uses Budget'!T66</f>
        <v>0</v>
      </c>
      <c r="I66" s="394"/>
      <c r="J66" s="394"/>
      <c r="K66" s="391"/>
    </row>
    <row r="67" spans="1:11" s="392" customFormat="1" ht="24">
      <c r="A67" s="304" t="s">
        <v>1820</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1826</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(Partnership Legal)</v>
      </c>
      <c r="B69" s="393">
        <f>'Sources and Uses Budget'!C69</f>
        <v>295000</v>
      </c>
      <c r="C69" s="394">
        <f>B69</f>
        <v>295000</v>
      </c>
      <c r="D69" s="394"/>
      <c r="E69" s="393">
        <f>'Sources and Uses Budget'!S69</f>
        <v>130000</v>
      </c>
      <c r="F69" s="394">
        <f>E69</f>
        <v>130000</v>
      </c>
      <c r="G69" s="394"/>
      <c r="H69" s="393">
        <f>'Sources and Uses Budget'!T69</f>
        <v>0</v>
      </c>
      <c r="I69" s="394"/>
      <c r="J69" s="394"/>
      <c r="K69" s="391"/>
    </row>
    <row r="70" spans="1:11" s="392" customFormat="1">
      <c r="A70" s="397" t="s">
        <v>610</v>
      </c>
      <c r="B70" s="393">
        <f>'Sources and Uses Budget'!C70</f>
        <v>395000</v>
      </c>
      <c r="C70" s="393">
        <f>SUM(C64:C69)</f>
        <v>395000</v>
      </c>
      <c r="D70" s="393">
        <f>SUM(D64:D69)</f>
        <v>0</v>
      </c>
      <c r="E70" s="393">
        <f>'Sources and Uses Budget'!S70</f>
        <v>200000</v>
      </c>
      <c r="F70" s="399">
        <f>SUM(F65:F69)</f>
        <v>200000</v>
      </c>
      <c r="G70" s="399">
        <f>SUM(G65:G69)</f>
        <v>0</v>
      </c>
      <c r="H70" s="393">
        <f>'Sources and Uses Budget'!T70</f>
        <v>0</v>
      </c>
      <c r="I70" s="399">
        <f>SUM(I65:I69)</f>
        <v>0</v>
      </c>
      <c r="J70" s="399">
        <f>SUM(J65:J69)</f>
        <v>0</v>
      </c>
      <c r="K70" s="391"/>
    </row>
    <row r="71" spans="1:11" s="392" customFormat="1">
      <c r="A71" s="389" t="s">
        <v>611</v>
      </c>
      <c r="B71" s="390"/>
      <c r="C71" s="390"/>
      <c r="D71" s="390"/>
      <c r="E71" s="390"/>
      <c r="F71" s="390"/>
      <c r="G71" s="390"/>
      <c r="H71" s="390"/>
      <c r="I71" s="390"/>
      <c r="J71" s="390"/>
      <c r="K71" s="391"/>
    </row>
    <row r="72" spans="1:11" s="392" customFormat="1">
      <c r="A72" s="396" t="s">
        <v>612</v>
      </c>
      <c r="B72" s="393">
        <f>'Sources and Uses Budget'!C72</f>
        <v>0</v>
      </c>
      <c r="C72" s="394"/>
      <c r="D72" s="394"/>
      <c r="E72" s="395"/>
      <c r="F72" s="395"/>
      <c r="G72" s="395"/>
      <c r="H72" s="395"/>
      <c r="I72" s="395"/>
      <c r="J72" s="395"/>
      <c r="K72" s="391"/>
    </row>
    <row r="73" spans="1:11" s="392" customFormat="1">
      <c r="A73" s="396" t="s">
        <v>613</v>
      </c>
      <c r="B73" s="393">
        <f>'Sources and Uses Budget'!C73</f>
        <v>0</v>
      </c>
      <c r="C73" s="394"/>
      <c r="D73" s="394"/>
      <c r="E73" s="395"/>
      <c r="F73" s="395"/>
      <c r="G73" s="395"/>
      <c r="H73" s="395"/>
      <c r="I73" s="395"/>
      <c r="J73" s="395"/>
      <c r="K73" s="391"/>
    </row>
    <row r="74" spans="1:11" s="392" customFormat="1">
      <c r="A74" s="398" t="s">
        <v>1038</v>
      </c>
      <c r="B74" s="393">
        <f>'Sources and Uses Budget'!C74</f>
        <v>0</v>
      </c>
      <c r="C74" s="394"/>
      <c r="D74" s="394"/>
      <c r="E74" s="395"/>
      <c r="F74" s="395"/>
      <c r="G74" s="395"/>
      <c r="H74" s="395"/>
      <c r="I74" s="395"/>
      <c r="J74" s="395"/>
      <c r="K74" s="391"/>
    </row>
    <row r="75" spans="1:11" s="392" customFormat="1">
      <c r="A75" s="396" t="s">
        <v>614</v>
      </c>
      <c r="B75" s="393">
        <f>'Sources and Uses Budget'!C75</f>
        <v>722874.85743527126</v>
      </c>
      <c r="C75" s="394">
        <f>B75</f>
        <v>722874.85743527126</v>
      </c>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615</v>
      </c>
      <c r="B77" s="393">
        <f>'Sources and Uses Budget'!C77</f>
        <v>722874.85743527126</v>
      </c>
      <c r="C77" s="393">
        <f>SUM(C72:C76)</f>
        <v>722874.85743527126</v>
      </c>
      <c r="D77" s="393">
        <f>SUM(D72:D76)</f>
        <v>0</v>
      </c>
      <c r="E77" s="395"/>
      <c r="F77" s="395"/>
      <c r="G77" s="395"/>
      <c r="H77" s="395"/>
      <c r="I77" s="395"/>
      <c r="J77" s="395"/>
      <c r="K77" s="391"/>
    </row>
    <row r="78" spans="1:11" s="392" customFormat="1">
      <c r="A78" s="389" t="s">
        <v>1351</v>
      </c>
      <c r="B78" s="390"/>
      <c r="C78" s="390"/>
      <c r="D78" s="390"/>
      <c r="E78" s="390"/>
      <c r="F78" s="390"/>
      <c r="G78" s="390"/>
      <c r="H78" s="390"/>
      <c r="I78" s="390"/>
      <c r="J78" s="390"/>
      <c r="K78" s="391"/>
    </row>
    <row r="79" spans="1:11" s="392" customFormat="1">
      <c r="A79" s="396" t="s">
        <v>1353</v>
      </c>
      <c r="B79" s="393">
        <f>'Sources and Uses Budget'!C79</f>
        <v>2714704.7103200001</v>
      </c>
      <c r="C79" s="394">
        <f>B79</f>
        <v>2714704.7103200001</v>
      </c>
      <c r="D79" s="394"/>
      <c r="E79" s="393">
        <f>'Sources and Uses Budget'!S79</f>
        <v>2714704.7103200001</v>
      </c>
      <c r="F79" s="394">
        <f>E79</f>
        <v>2714704.7103200001</v>
      </c>
      <c r="G79" s="394"/>
      <c r="H79" s="393">
        <f>'Sources and Uses Budget'!T79</f>
        <v>0</v>
      </c>
      <c r="I79" s="394"/>
      <c r="J79" s="394"/>
      <c r="K79" s="391"/>
    </row>
    <row r="80" spans="1:11" s="392" customFormat="1">
      <c r="A80" s="396" t="s">
        <v>58</v>
      </c>
      <c r="B80" s="393">
        <f>'Sources and Uses Budget'!C80</f>
        <v>1050000</v>
      </c>
      <c r="C80" s="394">
        <f>B80</f>
        <v>1050000</v>
      </c>
      <c r="D80" s="394"/>
      <c r="E80" s="393">
        <f>'Sources and Uses Budget'!S80</f>
        <v>1050000</v>
      </c>
      <c r="F80" s="394">
        <f>E80</f>
        <v>1050000</v>
      </c>
      <c r="G80" s="394"/>
      <c r="H80" s="393">
        <f>'Sources and Uses Budget'!T80</f>
        <v>0</v>
      </c>
      <c r="I80" s="394"/>
      <c r="J80" s="394"/>
      <c r="K80" s="391"/>
    </row>
    <row r="81" spans="1:11" s="392" customFormat="1">
      <c r="A81" s="397" t="s">
        <v>1350</v>
      </c>
      <c r="B81" s="393">
        <f>'Sources and Uses Budget'!C81</f>
        <v>3764704.7103200001</v>
      </c>
      <c r="C81" s="393">
        <f>SUM(C79:C80)</f>
        <v>3764704.7103200001</v>
      </c>
      <c r="D81" s="393">
        <f>SUM(D79:D80)</f>
        <v>0</v>
      </c>
      <c r="E81" s="393">
        <f>'Sources and Uses Budget'!S81</f>
        <v>3764704.7103200001</v>
      </c>
      <c r="F81" s="393">
        <f>SUM(F79:F80)</f>
        <v>3764704.7103200001</v>
      </c>
      <c r="G81" s="393">
        <f>SUM(G79:G80)</f>
        <v>0</v>
      </c>
      <c r="H81" s="393">
        <f>'Sources and Uses Budget'!T81</f>
        <v>0</v>
      </c>
      <c r="I81" s="393">
        <f>SUM(I79:I80)</f>
        <v>0</v>
      </c>
      <c r="J81" s="393">
        <f>SUM(J79:J80)</f>
        <v>0</v>
      </c>
      <c r="K81" s="391"/>
    </row>
    <row r="82" spans="1:11" s="392" customFormat="1">
      <c r="A82" s="389" t="s">
        <v>789</v>
      </c>
      <c r="B82" s="390"/>
      <c r="C82" s="390"/>
      <c r="D82" s="390"/>
      <c r="E82" s="390"/>
      <c r="F82" s="390"/>
      <c r="G82" s="390"/>
      <c r="H82" s="390"/>
      <c r="I82" s="390"/>
      <c r="J82" s="390"/>
      <c r="K82" s="391"/>
    </row>
    <row r="83" spans="1:11" s="392" customFormat="1" ht="13.7" customHeight="1">
      <c r="A83" s="145" t="s">
        <v>2516</v>
      </c>
      <c r="B83" s="393">
        <f>'Sources and Uses Budget'!C83</f>
        <v>119000</v>
      </c>
      <c r="C83" s="394">
        <f>B83</f>
        <v>119000</v>
      </c>
      <c r="D83" s="394"/>
      <c r="E83" s="395"/>
      <c r="F83" s="395"/>
      <c r="G83" s="395"/>
      <c r="H83" s="395"/>
      <c r="I83" s="395"/>
      <c r="J83" s="395"/>
      <c r="K83" s="391"/>
    </row>
    <row r="84" spans="1:11" s="392" customFormat="1">
      <c r="A84" s="145" t="s">
        <v>791</v>
      </c>
      <c r="B84" s="393">
        <f>'Sources and Uses Budget'!C84</f>
        <v>10605</v>
      </c>
      <c r="C84" s="394">
        <f>B84</f>
        <v>10605</v>
      </c>
      <c r="D84" s="394"/>
      <c r="E84" s="393">
        <f>'Sources and Uses Budget'!S84</f>
        <v>10605</v>
      </c>
      <c r="F84" s="394">
        <f>E84</f>
        <v>10605</v>
      </c>
      <c r="G84" s="394"/>
      <c r="H84" s="393">
        <f>'Sources and Uses Budget'!T84</f>
        <v>0</v>
      </c>
      <c r="I84" s="394"/>
      <c r="J84" s="394"/>
      <c r="K84" s="391"/>
    </row>
    <row r="85" spans="1:11" s="392" customFormat="1">
      <c r="A85" s="145" t="s">
        <v>792</v>
      </c>
      <c r="B85" s="393">
        <f>'Sources and Uses Budget'!C85</f>
        <v>1417685.5282022473</v>
      </c>
      <c r="C85" s="394">
        <f>B85</f>
        <v>1417685.5282022473</v>
      </c>
      <c r="D85" s="394"/>
      <c r="E85" s="393">
        <f>'Sources and Uses Budget'!S85</f>
        <v>1417685.5282022473</v>
      </c>
      <c r="F85" s="394">
        <f t="shared" ref="F85:F87" si="4">E85</f>
        <v>1417685.5282022473</v>
      </c>
      <c r="G85" s="394"/>
      <c r="H85" s="393">
        <f>'Sources and Uses Budget'!T85</f>
        <v>0</v>
      </c>
      <c r="I85" s="394"/>
      <c r="J85" s="394"/>
      <c r="K85" s="391"/>
    </row>
    <row r="86" spans="1:11" s="392" customFormat="1">
      <c r="A86" s="145" t="s">
        <v>793</v>
      </c>
      <c r="B86" s="393">
        <f>'Sources and Uses Budget'!C86</f>
        <v>666071.67696629209</v>
      </c>
      <c r="C86" s="394">
        <f>B86</f>
        <v>666071.67696629209</v>
      </c>
      <c r="D86" s="394"/>
      <c r="E86" s="393">
        <f>'Sources and Uses Budget'!S86</f>
        <v>666071.67696629209</v>
      </c>
      <c r="F86" s="394">
        <f t="shared" si="4"/>
        <v>666071.67696629209</v>
      </c>
      <c r="G86" s="394"/>
      <c r="H86" s="393">
        <f>'Sources and Uses Budget'!T86</f>
        <v>0</v>
      </c>
      <c r="I86" s="394"/>
      <c r="J86" s="394"/>
      <c r="K86" s="391"/>
    </row>
    <row r="87" spans="1:11" s="392" customFormat="1">
      <c r="A87" s="145" t="s">
        <v>794</v>
      </c>
      <c r="B87" s="393">
        <f>'Sources and Uses Budget'!C87</f>
        <v>0</v>
      </c>
      <c r="C87" s="394">
        <f t="shared" ref="C87:C95" si="5">B87</f>
        <v>0</v>
      </c>
      <c r="D87" s="394"/>
      <c r="E87" s="393">
        <f>'Sources and Uses Budget'!S87</f>
        <v>0</v>
      </c>
      <c r="F87" s="394">
        <f t="shared" si="4"/>
        <v>0</v>
      </c>
      <c r="G87" s="394"/>
      <c r="H87" s="393">
        <f>'Sources and Uses Budget'!T87</f>
        <v>0</v>
      </c>
      <c r="I87" s="394"/>
      <c r="J87" s="394"/>
      <c r="K87" s="391"/>
    </row>
    <row r="88" spans="1:11" s="392" customFormat="1">
      <c r="A88" s="145" t="s">
        <v>795</v>
      </c>
      <c r="B88" s="393">
        <f>'Sources and Uses Budget'!C88</f>
        <v>235000</v>
      </c>
      <c r="C88" s="394">
        <f t="shared" si="5"/>
        <v>235000</v>
      </c>
      <c r="D88" s="394"/>
      <c r="E88" s="395"/>
      <c r="F88" s="395"/>
      <c r="G88" s="395"/>
      <c r="H88" s="395"/>
      <c r="I88" s="395"/>
      <c r="J88" s="395"/>
      <c r="K88" s="391"/>
    </row>
    <row r="89" spans="1:11" s="392" customFormat="1">
      <c r="A89" s="145" t="s">
        <v>796</v>
      </c>
      <c r="B89" s="393">
        <f>'Sources and Uses Budget'!C89</f>
        <v>380000</v>
      </c>
      <c r="C89" s="394">
        <f t="shared" si="5"/>
        <v>380000</v>
      </c>
      <c r="D89" s="394"/>
      <c r="E89" s="393">
        <f>'Sources and Uses Budget'!S89</f>
        <v>380000</v>
      </c>
      <c r="F89" s="394">
        <f>E89</f>
        <v>380000</v>
      </c>
      <c r="G89" s="394"/>
      <c r="H89" s="393">
        <f>'Sources and Uses Budget'!T89</f>
        <v>0</v>
      </c>
      <c r="I89" s="394"/>
      <c r="J89" s="394"/>
      <c r="K89" s="391"/>
    </row>
    <row r="90" spans="1:11" s="392" customFormat="1">
      <c r="A90" s="145" t="s">
        <v>797</v>
      </c>
      <c r="B90" s="393">
        <f>'Sources and Uses Budget'!C90</f>
        <v>8250</v>
      </c>
      <c r="C90" s="394">
        <f t="shared" si="5"/>
        <v>8250</v>
      </c>
      <c r="D90" s="394"/>
      <c r="E90" s="393">
        <f>'Sources and Uses Budget'!S90</f>
        <v>8250</v>
      </c>
      <c r="F90" s="394">
        <f t="shared" ref="F90:F95" si="6">E90</f>
        <v>8250</v>
      </c>
      <c r="G90" s="394"/>
      <c r="H90" s="393">
        <f>'Sources and Uses Budget'!T90</f>
        <v>0</v>
      </c>
      <c r="I90" s="394"/>
      <c r="J90" s="394"/>
      <c r="K90" s="391"/>
    </row>
    <row r="91" spans="1:11" s="392" customFormat="1">
      <c r="A91" s="155" t="s">
        <v>374</v>
      </c>
      <c r="B91" s="393">
        <f>'Sources and Uses Budget'!C91</f>
        <v>120000</v>
      </c>
      <c r="C91" s="394">
        <f t="shared" si="5"/>
        <v>120000</v>
      </c>
      <c r="D91" s="394"/>
      <c r="E91" s="393">
        <f>'Sources and Uses Budget'!S91</f>
        <v>0</v>
      </c>
      <c r="F91" s="394">
        <f t="shared" si="6"/>
        <v>0</v>
      </c>
      <c r="G91" s="394"/>
      <c r="H91" s="393">
        <f>'Sources and Uses Budget'!T91</f>
        <v>0</v>
      </c>
      <c r="I91" s="394"/>
      <c r="J91" s="394"/>
      <c r="K91" s="391"/>
    </row>
    <row r="92" spans="1:11" s="392" customFormat="1">
      <c r="A92" s="543" t="s">
        <v>1352</v>
      </c>
      <c r="B92" s="393">
        <f>'Sources and Uses Budget'!C92</f>
        <v>0</v>
      </c>
      <c r="C92" s="394">
        <f t="shared" si="5"/>
        <v>0</v>
      </c>
      <c r="D92" s="394"/>
      <c r="E92" s="393">
        <f>'Sources and Uses Budget'!S92</f>
        <v>0</v>
      </c>
      <c r="F92" s="394">
        <f t="shared" si="6"/>
        <v>0</v>
      </c>
      <c r="G92" s="394"/>
      <c r="H92" s="393">
        <f>'Sources and Uses Budget'!T92</f>
        <v>0</v>
      </c>
      <c r="I92" s="394"/>
      <c r="J92" s="394"/>
      <c r="K92" s="391"/>
    </row>
    <row r="93" spans="1:11" s="392" customFormat="1">
      <c r="A93" s="396" t="str">
        <f>'Sources and Uses Budget'!$A93</f>
        <v>Other: (Misc. City/County Fees)</v>
      </c>
      <c r="B93" s="393">
        <f>'Sources and Uses Budget'!C93</f>
        <v>18060</v>
      </c>
      <c r="C93" s="394">
        <f t="shared" si="5"/>
        <v>18060</v>
      </c>
      <c r="D93" s="394"/>
      <c r="E93" s="393">
        <f>'Sources and Uses Budget'!S93</f>
        <v>0</v>
      </c>
      <c r="F93" s="394">
        <f t="shared" si="6"/>
        <v>0</v>
      </c>
      <c r="G93" s="394"/>
      <c r="H93" s="393">
        <f>'Sources and Uses Budget'!T93</f>
        <v>0</v>
      </c>
      <c r="I93" s="394"/>
      <c r="J93" s="394"/>
      <c r="K93" s="391"/>
    </row>
    <row r="94" spans="1:11" s="392" customFormat="1" ht="24">
      <c r="A94" s="396" t="str">
        <f>'Sources and Uses Budget'!$A94</f>
        <v>Other: (Organizational Costs &amp; Misc. Fees)</v>
      </c>
      <c r="B94" s="393">
        <f>'Sources and Uses Budget'!C94</f>
        <v>70000</v>
      </c>
      <c r="C94" s="394">
        <f t="shared" si="5"/>
        <v>70000</v>
      </c>
      <c r="D94" s="394"/>
      <c r="E94" s="393">
        <f>'Sources and Uses Budget'!S94</f>
        <v>15000</v>
      </c>
      <c r="F94" s="394">
        <f t="shared" si="6"/>
        <v>15000</v>
      </c>
      <c r="G94" s="394"/>
      <c r="H94" s="393">
        <f>'Sources and Uses Budget'!T94</f>
        <v>0</v>
      </c>
      <c r="I94" s="394"/>
      <c r="J94" s="394"/>
      <c r="K94" s="391"/>
    </row>
    <row r="95" spans="1:11" s="392" customFormat="1">
      <c r="A95" s="396" t="str">
        <f>'Sources and Uses Budget'!$A95</f>
        <v>Other: (Utility Connections)</v>
      </c>
      <c r="B95" s="393">
        <f>'Sources and Uses Budget'!C95</f>
        <v>1698912</v>
      </c>
      <c r="C95" s="394">
        <f t="shared" si="5"/>
        <v>1698912</v>
      </c>
      <c r="D95" s="394"/>
      <c r="E95" s="393">
        <f>'Sources and Uses Budget'!S95</f>
        <v>1498912</v>
      </c>
      <c r="F95" s="394">
        <f t="shared" si="6"/>
        <v>1498912</v>
      </c>
      <c r="G95" s="394"/>
      <c r="H95" s="393">
        <f>'Sources and Uses Budget'!T95</f>
        <v>0</v>
      </c>
      <c r="I95" s="394"/>
      <c r="J95" s="394"/>
      <c r="K95" s="391"/>
    </row>
    <row r="96" spans="1:11" s="392" customFormat="1">
      <c r="A96" s="397" t="s">
        <v>798</v>
      </c>
      <c r="B96" s="393">
        <f>'Sources and Uses Budget'!C96</f>
        <v>4743584.2051685397</v>
      </c>
      <c r="C96" s="393">
        <f>SUM(C83:C95)</f>
        <v>4743584.2051685397</v>
      </c>
      <c r="D96" s="393">
        <f>SUM(D83:D95)</f>
        <v>0</v>
      </c>
      <c r="E96" s="393">
        <f>'Sources and Uses Budget'!S96</f>
        <v>3996524.2051685397</v>
      </c>
      <c r="F96" s="399">
        <f>SUM(F84:F87,F89:F95)</f>
        <v>3996524.2051685397</v>
      </c>
      <c r="G96" s="399">
        <f>SUM(G84:G87,G89:G95)</f>
        <v>0</v>
      </c>
      <c r="H96" s="393">
        <f>'Sources and Uses Budget'!T96</f>
        <v>0</v>
      </c>
      <c r="I96" s="393">
        <f>SUM(I84:I87,I89:I95)</f>
        <v>0</v>
      </c>
      <c r="J96" s="393">
        <f>SUM(J84:J87,J89:J95)</f>
        <v>0</v>
      </c>
      <c r="K96" s="391"/>
    </row>
    <row r="97" spans="1:11" s="392" customFormat="1">
      <c r="A97" s="397" t="s">
        <v>1088</v>
      </c>
      <c r="B97" s="393">
        <f>'Sources and Uses Budget'!C97</f>
        <v>89556845.146727845</v>
      </c>
      <c r="C97" s="393">
        <f>SUM(C63+C70+C77+C81+C96)</f>
        <v>89556845.146727845</v>
      </c>
      <c r="D97" s="393">
        <f>SUM(D63+D70+D77+D81+D96)</f>
        <v>0</v>
      </c>
      <c r="E97" s="393">
        <f>'Sources and Uses Budget'!S97</f>
        <v>73189311.455221877</v>
      </c>
      <c r="F97" s="399">
        <f>SUM(+F63+F70+F81+F96)</f>
        <v>73189311.455221877</v>
      </c>
      <c r="G97" s="399">
        <f>SUM(+G63+G70+G81+G96)</f>
        <v>0</v>
      </c>
      <c r="H97" s="393">
        <f>'Sources and Uses Budget'!T97</f>
        <v>0</v>
      </c>
      <c r="I97" s="399">
        <f>SUM(I63+I70+I81+I96)</f>
        <v>0</v>
      </c>
      <c r="J97" s="399">
        <f>SUM(J63+J70+J81+J96)</f>
        <v>0</v>
      </c>
      <c r="K97" s="391"/>
    </row>
    <row r="98" spans="1:11" s="392" customFormat="1">
      <c r="A98" s="389" t="s">
        <v>800</v>
      </c>
      <c r="B98" s="390"/>
      <c r="C98" s="390"/>
      <c r="D98" s="390"/>
      <c r="E98" s="390"/>
      <c r="F98" s="390"/>
      <c r="G98" s="390"/>
      <c r="H98" s="390"/>
      <c r="I98" s="390"/>
      <c r="J98" s="390"/>
      <c r="K98" s="391"/>
    </row>
    <row r="99" spans="1:11" s="392" customFormat="1">
      <c r="A99" s="145" t="s">
        <v>801</v>
      </c>
      <c r="B99" s="393">
        <f>'Sources and Uses Budget'!C99</f>
        <v>10978396.718283281</v>
      </c>
      <c r="C99" s="394">
        <f>B99</f>
        <v>10978396.718283281</v>
      </c>
      <c r="D99" s="394"/>
      <c r="E99" s="393">
        <f>'Sources and Uses Budget'!S99</f>
        <v>10978396.718283281</v>
      </c>
      <c r="F99" s="394">
        <f>E99</f>
        <v>10978396.718283281</v>
      </c>
      <c r="G99" s="394"/>
      <c r="H99" s="393">
        <f>'Sources and Uses Budget'!T99</f>
        <v>0</v>
      </c>
      <c r="I99" s="394"/>
      <c r="J99" s="394"/>
      <c r="K99" s="391"/>
    </row>
    <row r="100" spans="1:11" s="392" customFormat="1">
      <c r="A100" s="304" t="s">
        <v>1824</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1825</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10978396.718283281</v>
      </c>
      <c r="C104" s="393">
        <f>SUM(C99:C103)</f>
        <v>10978396.718283281</v>
      </c>
      <c r="D104" s="393">
        <f>SUM(D99:D103)</f>
        <v>0</v>
      </c>
      <c r="E104" s="393">
        <f>'Sources and Uses Budget'!S104</f>
        <v>10978396.718283281</v>
      </c>
      <c r="F104" s="399">
        <f>SUM(F99:F103)</f>
        <v>10978396.718283281</v>
      </c>
      <c r="G104" s="399">
        <f>SUM(G99:G103)</f>
        <v>0</v>
      </c>
      <c r="H104" s="393">
        <f>'Sources and Uses Budget'!T104</f>
        <v>0</v>
      </c>
      <c r="I104" s="399">
        <f>SUM(I99:I103)</f>
        <v>0</v>
      </c>
      <c r="J104" s="399">
        <f>SUM(J99:J103)</f>
        <v>0</v>
      </c>
      <c r="K104" s="391"/>
    </row>
    <row r="105" spans="1:11" s="392" customFormat="1">
      <c r="A105" s="397" t="s">
        <v>1089</v>
      </c>
      <c r="B105" s="393">
        <f>'Sources and Uses Budget'!C105</f>
        <v>100535241.86501113</v>
      </c>
      <c r="C105" s="399">
        <f>SUM(C97+C104)</f>
        <v>100535241.86501113</v>
      </c>
      <c r="D105" s="399">
        <f>SUM(D97+D104)</f>
        <v>0</v>
      </c>
      <c r="E105" s="393">
        <f>'Sources and Uses Budget'!S105</f>
        <v>84167708.173505157</v>
      </c>
      <c r="F105" s="399">
        <f>F97+F104</f>
        <v>84167708.173505157</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84167708.173505157</v>
      </c>
      <c r="F107" s="399">
        <f>F105+F106</f>
        <v>84167708.173505157</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73"/>
      <c r="E124" s="1332"/>
      <c r="F124" s="1332"/>
      <c r="G124" s="1332"/>
      <c r="H124" s="1332"/>
      <c r="I124" s="1332"/>
      <c r="J124" s="408"/>
      <c r="K124" s="391"/>
    </row>
    <row r="125" spans="1:11" s="392" customFormat="1" ht="12.75">
      <c r="A125" s="417"/>
      <c r="B125" s="416"/>
      <c r="C125" s="417"/>
      <c r="D125" s="1332"/>
      <c r="E125" s="1332"/>
      <c r="F125" s="1332"/>
      <c r="G125" s="1332"/>
      <c r="H125" s="1332"/>
      <c r="I125" s="1332"/>
      <c r="J125" s="408"/>
      <c r="K125" s="391"/>
    </row>
    <row r="126" spans="1:11" s="392" customFormat="1" ht="12.75">
      <c r="A126" s="417"/>
      <c r="B126" s="416"/>
      <c r="C126" s="417"/>
      <c r="D126" s="1332"/>
      <c r="E126" s="1332"/>
      <c r="F126" s="1332"/>
      <c r="G126" s="1332"/>
      <c r="H126" s="1332"/>
      <c r="I126" s="1332"/>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74"/>
      <c r="B139" s="1332"/>
      <c r="C139" s="1332"/>
      <c r="D139" s="388"/>
      <c r="E139" s="417"/>
      <c r="F139" s="417"/>
      <c r="G139" s="417"/>
    </row>
    <row r="140" spans="1:11" ht="12" customHeight="1">
      <c r="A140" s="1290"/>
      <c r="B140" s="1290"/>
      <c r="C140" s="1290"/>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74" zoomScaleNormal="100" zoomScaleSheetLayoutView="100" workbookViewId="0">
      <selection activeCell="T121" sqref="T121:W12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10" t="s">
        <v>1470</v>
      </c>
      <c r="B1" s="1910"/>
      <c r="C1" s="1910"/>
      <c r="D1" s="1910"/>
      <c r="E1" s="1910"/>
      <c r="F1" s="1910"/>
      <c r="G1" s="1910"/>
      <c r="H1" s="1910"/>
      <c r="I1" s="1910"/>
      <c r="J1" s="1910"/>
      <c r="K1" s="1910"/>
      <c r="L1" s="1910"/>
      <c r="M1" s="1910"/>
      <c r="N1" s="1910"/>
      <c r="O1" s="1910"/>
      <c r="P1" s="1910"/>
      <c r="Q1" s="1910"/>
      <c r="R1" s="1910"/>
      <c r="S1" s="1910"/>
      <c r="T1" s="1910"/>
      <c r="U1" s="1910"/>
      <c r="V1" s="1910"/>
      <c r="W1" s="1910"/>
      <c r="X1" s="1910"/>
      <c r="Y1" s="1910"/>
      <c r="Z1" s="1910"/>
      <c r="AA1" s="1910"/>
      <c r="AB1" s="1910"/>
      <c r="AC1" s="1910"/>
      <c r="AD1" s="1910"/>
      <c r="AE1" s="1910"/>
      <c r="AF1" s="1910"/>
      <c r="AG1" s="1910"/>
      <c r="AH1" s="1910"/>
      <c r="AI1" s="1910"/>
      <c r="AJ1" s="1910"/>
      <c r="AK1" s="1910"/>
      <c r="AL1" s="1910"/>
      <c r="AM1" s="1910"/>
    </row>
    <row r="2" spans="1:42" s="571" customFormat="1" ht="12.75" customHeight="1" thickBot="1">
      <c r="A2" s="1911"/>
      <c r="B2" s="1911"/>
      <c r="C2" s="1911"/>
      <c r="D2" s="1911"/>
      <c r="E2" s="1911"/>
      <c r="F2" s="1911"/>
      <c r="G2" s="1911"/>
      <c r="H2" s="1911"/>
      <c r="I2" s="1911"/>
      <c r="J2" s="1911"/>
      <c r="K2" s="1911"/>
      <c r="L2" s="1911"/>
      <c r="M2" s="1911"/>
      <c r="N2" s="1911"/>
      <c r="O2" s="1911"/>
      <c r="P2" s="1911"/>
      <c r="Q2" s="1911"/>
      <c r="R2" s="1911"/>
      <c r="S2" s="1911"/>
      <c r="T2" s="1911"/>
      <c r="U2" s="1911"/>
      <c r="V2" s="1911"/>
      <c r="W2" s="1911"/>
      <c r="X2" s="1911"/>
      <c r="Y2" s="1911"/>
      <c r="Z2" s="1911"/>
      <c r="AA2" s="1911"/>
      <c r="AB2" s="1911"/>
      <c r="AC2" s="1911"/>
      <c r="AD2" s="1911"/>
      <c r="AE2" s="1911"/>
      <c r="AF2" s="1911"/>
      <c r="AG2" s="1911"/>
      <c r="AH2" s="1911"/>
      <c r="AI2" s="1911"/>
      <c r="AJ2" s="1911"/>
      <c r="AK2" s="1911"/>
      <c r="AL2" s="1911"/>
      <c r="AM2" s="1911"/>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1471</v>
      </c>
      <c r="B4" s="574" t="s">
        <v>1472</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1473</v>
      </c>
      <c r="B7" s="574" t="s">
        <v>1474</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94" t="s">
        <v>1475</v>
      </c>
      <c r="AF7" s="1894"/>
      <c r="AG7" s="1894"/>
      <c r="AH7" s="1894"/>
      <c r="AI7" s="1894"/>
      <c r="AJ7" s="1894"/>
      <c r="AK7" s="1894"/>
      <c r="AL7" s="575"/>
      <c r="AM7" s="575"/>
      <c r="AN7" s="570"/>
    </row>
    <row r="8" spans="1:42" s="571" customFormat="1" ht="12.75" customHeight="1">
      <c r="A8" s="573"/>
      <c r="B8" s="574" t="s">
        <v>1987</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2405</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3" t="s">
        <v>2399</v>
      </c>
      <c r="D11" s="1193"/>
      <c r="E11" s="1193"/>
      <c r="F11" s="1193"/>
      <c r="G11" s="1193"/>
      <c r="H11" s="1193"/>
      <c r="I11" s="1193"/>
      <c r="J11" s="1193"/>
      <c r="K11" s="1193"/>
      <c r="L11" s="1193"/>
      <c r="M11" s="1193"/>
      <c r="N11" s="1193"/>
      <c r="O11" s="1193"/>
      <c r="P11" s="1193"/>
      <c r="Q11" s="1193"/>
      <c r="R11" s="1193"/>
      <c r="S11" s="1193"/>
      <c r="T11" s="1193"/>
      <c r="U11" s="1193"/>
      <c r="V11" s="1193"/>
      <c r="W11" s="1193"/>
      <c r="X11" s="1193"/>
      <c r="Y11" s="1193"/>
      <c r="Z11" s="1193"/>
      <c r="AA11" s="1193"/>
      <c r="AB11" s="1193"/>
      <c r="AC11" s="1193"/>
      <c r="AD11" s="1193"/>
      <c r="AE11" s="1193"/>
      <c r="AF11" s="1193"/>
      <c r="AG11" s="1193"/>
      <c r="AH11" s="1193"/>
      <c r="AI11" s="1193"/>
      <c r="AJ11" s="1193"/>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84" t="s">
        <v>600</v>
      </c>
      <c r="C13" s="1884"/>
      <c r="D13" s="582"/>
      <c r="E13" s="583" t="s">
        <v>1476</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12"/>
      <c r="AH13" s="1912"/>
      <c r="AI13" s="1912"/>
      <c r="AJ13" s="1913"/>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84" t="s">
        <v>600</v>
      </c>
      <c r="C16" s="1884"/>
      <c r="D16" s="582"/>
      <c r="E16" s="1895" t="s">
        <v>1477</v>
      </c>
      <c r="F16" s="1896"/>
      <c r="G16" s="1896"/>
      <c r="H16" s="1896"/>
      <c r="I16" s="1896"/>
      <c r="J16" s="1896"/>
      <c r="K16" s="1896"/>
      <c r="L16" s="1896"/>
      <c r="M16" s="1896"/>
      <c r="N16" s="1896"/>
      <c r="O16" s="1896"/>
      <c r="P16" s="1896"/>
      <c r="Q16" s="1896"/>
      <c r="R16" s="1896"/>
      <c r="S16" s="1896"/>
      <c r="T16" s="1896"/>
      <c r="U16" s="1896"/>
      <c r="V16" s="1896"/>
      <c r="W16" s="1896"/>
      <c r="X16" s="1896"/>
      <c r="Y16" s="1896"/>
      <c r="Z16" s="1896"/>
      <c r="AA16" s="1896"/>
      <c r="AB16" s="1896"/>
      <c r="AC16" s="1896"/>
      <c r="AD16" s="1896"/>
      <c r="AE16" s="1896"/>
      <c r="AF16" s="1896"/>
      <c r="AG16" s="1896"/>
      <c r="AH16" s="1896"/>
      <c r="AI16" s="1896"/>
      <c r="AJ16" s="1897"/>
      <c r="AK16" s="575"/>
      <c r="AL16" s="575"/>
      <c r="AM16" s="575"/>
      <c r="AN16" s="570"/>
      <c r="AO16" s="585">
        <f>IF($B25="yes",20,0)</f>
        <v>0</v>
      </c>
      <c r="AP16" s="14"/>
    </row>
    <row r="17" spans="1:42" s="571" customFormat="1" ht="12.75" customHeight="1">
      <c r="A17" s="575"/>
      <c r="B17" s="575"/>
      <c r="C17" s="575"/>
      <c r="D17" s="586"/>
      <c r="E17" s="1898"/>
      <c r="F17" s="1899"/>
      <c r="G17" s="1899"/>
      <c r="H17" s="1899"/>
      <c r="I17" s="1899"/>
      <c r="J17" s="1899"/>
      <c r="K17" s="1899"/>
      <c r="L17" s="1899"/>
      <c r="M17" s="1899"/>
      <c r="N17" s="1899"/>
      <c r="O17" s="1899"/>
      <c r="P17" s="1899"/>
      <c r="Q17" s="1899"/>
      <c r="R17" s="1899"/>
      <c r="S17" s="1899"/>
      <c r="T17" s="1899"/>
      <c r="U17" s="1899"/>
      <c r="V17" s="1899"/>
      <c r="W17" s="1899"/>
      <c r="X17" s="1899"/>
      <c r="Y17" s="1899"/>
      <c r="Z17" s="1899"/>
      <c r="AA17" s="1899"/>
      <c r="AB17" s="1899"/>
      <c r="AC17" s="1899"/>
      <c r="AD17" s="1899"/>
      <c r="AE17" s="1899"/>
      <c r="AF17" s="1899"/>
      <c r="AG17" s="1899"/>
      <c r="AH17" s="1899"/>
      <c r="AI17" s="1899"/>
      <c r="AJ17" s="1900"/>
      <c r="AK17" s="575"/>
      <c r="AL17" s="575"/>
      <c r="AM17" s="575"/>
      <c r="AN17" s="570"/>
      <c r="AO17" s="571">
        <f>IF(SUM(AO13:AO16)&gt;20,20,(SUM(AO13:AO16)))</f>
        <v>0</v>
      </c>
      <c r="AP17" s="571" t="s">
        <v>1478</v>
      </c>
    </row>
    <row r="18" spans="1:42" s="571" customFormat="1" ht="12.75" customHeight="1">
      <c r="A18" s="575"/>
      <c r="B18" s="575"/>
      <c r="C18" s="575"/>
      <c r="D18" s="586"/>
      <c r="E18" s="1898"/>
      <c r="F18" s="1899"/>
      <c r="G18" s="1899"/>
      <c r="H18" s="1899"/>
      <c r="I18" s="1899"/>
      <c r="J18" s="1899"/>
      <c r="K18" s="1899"/>
      <c r="L18" s="1899"/>
      <c r="M18" s="1899"/>
      <c r="N18" s="1899"/>
      <c r="O18" s="1899"/>
      <c r="P18" s="1899"/>
      <c r="Q18" s="1899"/>
      <c r="R18" s="1899"/>
      <c r="S18" s="1899"/>
      <c r="T18" s="1899"/>
      <c r="U18" s="1899"/>
      <c r="V18" s="1899"/>
      <c r="W18" s="1899"/>
      <c r="X18" s="1899"/>
      <c r="Y18" s="1899"/>
      <c r="Z18" s="1899"/>
      <c r="AA18" s="1899"/>
      <c r="AB18" s="1899"/>
      <c r="AC18" s="1899"/>
      <c r="AD18" s="1899"/>
      <c r="AE18" s="1899"/>
      <c r="AF18" s="1899"/>
      <c r="AG18" s="1899"/>
      <c r="AH18" s="1899"/>
      <c r="AI18" s="1899"/>
      <c r="AJ18" s="1900"/>
      <c r="AK18" s="575"/>
      <c r="AL18" s="575"/>
      <c r="AM18" s="575"/>
      <c r="AN18" s="570"/>
    </row>
    <row r="19" spans="1:42" s="571" customFormat="1" ht="12.75" customHeight="1">
      <c r="A19" s="575"/>
      <c r="B19" s="575"/>
      <c r="C19" s="575"/>
      <c r="D19" s="586"/>
      <c r="E19" s="587" t="s">
        <v>1479</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23"/>
      <c r="F20" s="1924"/>
      <c r="G20" s="1924"/>
      <c r="H20" s="1924"/>
      <c r="I20" s="1924"/>
      <c r="J20" s="1924"/>
      <c r="K20" s="1924"/>
      <c r="L20" s="1924"/>
      <c r="M20" s="1924"/>
      <c r="N20" s="1924"/>
      <c r="O20" s="1924"/>
      <c r="P20" s="1924"/>
      <c r="Q20" s="1924"/>
      <c r="R20" s="1924"/>
      <c r="S20" s="1924"/>
      <c r="T20" s="1924"/>
      <c r="U20" s="1924"/>
      <c r="V20" s="1924"/>
      <c r="W20" s="1924"/>
      <c r="X20" s="1924"/>
      <c r="Y20" s="1924"/>
      <c r="Z20" s="1924"/>
      <c r="AA20" s="1924"/>
      <c r="AB20" s="1924"/>
      <c r="AC20" s="1924"/>
      <c r="AD20" s="1924"/>
      <c r="AE20" s="1924"/>
      <c r="AF20" s="1924"/>
      <c r="AG20" s="1924"/>
      <c r="AH20" s="1924"/>
      <c r="AI20" s="1924"/>
      <c r="AJ20" s="1925"/>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84" t="s">
        <v>600</v>
      </c>
      <c r="C22" s="1884"/>
      <c r="D22" s="582"/>
      <c r="E22" s="1917" t="s">
        <v>1480</v>
      </c>
      <c r="F22" s="1918"/>
      <c r="G22" s="1918"/>
      <c r="H22" s="1918"/>
      <c r="I22" s="1918"/>
      <c r="J22" s="1918"/>
      <c r="K22" s="1918"/>
      <c r="L22" s="1918"/>
      <c r="M22" s="1918"/>
      <c r="N22" s="1918"/>
      <c r="O22" s="1918"/>
      <c r="P22" s="1918"/>
      <c r="Q22" s="1918"/>
      <c r="R22" s="1918"/>
      <c r="S22" s="1918"/>
      <c r="T22" s="1918"/>
      <c r="U22" s="1918"/>
      <c r="V22" s="1918"/>
      <c r="W22" s="1918"/>
      <c r="X22" s="1918"/>
      <c r="Y22" s="1918"/>
      <c r="Z22" s="1918"/>
      <c r="AA22" s="1918"/>
      <c r="AB22" s="1918"/>
      <c r="AC22" s="1918"/>
      <c r="AD22" s="1918"/>
      <c r="AE22" s="1918"/>
      <c r="AF22" s="1918"/>
      <c r="AG22" s="1918"/>
      <c r="AH22" s="1918"/>
      <c r="AI22" s="1918"/>
      <c r="AJ22" s="1919"/>
      <c r="AK22" s="575"/>
      <c r="AL22" s="575"/>
      <c r="AM22" s="575"/>
      <c r="AN22" s="570"/>
      <c r="AO22" s="571">
        <f>IF(SUM(AO20:AO21)&gt;14,14,SUM(AO20:AO21))</f>
        <v>0</v>
      </c>
      <c r="AP22" s="571" t="s">
        <v>1478</v>
      </c>
    </row>
    <row r="23" spans="1:42" s="571" customFormat="1" ht="12.75" customHeight="1">
      <c r="A23" s="575"/>
      <c r="B23" s="575"/>
      <c r="C23" s="575"/>
      <c r="D23" s="585"/>
      <c r="E23" s="1920"/>
      <c r="F23" s="1921"/>
      <c r="G23" s="1921"/>
      <c r="H23" s="1921"/>
      <c r="I23" s="1921"/>
      <c r="J23" s="1921"/>
      <c r="K23" s="1921"/>
      <c r="L23" s="1921"/>
      <c r="M23" s="1921"/>
      <c r="N23" s="1921"/>
      <c r="O23" s="1921"/>
      <c r="P23" s="1921"/>
      <c r="Q23" s="1921"/>
      <c r="R23" s="1921"/>
      <c r="S23" s="1921"/>
      <c r="T23" s="1921"/>
      <c r="U23" s="1921"/>
      <c r="V23" s="1921"/>
      <c r="W23" s="1921"/>
      <c r="X23" s="1921"/>
      <c r="Y23" s="1921"/>
      <c r="Z23" s="1921"/>
      <c r="AA23" s="1921"/>
      <c r="AB23" s="1921"/>
      <c r="AC23" s="1921"/>
      <c r="AD23" s="1921"/>
      <c r="AE23" s="1921"/>
      <c r="AF23" s="1921"/>
      <c r="AG23" s="1921"/>
      <c r="AH23" s="1921"/>
      <c r="AI23" s="1921"/>
      <c r="AJ23" s="1922"/>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84" t="s">
        <v>600</v>
      </c>
      <c r="C25" s="1884"/>
      <c r="D25" s="582"/>
      <c r="E25" s="1885" t="s">
        <v>2429</v>
      </c>
      <c r="F25" s="1886"/>
      <c r="G25" s="1886"/>
      <c r="H25" s="1886"/>
      <c r="I25" s="1886"/>
      <c r="J25" s="1886"/>
      <c r="K25" s="1886"/>
      <c r="L25" s="1886"/>
      <c r="M25" s="1886"/>
      <c r="N25" s="1886"/>
      <c r="O25" s="1886"/>
      <c r="P25" s="1886"/>
      <c r="Q25" s="1886"/>
      <c r="R25" s="1886"/>
      <c r="S25" s="1886"/>
      <c r="T25" s="1886"/>
      <c r="U25" s="1886"/>
      <c r="V25" s="1886"/>
      <c r="W25" s="1886"/>
      <c r="X25" s="1886"/>
      <c r="Y25" s="1886"/>
      <c r="Z25" s="1886"/>
      <c r="AA25" s="1886"/>
      <c r="AB25" s="1886"/>
      <c r="AC25" s="1886"/>
      <c r="AD25" s="1886"/>
      <c r="AE25" s="1886"/>
      <c r="AF25" s="1886"/>
      <c r="AG25" s="1886"/>
      <c r="AH25" s="1886"/>
      <c r="AI25" s="1886"/>
      <c r="AJ25" s="1887"/>
      <c r="AK25" s="575"/>
      <c r="AL25" s="575"/>
      <c r="AM25" s="575"/>
      <c r="AN25" s="570"/>
      <c r="AO25" s="571">
        <f>IF(AO24&gt;6,6,AO24)</f>
        <v>0</v>
      </c>
      <c r="AP25" s="571" t="s">
        <v>1478</v>
      </c>
    </row>
    <row r="26" spans="1:42" s="571" customFormat="1" ht="12.75" customHeight="1">
      <c r="A26" s="575"/>
      <c r="B26" s="575"/>
      <c r="C26" s="575"/>
      <c r="D26" s="585"/>
      <c r="E26" s="1888"/>
      <c r="F26" s="1889"/>
      <c r="G26" s="1889"/>
      <c r="H26" s="1889"/>
      <c r="I26" s="1889"/>
      <c r="J26" s="1889"/>
      <c r="K26" s="1889"/>
      <c r="L26" s="1889"/>
      <c r="M26" s="1889"/>
      <c r="N26" s="1889"/>
      <c r="O26" s="1889"/>
      <c r="P26" s="1889"/>
      <c r="Q26" s="1889"/>
      <c r="R26" s="1889"/>
      <c r="S26" s="1889"/>
      <c r="T26" s="1889"/>
      <c r="U26" s="1889"/>
      <c r="V26" s="1889"/>
      <c r="W26" s="1889"/>
      <c r="X26" s="1889"/>
      <c r="Y26" s="1889"/>
      <c r="Z26" s="1889"/>
      <c r="AA26" s="1889"/>
      <c r="AB26" s="1889"/>
      <c r="AC26" s="1889"/>
      <c r="AD26" s="1889"/>
      <c r="AE26" s="1889"/>
      <c r="AF26" s="1889"/>
      <c r="AG26" s="1889"/>
      <c r="AH26" s="1889"/>
      <c r="AI26" s="1889"/>
      <c r="AJ26" s="1890"/>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2400</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1478</v>
      </c>
    </row>
    <row r="30" spans="1:42" s="571" customFormat="1" ht="12.75" customHeight="1">
      <c r="A30" s="575"/>
      <c r="B30" s="1884" t="s">
        <v>600</v>
      </c>
      <c r="C30" s="1884"/>
      <c r="D30" s="582"/>
      <c r="E30" s="1917" t="s">
        <v>2401</v>
      </c>
      <c r="F30" s="1918"/>
      <c r="G30" s="1918"/>
      <c r="H30" s="1918"/>
      <c r="I30" s="1918"/>
      <c r="J30" s="1918"/>
      <c r="K30" s="1918"/>
      <c r="L30" s="1918"/>
      <c r="M30" s="1918"/>
      <c r="N30" s="1918"/>
      <c r="O30" s="1918"/>
      <c r="P30" s="1918"/>
      <c r="Q30" s="1918"/>
      <c r="R30" s="1918"/>
      <c r="S30" s="1918"/>
      <c r="T30" s="1918"/>
      <c r="U30" s="1918"/>
      <c r="V30" s="1918"/>
      <c r="W30" s="1918"/>
      <c r="X30" s="1918"/>
      <c r="Y30" s="1918"/>
      <c r="Z30" s="1918"/>
      <c r="AA30" s="1918"/>
      <c r="AB30" s="1918"/>
      <c r="AC30" s="1918"/>
      <c r="AD30" s="1918"/>
      <c r="AE30" s="1918"/>
      <c r="AF30" s="1918"/>
      <c r="AG30" s="1918"/>
      <c r="AH30" s="1918"/>
      <c r="AI30" s="1918"/>
      <c r="AJ30" s="1919"/>
      <c r="AK30" s="575"/>
      <c r="AL30" s="575"/>
      <c r="AM30" s="575"/>
      <c r="AN30" s="570"/>
      <c r="AO30" s="585"/>
    </row>
    <row r="31" spans="1:42" s="571" customFormat="1" ht="12.75" customHeight="1">
      <c r="A31" s="575"/>
      <c r="B31" s="575"/>
      <c r="C31" s="575"/>
      <c r="E31" s="1920"/>
      <c r="F31" s="1921"/>
      <c r="G31" s="1921"/>
      <c r="H31" s="1921"/>
      <c r="I31" s="1921"/>
      <c r="J31" s="1921"/>
      <c r="K31" s="1921"/>
      <c r="L31" s="1921"/>
      <c r="M31" s="1921"/>
      <c r="N31" s="1921"/>
      <c r="O31" s="1921"/>
      <c r="P31" s="1921"/>
      <c r="Q31" s="1921"/>
      <c r="R31" s="1921"/>
      <c r="S31" s="1921"/>
      <c r="T31" s="1921"/>
      <c r="U31" s="1921"/>
      <c r="V31" s="1921"/>
      <c r="W31" s="1921"/>
      <c r="X31" s="1921"/>
      <c r="Y31" s="1921"/>
      <c r="Z31" s="1921"/>
      <c r="AA31" s="1921"/>
      <c r="AB31" s="1921"/>
      <c r="AC31" s="1921"/>
      <c r="AD31" s="1921"/>
      <c r="AE31" s="1921"/>
      <c r="AF31" s="1921"/>
      <c r="AG31" s="1921"/>
      <c r="AH31" s="1921"/>
      <c r="AI31" s="1921"/>
      <c r="AJ31" s="1922"/>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84" t="s">
        <v>600</v>
      </c>
      <c r="C33" s="1884"/>
      <c r="D33" s="582"/>
      <c r="E33" s="1885" t="s">
        <v>2402</v>
      </c>
      <c r="F33" s="1886"/>
      <c r="G33" s="1886"/>
      <c r="H33" s="1886"/>
      <c r="I33" s="1886"/>
      <c r="J33" s="1886"/>
      <c r="K33" s="1886"/>
      <c r="L33" s="1886"/>
      <c r="M33" s="1886"/>
      <c r="N33" s="1886"/>
      <c r="O33" s="1886"/>
      <c r="P33" s="1886"/>
      <c r="Q33" s="1886"/>
      <c r="R33" s="1886"/>
      <c r="S33" s="1886"/>
      <c r="T33" s="1886"/>
      <c r="U33" s="1886"/>
      <c r="V33" s="1886"/>
      <c r="W33" s="1886"/>
      <c r="X33" s="1886"/>
      <c r="Y33" s="1886"/>
      <c r="Z33" s="1886"/>
      <c r="AA33" s="1886"/>
      <c r="AB33" s="1886"/>
      <c r="AC33" s="1886"/>
      <c r="AD33" s="1886"/>
      <c r="AE33" s="1886"/>
      <c r="AF33" s="1886"/>
      <c r="AG33" s="1886"/>
      <c r="AH33" s="1886"/>
      <c r="AI33" s="1886"/>
      <c r="AJ33" s="1887"/>
      <c r="AK33" s="575"/>
      <c r="AL33" s="575"/>
      <c r="AM33" s="575"/>
      <c r="AN33" s="570"/>
    </row>
    <row r="34" spans="1:41" s="571" customFormat="1" ht="12.75" customHeight="1">
      <c r="A34" s="575"/>
      <c r="B34" s="575"/>
      <c r="C34" s="575"/>
      <c r="E34" s="1891"/>
      <c r="F34" s="1892"/>
      <c r="G34" s="1892"/>
      <c r="H34" s="1892"/>
      <c r="I34" s="1892"/>
      <c r="J34" s="1892"/>
      <c r="K34" s="1892"/>
      <c r="L34" s="1892"/>
      <c r="M34" s="1892"/>
      <c r="N34" s="1892"/>
      <c r="O34" s="1892"/>
      <c r="P34" s="1892"/>
      <c r="Q34" s="1892"/>
      <c r="R34" s="1892"/>
      <c r="S34" s="1892"/>
      <c r="T34" s="1892"/>
      <c r="U34" s="1892"/>
      <c r="V34" s="1892"/>
      <c r="W34" s="1892"/>
      <c r="X34" s="1892"/>
      <c r="Y34" s="1892"/>
      <c r="Z34" s="1892"/>
      <c r="AA34" s="1892"/>
      <c r="AB34" s="1892"/>
      <c r="AC34" s="1892"/>
      <c r="AD34" s="1892"/>
      <c r="AE34" s="1892"/>
      <c r="AF34" s="1892"/>
      <c r="AG34" s="1892"/>
      <c r="AH34" s="1892"/>
      <c r="AI34" s="1892"/>
      <c r="AJ34" s="1893"/>
      <c r="AK34" s="575"/>
      <c r="AL34" s="575"/>
      <c r="AM34" s="575"/>
      <c r="AN34" s="570"/>
    </row>
    <row r="35" spans="1:41" s="571" customFormat="1" ht="12.75" customHeight="1">
      <c r="A35" s="575"/>
      <c r="B35" s="575"/>
      <c r="C35" s="575"/>
      <c r="E35" s="1888"/>
      <c r="F35" s="1889"/>
      <c r="G35" s="1889"/>
      <c r="H35" s="1889"/>
      <c r="I35" s="1889"/>
      <c r="J35" s="1889"/>
      <c r="K35" s="1889"/>
      <c r="L35" s="1889"/>
      <c r="M35" s="1889"/>
      <c r="N35" s="1889"/>
      <c r="O35" s="1889"/>
      <c r="P35" s="1889"/>
      <c r="Q35" s="1889"/>
      <c r="R35" s="1889"/>
      <c r="S35" s="1889"/>
      <c r="T35" s="1889"/>
      <c r="U35" s="1889"/>
      <c r="V35" s="1889"/>
      <c r="W35" s="1889"/>
      <c r="X35" s="1889"/>
      <c r="Y35" s="1889"/>
      <c r="Z35" s="1889"/>
      <c r="AA35" s="1889"/>
      <c r="AB35" s="1889"/>
      <c r="AC35" s="1889"/>
      <c r="AD35" s="1889"/>
      <c r="AE35" s="1889"/>
      <c r="AF35" s="1889"/>
      <c r="AG35" s="1889"/>
      <c r="AH35" s="1889"/>
      <c r="AI35" s="1889"/>
      <c r="AJ35" s="1890"/>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2404</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4"/>
      <c r="D38" s="1194"/>
      <c r="E38" s="1194"/>
      <c r="F38" s="1194"/>
      <c r="G38" s="1194"/>
      <c r="H38" s="1194"/>
      <c r="I38" s="1194"/>
      <c r="J38" s="1194"/>
      <c r="K38" s="1194"/>
      <c r="L38" s="1194"/>
      <c r="M38" s="1194"/>
      <c r="N38" s="1194"/>
      <c r="O38" s="1194"/>
      <c r="P38" s="1194"/>
      <c r="Q38" s="1194"/>
      <c r="R38" s="1194"/>
      <c r="S38" s="1194"/>
      <c r="T38" s="1194"/>
      <c r="U38" s="1194"/>
      <c r="V38" s="1194"/>
      <c r="W38" s="1194"/>
      <c r="X38" s="1194"/>
      <c r="Y38" s="1194"/>
      <c r="Z38" s="1194"/>
      <c r="AA38" s="1194"/>
      <c r="AB38" s="1194"/>
      <c r="AC38" s="1194"/>
      <c r="AD38" s="1194"/>
      <c r="AE38" s="1194"/>
      <c r="AF38" s="1194"/>
      <c r="AG38" s="1194"/>
      <c r="AH38" s="1194"/>
      <c r="AI38" s="1194"/>
      <c r="AJ38" s="1194"/>
      <c r="AK38" s="1194"/>
      <c r="AL38" s="575"/>
      <c r="AM38" s="575"/>
      <c r="AN38" s="570"/>
    </row>
    <row r="39" spans="1:41" s="571" customFormat="1" ht="12.75" customHeight="1">
      <c r="A39" s="575"/>
      <c r="B39" s="1884" t="s">
        <v>600</v>
      </c>
      <c r="C39" s="1884"/>
      <c r="D39" s="1194"/>
      <c r="E39" s="1885" t="s">
        <v>2403</v>
      </c>
      <c r="F39" s="1886"/>
      <c r="G39" s="1886"/>
      <c r="H39" s="1886"/>
      <c r="I39" s="1886"/>
      <c r="J39" s="1886"/>
      <c r="K39" s="1886"/>
      <c r="L39" s="1886"/>
      <c r="M39" s="1886"/>
      <c r="N39" s="1886"/>
      <c r="O39" s="1886"/>
      <c r="P39" s="1886"/>
      <c r="Q39" s="1886"/>
      <c r="R39" s="1886"/>
      <c r="S39" s="1886"/>
      <c r="T39" s="1886"/>
      <c r="U39" s="1886"/>
      <c r="V39" s="1886"/>
      <c r="W39" s="1886"/>
      <c r="X39" s="1886"/>
      <c r="Y39" s="1886"/>
      <c r="Z39" s="1886"/>
      <c r="AA39" s="1886"/>
      <c r="AB39" s="1886"/>
      <c r="AC39" s="1886"/>
      <c r="AD39" s="1886"/>
      <c r="AE39" s="1886"/>
      <c r="AF39" s="1886"/>
      <c r="AG39" s="1886"/>
      <c r="AH39" s="1886"/>
      <c r="AI39" s="1886"/>
      <c r="AJ39" s="1887"/>
      <c r="AK39" s="1194"/>
      <c r="AL39" s="575"/>
      <c r="AM39" s="575"/>
      <c r="AN39" s="570"/>
    </row>
    <row r="40" spans="1:41" s="571" customFormat="1" ht="12.75" customHeight="1">
      <c r="A40" s="575"/>
      <c r="B40" s="575"/>
      <c r="C40" s="575"/>
      <c r="E40" s="1891"/>
      <c r="F40" s="1892"/>
      <c r="G40" s="1892"/>
      <c r="H40" s="1892"/>
      <c r="I40" s="1892"/>
      <c r="J40" s="1892"/>
      <c r="K40" s="1892"/>
      <c r="L40" s="1892"/>
      <c r="M40" s="1892"/>
      <c r="N40" s="1892"/>
      <c r="O40" s="1892"/>
      <c r="P40" s="1892"/>
      <c r="Q40" s="1892"/>
      <c r="R40" s="1892"/>
      <c r="S40" s="1892"/>
      <c r="T40" s="1892"/>
      <c r="U40" s="1892"/>
      <c r="V40" s="1892"/>
      <c r="W40" s="1892"/>
      <c r="X40" s="1892"/>
      <c r="Y40" s="1892"/>
      <c r="Z40" s="1892"/>
      <c r="AA40" s="1892"/>
      <c r="AB40" s="1892"/>
      <c r="AC40" s="1892"/>
      <c r="AD40" s="1892"/>
      <c r="AE40" s="1892"/>
      <c r="AF40" s="1892"/>
      <c r="AG40" s="1892"/>
      <c r="AH40" s="1892"/>
      <c r="AI40" s="1892"/>
      <c r="AJ40" s="1893"/>
      <c r="AK40" s="575"/>
      <c r="AL40" s="575"/>
      <c r="AM40" s="575"/>
      <c r="AN40" s="570"/>
    </row>
    <row r="41" spans="1:41" s="571" customFormat="1" ht="12.75" customHeight="1">
      <c r="A41" s="575"/>
      <c r="D41" s="582"/>
      <c r="E41" s="1888"/>
      <c r="F41" s="1889"/>
      <c r="G41" s="1889"/>
      <c r="H41" s="1889"/>
      <c r="I41" s="1889"/>
      <c r="J41" s="1889"/>
      <c r="K41" s="1889"/>
      <c r="L41" s="1889"/>
      <c r="M41" s="1889"/>
      <c r="N41" s="1889"/>
      <c r="O41" s="1889"/>
      <c r="P41" s="1889"/>
      <c r="Q41" s="1889"/>
      <c r="R41" s="1889"/>
      <c r="S41" s="1889"/>
      <c r="T41" s="1889"/>
      <c r="U41" s="1889"/>
      <c r="V41" s="1889"/>
      <c r="W41" s="1889"/>
      <c r="X41" s="1889"/>
      <c r="Y41" s="1889"/>
      <c r="Z41" s="1889"/>
      <c r="AA41" s="1889"/>
      <c r="AB41" s="1889"/>
      <c r="AC41" s="1889"/>
      <c r="AD41" s="1889"/>
      <c r="AE41" s="1889"/>
      <c r="AF41" s="1889"/>
      <c r="AG41" s="1889"/>
      <c r="AH41" s="1889"/>
      <c r="AI41" s="1889"/>
      <c r="AJ41" s="1890"/>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2406</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3" t="s">
        <v>2407</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84" t="s">
        <v>600</v>
      </c>
      <c r="C46" s="1884"/>
      <c r="D46" s="575"/>
      <c r="E46" s="1885" t="s">
        <v>2408</v>
      </c>
      <c r="F46" s="1886"/>
      <c r="G46" s="1886"/>
      <c r="H46" s="1886"/>
      <c r="I46" s="1886"/>
      <c r="J46" s="1886"/>
      <c r="K46" s="1886"/>
      <c r="L46" s="1886"/>
      <c r="M46" s="1886"/>
      <c r="N46" s="1886"/>
      <c r="O46" s="1886"/>
      <c r="P46" s="1886"/>
      <c r="Q46" s="1886"/>
      <c r="R46" s="1886"/>
      <c r="S46" s="1886"/>
      <c r="T46" s="1886"/>
      <c r="U46" s="1886"/>
      <c r="V46" s="1886"/>
      <c r="W46" s="1886"/>
      <c r="X46" s="1886"/>
      <c r="Y46" s="1886"/>
      <c r="Z46" s="1886"/>
      <c r="AA46" s="1886"/>
      <c r="AB46" s="1886"/>
      <c r="AC46" s="1886"/>
      <c r="AD46" s="1886"/>
      <c r="AE46" s="1886"/>
      <c r="AF46" s="1886"/>
      <c r="AG46" s="1886"/>
      <c r="AH46" s="1886"/>
      <c r="AI46" s="1886"/>
      <c r="AJ46" s="1887"/>
      <c r="AK46" s="575"/>
      <c r="AL46" s="575"/>
      <c r="AM46" s="575"/>
      <c r="AN46" s="570"/>
      <c r="AO46" s="594"/>
    </row>
    <row r="47" spans="1:41" s="571" customFormat="1" ht="12.75" customHeight="1">
      <c r="A47" s="575"/>
      <c r="D47" s="582"/>
      <c r="E47" s="1891"/>
      <c r="F47" s="1892"/>
      <c r="G47" s="1892"/>
      <c r="H47" s="1892"/>
      <c r="I47" s="1892"/>
      <c r="J47" s="1892"/>
      <c r="K47" s="1892"/>
      <c r="L47" s="1892"/>
      <c r="M47" s="1892"/>
      <c r="N47" s="1892"/>
      <c r="O47" s="1892"/>
      <c r="P47" s="1892"/>
      <c r="Q47" s="1892"/>
      <c r="R47" s="1892"/>
      <c r="S47" s="1892"/>
      <c r="T47" s="1892"/>
      <c r="U47" s="1892"/>
      <c r="V47" s="1892"/>
      <c r="W47" s="1892"/>
      <c r="X47" s="1892"/>
      <c r="Y47" s="1892"/>
      <c r="Z47" s="1892"/>
      <c r="AA47" s="1892"/>
      <c r="AB47" s="1892"/>
      <c r="AC47" s="1892"/>
      <c r="AD47" s="1892"/>
      <c r="AE47" s="1892"/>
      <c r="AF47" s="1892"/>
      <c r="AG47" s="1892"/>
      <c r="AH47" s="1892"/>
      <c r="AI47" s="1892"/>
      <c r="AJ47" s="1893"/>
      <c r="AK47" s="575"/>
      <c r="AL47" s="575"/>
      <c r="AM47" s="575"/>
      <c r="AN47" s="570"/>
      <c r="AO47" s="594"/>
    </row>
    <row r="48" spans="1:41" s="571" customFormat="1" ht="12.75" customHeight="1">
      <c r="A48" s="575"/>
      <c r="D48" s="575"/>
      <c r="E48" s="1888"/>
      <c r="F48" s="1889"/>
      <c r="G48" s="1889"/>
      <c r="H48" s="1889"/>
      <c r="I48" s="1889"/>
      <c r="J48" s="1889"/>
      <c r="K48" s="1889"/>
      <c r="L48" s="1889"/>
      <c r="M48" s="1889"/>
      <c r="N48" s="1889"/>
      <c r="O48" s="1889"/>
      <c r="P48" s="1889"/>
      <c r="Q48" s="1889"/>
      <c r="R48" s="1889"/>
      <c r="S48" s="1889"/>
      <c r="T48" s="1889"/>
      <c r="U48" s="1889"/>
      <c r="V48" s="1889"/>
      <c r="W48" s="1889"/>
      <c r="X48" s="1889"/>
      <c r="Y48" s="1889"/>
      <c r="Z48" s="1889"/>
      <c r="AA48" s="1889"/>
      <c r="AB48" s="1889"/>
      <c r="AC48" s="1889"/>
      <c r="AD48" s="1889"/>
      <c r="AE48" s="1889"/>
      <c r="AF48" s="1889"/>
      <c r="AG48" s="1889"/>
      <c r="AH48" s="1889"/>
      <c r="AI48" s="1889"/>
      <c r="AJ48" s="1890"/>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84" t="s">
        <v>600</v>
      </c>
      <c r="C50" s="1884"/>
      <c r="D50" s="575"/>
      <c r="E50" s="1905" t="s">
        <v>2409</v>
      </c>
      <c r="F50" s="1906"/>
      <c r="G50" s="1906"/>
      <c r="H50" s="1906"/>
      <c r="I50" s="1906"/>
      <c r="J50" s="1906"/>
      <c r="K50" s="1906"/>
      <c r="L50" s="1906"/>
      <c r="M50" s="1906"/>
      <c r="N50" s="1906"/>
      <c r="O50" s="1906"/>
      <c r="P50" s="1906"/>
      <c r="Q50" s="1906"/>
      <c r="R50" s="1906"/>
      <c r="S50" s="1906"/>
      <c r="T50" s="1906"/>
      <c r="U50" s="1906"/>
      <c r="V50" s="1906"/>
      <c r="W50" s="1906"/>
      <c r="X50" s="1906"/>
      <c r="Y50" s="1906"/>
      <c r="Z50" s="1906"/>
      <c r="AA50" s="1906"/>
      <c r="AB50" s="1906"/>
      <c r="AC50" s="1906"/>
      <c r="AD50" s="1906"/>
      <c r="AE50" s="1906"/>
      <c r="AF50" s="1906"/>
      <c r="AG50" s="1906"/>
      <c r="AH50" s="1906"/>
      <c r="AI50" s="1906"/>
      <c r="AJ50" s="1907"/>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84" t="s">
        <v>600</v>
      </c>
      <c r="C52" s="1884"/>
      <c r="D52" s="575"/>
      <c r="E52" s="1885" t="s">
        <v>2410</v>
      </c>
      <c r="F52" s="1886"/>
      <c r="G52" s="1886"/>
      <c r="H52" s="1886"/>
      <c r="I52" s="1886"/>
      <c r="J52" s="1886"/>
      <c r="K52" s="1886"/>
      <c r="L52" s="1886"/>
      <c r="M52" s="1886"/>
      <c r="N52" s="1886"/>
      <c r="O52" s="1886"/>
      <c r="P52" s="1886"/>
      <c r="Q52" s="1886"/>
      <c r="R52" s="1886"/>
      <c r="S52" s="1886"/>
      <c r="T52" s="1886"/>
      <c r="U52" s="1886"/>
      <c r="V52" s="1886"/>
      <c r="W52" s="1886"/>
      <c r="X52" s="1886"/>
      <c r="Y52" s="1886"/>
      <c r="Z52" s="1886"/>
      <c r="AA52" s="1886"/>
      <c r="AB52" s="1886"/>
      <c r="AC52" s="1886"/>
      <c r="AD52" s="1886"/>
      <c r="AE52" s="1886"/>
      <c r="AF52" s="1886"/>
      <c r="AG52" s="1886"/>
      <c r="AH52" s="1886"/>
      <c r="AI52" s="1886"/>
      <c r="AJ52" s="1887"/>
      <c r="AK52" s="575"/>
      <c r="AL52" s="575"/>
      <c r="AM52" s="575"/>
      <c r="AN52" s="570"/>
    </row>
    <row r="53" spans="1:50" s="571" customFormat="1" ht="12.75" customHeight="1">
      <c r="A53" s="575"/>
      <c r="B53" s="582"/>
      <c r="C53" s="582"/>
      <c r="D53" s="582"/>
      <c r="E53" s="1888"/>
      <c r="F53" s="1889"/>
      <c r="G53" s="1889"/>
      <c r="H53" s="1889"/>
      <c r="I53" s="1889"/>
      <c r="J53" s="1889"/>
      <c r="K53" s="1889"/>
      <c r="L53" s="1889"/>
      <c r="M53" s="1889"/>
      <c r="N53" s="1889"/>
      <c r="O53" s="1889"/>
      <c r="P53" s="1889"/>
      <c r="Q53" s="1889"/>
      <c r="R53" s="1889"/>
      <c r="S53" s="1889"/>
      <c r="T53" s="1889"/>
      <c r="U53" s="1889"/>
      <c r="V53" s="1889"/>
      <c r="W53" s="1889"/>
      <c r="X53" s="1889"/>
      <c r="Y53" s="1889"/>
      <c r="Z53" s="1889"/>
      <c r="AA53" s="1889"/>
      <c r="AB53" s="1889"/>
      <c r="AC53" s="1889"/>
      <c r="AD53" s="1889"/>
      <c r="AE53" s="1889"/>
      <c r="AF53" s="1889"/>
      <c r="AG53" s="1889"/>
      <c r="AH53" s="1889"/>
      <c r="AI53" s="1889"/>
      <c r="AJ53" s="1890"/>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1481</v>
      </c>
      <c r="AK56" s="1914">
        <f>AO36</f>
        <v>0</v>
      </c>
      <c r="AL56" s="1915"/>
      <c r="AM56" s="1916"/>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1482</v>
      </c>
      <c r="B59" s="574" t="s">
        <v>1483</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94" t="s">
        <v>1484</v>
      </c>
      <c r="AF59" s="1894"/>
      <c r="AG59" s="1894"/>
      <c r="AH59" s="1894"/>
      <c r="AI59" s="1894"/>
      <c r="AJ59" s="1894"/>
      <c r="AK59" s="1894"/>
      <c r="AL59" s="575"/>
      <c r="AM59" s="575"/>
      <c r="AN59" s="570"/>
    </row>
    <row r="60" spans="1:50" s="571" customFormat="1" ht="12.75" customHeight="1">
      <c r="A60" s="573"/>
      <c r="B60" s="574" t="s">
        <v>1986</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84" t="s">
        <v>600</v>
      </c>
      <c r="C62" s="1884"/>
      <c r="D62" s="582" t="s">
        <v>1485</v>
      </c>
      <c r="E62" s="1895" t="s">
        <v>2411</v>
      </c>
      <c r="F62" s="1896"/>
      <c r="G62" s="1896"/>
      <c r="H62" s="1896"/>
      <c r="I62" s="1896"/>
      <c r="J62" s="1896"/>
      <c r="K62" s="1896"/>
      <c r="L62" s="1896"/>
      <c r="M62" s="1896"/>
      <c r="N62" s="1896"/>
      <c r="O62" s="1896"/>
      <c r="P62" s="1896"/>
      <c r="Q62" s="1896"/>
      <c r="R62" s="1896"/>
      <c r="S62" s="1896"/>
      <c r="T62" s="1896"/>
      <c r="U62" s="1896"/>
      <c r="V62" s="1896"/>
      <c r="W62" s="1896"/>
      <c r="X62" s="1896"/>
      <c r="Y62" s="1896"/>
      <c r="Z62" s="1896"/>
      <c r="AA62" s="1896"/>
      <c r="AB62" s="1896"/>
      <c r="AC62" s="1896"/>
      <c r="AD62" s="1896"/>
      <c r="AE62" s="1896"/>
      <c r="AF62" s="1896"/>
      <c r="AG62" s="1896"/>
      <c r="AH62" s="1896"/>
      <c r="AI62" s="1896"/>
      <c r="AJ62" s="1897"/>
      <c r="AK62" s="578"/>
      <c r="AL62" s="575"/>
      <c r="AM62" s="575"/>
      <c r="AN62" s="570"/>
      <c r="AO62" s="585">
        <f>IF($B62="yes",10,0)</f>
        <v>0</v>
      </c>
    </row>
    <row r="63" spans="1:50" s="571" customFormat="1" ht="12.75" customHeight="1">
      <c r="A63" s="573"/>
      <c r="B63" s="575"/>
      <c r="C63" s="575"/>
      <c r="D63" s="586"/>
      <c r="E63" s="1898"/>
      <c r="F63" s="1899"/>
      <c r="G63" s="1899"/>
      <c r="H63" s="1899"/>
      <c r="I63" s="1899"/>
      <c r="J63" s="1899"/>
      <c r="K63" s="1899"/>
      <c r="L63" s="1899"/>
      <c r="M63" s="1899"/>
      <c r="N63" s="1899"/>
      <c r="O63" s="1899"/>
      <c r="P63" s="1899"/>
      <c r="Q63" s="1899"/>
      <c r="R63" s="1899"/>
      <c r="S63" s="1899"/>
      <c r="T63" s="1899"/>
      <c r="U63" s="1899"/>
      <c r="V63" s="1899"/>
      <c r="W63" s="1899"/>
      <c r="X63" s="1899"/>
      <c r="Y63" s="1899"/>
      <c r="Z63" s="1899"/>
      <c r="AA63" s="1899"/>
      <c r="AB63" s="1899"/>
      <c r="AC63" s="1899"/>
      <c r="AD63" s="1899"/>
      <c r="AE63" s="1899"/>
      <c r="AF63" s="1899"/>
      <c r="AG63" s="1899"/>
      <c r="AH63" s="1899"/>
      <c r="AI63" s="1899"/>
      <c r="AJ63" s="1900"/>
      <c r="AK63" s="578"/>
      <c r="AL63" s="575"/>
      <c r="AM63" s="575"/>
      <c r="AN63" s="570"/>
      <c r="AO63" s="585">
        <f>IF($B68="yes",10,0)</f>
        <v>10</v>
      </c>
    </row>
    <row r="64" spans="1:50" s="571" customFormat="1" ht="12.75" customHeight="1">
      <c r="A64" s="573"/>
      <c r="B64" s="575"/>
      <c r="C64" s="575"/>
      <c r="D64" s="586"/>
      <c r="E64" s="1898"/>
      <c r="F64" s="1899"/>
      <c r="G64" s="1899"/>
      <c r="H64" s="1899"/>
      <c r="I64" s="1899"/>
      <c r="J64" s="1899"/>
      <c r="K64" s="1899"/>
      <c r="L64" s="1899"/>
      <c r="M64" s="1899"/>
      <c r="N64" s="1899"/>
      <c r="O64" s="1899"/>
      <c r="P64" s="1899"/>
      <c r="Q64" s="1899"/>
      <c r="R64" s="1899"/>
      <c r="S64" s="1899"/>
      <c r="T64" s="1899"/>
      <c r="U64" s="1899"/>
      <c r="V64" s="1899"/>
      <c r="W64" s="1899"/>
      <c r="X64" s="1899"/>
      <c r="Y64" s="1899"/>
      <c r="Z64" s="1899"/>
      <c r="AA64" s="1899"/>
      <c r="AB64" s="1899"/>
      <c r="AC64" s="1899"/>
      <c r="AD64" s="1899"/>
      <c r="AE64" s="1899"/>
      <c r="AF64" s="1899"/>
      <c r="AG64" s="1899"/>
      <c r="AH64" s="1899"/>
      <c r="AI64" s="1899"/>
      <c r="AJ64" s="1900"/>
      <c r="AK64" s="578"/>
      <c r="AL64" s="575"/>
      <c r="AM64" s="575"/>
      <c r="AN64" s="570"/>
      <c r="AO64" s="585">
        <f>IF($B75="yes",10,0)</f>
        <v>0</v>
      </c>
    </row>
    <row r="65" spans="1:42" s="571" customFormat="1" ht="12.75" customHeight="1">
      <c r="A65" s="573"/>
      <c r="B65" s="575"/>
      <c r="C65" s="575"/>
      <c r="D65" s="586"/>
      <c r="E65" s="1898"/>
      <c r="F65" s="1899"/>
      <c r="G65" s="1899"/>
      <c r="H65" s="1899"/>
      <c r="I65" s="1899"/>
      <c r="J65" s="1899"/>
      <c r="K65" s="1899"/>
      <c r="L65" s="1899"/>
      <c r="M65" s="1899"/>
      <c r="N65" s="1899"/>
      <c r="O65" s="1899"/>
      <c r="P65" s="1899"/>
      <c r="Q65" s="1899"/>
      <c r="R65" s="1899"/>
      <c r="S65" s="1899"/>
      <c r="T65" s="1899"/>
      <c r="U65" s="1899"/>
      <c r="V65" s="1899"/>
      <c r="W65" s="1899"/>
      <c r="X65" s="1899"/>
      <c r="Y65" s="1899"/>
      <c r="Z65" s="1899"/>
      <c r="AA65" s="1899"/>
      <c r="AB65" s="1899"/>
      <c r="AC65" s="1899"/>
      <c r="AD65" s="1899"/>
      <c r="AE65" s="1899"/>
      <c r="AF65" s="1899"/>
      <c r="AG65" s="1899"/>
      <c r="AH65" s="1899"/>
      <c r="AI65" s="1899"/>
      <c r="AJ65" s="1900"/>
      <c r="AK65" s="578"/>
      <c r="AL65" s="575"/>
      <c r="AM65" s="575"/>
      <c r="AN65" s="570"/>
      <c r="AO65" s="571">
        <f>IF(SUM(AO62:AO64)&gt;10,10,(SUM(AO62:AO64)))</f>
        <v>10</v>
      </c>
      <c r="AP65" s="609" t="s">
        <v>1486</v>
      </c>
    </row>
    <row r="66" spans="1:42" s="571" customFormat="1" ht="12.75" customHeight="1">
      <c r="A66" s="573"/>
      <c r="B66" s="575"/>
      <c r="C66" s="575"/>
      <c r="D66" s="586"/>
      <c r="E66" s="1901"/>
      <c r="F66" s="1902"/>
      <c r="G66" s="1902"/>
      <c r="H66" s="1902"/>
      <c r="I66" s="1902"/>
      <c r="J66" s="1902"/>
      <c r="K66" s="1902"/>
      <c r="L66" s="1902"/>
      <c r="M66" s="1902"/>
      <c r="N66" s="1902"/>
      <c r="O66" s="1902"/>
      <c r="P66" s="1902"/>
      <c r="Q66" s="1902"/>
      <c r="R66" s="1902"/>
      <c r="S66" s="1902"/>
      <c r="T66" s="1902"/>
      <c r="U66" s="1902"/>
      <c r="V66" s="1902"/>
      <c r="W66" s="1902"/>
      <c r="X66" s="1902"/>
      <c r="Y66" s="1902"/>
      <c r="Z66" s="1902"/>
      <c r="AA66" s="1902"/>
      <c r="AB66" s="1902"/>
      <c r="AC66" s="1902"/>
      <c r="AD66" s="1902"/>
      <c r="AE66" s="1902"/>
      <c r="AF66" s="1902"/>
      <c r="AG66" s="1902"/>
      <c r="AH66" s="1902"/>
      <c r="AI66" s="1902"/>
      <c r="AJ66" s="1903"/>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84" t="s">
        <v>554</v>
      </c>
      <c r="C68" s="1884"/>
      <c r="D68" s="582" t="s">
        <v>1487</v>
      </c>
      <c r="E68" s="1007" t="s">
        <v>1982</v>
      </c>
      <c r="F68" s="1008"/>
      <c r="G68" s="1008"/>
      <c r="H68" s="1008"/>
      <c r="I68" s="1008"/>
      <c r="J68" s="1008"/>
      <c r="K68" s="1008"/>
      <c r="L68" s="1008"/>
      <c r="M68" s="1008"/>
      <c r="N68" s="1008"/>
      <c r="O68" s="1008"/>
      <c r="P68" s="1008"/>
      <c r="Q68" s="1008"/>
      <c r="R68" s="1008"/>
      <c r="S68" s="1008"/>
      <c r="T68" s="1008"/>
      <c r="U68" s="1008"/>
      <c r="V68" s="1008"/>
      <c r="W68" s="1008"/>
      <c r="X68" s="1008"/>
      <c r="Y68" s="1008"/>
      <c r="Z68" s="1008"/>
      <c r="AA68" s="1008"/>
      <c r="AB68" s="1008"/>
      <c r="AC68" s="1008"/>
      <c r="AD68" s="1008"/>
      <c r="AE68" s="1008"/>
      <c r="AF68" s="1008"/>
      <c r="AG68" s="1008"/>
      <c r="AH68" s="1008"/>
      <c r="AI68" s="1008"/>
      <c r="AJ68" s="1009"/>
      <c r="AK68" s="578"/>
      <c r="AL68" s="575"/>
      <c r="AM68" s="575"/>
      <c r="AN68" s="570"/>
    </row>
    <row r="69" spans="1:42" s="571" customFormat="1" ht="12.75" customHeight="1">
      <c r="A69" s="573"/>
      <c r="B69" s="575"/>
      <c r="C69" s="575"/>
      <c r="D69" s="585"/>
      <c r="E69" s="1904" t="s">
        <v>554</v>
      </c>
      <c r="F69" s="1884"/>
      <c r="G69" s="610"/>
      <c r="H69" s="593" t="s">
        <v>1488</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0"/>
      <c r="AK69" s="578"/>
      <c r="AL69" s="575"/>
      <c r="AM69" s="575"/>
      <c r="AN69" s="570"/>
    </row>
    <row r="70" spans="1:42" s="571" customFormat="1" ht="12.75" customHeight="1">
      <c r="A70" s="573"/>
      <c r="B70" s="575"/>
      <c r="C70" s="575"/>
      <c r="D70" s="585"/>
      <c r="E70" s="1882" t="s">
        <v>600</v>
      </c>
      <c r="F70" s="1883"/>
      <c r="G70" s="610"/>
      <c r="H70" s="593" t="s">
        <v>1489</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0"/>
      <c r="AK70" s="578"/>
      <c r="AL70" s="575"/>
      <c r="AM70" s="575"/>
      <c r="AN70" s="570"/>
    </row>
    <row r="71" spans="1:42" s="571" customFormat="1" ht="12.75" customHeight="1">
      <c r="A71" s="573"/>
      <c r="B71" s="575"/>
      <c r="C71" s="575"/>
      <c r="D71" s="585"/>
      <c r="E71" s="1882" t="s">
        <v>600</v>
      </c>
      <c r="F71" s="1883"/>
      <c r="G71" s="610"/>
      <c r="H71" s="593" t="s">
        <v>1997</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0"/>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0"/>
      <c r="AK72" s="578"/>
      <c r="AL72" s="575"/>
      <c r="AM72" s="575"/>
      <c r="AN72" s="570"/>
    </row>
    <row r="73" spans="1:42" s="571" customFormat="1" ht="12.75" customHeight="1">
      <c r="A73" s="573"/>
      <c r="B73" s="575"/>
      <c r="C73" s="575"/>
      <c r="D73" s="585"/>
      <c r="E73" s="1904" t="s">
        <v>600</v>
      </c>
      <c r="F73" s="1884"/>
      <c r="G73" s="943"/>
      <c r="H73" s="1012" t="s">
        <v>1996</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84" t="s">
        <v>600</v>
      </c>
      <c r="C75" s="1884"/>
      <c r="D75" s="582" t="s">
        <v>1490</v>
      </c>
      <c r="E75" s="1885" t="s">
        <v>1998</v>
      </c>
      <c r="F75" s="1886"/>
      <c r="G75" s="1886"/>
      <c r="H75" s="1886"/>
      <c r="I75" s="1886"/>
      <c r="J75" s="1886"/>
      <c r="K75" s="1886"/>
      <c r="L75" s="1886"/>
      <c r="M75" s="1886"/>
      <c r="N75" s="1886"/>
      <c r="O75" s="1886"/>
      <c r="P75" s="1886"/>
      <c r="Q75" s="1886"/>
      <c r="R75" s="1886"/>
      <c r="S75" s="1886"/>
      <c r="T75" s="1886"/>
      <c r="U75" s="1886"/>
      <c r="V75" s="1886"/>
      <c r="W75" s="1886"/>
      <c r="X75" s="1886"/>
      <c r="Y75" s="1886"/>
      <c r="Z75" s="1886"/>
      <c r="AA75" s="1886"/>
      <c r="AB75" s="1886"/>
      <c r="AC75" s="1886"/>
      <c r="AD75" s="1886"/>
      <c r="AE75" s="1886"/>
      <c r="AF75" s="1886"/>
      <c r="AG75" s="1886"/>
      <c r="AH75" s="1886"/>
      <c r="AI75" s="1886"/>
      <c r="AJ75" s="1887"/>
      <c r="AK75" s="578"/>
      <c r="AL75" s="575"/>
      <c r="AM75" s="575"/>
      <c r="AN75" s="570"/>
    </row>
    <row r="76" spans="1:42" s="571" customFormat="1" ht="12.75" customHeight="1">
      <c r="A76" s="573"/>
      <c r="B76" s="575"/>
      <c r="C76" s="575"/>
      <c r="D76" s="585"/>
      <c r="E76" s="1888"/>
      <c r="F76" s="1889"/>
      <c r="G76" s="1889"/>
      <c r="H76" s="1889"/>
      <c r="I76" s="1889"/>
      <c r="J76" s="1889"/>
      <c r="K76" s="1889"/>
      <c r="L76" s="1889"/>
      <c r="M76" s="1889"/>
      <c r="N76" s="1889"/>
      <c r="O76" s="1889"/>
      <c r="P76" s="1889"/>
      <c r="Q76" s="1889"/>
      <c r="R76" s="1889"/>
      <c r="S76" s="1889"/>
      <c r="T76" s="1889"/>
      <c r="U76" s="1889"/>
      <c r="V76" s="1889"/>
      <c r="W76" s="1889"/>
      <c r="X76" s="1889"/>
      <c r="Y76" s="1889"/>
      <c r="Z76" s="1889"/>
      <c r="AA76" s="1889"/>
      <c r="AB76" s="1889"/>
      <c r="AC76" s="1889"/>
      <c r="AD76" s="1889"/>
      <c r="AE76" s="1889"/>
      <c r="AF76" s="1889"/>
      <c r="AG76" s="1889"/>
      <c r="AH76" s="1889"/>
      <c r="AI76" s="1889"/>
      <c r="AJ76" s="1890"/>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1491</v>
      </c>
      <c r="AK78" s="1914">
        <f>IF(AK56&gt;0,0,AO65)</f>
        <v>10</v>
      </c>
      <c r="AL78" s="1915"/>
      <c r="AM78" s="1916"/>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1492</v>
      </c>
      <c r="B81" s="574" t="s">
        <v>1493</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94" t="s">
        <v>1475</v>
      </c>
      <c r="AF81" s="1894"/>
      <c r="AG81" s="1894"/>
      <c r="AH81" s="1894"/>
      <c r="AI81" s="1894"/>
      <c r="AJ81" s="1894"/>
      <c r="AK81" s="1894"/>
      <c r="AL81" s="575"/>
      <c r="AM81" s="575"/>
      <c r="AN81" s="570"/>
    </row>
    <row r="82" spans="1:43" s="571" customFormat="1" ht="12.75" customHeight="1">
      <c r="A82" s="573"/>
      <c r="B82" s="574" t="s">
        <v>1494</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84" t="s">
        <v>600</v>
      </c>
      <c r="C84" s="1884"/>
      <c r="D84" s="582" t="s">
        <v>1485</v>
      </c>
      <c r="E84" s="1895" t="s">
        <v>1495</v>
      </c>
      <c r="F84" s="1896"/>
      <c r="G84" s="1896"/>
      <c r="H84" s="1896"/>
      <c r="I84" s="1896"/>
      <c r="J84" s="1896"/>
      <c r="K84" s="1896"/>
      <c r="L84" s="1896"/>
      <c r="M84" s="1896"/>
      <c r="N84" s="1896"/>
      <c r="O84" s="1896"/>
      <c r="P84" s="1896"/>
      <c r="Q84" s="1896"/>
      <c r="R84" s="1896"/>
      <c r="S84" s="1896"/>
      <c r="T84" s="1896"/>
      <c r="U84" s="1896"/>
      <c r="V84" s="1896"/>
      <c r="W84" s="1896"/>
      <c r="X84" s="1896"/>
      <c r="Y84" s="1896"/>
      <c r="Z84" s="1896"/>
      <c r="AA84" s="1896"/>
      <c r="AB84" s="1896"/>
      <c r="AC84" s="1896"/>
      <c r="AD84" s="1896"/>
      <c r="AE84" s="1896"/>
      <c r="AF84" s="1896"/>
      <c r="AG84" s="1896"/>
      <c r="AH84" s="1896"/>
      <c r="AI84" s="1896"/>
      <c r="AJ84" s="1897"/>
      <c r="AK84" s="578"/>
      <c r="AL84" s="575"/>
      <c r="AM84" s="575"/>
      <c r="AN84" s="570"/>
    </row>
    <row r="85" spans="1:43" s="571" customFormat="1" ht="12.75" customHeight="1">
      <c r="A85" s="573"/>
      <c r="B85" s="574"/>
      <c r="C85" s="574"/>
      <c r="D85" s="574"/>
      <c r="E85" s="1898"/>
      <c r="F85" s="1899"/>
      <c r="G85" s="1899"/>
      <c r="H85" s="1899"/>
      <c r="I85" s="1899"/>
      <c r="J85" s="1899"/>
      <c r="K85" s="1899"/>
      <c r="L85" s="1899"/>
      <c r="M85" s="1899"/>
      <c r="N85" s="1899"/>
      <c r="O85" s="1899"/>
      <c r="P85" s="1899"/>
      <c r="Q85" s="1899"/>
      <c r="R85" s="1899"/>
      <c r="S85" s="1899"/>
      <c r="T85" s="1899"/>
      <c r="U85" s="1899"/>
      <c r="V85" s="1899"/>
      <c r="W85" s="1899"/>
      <c r="X85" s="1899"/>
      <c r="Y85" s="1899"/>
      <c r="Z85" s="1899"/>
      <c r="AA85" s="1899"/>
      <c r="AB85" s="1899"/>
      <c r="AC85" s="1899"/>
      <c r="AD85" s="1899"/>
      <c r="AE85" s="1899"/>
      <c r="AF85" s="1899"/>
      <c r="AG85" s="1899"/>
      <c r="AH85" s="1899"/>
      <c r="AI85" s="1899"/>
      <c r="AJ85" s="1900"/>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78">
        <f>Application!AC739</f>
        <v>0.6</v>
      </c>
      <c r="F87" s="1879"/>
      <c r="G87" s="1879"/>
      <c r="H87" s="1879"/>
      <c r="I87" s="612"/>
      <c r="J87" s="615" t="s">
        <v>1496</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80">
        <f>0.6-ROUNDUP(E87,2)</f>
        <v>0</v>
      </c>
      <c r="F88" s="1881"/>
      <c r="G88" s="1881"/>
      <c r="H88" s="1881"/>
      <c r="I88" s="612"/>
      <c r="J88" s="615" t="s">
        <v>1497</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08">
        <f>IF(E88*200&gt;20,20,E88*200)</f>
        <v>0</v>
      </c>
      <c r="F89" s="1909"/>
      <c r="G89" s="1909"/>
      <c r="H89" s="1909"/>
      <c r="I89" s="612"/>
      <c r="J89" s="615" t="s">
        <v>1498</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1478</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84" t="s">
        <v>554</v>
      </c>
      <c r="C92" s="1884"/>
      <c r="D92" s="582" t="s">
        <v>1487</v>
      </c>
      <c r="E92" s="1895" t="s">
        <v>1983</v>
      </c>
      <c r="F92" s="1896"/>
      <c r="G92" s="1896"/>
      <c r="H92" s="1896"/>
      <c r="I92" s="1896"/>
      <c r="J92" s="1896"/>
      <c r="K92" s="1896"/>
      <c r="L92" s="1896"/>
      <c r="M92" s="1896"/>
      <c r="N92" s="1896"/>
      <c r="O92" s="1896"/>
      <c r="P92" s="1896"/>
      <c r="Q92" s="1896"/>
      <c r="R92" s="1896"/>
      <c r="S92" s="1896"/>
      <c r="T92" s="1896"/>
      <c r="U92" s="1896"/>
      <c r="V92" s="1896"/>
      <c r="W92" s="1896"/>
      <c r="X92" s="1896"/>
      <c r="Y92" s="1896"/>
      <c r="Z92" s="1896"/>
      <c r="AA92" s="1896"/>
      <c r="AB92" s="1896"/>
      <c r="AC92" s="1896"/>
      <c r="AD92" s="1896"/>
      <c r="AE92" s="1896"/>
      <c r="AF92" s="1896"/>
      <c r="AG92" s="1896"/>
      <c r="AH92" s="1896"/>
      <c r="AI92" s="1896"/>
      <c r="AJ92" s="1897"/>
      <c r="AK92" s="578"/>
      <c r="AL92" s="575"/>
      <c r="AM92" s="575"/>
      <c r="AN92" s="570"/>
    </row>
    <row r="93" spans="1:43" s="571" customFormat="1" ht="12.75" customHeight="1">
      <c r="A93" s="573"/>
      <c r="B93" s="574"/>
      <c r="C93" s="574"/>
      <c r="D93" s="574"/>
      <c r="E93" s="1898"/>
      <c r="F93" s="1899"/>
      <c r="G93" s="1899"/>
      <c r="H93" s="1899"/>
      <c r="I93" s="1899"/>
      <c r="J93" s="1899"/>
      <c r="K93" s="1899"/>
      <c r="L93" s="1899"/>
      <c r="M93" s="1899"/>
      <c r="N93" s="1899"/>
      <c r="O93" s="1899"/>
      <c r="P93" s="1899"/>
      <c r="Q93" s="1899"/>
      <c r="R93" s="1899"/>
      <c r="S93" s="1899"/>
      <c r="T93" s="1899"/>
      <c r="U93" s="1899"/>
      <c r="V93" s="1899"/>
      <c r="W93" s="1899"/>
      <c r="X93" s="1899"/>
      <c r="Y93" s="1899"/>
      <c r="Z93" s="1899"/>
      <c r="AA93" s="1899"/>
      <c r="AB93" s="1899"/>
      <c r="AC93" s="1899"/>
      <c r="AD93" s="1899"/>
      <c r="AE93" s="1899"/>
      <c r="AF93" s="1899"/>
      <c r="AG93" s="1899"/>
      <c r="AH93" s="1899"/>
      <c r="AI93" s="1899"/>
      <c r="AJ93" s="1900"/>
      <c r="AK93" s="578"/>
      <c r="AL93" s="575"/>
      <c r="AM93" s="575"/>
      <c r="AN93" s="570"/>
    </row>
    <row r="94" spans="1:43" s="571" customFormat="1" ht="12.75" customHeight="1">
      <c r="A94" s="573"/>
      <c r="B94" s="574"/>
      <c r="C94" s="574"/>
      <c r="D94" s="574"/>
      <c r="E94" s="1898"/>
      <c r="F94" s="1899"/>
      <c r="G94" s="1899"/>
      <c r="H94" s="1899"/>
      <c r="I94" s="1899"/>
      <c r="J94" s="1899"/>
      <c r="K94" s="1899"/>
      <c r="L94" s="1899"/>
      <c r="M94" s="1899"/>
      <c r="N94" s="1899"/>
      <c r="O94" s="1899"/>
      <c r="P94" s="1899"/>
      <c r="Q94" s="1899"/>
      <c r="R94" s="1899"/>
      <c r="S94" s="1899"/>
      <c r="T94" s="1899"/>
      <c r="U94" s="1899"/>
      <c r="V94" s="1899"/>
      <c r="W94" s="1899"/>
      <c r="X94" s="1899"/>
      <c r="Y94" s="1899"/>
      <c r="Z94" s="1899"/>
      <c r="AA94" s="1899"/>
      <c r="AB94" s="1899"/>
      <c r="AC94" s="1899"/>
      <c r="AD94" s="1899"/>
      <c r="AE94" s="1899"/>
      <c r="AF94" s="1899"/>
      <c r="AG94" s="1899"/>
      <c r="AH94" s="1899"/>
      <c r="AI94" s="1899"/>
      <c r="AJ94" s="1900"/>
      <c r="AK94" s="578"/>
      <c r="AL94" s="575"/>
      <c r="AM94" s="575"/>
      <c r="AN94" s="570"/>
    </row>
    <row r="95" spans="1:43" s="571" customFormat="1" ht="12.75" customHeight="1">
      <c r="A95" s="573"/>
      <c r="B95" s="574"/>
      <c r="C95" s="574"/>
      <c r="D95" s="574"/>
      <c r="E95" s="1898"/>
      <c r="F95" s="1899"/>
      <c r="G95" s="1899"/>
      <c r="H95" s="1899"/>
      <c r="I95" s="1899"/>
      <c r="J95" s="1899"/>
      <c r="K95" s="1899"/>
      <c r="L95" s="1899"/>
      <c r="M95" s="1899"/>
      <c r="N95" s="1899"/>
      <c r="O95" s="1899"/>
      <c r="P95" s="1899"/>
      <c r="Q95" s="1899"/>
      <c r="R95" s="1899"/>
      <c r="S95" s="1899"/>
      <c r="T95" s="1899"/>
      <c r="U95" s="1899"/>
      <c r="V95" s="1899"/>
      <c r="W95" s="1899"/>
      <c r="X95" s="1899"/>
      <c r="Y95" s="1899"/>
      <c r="Z95" s="1899"/>
      <c r="AA95" s="1899"/>
      <c r="AB95" s="1899"/>
      <c r="AC95" s="1899"/>
      <c r="AD95" s="1899"/>
      <c r="AE95" s="1899"/>
      <c r="AF95" s="1899"/>
      <c r="AG95" s="1899"/>
      <c r="AH95" s="1899"/>
      <c r="AI95" s="1899"/>
      <c r="AJ95" s="1900"/>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78">
        <f>Application!AC739</f>
        <v>0.6</v>
      </c>
      <c r="F97" s="1879"/>
      <c r="G97" s="1879"/>
      <c r="H97" s="1879"/>
      <c r="I97" s="612"/>
      <c r="J97" s="615" t="s">
        <v>1496</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78">
        <f ca="1">SUMIF(Application!AC714:AG738,0.2,Application!G714:J738)/Application!G739+SUMIF(Application!AC714:AG738,0.25,Application!G714:J738)/Application!G739+SUMIF(Application!AC714:AG738,0.3,Application!G714:J738)/Application!G739</f>
        <v>0.21637426900584794</v>
      </c>
      <c r="F98" s="1879"/>
      <c r="G98" s="1879"/>
      <c r="H98" s="1879"/>
      <c r="I98" s="612"/>
      <c r="J98" s="615" t="s">
        <v>1499</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78">
        <f ca="1">SUMIF(Application!AC714:AG738,0.35,Application!G714:J738)/Application!G739+SUMIF(Application!AC714:AG738,0.4,Application!G714:J738)/Application!G739+SUMIF(Application!AC714:AG738,0.45,Application!G714:J738)/Application!G739+SUMIF(Application!AC714:AG738,0.5,Application!G714:J738)/Application!G739</f>
        <v>0</v>
      </c>
      <c r="F99" s="1879"/>
      <c r="G99" s="1879"/>
      <c r="H99" s="1879"/>
      <c r="I99" s="612"/>
      <c r="J99" s="615" t="s">
        <v>1500</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33">
        <f ca="1">IF(AND(E97&lt;=0.6,E98&gt;=0.1,OR(E99&gt;=0.1,E98&gt;=0.2)),20,0)</f>
        <v>20</v>
      </c>
      <c r="F100" s="1934"/>
      <c r="G100" s="1934"/>
      <c r="H100" s="1934"/>
      <c r="I100" s="588"/>
      <c r="J100" s="622" t="s">
        <v>1498</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1478</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1501</v>
      </c>
      <c r="AK103" s="1914">
        <f ca="1">MAX(AP89,AP100)</f>
        <v>20</v>
      </c>
      <c r="AL103" s="1915"/>
      <c r="AM103" s="1916"/>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1502</v>
      </c>
      <c r="B106" s="574" t="s">
        <v>1503</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94" t="s">
        <v>1484</v>
      </c>
      <c r="AF106" s="1894"/>
      <c r="AG106" s="1894"/>
      <c r="AH106" s="1894"/>
      <c r="AI106" s="1894"/>
      <c r="AJ106" s="1894"/>
      <c r="AK106" s="1894"/>
      <c r="AL106" s="575"/>
      <c r="AM106" s="575"/>
      <c r="AN106" s="570"/>
      <c r="AO106" s="571" t="str">
        <f>Application!B714</f>
        <v>SRO/Studio</v>
      </c>
      <c r="AQ106" s="571">
        <f>Application!O714</f>
        <v>599</v>
      </c>
    </row>
    <row r="107" spans="1:49" s="571" customFormat="1" ht="12.75" customHeight="1">
      <c r="A107" s="575"/>
      <c r="B107" s="574" t="s">
        <v>1494</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1432</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633</v>
      </c>
    </row>
    <row r="109" spans="1:49" s="571" customFormat="1" ht="12.75" customHeight="1">
      <c r="A109" s="575"/>
      <c r="B109" s="1884" t="s">
        <v>554</v>
      </c>
      <c r="C109" s="1884"/>
      <c r="D109" s="582" t="s">
        <v>1485</v>
      </c>
      <c r="E109" s="1895" t="s">
        <v>2118</v>
      </c>
      <c r="F109" s="1896"/>
      <c r="G109" s="1896"/>
      <c r="H109" s="1896"/>
      <c r="I109" s="1896"/>
      <c r="J109" s="1896"/>
      <c r="K109" s="1896"/>
      <c r="L109" s="1896"/>
      <c r="M109" s="1896"/>
      <c r="N109" s="1896"/>
      <c r="O109" s="1896"/>
      <c r="P109" s="1896"/>
      <c r="Q109" s="1896"/>
      <c r="R109" s="1896"/>
      <c r="S109" s="1896"/>
      <c r="T109" s="1896"/>
      <c r="U109" s="1896"/>
      <c r="V109" s="1896"/>
      <c r="W109" s="1896"/>
      <c r="X109" s="1896"/>
      <c r="Y109" s="1896"/>
      <c r="Z109" s="1896"/>
      <c r="AA109" s="1896"/>
      <c r="AB109" s="1896"/>
      <c r="AC109" s="1896"/>
      <c r="AD109" s="1896"/>
      <c r="AE109" s="1896"/>
      <c r="AF109" s="1896"/>
      <c r="AG109" s="1896"/>
      <c r="AH109" s="1896"/>
      <c r="AI109" s="1896"/>
      <c r="AJ109" s="1897"/>
      <c r="AK109" s="575"/>
      <c r="AL109" s="575"/>
      <c r="AM109" s="575"/>
      <c r="AN109" s="570"/>
      <c r="AO109" s="571" t="str">
        <f>Application!B717</f>
        <v>1 Bedroom</v>
      </c>
      <c r="AQ109" s="571">
        <f>Application!O717</f>
        <v>1526</v>
      </c>
      <c r="AU109" s="571" t="s">
        <v>2100</v>
      </c>
      <c r="AV109" s="630" t="s">
        <v>2101</v>
      </c>
      <c r="AW109" s="571" t="s">
        <v>2102</v>
      </c>
    </row>
    <row r="110" spans="1:49" s="571" customFormat="1" ht="12.75" customHeight="1">
      <c r="A110" s="575"/>
      <c r="B110" s="574"/>
      <c r="C110" s="574"/>
      <c r="D110" s="574"/>
      <c r="E110" s="1898"/>
      <c r="F110" s="1899"/>
      <c r="G110" s="1899"/>
      <c r="H110" s="1899"/>
      <c r="I110" s="1899"/>
      <c r="J110" s="1899"/>
      <c r="K110" s="1899"/>
      <c r="L110" s="1899"/>
      <c r="M110" s="1899"/>
      <c r="N110" s="1899"/>
      <c r="O110" s="1899"/>
      <c r="P110" s="1899"/>
      <c r="Q110" s="1899"/>
      <c r="R110" s="1899"/>
      <c r="S110" s="1899"/>
      <c r="T110" s="1899"/>
      <c r="U110" s="1899"/>
      <c r="V110" s="1899"/>
      <c r="W110" s="1899"/>
      <c r="X110" s="1899"/>
      <c r="Y110" s="1899"/>
      <c r="Z110" s="1899"/>
      <c r="AA110" s="1899"/>
      <c r="AB110" s="1899"/>
      <c r="AC110" s="1899"/>
      <c r="AD110" s="1899"/>
      <c r="AE110" s="1899"/>
      <c r="AF110" s="1899"/>
      <c r="AG110" s="1899"/>
      <c r="AH110" s="1899"/>
      <c r="AI110" s="1899"/>
      <c r="AJ110" s="1900"/>
      <c r="AK110" s="575"/>
      <c r="AL110" s="575"/>
      <c r="AM110" s="575"/>
      <c r="AN110" s="570"/>
      <c r="AO110" s="571" t="str">
        <f>Application!B718</f>
        <v>2 Bedrooms</v>
      </c>
      <c r="AQ110" s="571">
        <f>Application!O718</f>
        <v>755</v>
      </c>
      <c r="AU110" s="892" t="str">
        <f>E118</f>
        <v>Studio/SRO</v>
      </c>
      <c r="AV110" s="571">
        <f t="array" ref="AV110">SUM(IF(Application!B714:F738="SRO/Studio",Application!G714:J738))</f>
        <v>40</v>
      </c>
      <c r="AW110" s="1047">
        <f>AV110/AV116</f>
        <v>0.23391812865497075</v>
      </c>
    </row>
    <row r="111" spans="1:49" s="571" customFormat="1" ht="12.75" customHeight="1">
      <c r="A111" s="575"/>
      <c r="B111" s="574"/>
      <c r="C111" s="574"/>
      <c r="D111" s="574"/>
      <c r="E111" s="1898"/>
      <c r="F111" s="1899"/>
      <c r="G111" s="1899"/>
      <c r="H111" s="1899"/>
      <c r="I111" s="1899"/>
      <c r="J111" s="1899"/>
      <c r="K111" s="1899"/>
      <c r="L111" s="1899"/>
      <c r="M111" s="1899"/>
      <c r="N111" s="1899"/>
      <c r="O111" s="1899"/>
      <c r="P111" s="1899"/>
      <c r="Q111" s="1899"/>
      <c r="R111" s="1899"/>
      <c r="S111" s="1899"/>
      <c r="T111" s="1899"/>
      <c r="U111" s="1899"/>
      <c r="V111" s="1899"/>
      <c r="W111" s="1899"/>
      <c r="X111" s="1899"/>
      <c r="Y111" s="1899"/>
      <c r="Z111" s="1899"/>
      <c r="AA111" s="1899"/>
      <c r="AB111" s="1899"/>
      <c r="AC111" s="1899"/>
      <c r="AD111" s="1899"/>
      <c r="AE111" s="1899"/>
      <c r="AF111" s="1899"/>
      <c r="AG111" s="1899"/>
      <c r="AH111" s="1899"/>
      <c r="AI111" s="1899"/>
      <c r="AJ111" s="1900"/>
      <c r="AK111" s="575"/>
      <c r="AL111" s="575"/>
      <c r="AM111" s="575"/>
      <c r="AN111" s="570"/>
      <c r="AO111" s="571" t="str">
        <f>Application!B719</f>
        <v>2 Bedrooms</v>
      </c>
      <c r="AQ111" s="571">
        <f>Application!O719</f>
        <v>1559</v>
      </c>
      <c r="AU111" s="892" t="str">
        <f>J118</f>
        <v>1-bedroom</v>
      </c>
      <c r="AV111" s="571">
        <f t="array" ref="AV111">SUM(IF(Application!B714:F738="1 Bedroom",Application!G714:J738))</f>
        <v>41</v>
      </c>
      <c r="AW111" s="1047">
        <f>AV111/AV116</f>
        <v>0.23976608187134502</v>
      </c>
    </row>
    <row r="112" spans="1:49" s="571" customFormat="1" ht="12.75" customHeight="1">
      <c r="A112" s="575"/>
      <c r="B112" s="574"/>
      <c r="C112" s="574"/>
      <c r="D112" s="574"/>
      <c r="E112" s="1898"/>
      <c r="F112" s="1899"/>
      <c r="G112" s="1899"/>
      <c r="H112" s="1899"/>
      <c r="I112" s="1899"/>
      <c r="J112" s="1899"/>
      <c r="K112" s="1899"/>
      <c r="L112" s="1899"/>
      <c r="M112" s="1899"/>
      <c r="N112" s="1899"/>
      <c r="O112" s="1899"/>
      <c r="P112" s="1899"/>
      <c r="Q112" s="1899"/>
      <c r="R112" s="1899"/>
      <c r="S112" s="1899"/>
      <c r="T112" s="1899"/>
      <c r="U112" s="1899"/>
      <c r="V112" s="1899"/>
      <c r="W112" s="1899"/>
      <c r="X112" s="1899"/>
      <c r="Y112" s="1899"/>
      <c r="Z112" s="1899"/>
      <c r="AA112" s="1899"/>
      <c r="AB112" s="1899"/>
      <c r="AC112" s="1899"/>
      <c r="AD112" s="1899"/>
      <c r="AE112" s="1899"/>
      <c r="AF112" s="1899"/>
      <c r="AG112" s="1899"/>
      <c r="AH112" s="1899"/>
      <c r="AI112" s="1899"/>
      <c r="AJ112" s="1900"/>
      <c r="AK112" s="575"/>
      <c r="AL112" s="575"/>
      <c r="AM112" s="575"/>
      <c r="AN112" s="570"/>
      <c r="AO112" s="571" t="str">
        <f>Application!B720</f>
        <v>2 Bedrooms</v>
      </c>
      <c r="AQ112" s="571">
        <f>Application!O720</f>
        <v>1826.9999999999998</v>
      </c>
      <c r="AU112" s="892" t="str">
        <f>O118</f>
        <v>2-bedroom</v>
      </c>
      <c r="AV112" s="571">
        <f t="array" ref="AV112">SUM(IF(Application!B714:F738="2 Bedrooms",Application!G714:J738))</f>
        <v>44</v>
      </c>
      <c r="AW112" s="1047">
        <f>AV112/AV116</f>
        <v>0.25730994152046782</v>
      </c>
    </row>
    <row r="113" spans="1:52" s="571" customFormat="1" ht="12.75" customHeight="1">
      <c r="A113" s="575"/>
      <c r="B113" s="574"/>
      <c r="C113" s="574"/>
      <c r="D113" s="574"/>
      <c r="E113" s="1898"/>
      <c r="F113" s="1899"/>
      <c r="G113" s="1899"/>
      <c r="H113" s="1899"/>
      <c r="I113" s="1899"/>
      <c r="J113" s="1899"/>
      <c r="K113" s="1899"/>
      <c r="L113" s="1899"/>
      <c r="M113" s="1899"/>
      <c r="N113" s="1899"/>
      <c r="O113" s="1899"/>
      <c r="P113" s="1899"/>
      <c r="Q113" s="1899"/>
      <c r="R113" s="1899"/>
      <c r="S113" s="1899"/>
      <c r="T113" s="1899"/>
      <c r="U113" s="1899"/>
      <c r="V113" s="1899"/>
      <c r="W113" s="1899"/>
      <c r="X113" s="1899"/>
      <c r="Y113" s="1899"/>
      <c r="Z113" s="1899"/>
      <c r="AA113" s="1899"/>
      <c r="AB113" s="1899"/>
      <c r="AC113" s="1899"/>
      <c r="AD113" s="1899"/>
      <c r="AE113" s="1899"/>
      <c r="AF113" s="1899"/>
      <c r="AG113" s="1899"/>
      <c r="AH113" s="1899"/>
      <c r="AI113" s="1899"/>
      <c r="AJ113" s="1900"/>
      <c r="AK113" s="575"/>
      <c r="AL113" s="575"/>
      <c r="AM113" s="575"/>
      <c r="AN113" s="570"/>
      <c r="AO113" s="571" t="str">
        <f>Application!B721</f>
        <v>2 Bedrooms</v>
      </c>
      <c r="AQ113" s="571">
        <f>Application!O721</f>
        <v>2095</v>
      </c>
      <c r="AU113" s="892" t="str">
        <f>T118</f>
        <v>3-bedroom</v>
      </c>
      <c r="AV113" s="571">
        <f t="array" ref="AV113">SUM(IF(Application!B714:F738="3 Bedrooms",Application!G714:J738))</f>
        <v>46</v>
      </c>
      <c r="AW113" s="1047">
        <f>AV113/AV116</f>
        <v>0.26900584795321636</v>
      </c>
    </row>
    <row r="114" spans="1:52" s="571" customFormat="1" ht="12.75" customHeight="1">
      <c r="A114" s="575"/>
      <c r="B114" s="574"/>
      <c r="C114" s="574"/>
      <c r="D114" s="574"/>
      <c r="E114" s="1898"/>
      <c r="F114" s="1899"/>
      <c r="G114" s="1899"/>
      <c r="H114" s="1899"/>
      <c r="I114" s="1899"/>
      <c r="J114" s="1899"/>
      <c r="K114" s="1899"/>
      <c r="L114" s="1899"/>
      <c r="M114" s="1899"/>
      <c r="N114" s="1899"/>
      <c r="O114" s="1899"/>
      <c r="P114" s="1899"/>
      <c r="Q114" s="1899"/>
      <c r="R114" s="1899"/>
      <c r="S114" s="1899"/>
      <c r="T114" s="1899"/>
      <c r="U114" s="1899"/>
      <c r="V114" s="1899"/>
      <c r="W114" s="1899"/>
      <c r="X114" s="1899"/>
      <c r="Y114" s="1899"/>
      <c r="Z114" s="1899"/>
      <c r="AA114" s="1899"/>
      <c r="AB114" s="1899"/>
      <c r="AC114" s="1899"/>
      <c r="AD114" s="1899"/>
      <c r="AE114" s="1899"/>
      <c r="AF114" s="1899"/>
      <c r="AG114" s="1899"/>
      <c r="AH114" s="1899"/>
      <c r="AI114" s="1899"/>
      <c r="AJ114" s="1900"/>
      <c r="AK114" s="575"/>
      <c r="AL114" s="575"/>
      <c r="AM114" s="575"/>
      <c r="AN114" s="570"/>
      <c r="AO114" s="571" t="str">
        <f>Application!B722</f>
        <v>3 Bedrooms</v>
      </c>
      <c r="AQ114" s="571">
        <f>Application!O722</f>
        <v>870</v>
      </c>
      <c r="AU114" s="892" t="str">
        <f>Y118</f>
        <v>4-bedroom</v>
      </c>
      <c r="AV114" s="571">
        <f t="array" ref="AV114">SUM(IF(Application!B714:F738="4 Bedrooms",Application!G714:J738))</f>
        <v>0</v>
      </c>
      <c r="AW114" s="1047">
        <f>AV114/AV116</f>
        <v>0</v>
      </c>
    </row>
    <row r="115" spans="1:52" s="571" customFormat="1" ht="12.75" customHeight="1">
      <c r="A115" s="575"/>
      <c r="B115" s="574"/>
      <c r="C115" s="574"/>
      <c r="D115" s="574"/>
      <c r="E115" s="1898"/>
      <c r="F115" s="1899"/>
      <c r="G115" s="1899"/>
      <c r="H115" s="1899"/>
      <c r="I115" s="1899"/>
      <c r="J115" s="1899"/>
      <c r="K115" s="1899"/>
      <c r="L115" s="1899"/>
      <c r="M115" s="1899"/>
      <c r="N115" s="1899"/>
      <c r="O115" s="1899"/>
      <c r="P115" s="1899"/>
      <c r="Q115" s="1899"/>
      <c r="R115" s="1899"/>
      <c r="S115" s="1899"/>
      <c r="T115" s="1899"/>
      <c r="U115" s="1899"/>
      <c r="V115" s="1899"/>
      <c r="W115" s="1899"/>
      <c r="X115" s="1899"/>
      <c r="Y115" s="1899"/>
      <c r="Z115" s="1899"/>
      <c r="AA115" s="1899"/>
      <c r="AB115" s="1899"/>
      <c r="AC115" s="1899"/>
      <c r="AD115" s="1899"/>
      <c r="AE115" s="1899"/>
      <c r="AF115" s="1899"/>
      <c r="AG115" s="1899"/>
      <c r="AH115" s="1899"/>
      <c r="AI115" s="1899"/>
      <c r="AJ115" s="1900"/>
      <c r="AK115" s="575"/>
      <c r="AL115" s="575"/>
      <c r="AM115" s="575"/>
      <c r="AN115" s="570"/>
      <c r="AO115" s="571" t="str">
        <f>Application!B723</f>
        <v>3 Bedrooms</v>
      </c>
      <c r="AQ115" s="571">
        <f>Application!O723</f>
        <v>1799</v>
      </c>
      <c r="AU115" s="892" t="str">
        <f>AD118</f>
        <v>5-bedroom</v>
      </c>
      <c r="AV115" s="571">
        <f t="array" ref="AV115">SUM(IF(Application!B714:F738="5 Bedrooms",Application!G714:J738))</f>
        <v>0</v>
      </c>
      <c r="AW115" s="1047">
        <f>AV115/AV116</f>
        <v>0</v>
      </c>
    </row>
    <row r="116" spans="1:52" s="571" customFormat="1" ht="12.75" customHeight="1">
      <c r="A116" s="575"/>
      <c r="B116" s="574"/>
      <c r="C116" s="574"/>
      <c r="D116" s="574"/>
      <c r="E116" s="1898"/>
      <c r="F116" s="1899"/>
      <c r="G116" s="1899"/>
      <c r="H116" s="1899"/>
      <c r="I116" s="1899"/>
      <c r="J116" s="1899"/>
      <c r="K116" s="1899"/>
      <c r="L116" s="1899"/>
      <c r="M116" s="1899"/>
      <c r="N116" s="1899"/>
      <c r="O116" s="1899"/>
      <c r="P116" s="1899"/>
      <c r="Q116" s="1899"/>
      <c r="R116" s="1899"/>
      <c r="S116" s="1899"/>
      <c r="T116" s="1899"/>
      <c r="U116" s="1899"/>
      <c r="V116" s="1899"/>
      <c r="W116" s="1899"/>
      <c r="X116" s="1899"/>
      <c r="Y116" s="1899"/>
      <c r="Z116" s="1899"/>
      <c r="AA116" s="1899"/>
      <c r="AB116" s="1899"/>
      <c r="AC116" s="1899"/>
      <c r="AD116" s="1899"/>
      <c r="AE116" s="1899"/>
      <c r="AF116" s="1899"/>
      <c r="AG116" s="1899"/>
      <c r="AH116" s="1899"/>
      <c r="AI116" s="1899"/>
      <c r="AJ116" s="1900"/>
      <c r="AK116" s="575"/>
      <c r="AL116" s="575"/>
      <c r="AM116" s="575"/>
      <c r="AN116" s="570"/>
      <c r="AO116" s="571" t="str">
        <f>Application!B724</f>
        <v>3 Bedrooms</v>
      </c>
      <c r="AQ116" s="571">
        <f>Application!O724</f>
        <v>2108.1999999999998</v>
      </c>
      <c r="AV116" s="571">
        <f>SUM(AV110:AV115)</f>
        <v>171</v>
      </c>
      <c r="AW116" s="1047">
        <f>SUM(AW110:AW115)</f>
        <v>0.99999999999999989</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1878" t="s">
        <v>1763</v>
      </c>
      <c r="F118" s="1879"/>
      <c r="G118" s="1879"/>
      <c r="H118" s="1879"/>
      <c r="I118" s="612"/>
      <c r="J118" s="1879" t="s">
        <v>1808</v>
      </c>
      <c r="K118" s="1879"/>
      <c r="L118" s="1879"/>
      <c r="M118" s="1879"/>
      <c r="N118" s="612"/>
      <c r="O118" s="1879" t="s">
        <v>1809</v>
      </c>
      <c r="P118" s="1879"/>
      <c r="Q118" s="1879"/>
      <c r="R118" s="1879"/>
      <c r="S118" s="612"/>
      <c r="T118" s="1879" t="s">
        <v>1504</v>
      </c>
      <c r="U118" s="1879"/>
      <c r="V118" s="1879"/>
      <c r="W118" s="1879"/>
      <c r="X118" s="612"/>
      <c r="Y118" s="1879" t="s">
        <v>1810</v>
      </c>
      <c r="Z118" s="1879"/>
      <c r="AA118" s="1879"/>
      <c r="AB118" s="1879"/>
      <c r="AC118" s="612"/>
      <c r="AD118" s="1879" t="s">
        <v>1811</v>
      </c>
      <c r="AE118" s="1879"/>
      <c r="AF118" s="1879"/>
      <c r="AG118" s="1879"/>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1812</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35">
        <v>2308</v>
      </c>
      <c r="F121" s="1936"/>
      <c r="G121" s="1936"/>
      <c r="H121" s="1936"/>
      <c r="I121" s="900"/>
      <c r="J121" s="1936">
        <v>2425</v>
      </c>
      <c r="K121" s="1936"/>
      <c r="L121" s="1936"/>
      <c r="M121" s="1936"/>
      <c r="N121" s="900"/>
      <c r="O121" s="1936">
        <v>3033</v>
      </c>
      <c r="P121" s="1936"/>
      <c r="Q121" s="1936"/>
      <c r="R121" s="1936"/>
      <c r="S121" s="900"/>
      <c r="T121" s="1936">
        <v>3675</v>
      </c>
      <c r="U121" s="1936"/>
      <c r="V121" s="1936"/>
      <c r="W121" s="1936"/>
      <c r="X121" s="900"/>
      <c r="Y121" s="1936"/>
      <c r="Z121" s="1936"/>
      <c r="AA121" s="1936"/>
      <c r="AB121" s="1936"/>
      <c r="AC121" s="900"/>
      <c r="AD121" s="1936"/>
      <c r="AE121" s="1936"/>
      <c r="AF121" s="1936"/>
      <c r="AG121" s="1936"/>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5"/>
      <c r="AV122" s="1045"/>
      <c r="AW122" s="1045"/>
      <c r="AX122" s="1045"/>
      <c r="AY122" s="1045"/>
      <c r="AZ122" s="1045"/>
    </row>
    <row r="123" spans="1:52" s="571" customFormat="1" ht="12.75" customHeight="1">
      <c r="A123" s="575"/>
      <c r="B123" s="574"/>
      <c r="C123" s="575"/>
      <c r="D123" s="575"/>
      <c r="E123" s="902" t="s">
        <v>2104</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5"/>
      <c r="AV123" s="1045"/>
      <c r="AW123" s="1045"/>
      <c r="AX123" s="1045"/>
      <c r="AY123" s="1045"/>
      <c r="AZ123" s="1045"/>
    </row>
    <row r="124" spans="1:52" s="571" customFormat="1" ht="12.75" customHeight="1">
      <c r="A124" s="575"/>
      <c r="B124" s="574"/>
      <c r="C124" s="575"/>
      <c r="D124" s="575"/>
      <c r="E124" s="1928">
        <f>Application!DX649</f>
        <v>1140.45</v>
      </c>
      <c r="F124" s="1929"/>
      <c r="G124" s="1929"/>
      <c r="H124" s="1929"/>
      <c r="I124" s="900"/>
      <c r="J124" s="1929">
        <f>Application!EC649</f>
        <v>1242.8536585365855</v>
      </c>
      <c r="K124" s="1929"/>
      <c r="L124" s="1929"/>
      <c r="M124" s="1929"/>
      <c r="N124" s="900"/>
      <c r="O124" s="1929">
        <f>Application!EH649</f>
        <v>1717.3636363636365</v>
      </c>
      <c r="P124" s="1929"/>
      <c r="Q124" s="1929"/>
      <c r="R124" s="1929"/>
      <c r="S124" s="904"/>
      <c r="T124" s="1929">
        <f>Application!EM649</f>
        <v>1805.5695652173911</v>
      </c>
      <c r="U124" s="1929"/>
      <c r="V124" s="1929"/>
      <c r="W124" s="1929"/>
      <c r="X124" s="904"/>
      <c r="Y124" s="1929">
        <f>Application!ER649</f>
        <v>0</v>
      </c>
      <c r="Z124" s="1929"/>
      <c r="AA124" s="1929"/>
      <c r="AB124" s="1929"/>
      <c r="AC124" s="904"/>
      <c r="AD124" s="1929">
        <f>Application!EW649</f>
        <v>0</v>
      </c>
      <c r="AE124" s="1929"/>
      <c r="AF124" s="1929"/>
      <c r="AG124" s="1929"/>
      <c r="AH124" s="612"/>
      <c r="AI124" s="612"/>
      <c r="AJ124" s="614"/>
      <c r="AK124" s="575"/>
      <c r="AL124" s="575"/>
      <c r="AM124" s="575"/>
      <c r="AN124" s="570"/>
      <c r="AO124" s="571">
        <f>Application!B732</f>
        <v>0</v>
      </c>
      <c r="AQ124" s="571">
        <f>Application!O732</f>
        <v>0</v>
      </c>
      <c r="AU124" s="1045"/>
      <c r="AV124" s="1045"/>
      <c r="AW124" s="1046"/>
      <c r="AX124" s="1046"/>
      <c r="AY124" s="1045"/>
      <c r="AZ124" s="1045"/>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5"/>
      <c r="AV125" s="1045"/>
      <c r="AW125" s="1046"/>
      <c r="AX125" s="1046"/>
      <c r="AY125" s="1045"/>
      <c r="AZ125" s="1045"/>
    </row>
    <row r="126" spans="1:52" s="571" customFormat="1" ht="12.75" customHeight="1">
      <c r="A126" s="575"/>
      <c r="B126" s="574"/>
      <c r="C126" s="575"/>
      <c r="D126" s="575"/>
      <c r="E126" s="902" t="s">
        <v>2105</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5"/>
      <c r="AV126" s="1045"/>
      <c r="AW126" s="1046"/>
      <c r="AX126" s="1046"/>
      <c r="AY126" s="1045"/>
      <c r="AZ126" s="1045"/>
    </row>
    <row r="127" spans="1:52" s="571" customFormat="1" ht="12.75" customHeight="1">
      <c r="A127" s="575"/>
      <c r="B127" s="574"/>
      <c r="C127" s="575"/>
      <c r="D127" s="575"/>
      <c r="E127" s="2121">
        <f>(E121-E124)/E121</f>
        <v>0.50587088388214907</v>
      </c>
      <c r="F127" s="1881"/>
      <c r="G127" s="1881"/>
      <c r="H127" s="2122"/>
      <c r="I127" s="612"/>
      <c r="J127" s="2121">
        <f>(J121-J124)/J121</f>
        <v>0.48748302740759358</v>
      </c>
      <c r="K127" s="1881"/>
      <c r="L127" s="1881"/>
      <c r="M127" s="2122"/>
      <c r="N127" s="612"/>
      <c r="O127" s="2121">
        <f>(O121-O124)/O121</f>
        <v>0.43377394119233875</v>
      </c>
      <c r="P127" s="1881"/>
      <c r="Q127" s="1881"/>
      <c r="R127" s="2122"/>
      <c r="S127" s="612"/>
      <c r="T127" s="2121">
        <f>(T121-T124)/T121</f>
        <v>0.50868855368234256</v>
      </c>
      <c r="U127" s="1881"/>
      <c r="V127" s="1881"/>
      <c r="W127" s="2122"/>
      <c r="X127" s="612"/>
      <c r="Y127" s="2121" t="e">
        <f>(Y121-Y124)/Y121</f>
        <v>#DIV/0!</v>
      </c>
      <c r="Z127" s="1881"/>
      <c r="AA127" s="1881"/>
      <c r="AB127" s="2122"/>
      <c r="AC127" s="612"/>
      <c r="AD127" s="2121" t="e">
        <f>(AD121-AD124)/AD121</f>
        <v>#DIV/0!</v>
      </c>
      <c r="AE127" s="1881"/>
      <c r="AF127" s="1881"/>
      <c r="AG127" s="2122"/>
      <c r="AH127" s="612"/>
      <c r="AI127" s="612"/>
      <c r="AJ127" s="614"/>
      <c r="AK127" s="575"/>
      <c r="AL127" s="575"/>
      <c r="AM127" s="575"/>
      <c r="AN127" s="570"/>
      <c r="AO127" s="571">
        <f>Application!B735</f>
        <v>0</v>
      </c>
      <c r="AQ127" s="571">
        <f>Application!O735</f>
        <v>0</v>
      </c>
      <c r="AU127" s="1045"/>
      <c r="AV127" s="1045"/>
      <c r="AW127" s="1046"/>
      <c r="AX127" s="1046"/>
      <c r="AY127" s="1045"/>
      <c r="AZ127" s="1045"/>
    </row>
    <row r="128" spans="1:52" s="571" customFormat="1" ht="12.75" customHeight="1">
      <c r="A128" s="575"/>
      <c r="B128" s="574"/>
      <c r="C128" s="575"/>
      <c r="D128" s="575"/>
      <c r="E128" s="1040"/>
      <c r="F128" s="1039"/>
      <c r="G128" s="1039"/>
      <c r="H128" s="1039"/>
      <c r="I128" s="612"/>
      <c r="J128" s="1039"/>
      <c r="K128" s="1039"/>
      <c r="L128" s="1039"/>
      <c r="M128" s="1039"/>
      <c r="N128" s="612"/>
      <c r="O128" s="1039"/>
      <c r="P128" s="1039"/>
      <c r="Q128" s="1039"/>
      <c r="R128" s="1039"/>
      <c r="S128" s="612"/>
      <c r="T128" s="1039"/>
      <c r="U128" s="1039"/>
      <c r="V128" s="1039"/>
      <c r="W128" s="1039"/>
      <c r="X128" s="612"/>
      <c r="Y128" s="1039"/>
      <c r="Z128" s="1039"/>
      <c r="AA128" s="1039"/>
      <c r="AB128" s="1039"/>
      <c r="AC128" s="612"/>
      <c r="AD128" s="1039"/>
      <c r="AE128" s="1039"/>
      <c r="AF128" s="1039"/>
      <c r="AG128" s="1039"/>
      <c r="AH128" s="612"/>
      <c r="AI128" s="612"/>
      <c r="AJ128" s="614"/>
      <c r="AK128" s="575"/>
      <c r="AL128" s="575"/>
      <c r="AM128" s="575"/>
      <c r="AN128" s="570"/>
      <c r="AO128" s="571">
        <f>Application!B736</f>
        <v>0</v>
      </c>
      <c r="AQ128" s="571">
        <f>Application!O736</f>
        <v>0</v>
      </c>
      <c r="AU128" s="1045"/>
      <c r="AV128" s="1045"/>
      <c r="AW128" s="1046"/>
      <c r="AX128" s="1046"/>
      <c r="AY128" s="1045"/>
      <c r="AZ128" s="1045"/>
    </row>
    <row r="129" spans="1:52" s="571" customFormat="1" ht="12.75" customHeight="1">
      <c r="A129" s="575"/>
      <c r="B129" s="574"/>
      <c r="C129" s="575"/>
      <c r="D129" s="575"/>
      <c r="E129" s="1041" t="s">
        <v>2106</v>
      </c>
      <c r="F129" s="1039"/>
      <c r="G129" s="1039"/>
      <c r="H129" s="1039"/>
      <c r="I129" s="612"/>
      <c r="J129" s="1039"/>
      <c r="K129" s="1039"/>
      <c r="L129" s="1039"/>
      <c r="M129" s="1039"/>
      <c r="N129" s="612"/>
      <c r="O129" s="1039"/>
      <c r="P129" s="1039"/>
      <c r="Q129" s="1039"/>
      <c r="R129" s="1039"/>
      <c r="S129" s="612"/>
      <c r="T129" s="1039"/>
      <c r="U129" s="1039"/>
      <c r="V129" s="1039"/>
      <c r="W129" s="1039"/>
      <c r="X129" s="612"/>
      <c r="Y129" s="1039"/>
      <c r="Z129" s="1039"/>
      <c r="AA129" s="1039"/>
      <c r="AB129" s="1039"/>
      <c r="AC129" s="612"/>
      <c r="AD129" s="1039"/>
      <c r="AE129" s="1039"/>
      <c r="AF129" s="1039"/>
      <c r="AG129" s="1039"/>
      <c r="AH129" s="612"/>
      <c r="AI129" s="612"/>
      <c r="AJ129" s="614"/>
      <c r="AK129" s="575"/>
      <c r="AL129" s="575"/>
      <c r="AM129" s="575"/>
      <c r="AN129" s="570"/>
      <c r="AO129" s="571">
        <f>Application!B737</f>
        <v>0</v>
      </c>
      <c r="AQ129" s="571">
        <f>Application!O737</f>
        <v>0</v>
      </c>
      <c r="AU129" s="1046"/>
      <c r="AV129" s="1045"/>
      <c r="AW129" s="1046"/>
      <c r="AX129" s="1046"/>
      <c r="AY129" s="1045"/>
      <c r="AZ129" s="1045"/>
    </row>
    <row r="130" spans="1:52" s="571" customFormat="1" ht="12.75" customHeight="1">
      <c r="A130" s="575"/>
      <c r="B130" s="574"/>
      <c r="C130" s="575"/>
      <c r="D130" s="575"/>
      <c r="E130" s="1930">
        <f>IF(((E127-0.1)*AW110)&gt;0,((E127-0.1)*AW110),0)</f>
        <v>9.4940557633251238E-2</v>
      </c>
      <c r="F130" s="1931"/>
      <c r="G130" s="1931"/>
      <c r="H130" s="1932"/>
      <c r="I130" s="612"/>
      <c r="J130" s="1930">
        <f>IF(((J127-0.1)*AW111)&gt;0,((J127-0.1)*AW111),0)</f>
        <v>9.2905287273165701E-2</v>
      </c>
      <c r="K130" s="1931"/>
      <c r="L130" s="1931"/>
      <c r="M130" s="1932"/>
      <c r="N130" s="612"/>
      <c r="O130" s="1930">
        <f>IF(((O127-0.1)*AW112)&gt;0,((O127-0.1)*AW112),0)</f>
        <v>8.5883353289256739E-2</v>
      </c>
      <c r="P130" s="1931"/>
      <c r="Q130" s="1931"/>
      <c r="R130" s="1932"/>
      <c r="S130" s="612"/>
      <c r="T130" s="1930">
        <f>IF(((T127-0.1)*AW113)&gt;0,((T127-0.1)*AW113),0)</f>
        <v>0.10993961093209215</v>
      </c>
      <c r="U130" s="1931"/>
      <c r="V130" s="1931"/>
      <c r="W130" s="1932"/>
      <c r="X130" s="612"/>
      <c r="Y130" s="1930" t="e">
        <f>IF(((Y127-0.1)*AW114)&gt;0,((Y127-0.1)*AW114),0)</f>
        <v>#DIV/0!</v>
      </c>
      <c r="Z130" s="1931"/>
      <c r="AA130" s="1931"/>
      <c r="AB130" s="1932"/>
      <c r="AC130" s="612"/>
      <c r="AD130" s="1930" t="e">
        <f>IF(((AD127-0.1)*AW115)&gt;0,((AD127-0.1)*AW115),0)</f>
        <v>#DIV/0!</v>
      </c>
      <c r="AE130" s="1931"/>
      <c r="AF130" s="1931"/>
      <c r="AG130" s="1932"/>
      <c r="AH130" s="612"/>
      <c r="AI130" s="612"/>
      <c r="AJ130" s="614"/>
      <c r="AK130" s="575"/>
      <c r="AL130" s="575"/>
      <c r="AM130" s="575"/>
      <c r="AN130" s="570"/>
      <c r="AO130" s="571">
        <f>Application!B738</f>
        <v>0</v>
      </c>
      <c r="AQ130" s="571">
        <f>Application!O738</f>
        <v>0</v>
      </c>
      <c r="AU130" s="1045"/>
      <c r="AV130" s="1045"/>
      <c r="AW130" s="1045"/>
      <c r="AX130" s="1046"/>
      <c r="AY130" s="1045"/>
      <c r="AZ130" s="1045"/>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5"/>
      <c r="AV131" s="1045"/>
      <c r="AW131" s="1045"/>
      <c r="AX131" s="1045"/>
      <c r="AY131" s="1045"/>
      <c r="AZ131" s="1045"/>
    </row>
    <row r="132" spans="1:52" s="571" customFormat="1" ht="12.75" customHeight="1">
      <c r="A132" s="575"/>
      <c r="B132" s="574"/>
      <c r="C132" s="575"/>
      <c r="D132" s="575"/>
      <c r="E132" s="2121">
        <f>ROUNDDOWN(SUMIF(E130:AG130,"&gt;0"),2)</f>
        <v>0.38</v>
      </c>
      <c r="F132" s="1881"/>
      <c r="G132" s="1881"/>
      <c r="H132" s="2122"/>
      <c r="I132" s="612"/>
      <c r="J132" s="615" t="s">
        <v>2107</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5"/>
      <c r="AV132" s="1045"/>
      <c r="AW132" s="1045"/>
      <c r="AX132" s="1046"/>
      <c r="AY132" s="1045"/>
      <c r="AZ132" s="1045"/>
    </row>
    <row r="133" spans="1:52" s="571" customFormat="1" ht="12.75" customHeight="1">
      <c r="A133" s="575"/>
      <c r="B133" s="574"/>
      <c r="C133" s="575"/>
      <c r="D133" s="575"/>
      <c r="E133" s="1914">
        <f>IF((E132*100)&gt;10,10,E132*100)</f>
        <v>10</v>
      </c>
      <c r="F133" s="1915"/>
      <c r="G133" s="1915"/>
      <c r="H133" s="1916"/>
      <c r="I133" s="612"/>
      <c r="J133" s="615" t="s">
        <v>1498</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5"/>
      <c r="AV133" s="1045"/>
      <c r="AW133" s="1045"/>
      <c r="AX133" s="1045"/>
      <c r="AY133" s="1045"/>
      <c r="AZ133" s="1045"/>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8"/>
      <c r="AU134" s="1045"/>
      <c r="AV134" s="1045"/>
      <c r="AW134" s="1046"/>
      <c r="AX134" s="1045"/>
      <c r="AY134" s="1045"/>
      <c r="AZ134" s="1045"/>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5"/>
      <c r="AV135" s="1045"/>
      <c r="AW135" s="1045"/>
      <c r="AX135" s="1045"/>
      <c r="AY135" s="1045"/>
      <c r="AZ135" s="1045"/>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1505</v>
      </c>
      <c r="AK137" s="1914">
        <f>E133</f>
        <v>10</v>
      </c>
      <c r="AL137" s="1915"/>
      <c r="AM137" s="1916"/>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1506</v>
      </c>
      <c r="AE140" s="1894" t="s">
        <v>1484</v>
      </c>
      <c r="AF140" s="1894"/>
      <c r="AG140" s="1894"/>
      <c r="AH140" s="1894"/>
      <c r="AI140" s="1894"/>
      <c r="AJ140" s="1894"/>
      <c r="AK140" s="1894"/>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1507</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26" t="s">
        <v>1508</v>
      </c>
      <c r="AG142" s="1926"/>
      <c r="AH142" s="1926"/>
      <c r="AI142" s="1926"/>
      <c r="AJ142" s="1926"/>
      <c r="AK142" s="1926"/>
      <c r="AL142" s="1926"/>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27" t="s">
        <v>2715</v>
      </c>
      <c r="C144" s="1927"/>
      <c r="D144" s="1927"/>
      <c r="E144" s="1927"/>
      <c r="F144" s="1927"/>
      <c r="G144" s="1927"/>
      <c r="H144" s="1927"/>
      <c r="I144" s="1927"/>
      <c r="J144" s="1927"/>
      <c r="K144" s="1927"/>
      <c r="L144" s="1927"/>
      <c r="M144" s="1927"/>
      <c r="N144" s="1927"/>
      <c r="O144" s="1927"/>
      <c r="P144" s="1927"/>
      <c r="Q144" s="1927"/>
      <c r="R144" s="1927"/>
      <c r="S144" s="1927"/>
      <c r="T144" s="1927"/>
      <c r="U144" s="1927"/>
      <c r="V144" s="1927"/>
      <c r="W144" s="1927"/>
      <c r="X144" s="1927"/>
      <c r="Y144" s="1927"/>
      <c r="Z144" s="1927"/>
      <c r="AA144" s="1927"/>
      <c r="AB144" s="1927"/>
      <c r="AC144" s="1927"/>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1509</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1510</v>
      </c>
      <c r="AP146" s="524">
        <v>5</v>
      </c>
    </row>
    <row r="147" spans="1:42" s="571" customFormat="1" ht="12.75" customHeight="1">
      <c r="A147" s="573"/>
      <c r="B147" s="1952" t="s">
        <v>1511</v>
      </c>
      <c r="C147" s="1952"/>
      <c r="D147" s="1952"/>
      <c r="E147" s="1952"/>
      <c r="F147" s="1952"/>
      <c r="G147" s="1952"/>
      <c r="H147" s="1952"/>
      <c r="I147" s="1952"/>
      <c r="J147" s="1952"/>
      <c r="K147" s="1952"/>
      <c r="L147" s="1952"/>
      <c r="M147" s="1952"/>
      <c r="N147" s="1952"/>
      <c r="O147" s="1952"/>
      <c r="P147" s="1952"/>
      <c r="Q147" s="1952"/>
      <c r="R147" s="1952"/>
      <c r="S147" s="1952"/>
      <c r="T147" s="1952"/>
      <c r="U147" s="1952"/>
      <c r="V147" s="1952"/>
      <c r="W147" s="1952"/>
      <c r="X147" s="1952"/>
      <c r="Y147" s="1952"/>
      <c r="Z147" s="1952"/>
      <c r="AA147" s="1952"/>
      <c r="AB147" s="1952"/>
      <c r="AC147" s="1952"/>
      <c r="AD147" s="1952"/>
      <c r="AE147" s="1952"/>
      <c r="AF147" s="1952"/>
      <c r="AG147" s="1952"/>
      <c r="AH147" s="1952"/>
      <c r="AI147" s="1952"/>
      <c r="AM147" s="574"/>
      <c r="AN147" s="570"/>
      <c r="AO147" s="511" t="s">
        <v>1511</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2412</v>
      </c>
      <c r="AP148" s="524">
        <v>7</v>
      </c>
    </row>
    <row r="149" spans="1:42" s="571" customFormat="1" ht="12.75" customHeight="1">
      <c r="A149" s="573"/>
      <c r="B149" s="574" t="s">
        <v>1512</v>
      </c>
      <c r="AB149" s="1953" t="s">
        <v>600</v>
      </c>
      <c r="AC149" s="1953"/>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1513</v>
      </c>
      <c r="AP150" s="524"/>
    </row>
    <row r="151" spans="1:42" s="571" customFormat="1" ht="12.75" customHeight="1">
      <c r="A151" s="573"/>
      <c r="B151" s="573" t="s">
        <v>1514</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1515</v>
      </c>
      <c r="AP151" s="524">
        <v>5</v>
      </c>
    </row>
    <row r="152" spans="1:42" s="571" customFormat="1" ht="12.75" customHeight="1">
      <c r="A152" s="573"/>
      <c r="B152" s="1952" t="s">
        <v>1513</v>
      </c>
      <c r="C152" s="1952"/>
      <c r="D152" s="1952"/>
      <c r="E152" s="1952"/>
      <c r="F152" s="1952"/>
      <c r="G152" s="1952"/>
      <c r="H152" s="1952"/>
      <c r="I152" s="1952"/>
      <c r="J152" s="1952"/>
      <c r="K152" s="1952"/>
      <c r="L152" s="1952"/>
      <c r="M152" s="1952"/>
      <c r="N152" s="1952"/>
      <c r="O152" s="1952"/>
      <c r="P152" s="1952"/>
      <c r="Q152" s="1952"/>
      <c r="R152" s="1952"/>
      <c r="S152" s="1952"/>
      <c r="T152" s="1952"/>
      <c r="U152" s="1952"/>
      <c r="V152" s="1952"/>
      <c r="W152" s="1952"/>
      <c r="X152" s="1952"/>
      <c r="Y152" s="1952"/>
      <c r="Z152" s="1952"/>
      <c r="AA152" s="1952"/>
      <c r="AB152" s="1952"/>
      <c r="AC152" s="1952"/>
      <c r="AD152" s="1952"/>
      <c r="AE152" s="1952"/>
      <c r="AF152" s="1952"/>
      <c r="AG152" s="1952"/>
      <c r="AH152" s="1952"/>
      <c r="AI152" s="1952"/>
      <c r="AJ152" s="1952"/>
      <c r="AN152" s="570"/>
      <c r="AO152" s="511" t="s">
        <v>1516</v>
      </c>
      <c r="AP152" s="524">
        <v>7</v>
      </c>
    </row>
    <row r="153" spans="1:42" s="571" customFormat="1" ht="12.75" customHeight="1">
      <c r="B153" s="574" t="s">
        <v>1517</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1519</v>
      </c>
      <c r="AJ155" s="1955">
        <f>IF($AB$149="N/A",VLOOKUP($B$147,$AO$145:$AP$148,2,FALSE),VLOOKUP($B$152,$AO$150:$AP$153,2,FALSE))</f>
        <v>7</v>
      </c>
      <c r="AK155" s="1955"/>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1521</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26" t="s">
        <v>1522</v>
      </c>
      <c r="AG157" s="1926"/>
      <c r="AH157" s="1926"/>
      <c r="AI157" s="1926"/>
      <c r="AJ157" s="1926"/>
      <c r="AK157" s="1926"/>
      <c r="AL157" s="1926"/>
      <c r="AM157" s="638"/>
      <c r="AN157" s="633"/>
    </row>
    <row r="158" spans="1:42" s="585" customFormat="1" ht="12.75" customHeight="1">
      <c r="A158" s="571"/>
      <c r="B158" s="574" t="s">
        <v>1523</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52" t="s">
        <v>1520</v>
      </c>
      <c r="D159" s="1952"/>
      <c r="E159" s="1952"/>
      <c r="F159" s="1952"/>
      <c r="G159" s="1952"/>
      <c r="H159" s="1952"/>
      <c r="I159" s="1952"/>
      <c r="J159" s="1952"/>
      <c r="K159" s="1952"/>
      <c r="L159" s="1952"/>
      <c r="M159" s="1952"/>
      <c r="N159" s="1952"/>
      <c r="O159" s="1952"/>
      <c r="P159" s="1952"/>
      <c r="Q159" s="1952"/>
      <c r="R159" s="1952"/>
      <c r="S159" s="1952"/>
      <c r="T159" s="1952"/>
      <c r="U159" s="1952"/>
      <c r="V159" s="1952"/>
      <c r="W159" s="1952"/>
      <c r="X159" s="1952"/>
      <c r="Y159" s="1952"/>
      <c r="Z159" s="1952"/>
      <c r="AA159" s="1952"/>
      <c r="AB159" s="1952"/>
      <c r="AC159" s="1952"/>
      <c r="AD159" s="1952"/>
      <c r="AE159" s="1952"/>
      <c r="AF159" s="1952"/>
      <c r="AG159" s="1952"/>
      <c r="AH159" s="1952"/>
      <c r="AI159" s="1952"/>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1518</v>
      </c>
      <c r="AP160" s="634">
        <v>2</v>
      </c>
    </row>
    <row r="161" spans="1:73" s="585" customFormat="1" ht="12.75" customHeight="1">
      <c r="A161" s="571"/>
      <c r="B161" s="571"/>
      <c r="C161" s="574" t="s">
        <v>1525</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53" t="s">
        <v>600</v>
      </c>
      <c r="AD161" s="1953"/>
      <c r="AE161" s="571"/>
      <c r="AF161" s="571"/>
      <c r="AG161" s="571"/>
      <c r="AH161" s="571"/>
      <c r="AI161" s="571"/>
      <c r="AJ161" s="571"/>
      <c r="AK161" s="571"/>
      <c r="AL161" s="571"/>
      <c r="AM161" s="638"/>
      <c r="AN161" s="632"/>
      <c r="AO161" s="511" t="s">
        <v>1520</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1814</v>
      </c>
      <c r="AP162" s="634">
        <v>3</v>
      </c>
    </row>
    <row r="163" spans="1:73" s="585" customFormat="1" ht="12.75" customHeight="1">
      <c r="A163" s="571"/>
      <c r="B163" s="571"/>
      <c r="C163" s="1952" t="s">
        <v>1513</v>
      </c>
      <c r="D163" s="1952"/>
      <c r="E163" s="1952"/>
      <c r="F163" s="1952"/>
      <c r="G163" s="1952"/>
      <c r="H163" s="1952"/>
      <c r="I163" s="1952"/>
      <c r="J163" s="1952"/>
      <c r="K163" s="1952"/>
      <c r="L163" s="1952"/>
      <c r="M163" s="1952"/>
      <c r="N163" s="1952"/>
      <c r="O163" s="1952"/>
      <c r="P163" s="1952"/>
      <c r="Q163" s="1952"/>
      <c r="R163" s="1952"/>
      <c r="S163" s="1952"/>
      <c r="T163" s="1952"/>
      <c r="U163" s="1952"/>
      <c r="V163" s="1952"/>
      <c r="W163" s="1952"/>
      <c r="X163" s="1952"/>
      <c r="Y163" s="1952"/>
      <c r="Z163" s="1952"/>
      <c r="AA163" s="1952"/>
      <c r="AB163" s="1952"/>
      <c r="AC163" s="1952"/>
      <c r="AD163" s="1952"/>
      <c r="AE163" s="571"/>
      <c r="AF163" s="571"/>
      <c r="AG163" s="571"/>
      <c r="AH163" s="571"/>
      <c r="AI163" s="571"/>
      <c r="AJ163" s="571"/>
      <c r="AK163" s="571"/>
      <c r="AL163" s="571"/>
      <c r="AM163" s="638"/>
      <c r="AN163" s="632"/>
      <c r="AO163" s="637"/>
      <c r="AP163" s="634"/>
    </row>
    <row r="164" spans="1:73" s="585" customFormat="1" ht="12.75" customHeight="1">
      <c r="A164" s="571"/>
      <c r="B164" s="571"/>
      <c r="C164" s="574" t="s">
        <v>1517</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1527</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1513</v>
      </c>
      <c r="AP166" s="511"/>
    </row>
    <row r="167" spans="1:73" s="585" customFormat="1" ht="12.75" customHeight="1">
      <c r="A167" s="571"/>
      <c r="B167" s="571"/>
      <c r="C167" s="1927" t="s">
        <v>2669</v>
      </c>
      <c r="D167" s="1927"/>
      <c r="E167" s="1927"/>
      <c r="F167" s="1927"/>
      <c r="G167" s="1927"/>
      <c r="H167" s="1927"/>
      <c r="I167" s="1927"/>
      <c r="J167" s="1927"/>
      <c r="K167" s="1927"/>
      <c r="L167" s="1927"/>
      <c r="M167" s="1927"/>
      <c r="N167" s="1927"/>
      <c r="O167" s="1927"/>
      <c r="P167" s="1927"/>
      <c r="Q167" s="1927"/>
      <c r="R167" s="1927"/>
      <c r="S167" s="1927"/>
      <c r="T167" s="1927"/>
      <c r="U167" s="1927"/>
      <c r="V167" s="1927"/>
      <c r="W167" s="1927"/>
      <c r="X167" s="1927"/>
      <c r="Y167" s="1927"/>
      <c r="Z167" s="1927"/>
      <c r="AA167" s="1927"/>
      <c r="AB167" s="1927"/>
      <c r="AC167" s="1927"/>
      <c r="AD167" s="1927"/>
      <c r="AE167" s="571"/>
      <c r="AF167" s="571"/>
      <c r="AG167" s="571"/>
      <c r="AH167" s="571"/>
      <c r="AI167" s="571"/>
      <c r="AJ167" s="571"/>
      <c r="AK167" s="571"/>
      <c r="AL167" s="571"/>
      <c r="AM167" s="638"/>
      <c r="AN167" s="632"/>
      <c r="AO167" s="511" t="s">
        <v>1524</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1526</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1528</v>
      </c>
      <c r="AJ169" s="1954">
        <f>IF($AC$161="N/A",VLOOKUP($C$159,$AO$159:$AP$162,2,FALSE),VLOOKUP($C$163,$AO$166:$AP$168,2,FALSE))</f>
        <v>3</v>
      </c>
      <c r="AK169" s="1954"/>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1529</v>
      </c>
      <c r="AK172" s="1914">
        <f>$AJ$155+$AJ$169</f>
        <v>10</v>
      </c>
      <c r="AL172" s="1915"/>
      <c r="AM172" s="1916"/>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1530</v>
      </c>
      <c r="AQ174" s="647">
        <v>0</v>
      </c>
    </row>
    <row r="175" spans="1:73" s="585" customFormat="1" ht="12.75" customHeight="1">
      <c r="A175" s="573" t="s">
        <v>1531</v>
      </c>
      <c r="B175" s="573" t="s">
        <v>1985</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94" t="s">
        <v>1484</v>
      </c>
      <c r="AF175" s="1894"/>
      <c r="AG175" s="1894"/>
      <c r="AH175" s="1894"/>
      <c r="AI175" s="1894"/>
      <c r="AJ175" s="1894"/>
      <c r="AK175" s="1894"/>
      <c r="AL175" s="626"/>
      <c r="AN175" s="632"/>
      <c r="AP175" s="585" t="s">
        <v>1100</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1532</v>
      </c>
      <c r="AQ176" s="585">
        <v>10</v>
      </c>
    </row>
    <row r="177" spans="1:45" s="585" customFormat="1" ht="12.75" customHeight="1">
      <c r="A177" s="571"/>
      <c r="B177" s="1950" t="s">
        <v>1100</v>
      </c>
      <c r="C177" s="1950"/>
      <c r="D177" s="1950"/>
      <c r="E177" s="1950"/>
      <c r="F177" s="1950"/>
      <c r="G177" s="1950"/>
      <c r="H177" s="1950"/>
      <c r="I177" s="1950"/>
      <c r="J177" s="1950"/>
      <c r="K177" s="1950"/>
      <c r="L177" s="1950"/>
      <c r="M177" s="1950"/>
      <c r="N177" s="1950"/>
      <c r="O177" s="1950"/>
      <c r="P177" s="1950"/>
      <c r="Q177" s="1950"/>
      <c r="R177" s="1950"/>
      <c r="S177" s="1950"/>
      <c r="T177" s="1950"/>
      <c r="U177" s="1950"/>
      <c r="V177" s="1950"/>
      <c r="W177" s="1950"/>
      <c r="X177" s="1950"/>
      <c r="Y177" s="1950"/>
      <c r="Z177" s="1950"/>
      <c r="AA177" s="1950"/>
      <c r="AB177" s="1950"/>
      <c r="AC177" s="1950"/>
      <c r="AD177" s="571"/>
      <c r="AE177" s="571"/>
      <c r="AF177" s="1926" t="s">
        <v>1533</v>
      </c>
      <c r="AG177" s="1926"/>
      <c r="AH177" s="1926"/>
      <c r="AI177" s="1926"/>
      <c r="AJ177" s="1926"/>
      <c r="AK177" s="1926"/>
      <c r="AL177" s="1926"/>
      <c r="AN177" s="632"/>
      <c r="AP177" s="585" t="s">
        <v>1102</v>
      </c>
      <c r="AQ177" s="585">
        <v>10</v>
      </c>
    </row>
    <row r="178" spans="1:45" s="585" customFormat="1" ht="12.75" customHeight="1">
      <c r="A178" s="571"/>
      <c r="B178" s="1951" t="s">
        <v>1984</v>
      </c>
      <c r="C178" s="1951"/>
      <c r="D178" s="1951"/>
      <c r="E178" s="1951"/>
      <c r="F178" s="1951"/>
      <c r="G178" s="1951"/>
      <c r="H178" s="1951"/>
      <c r="I178" s="1951"/>
      <c r="J178" s="1951"/>
      <c r="K178" s="1951"/>
      <c r="L178" s="1951"/>
      <c r="M178" s="1951"/>
      <c r="N178" s="1951"/>
      <c r="O178" s="1951"/>
      <c r="P178" s="1951"/>
      <c r="Q178" s="1951"/>
      <c r="R178" s="1951"/>
      <c r="S178" s="1951"/>
      <c r="T178" s="1927" t="s">
        <v>600</v>
      </c>
      <c r="U178" s="1927"/>
      <c r="V178" s="1927"/>
      <c r="W178" s="1927"/>
      <c r="X178" s="1927"/>
      <c r="Y178" s="1927"/>
      <c r="Z178" s="1927"/>
      <c r="AA178" s="1927"/>
      <c r="AB178" s="1927"/>
      <c r="AC178" s="1927"/>
      <c r="AD178" s="571"/>
      <c r="AE178" s="571"/>
      <c r="AF178" s="571"/>
      <c r="AG178" s="571"/>
      <c r="AH178" s="571"/>
      <c r="AI178" s="571"/>
      <c r="AJ178" s="578"/>
      <c r="AK178" s="630"/>
      <c r="AL178" s="630"/>
      <c r="AM178" s="630"/>
      <c r="AN178" s="632"/>
      <c r="AP178" s="585" t="s">
        <v>1534</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1537</v>
      </c>
      <c r="AQ179" s="585">
        <v>10</v>
      </c>
      <c r="AS179" s="585" t="s">
        <v>1535</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1536</v>
      </c>
      <c r="AK180" s="1959">
        <f>IF(AK78&gt;0,VLOOKUP($B$177,AP174:AQ180,2,FALSE),0)</f>
        <v>10</v>
      </c>
      <c r="AL180" s="1960"/>
      <c r="AM180" s="1961"/>
      <c r="AN180" s="570"/>
      <c r="AP180" s="585" t="s">
        <v>1539</v>
      </c>
      <c r="AQ180" s="585">
        <v>10</v>
      </c>
      <c r="AS180" s="585" t="s">
        <v>1538</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1540</v>
      </c>
      <c r="B183" s="573" t="s">
        <v>1541</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94" t="s">
        <v>1542</v>
      </c>
      <c r="AF183" s="1894"/>
      <c r="AG183" s="1894"/>
      <c r="AH183" s="1894"/>
      <c r="AI183" s="1894"/>
      <c r="AJ183" s="1894"/>
      <c r="AK183" s="1894"/>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1764</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1800</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38" t="s">
        <v>2743</v>
      </c>
      <c r="C188" s="1938"/>
      <c r="D188" s="1938"/>
      <c r="E188" s="1938"/>
      <c r="F188" s="1938"/>
      <c r="G188" s="1938"/>
      <c r="H188" s="1938"/>
      <c r="I188" s="1938"/>
      <c r="J188" s="1938"/>
      <c r="K188" s="1938"/>
      <c r="L188" s="1938"/>
      <c r="M188" s="1938"/>
      <c r="N188" s="1938"/>
      <c r="O188" s="1938"/>
      <c r="P188" s="1938"/>
      <c r="Q188" s="1938"/>
      <c r="R188" s="1938"/>
      <c r="S188" s="1938"/>
      <c r="T188" s="1938"/>
      <c r="U188" s="1938"/>
      <c r="V188" s="1938"/>
      <c r="W188" s="1938"/>
      <c r="X188" s="1938"/>
      <c r="Y188" s="1938"/>
      <c r="Z188" s="1938"/>
      <c r="AA188" s="1938"/>
      <c r="AB188" s="1938"/>
      <c r="AC188" s="882"/>
      <c r="AD188" s="1939">
        <f>Application!AM552</f>
        <v>10000000</v>
      </c>
      <c r="AE188" s="1939"/>
      <c r="AF188" s="1939"/>
      <c r="AG188" s="1939"/>
      <c r="AH188" s="1939"/>
      <c r="AI188" s="1939"/>
      <c r="AJ188" s="1939"/>
      <c r="AK188" s="645"/>
    </row>
    <row r="189" spans="1:45">
      <c r="A189" s="640"/>
      <c r="B189" s="1938"/>
      <c r="C189" s="1938"/>
      <c r="D189" s="1938"/>
      <c r="E189" s="1938"/>
      <c r="F189" s="1938"/>
      <c r="G189" s="1938"/>
      <c r="H189" s="1938"/>
      <c r="I189" s="1938"/>
      <c r="J189" s="1938"/>
      <c r="K189" s="1938"/>
      <c r="L189" s="1938"/>
      <c r="M189" s="1938"/>
      <c r="N189" s="1938"/>
      <c r="O189" s="1938"/>
      <c r="P189" s="1938"/>
      <c r="Q189" s="1938"/>
      <c r="R189" s="1938"/>
      <c r="S189" s="1938"/>
      <c r="T189" s="1938"/>
      <c r="U189" s="1938"/>
      <c r="V189" s="1938"/>
      <c r="W189" s="1938"/>
      <c r="X189" s="1938"/>
      <c r="Y189" s="1938"/>
      <c r="Z189" s="1938"/>
      <c r="AA189" s="1938"/>
      <c r="AB189" s="1938"/>
      <c r="AC189" s="882"/>
      <c r="AD189" s="1939"/>
      <c r="AE189" s="1939"/>
      <c r="AF189" s="1939"/>
      <c r="AG189" s="1939"/>
      <c r="AH189" s="1939"/>
      <c r="AI189" s="1939"/>
      <c r="AJ189" s="1939"/>
      <c r="AK189" s="645"/>
    </row>
    <row r="190" spans="1:45">
      <c r="A190" s="640"/>
      <c r="B190" s="1938"/>
      <c r="C190" s="1938"/>
      <c r="D190" s="1938"/>
      <c r="E190" s="1938"/>
      <c r="F190" s="1938"/>
      <c r="G190" s="1938"/>
      <c r="H190" s="1938"/>
      <c r="I190" s="1938"/>
      <c r="J190" s="1938"/>
      <c r="K190" s="1938"/>
      <c r="L190" s="1938"/>
      <c r="M190" s="1938"/>
      <c r="N190" s="1938"/>
      <c r="O190" s="1938"/>
      <c r="P190" s="1938"/>
      <c r="Q190" s="1938"/>
      <c r="R190" s="1938"/>
      <c r="S190" s="1938"/>
      <c r="T190" s="1938"/>
      <c r="U190" s="1938"/>
      <c r="V190" s="1938"/>
      <c r="W190" s="1938"/>
      <c r="X190" s="1938"/>
      <c r="Y190" s="1938"/>
      <c r="Z190" s="1938"/>
      <c r="AA190" s="1938"/>
      <c r="AB190" s="1938"/>
      <c r="AC190" s="882"/>
      <c r="AD190" s="1939"/>
      <c r="AE190" s="1939"/>
      <c r="AF190" s="1939"/>
      <c r="AG190" s="1939"/>
      <c r="AH190" s="1939"/>
      <c r="AI190" s="1939"/>
      <c r="AJ190" s="1939"/>
      <c r="AK190" s="645"/>
    </row>
    <row r="191" spans="1:45">
      <c r="A191" s="640"/>
      <c r="B191" s="1938"/>
      <c r="C191" s="1938"/>
      <c r="D191" s="1938"/>
      <c r="E191" s="1938"/>
      <c r="F191" s="1938"/>
      <c r="G191" s="1938"/>
      <c r="H191" s="1938"/>
      <c r="I191" s="1938"/>
      <c r="J191" s="1938"/>
      <c r="K191" s="1938"/>
      <c r="L191" s="1938"/>
      <c r="M191" s="1938"/>
      <c r="N191" s="1938"/>
      <c r="O191" s="1938"/>
      <c r="P191" s="1938"/>
      <c r="Q191" s="1938"/>
      <c r="R191" s="1938"/>
      <c r="S191" s="1938"/>
      <c r="T191" s="1938"/>
      <c r="U191" s="1938"/>
      <c r="V191" s="1938"/>
      <c r="W191" s="1938"/>
      <c r="X191" s="1938"/>
      <c r="Y191" s="1938"/>
      <c r="Z191" s="1938"/>
      <c r="AA191" s="1938"/>
      <c r="AB191" s="1938"/>
      <c r="AC191" s="882"/>
      <c r="AD191" s="1939"/>
      <c r="AE191" s="1939"/>
      <c r="AF191" s="1939"/>
      <c r="AG191" s="1939"/>
      <c r="AH191" s="1939"/>
      <c r="AI191" s="1939"/>
      <c r="AJ191" s="1939"/>
      <c r="AK191" s="645"/>
    </row>
    <row r="192" spans="1:45">
      <c r="A192" s="640"/>
      <c r="B192" s="1938"/>
      <c r="C192" s="1938"/>
      <c r="D192" s="1938"/>
      <c r="E192" s="1938"/>
      <c r="F192" s="1938"/>
      <c r="G192" s="1938"/>
      <c r="H192" s="1938"/>
      <c r="I192" s="1938"/>
      <c r="J192" s="1938"/>
      <c r="K192" s="1938"/>
      <c r="L192" s="1938"/>
      <c r="M192" s="1938"/>
      <c r="N192" s="1938"/>
      <c r="O192" s="1938"/>
      <c r="P192" s="1938"/>
      <c r="Q192" s="1938"/>
      <c r="R192" s="1938"/>
      <c r="S192" s="1938"/>
      <c r="T192" s="1938"/>
      <c r="U192" s="1938"/>
      <c r="V192" s="1938"/>
      <c r="W192" s="1938"/>
      <c r="X192" s="1938"/>
      <c r="Y192" s="1938"/>
      <c r="Z192" s="1938"/>
      <c r="AA192" s="1938"/>
      <c r="AB192" s="1938"/>
      <c r="AC192" s="882"/>
      <c r="AD192" s="1939"/>
      <c r="AE192" s="1939"/>
      <c r="AF192" s="1939"/>
      <c r="AG192" s="1939"/>
      <c r="AH192" s="1939"/>
      <c r="AI192" s="1939"/>
      <c r="AJ192" s="1939"/>
      <c r="AK192" s="645"/>
    </row>
    <row r="193" spans="1:37">
      <c r="A193" s="640"/>
      <c r="B193" s="1938"/>
      <c r="C193" s="1938"/>
      <c r="D193" s="1938"/>
      <c r="E193" s="1938"/>
      <c r="F193" s="1938"/>
      <c r="G193" s="1938"/>
      <c r="H193" s="1938"/>
      <c r="I193" s="1938"/>
      <c r="J193" s="1938"/>
      <c r="K193" s="1938"/>
      <c r="L193" s="1938"/>
      <c r="M193" s="1938"/>
      <c r="N193" s="1938"/>
      <c r="O193" s="1938"/>
      <c r="P193" s="1938"/>
      <c r="Q193" s="1938"/>
      <c r="R193" s="1938"/>
      <c r="S193" s="1938"/>
      <c r="T193" s="1938"/>
      <c r="U193" s="1938"/>
      <c r="V193" s="1938"/>
      <c r="W193" s="1938"/>
      <c r="X193" s="1938"/>
      <c r="Y193" s="1938"/>
      <c r="Z193" s="1938"/>
      <c r="AA193" s="1938"/>
      <c r="AB193" s="1938"/>
      <c r="AC193" s="882"/>
      <c r="AD193" s="1939"/>
      <c r="AE193" s="1939"/>
      <c r="AF193" s="1939"/>
      <c r="AG193" s="1939"/>
      <c r="AH193" s="1939"/>
      <c r="AI193" s="1939"/>
      <c r="AJ193" s="1939"/>
      <c r="AK193" s="645"/>
    </row>
    <row r="194" spans="1:37">
      <c r="A194" s="640"/>
      <c r="B194" s="1938"/>
      <c r="C194" s="1938"/>
      <c r="D194" s="1938"/>
      <c r="E194" s="1938"/>
      <c r="F194" s="1938"/>
      <c r="G194" s="1938"/>
      <c r="H194" s="1938"/>
      <c r="I194" s="1938"/>
      <c r="J194" s="1938"/>
      <c r="K194" s="1938"/>
      <c r="L194" s="1938"/>
      <c r="M194" s="1938"/>
      <c r="N194" s="1938"/>
      <c r="O194" s="1938"/>
      <c r="P194" s="1938"/>
      <c r="Q194" s="1938"/>
      <c r="R194" s="1938"/>
      <c r="S194" s="1938"/>
      <c r="T194" s="1938"/>
      <c r="U194" s="1938"/>
      <c r="V194" s="1938"/>
      <c r="W194" s="1938"/>
      <c r="X194" s="1938"/>
      <c r="Y194" s="1938"/>
      <c r="Z194" s="1938"/>
      <c r="AA194" s="1938"/>
      <c r="AB194" s="1938"/>
      <c r="AC194" s="882"/>
      <c r="AD194" s="1939"/>
      <c r="AE194" s="1939"/>
      <c r="AF194" s="1939"/>
      <c r="AG194" s="1939"/>
      <c r="AH194" s="1939"/>
      <c r="AI194" s="1939"/>
      <c r="AJ194" s="1939"/>
      <c r="AK194" s="645"/>
    </row>
    <row r="195" spans="1:37">
      <c r="A195" s="640"/>
      <c r="B195" s="1938"/>
      <c r="C195" s="1938"/>
      <c r="D195" s="1938"/>
      <c r="E195" s="1938"/>
      <c r="F195" s="1938"/>
      <c r="G195" s="1938"/>
      <c r="H195" s="1938"/>
      <c r="I195" s="1938"/>
      <c r="J195" s="1938"/>
      <c r="K195" s="1938"/>
      <c r="L195" s="1938"/>
      <c r="M195" s="1938"/>
      <c r="N195" s="1938"/>
      <c r="O195" s="1938"/>
      <c r="P195" s="1938"/>
      <c r="Q195" s="1938"/>
      <c r="R195" s="1938"/>
      <c r="S195" s="1938"/>
      <c r="T195" s="1938"/>
      <c r="U195" s="1938"/>
      <c r="V195" s="1938"/>
      <c r="W195" s="1938"/>
      <c r="X195" s="1938"/>
      <c r="Y195" s="1938"/>
      <c r="Z195" s="1938"/>
      <c r="AA195" s="1938"/>
      <c r="AB195" s="1938"/>
      <c r="AC195" s="882"/>
      <c r="AD195" s="1939"/>
      <c r="AE195" s="1939"/>
      <c r="AF195" s="1939"/>
      <c r="AG195" s="1939"/>
      <c r="AH195" s="1939"/>
      <c r="AI195" s="1939"/>
      <c r="AJ195" s="1939"/>
      <c r="AK195" s="645"/>
    </row>
    <row r="196" spans="1:37">
      <c r="A196" s="640"/>
      <c r="B196" s="1938"/>
      <c r="C196" s="1938"/>
      <c r="D196" s="1938"/>
      <c r="E196" s="1938"/>
      <c r="F196" s="1938"/>
      <c r="G196" s="1938"/>
      <c r="H196" s="1938"/>
      <c r="I196" s="1938"/>
      <c r="J196" s="1938"/>
      <c r="K196" s="1938"/>
      <c r="L196" s="1938"/>
      <c r="M196" s="1938"/>
      <c r="N196" s="1938"/>
      <c r="O196" s="1938"/>
      <c r="P196" s="1938"/>
      <c r="Q196" s="1938"/>
      <c r="R196" s="1938"/>
      <c r="S196" s="1938"/>
      <c r="T196" s="1938"/>
      <c r="U196" s="1938"/>
      <c r="V196" s="1938"/>
      <c r="W196" s="1938"/>
      <c r="X196" s="1938"/>
      <c r="Y196" s="1938"/>
      <c r="Z196" s="1938"/>
      <c r="AA196" s="1938"/>
      <c r="AB196" s="1938"/>
      <c r="AC196" s="882"/>
      <c r="AD196" s="1939"/>
      <c r="AE196" s="1939"/>
      <c r="AF196" s="1939"/>
      <c r="AG196" s="1939"/>
      <c r="AH196" s="1939"/>
      <c r="AI196" s="1939"/>
      <c r="AJ196" s="1939"/>
      <c r="AK196" s="645"/>
    </row>
    <row r="197" spans="1:37">
      <c r="A197" s="640"/>
      <c r="B197" s="1938"/>
      <c r="C197" s="1938"/>
      <c r="D197" s="1938"/>
      <c r="E197" s="1938"/>
      <c r="F197" s="1938"/>
      <c r="G197" s="1938"/>
      <c r="H197" s="1938"/>
      <c r="I197" s="1938"/>
      <c r="J197" s="1938"/>
      <c r="K197" s="1938"/>
      <c r="L197" s="1938"/>
      <c r="M197" s="1938"/>
      <c r="N197" s="1938"/>
      <c r="O197" s="1938"/>
      <c r="P197" s="1938"/>
      <c r="Q197" s="1938"/>
      <c r="R197" s="1938"/>
      <c r="S197" s="1938"/>
      <c r="T197" s="1938"/>
      <c r="U197" s="1938"/>
      <c r="V197" s="1938"/>
      <c r="W197" s="1938"/>
      <c r="X197" s="1938"/>
      <c r="Y197" s="1938"/>
      <c r="Z197" s="1938"/>
      <c r="AA197" s="1938"/>
      <c r="AB197" s="1938"/>
      <c r="AC197" s="882"/>
      <c r="AD197" s="1939"/>
      <c r="AE197" s="1939"/>
      <c r="AF197" s="1939"/>
      <c r="AG197" s="1939"/>
      <c r="AH197" s="1939"/>
      <c r="AI197" s="1939"/>
      <c r="AJ197" s="1939"/>
      <c r="AK197" s="645"/>
    </row>
    <row r="198" spans="1:37">
      <c r="A198" s="640"/>
      <c r="B198" s="2098" t="s">
        <v>1802</v>
      </c>
      <c r="C198" s="2098"/>
      <c r="D198" s="2098"/>
      <c r="E198" s="2098"/>
      <c r="F198" s="2098"/>
      <c r="G198" s="2098"/>
      <c r="H198" s="2098"/>
      <c r="I198" s="2098"/>
      <c r="J198" s="2098"/>
      <c r="K198" s="2098"/>
      <c r="L198" s="2098"/>
      <c r="M198" s="2098"/>
      <c r="N198" s="2098"/>
      <c r="O198" s="2098"/>
      <c r="P198" s="2098"/>
      <c r="Q198" s="2098"/>
      <c r="R198" s="2098"/>
      <c r="S198" s="2098"/>
      <c r="T198" s="2098"/>
      <c r="U198" s="2098"/>
      <c r="V198" s="2098"/>
      <c r="W198" s="2098"/>
      <c r="X198" s="2098"/>
      <c r="Y198" s="2098"/>
      <c r="Z198" s="2098"/>
      <c r="AA198" s="2098"/>
      <c r="AB198" s="2098"/>
      <c r="AC198" s="571"/>
      <c r="AD198" s="1966">
        <f>AB249</f>
        <v>0</v>
      </c>
      <c r="AE198" s="1966"/>
      <c r="AF198" s="1966"/>
      <c r="AG198" s="1966"/>
      <c r="AH198" s="1966"/>
      <c r="AI198" s="1966"/>
      <c r="AJ198" s="1966"/>
      <c r="AK198" s="645"/>
    </row>
    <row r="199" spans="1:37">
      <c r="A199" s="640"/>
      <c r="B199" s="2096" t="s">
        <v>1765</v>
      </c>
      <c r="C199" s="2096"/>
      <c r="D199" s="2096"/>
      <c r="E199" s="2096"/>
      <c r="F199" s="2096"/>
      <c r="G199" s="2096"/>
      <c r="H199" s="2096"/>
      <c r="I199" s="2096"/>
      <c r="J199" s="2096"/>
      <c r="K199" s="2096"/>
      <c r="L199" s="2096"/>
      <c r="M199" s="2096"/>
      <c r="N199" s="2096"/>
      <c r="O199" s="2096"/>
      <c r="P199" s="2096"/>
      <c r="Q199" s="2096"/>
      <c r="R199" s="2096"/>
      <c r="S199" s="2096"/>
      <c r="T199" s="2096"/>
      <c r="U199" s="2096"/>
      <c r="V199" s="2096"/>
      <c r="W199" s="2096"/>
      <c r="X199" s="2096"/>
      <c r="Y199" s="2096"/>
      <c r="Z199" s="2096"/>
      <c r="AA199" s="2096"/>
      <c r="AB199" s="2096"/>
      <c r="AC199" s="882"/>
      <c r="AD199" s="1967">
        <f>'Sources and Uses Budget'!B15</f>
        <v>0</v>
      </c>
      <c r="AE199" s="1967"/>
      <c r="AF199" s="1967"/>
      <c r="AG199" s="1967"/>
      <c r="AH199" s="1967"/>
      <c r="AI199" s="1967"/>
      <c r="AJ199" s="1967"/>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1971">
        <f>SUM(AD188:AJ198)-AD199</f>
        <v>10000000</v>
      </c>
      <c r="AE200" s="1971"/>
      <c r="AF200" s="1971"/>
      <c r="AG200" s="1971"/>
      <c r="AH200" s="1971"/>
      <c r="AI200" s="1971"/>
      <c r="AJ200" s="1971"/>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1770</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1801</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1772</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1773</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2419</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1774</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1775</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1813</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42" t="s">
        <v>1782</v>
      </c>
      <c r="J211" s="1942"/>
      <c r="K211" s="1942"/>
      <c r="L211" s="571"/>
      <c r="M211" s="571"/>
      <c r="N211" s="571"/>
      <c r="O211" s="571"/>
      <c r="P211" s="571"/>
      <c r="Q211" s="571"/>
      <c r="R211" s="571"/>
      <c r="S211" s="571"/>
      <c r="T211" s="2124" t="s">
        <v>1776</v>
      </c>
      <c r="U211" s="2124"/>
      <c r="V211" s="2124"/>
      <c r="W211" s="2124"/>
      <c r="X211" s="2124"/>
      <c r="Y211" s="2124"/>
      <c r="Z211" s="885"/>
      <c r="AA211" s="524"/>
      <c r="AB211" s="1937" t="s">
        <v>1777</v>
      </c>
      <c r="AC211" s="1937"/>
      <c r="AD211" s="1937"/>
      <c r="AE211" s="1937"/>
      <c r="AF211" s="1937"/>
      <c r="AG211" s="1937"/>
      <c r="AH211" s="863"/>
      <c r="AI211" s="863"/>
      <c r="AJ211" s="863"/>
      <c r="AK211" s="645"/>
    </row>
    <row r="212" spans="1:37">
      <c r="A212" s="640"/>
      <c r="B212" s="1940" t="s">
        <v>1762</v>
      </c>
      <c r="C212" s="1940"/>
      <c r="D212" s="1940"/>
      <c r="E212" s="1940"/>
      <c r="F212" s="1940"/>
      <c r="G212" s="1940"/>
      <c r="I212" s="1941" t="s">
        <v>1783</v>
      </c>
      <c r="J212" s="1941"/>
      <c r="K212" s="1941"/>
      <c r="L212" s="1044"/>
      <c r="N212" s="1947" t="s">
        <v>1778</v>
      </c>
      <c r="O212" s="1947"/>
      <c r="P212" s="1947"/>
      <c r="Q212" s="1947"/>
      <c r="R212" s="1947"/>
      <c r="T212" s="1947" t="s">
        <v>1779</v>
      </c>
      <c r="U212" s="1947"/>
      <c r="V212" s="1947"/>
      <c r="W212" s="1947"/>
      <c r="X212" s="1947"/>
      <c r="Y212" s="1947"/>
      <c r="Z212" s="886"/>
      <c r="AA212" s="524"/>
      <c r="AB212" s="2099" t="s">
        <v>1780</v>
      </c>
      <c r="AC212" s="2099"/>
      <c r="AD212" s="2099"/>
      <c r="AE212" s="2099"/>
      <c r="AF212" s="2099"/>
      <c r="AG212" s="2099"/>
      <c r="AH212" s="863"/>
      <c r="AI212" s="863"/>
      <c r="AJ212" s="863"/>
      <c r="AK212" s="645"/>
    </row>
    <row r="213" spans="1:37">
      <c r="A213" s="640"/>
      <c r="B213" s="1944" t="s">
        <v>1325</v>
      </c>
      <c r="C213" s="1944"/>
      <c r="D213" s="1944"/>
      <c r="E213" s="1944"/>
      <c r="F213" s="1944"/>
      <c r="G213" s="1944"/>
      <c r="H213" s="888"/>
      <c r="I213" s="1943"/>
      <c r="J213" s="1943"/>
      <c r="K213" s="1943"/>
      <c r="L213" s="1044"/>
      <c r="N213" s="1948"/>
      <c r="O213" s="1948"/>
      <c r="P213" s="1948"/>
      <c r="Q213" s="1948"/>
      <c r="R213" s="1948"/>
      <c r="T213" s="2097"/>
      <c r="U213" s="2097"/>
      <c r="V213" s="2097"/>
      <c r="W213" s="2097"/>
      <c r="X213" s="2097"/>
      <c r="Y213" s="2097"/>
      <c r="Z213" s="887"/>
      <c r="AA213" s="887"/>
      <c r="AB213" s="1945">
        <f t="shared" ref="AB213:AB222" si="0">MAX(($T213-$N213)*$I213*12,0)</f>
        <v>0</v>
      </c>
      <c r="AC213" s="1945"/>
      <c r="AD213" s="1945"/>
      <c r="AE213" s="1945"/>
      <c r="AF213" s="1945"/>
      <c r="AG213" s="1945"/>
      <c r="AH213" s="863"/>
      <c r="AI213" s="863"/>
      <c r="AJ213" s="863"/>
      <c r="AK213" s="645"/>
    </row>
    <row r="214" spans="1:37">
      <c r="A214" s="640"/>
      <c r="B214" s="1944" t="s">
        <v>1325</v>
      </c>
      <c r="C214" s="1944"/>
      <c r="D214" s="1944"/>
      <c r="E214" s="1944"/>
      <c r="F214" s="1944"/>
      <c r="G214" s="1944"/>
      <c r="I214" s="1943"/>
      <c r="J214" s="1943"/>
      <c r="K214" s="1943"/>
      <c r="L214" s="1044"/>
      <c r="N214" s="1948"/>
      <c r="O214" s="1948"/>
      <c r="P214" s="1948"/>
      <c r="Q214" s="1948"/>
      <c r="R214" s="1948"/>
      <c r="T214" s="2097"/>
      <c r="U214" s="2097"/>
      <c r="V214" s="2097"/>
      <c r="W214" s="2097"/>
      <c r="X214" s="2097"/>
      <c r="Y214" s="2097"/>
      <c r="Z214" s="887"/>
      <c r="AA214" s="887"/>
      <c r="AB214" s="1945">
        <f t="shared" si="0"/>
        <v>0</v>
      </c>
      <c r="AC214" s="1945"/>
      <c r="AD214" s="1945"/>
      <c r="AE214" s="1945"/>
      <c r="AF214" s="1945"/>
      <c r="AG214" s="1945"/>
      <c r="AH214" s="863"/>
      <c r="AI214" s="863"/>
      <c r="AJ214" s="863"/>
      <c r="AK214" s="645"/>
    </row>
    <row r="215" spans="1:37">
      <c r="A215" s="640"/>
      <c r="B215" s="1944" t="s">
        <v>1325</v>
      </c>
      <c r="C215" s="1944"/>
      <c r="D215" s="1944"/>
      <c r="E215" s="1944"/>
      <c r="F215" s="1944"/>
      <c r="G215" s="1944"/>
      <c r="I215" s="1943"/>
      <c r="J215" s="1943"/>
      <c r="K215" s="1943"/>
      <c r="L215" s="1044"/>
      <c r="N215" s="1948"/>
      <c r="O215" s="1948"/>
      <c r="P215" s="1948"/>
      <c r="Q215" s="1948"/>
      <c r="R215" s="1948"/>
      <c r="T215" s="2097"/>
      <c r="U215" s="2097"/>
      <c r="V215" s="2097"/>
      <c r="W215" s="2097"/>
      <c r="X215" s="2097"/>
      <c r="Y215" s="2097"/>
      <c r="Z215" s="887"/>
      <c r="AA215" s="887"/>
      <c r="AB215" s="1945">
        <f t="shared" si="0"/>
        <v>0</v>
      </c>
      <c r="AC215" s="1945"/>
      <c r="AD215" s="1945"/>
      <c r="AE215" s="1945"/>
      <c r="AF215" s="1945"/>
      <c r="AG215" s="1945"/>
      <c r="AH215" s="863"/>
      <c r="AI215" s="863"/>
      <c r="AJ215" s="863"/>
      <c r="AK215" s="645"/>
    </row>
    <row r="216" spans="1:37">
      <c r="A216" s="640"/>
      <c r="B216" s="1944" t="s">
        <v>1325</v>
      </c>
      <c r="C216" s="1944"/>
      <c r="D216" s="1944"/>
      <c r="E216" s="1944"/>
      <c r="F216" s="1944"/>
      <c r="G216" s="1944"/>
      <c r="I216" s="1943"/>
      <c r="J216" s="1943"/>
      <c r="K216" s="1943"/>
      <c r="L216" s="1044"/>
      <c r="N216" s="1948"/>
      <c r="O216" s="1948"/>
      <c r="P216" s="1948"/>
      <c r="Q216" s="1948"/>
      <c r="R216" s="1948"/>
      <c r="T216" s="2097"/>
      <c r="U216" s="2097"/>
      <c r="V216" s="2097"/>
      <c r="W216" s="2097"/>
      <c r="X216" s="2097"/>
      <c r="Y216" s="2097"/>
      <c r="Z216" s="887"/>
      <c r="AA216" s="887"/>
      <c r="AB216" s="1945">
        <f t="shared" si="0"/>
        <v>0</v>
      </c>
      <c r="AC216" s="1945"/>
      <c r="AD216" s="1945"/>
      <c r="AE216" s="1945"/>
      <c r="AF216" s="1945"/>
      <c r="AG216" s="1945"/>
      <c r="AH216" s="863"/>
      <c r="AI216" s="863"/>
      <c r="AJ216" s="863"/>
      <c r="AK216" s="645"/>
    </row>
    <row r="217" spans="1:37">
      <c r="A217" s="640"/>
      <c r="B217" s="1944" t="s">
        <v>1325</v>
      </c>
      <c r="C217" s="1944"/>
      <c r="D217" s="1944"/>
      <c r="E217" s="1944"/>
      <c r="F217" s="1944"/>
      <c r="G217" s="1944"/>
      <c r="I217" s="1943"/>
      <c r="J217" s="1943"/>
      <c r="K217" s="1943"/>
      <c r="L217" s="1051"/>
      <c r="N217" s="1948"/>
      <c r="O217" s="1948"/>
      <c r="P217" s="1948"/>
      <c r="Q217" s="1948"/>
      <c r="R217" s="1948"/>
      <c r="T217" s="2097"/>
      <c r="U217" s="2097"/>
      <c r="V217" s="2097"/>
      <c r="W217" s="2097"/>
      <c r="X217" s="2097"/>
      <c r="Y217" s="2097"/>
      <c r="Z217" s="887"/>
      <c r="AA217" s="887"/>
      <c r="AB217" s="1945">
        <f t="shared" si="0"/>
        <v>0</v>
      </c>
      <c r="AC217" s="1945"/>
      <c r="AD217" s="1945"/>
      <c r="AE217" s="1945"/>
      <c r="AF217" s="1945"/>
      <c r="AG217" s="1945"/>
      <c r="AH217" s="863"/>
      <c r="AI217" s="863"/>
      <c r="AJ217" s="863"/>
      <c r="AK217" s="645"/>
    </row>
    <row r="218" spans="1:37">
      <c r="A218" s="640"/>
      <c r="B218" s="1944" t="s">
        <v>1325</v>
      </c>
      <c r="C218" s="1944"/>
      <c r="D218" s="1944"/>
      <c r="E218" s="1944"/>
      <c r="F218" s="1944"/>
      <c r="G218" s="1944"/>
      <c r="I218" s="1943"/>
      <c r="J218" s="1943"/>
      <c r="K218" s="1943"/>
      <c r="L218" s="1051"/>
      <c r="N218" s="1948"/>
      <c r="O218" s="1948"/>
      <c r="P218" s="1948"/>
      <c r="Q218" s="1948"/>
      <c r="R218" s="1948"/>
      <c r="T218" s="2097"/>
      <c r="U218" s="2097"/>
      <c r="V218" s="2097"/>
      <c r="W218" s="2097"/>
      <c r="X218" s="2097"/>
      <c r="Y218" s="2097"/>
      <c r="Z218" s="887"/>
      <c r="AA218" s="887"/>
      <c r="AB218" s="1945">
        <f t="shared" si="0"/>
        <v>0</v>
      </c>
      <c r="AC218" s="1945"/>
      <c r="AD218" s="1945"/>
      <c r="AE218" s="1945"/>
      <c r="AF218" s="1945"/>
      <c r="AG218" s="1945"/>
      <c r="AH218" s="863"/>
      <c r="AI218" s="863"/>
      <c r="AJ218" s="863"/>
      <c r="AK218" s="645"/>
    </row>
    <row r="219" spans="1:37">
      <c r="A219" s="640"/>
      <c r="B219" s="1944" t="s">
        <v>1325</v>
      </c>
      <c r="C219" s="1944"/>
      <c r="D219" s="1944"/>
      <c r="E219" s="1944"/>
      <c r="F219" s="1944"/>
      <c r="G219" s="1944"/>
      <c r="I219" s="1943"/>
      <c r="J219" s="1943"/>
      <c r="K219" s="1943"/>
      <c r="L219" s="1051"/>
      <c r="N219" s="1948"/>
      <c r="O219" s="1948"/>
      <c r="P219" s="1948"/>
      <c r="Q219" s="1948"/>
      <c r="R219" s="1948"/>
      <c r="T219" s="2097"/>
      <c r="U219" s="2097"/>
      <c r="V219" s="2097"/>
      <c r="W219" s="2097"/>
      <c r="X219" s="2097"/>
      <c r="Y219" s="2097"/>
      <c r="Z219" s="887"/>
      <c r="AA219" s="887"/>
      <c r="AB219" s="1945">
        <f t="shared" si="0"/>
        <v>0</v>
      </c>
      <c r="AC219" s="1945"/>
      <c r="AD219" s="1945"/>
      <c r="AE219" s="1945"/>
      <c r="AF219" s="1945"/>
      <c r="AG219" s="1945"/>
      <c r="AH219" s="863"/>
      <c r="AI219" s="863"/>
      <c r="AJ219" s="863"/>
      <c r="AK219" s="645"/>
    </row>
    <row r="220" spans="1:37">
      <c r="A220" s="640"/>
      <c r="B220" s="1944" t="s">
        <v>1325</v>
      </c>
      <c r="C220" s="1944"/>
      <c r="D220" s="1944"/>
      <c r="E220" s="1944"/>
      <c r="F220" s="1944"/>
      <c r="G220" s="1944"/>
      <c r="I220" s="1943"/>
      <c r="J220" s="1943"/>
      <c r="K220" s="1943"/>
      <c r="L220" s="1051"/>
      <c r="N220" s="1948"/>
      <c r="O220" s="1948"/>
      <c r="P220" s="1948"/>
      <c r="Q220" s="1948"/>
      <c r="R220" s="1948"/>
      <c r="T220" s="2097"/>
      <c r="U220" s="2097"/>
      <c r="V220" s="2097"/>
      <c r="W220" s="2097"/>
      <c r="X220" s="2097"/>
      <c r="Y220" s="2097"/>
      <c r="Z220" s="887"/>
      <c r="AA220" s="887"/>
      <c r="AB220" s="1945">
        <f t="shared" si="0"/>
        <v>0</v>
      </c>
      <c r="AC220" s="1945"/>
      <c r="AD220" s="1945"/>
      <c r="AE220" s="1945"/>
      <c r="AF220" s="1945"/>
      <c r="AG220" s="1945"/>
      <c r="AH220" s="863"/>
      <c r="AI220" s="863"/>
      <c r="AJ220" s="863"/>
      <c r="AK220" s="645"/>
    </row>
    <row r="221" spans="1:37">
      <c r="A221" s="640"/>
      <c r="B221" s="1944" t="s">
        <v>1325</v>
      </c>
      <c r="C221" s="1944"/>
      <c r="D221" s="1944"/>
      <c r="E221" s="1944"/>
      <c r="F221" s="1944"/>
      <c r="G221" s="1944"/>
      <c r="I221" s="1943"/>
      <c r="J221" s="1943"/>
      <c r="K221" s="1943"/>
      <c r="L221" s="1051"/>
      <c r="N221" s="1948"/>
      <c r="O221" s="1948"/>
      <c r="P221" s="1948"/>
      <c r="Q221" s="1948"/>
      <c r="R221" s="1948"/>
      <c r="T221" s="2097"/>
      <c r="U221" s="2097"/>
      <c r="V221" s="2097"/>
      <c r="W221" s="2097"/>
      <c r="X221" s="2097"/>
      <c r="Y221" s="2097"/>
      <c r="Z221" s="887"/>
      <c r="AA221" s="887"/>
      <c r="AB221" s="1945">
        <f t="shared" si="0"/>
        <v>0</v>
      </c>
      <c r="AC221" s="1945"/>
      <c r="AD221" s="1945"/>
      <c r="AE221" s="1945"/>
      <c r="AF221" s="1945"/>
      <c r="AG221" s="1945"/>
      <c r="AH221" s="863"/>
      <c r="AI221" s="863"/>
      <c r="AJ221" s="863"/>
      <c r="AK221" s="645"/>
    </row>
    <row r="222" spans="1:37">
      <c r="A222" s="640"/>
      <c r="B222" s="1944" t="s">
        <v>1325</v>
      </c>
      <c r="C222" s="1944"/>
      <c r="D222" s="1944"/>
      <c r="E222" s="1944"/>
      <c r="F222" s="1944"/>
      <c r="G222" s="1944"/>
      <c r="I222" s="1946"/>
      <c r="J222" s="1946"/>
      <c r="K222" s="1946"/>
      <c r="L222" s="1051"/>
      <c r="N222" s="1948"/>
      <c r="O222" s="1948"/>
      <c r="P222" s="1948"/>
      <c r="Q222" s="1948"/>
      <c r="R222" s="1948"/>
      <c r="T222" s="2097"/>
      <c r="U222" s="2097"/>
      <c r="V222" s="2097"/>
      <c r="W222" s="2097"/>
      <c r="X222" s="2097"/>
      <c r="Y222" s="2097"/>
      <c r="Z222" s="887"/>
      <c r="AA222" s="887"/>
      <c r="AB222" s="2095">
        <f t="shared" si="0"/>
        <v>0</v>
      </c>
      <c r="AC222" s="2095"/>
      <c r="AD222" s="2095"/>
      <c r="AE222" s="2095"/>
      <c r="AF222" s="2095"/>
      <c r="AG222" s="2095"/>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1781</v>
      </c>
      <c r="AA223" s="889"/>
      <c r="AB223" s="1945">
        <f>SUM(AB213:AB222)</f>
        <v>0</v>
      </c>
      <c r="AC223" s="1945"/>
      <c r="AD223" s="1945"/>
      <c r="AE223" s="1945"/>
      <c r="AF223" s="1945"/>
      <c r="AG223" s="1945"/>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6" t="s">
        <v>1771</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1799</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1797</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1791</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100"/>
      <c r="AC229" s="2100"/>
      <c r="AD229" s="2100"/>
      <c r="AE229" s="2100"/>
      <c r="AF229" s="2100"/>
      <c r="AG229" s="2100"/>
      <c r="AH229" s="645"/>
      <c r="AI229" s="645"/>
      <c r="AJ229" s="645"/>
      <c r="AK229" s="645"/>
    </row>
    <row r="230" spans="1:37">
      <c r="A230" s="640"/>
      <c r="B230" s="873" t="s">
        <v>1796</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1798</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1792</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100"/>
      <c r="AC232" s="2100"/>
      <c r="AD232" s="2100"/>
      <c r="AE232" s="2100"/>
      <c r="AF232" s="2100"/>
      <c r="AG232" s="2100"/>
      <c r="AH232" s="645"/>
      <c r="AI232" s="645"/>
      <c r="AJ232" s="645"/>
      <c r="AK232" s="645"/>
    </row>
    <row r="233" spans="1:37">
      <c r="A233" s="640"/>
      <c r="B233" s="874" t="s">
        <v>1793</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23"/>
      <c r="AC233" s="2123"/>
      <c r="AD233" s="2123"/>
      <c r="AE233" s="2123"/>
      <c r="AF233" s="2123"/>
      <c r="AG233" s="2123"/>
      <c r="AH233" s="645"/>
      <c r="AI233" s="645"/>
      <c r="AJ233" s="645"/>
      <c r="AK233" s="645"/>
    </row>
    <row r="234" spans="1:37">
      <c r="A234" s="640"/>
      <c r="B234" s="874" t="s">
        <v>1794</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06">
        <f>IFERROR(AB232/AB233,0)</f>
        <v>0</v>
      </c>
      <c r="AC234" s="2106"/>
      <c r="AD234" s="2106"/>
      <c r="AE234" s="2106"/>
      <c r="AF234" s="2106"/>
      <c r="AG234" s="2106"/>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1795</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95">
        <f>MAX(AB229,AB234)</f>
        <v>0</v>
      </c>
      <c r="AC236" s="2095"/>
      <c r="AD236" s="2095"/>
      <c r="AE236" s="2095"/>
      <c r="AF236" s="2095"/>
      <c r="AG236" s="2095"/>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1784</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45">
        <f>AB223+AB236</f>
        <v>0</v>
      </c>
      <c r="AC239" s="1945"/>
      <c r="AD239" s="1945"/>
      <c r="AE239" s="1945"/>
      <c r="AF239" s="1945"/>
      <c r="AG239" s="1945"/>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75">
        <v>0.05</v>
      </c>
      <c r="AC240" s="1975"/>
      <c r="AD240" s="1975"/>
      <c r="AE240" s="1975"/>
      <c r="AF240" s="1975"/>
      <c r="AG240" s="1975"/>
      <c r="AH240" s="645"/>
      <c r="AI240" s="645"/>
      <c r="AJ240" s="645"/>
      <c r="AK240" s="645"/>
    </row>
    <row r="241" spans="1:37">
      <c r="A241" s="640"/>
      <c r="B241" s="511" t="s">
        <v>1785</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76">
        <f>AB239-(AB239*AB240)</f>
        <v>0</v>
      </c>
      <c r="AC241" s="1976"/>
      <c r="AD241" s="1976"/>
      <c r="AE241" s="1976"/>
      <c r="AF241" s="1976"/>
      <c r="AG241" s="1976"/>
      <c r="AH241" s="645"/>
      <c r="AI241" s="645"/>
      <c r="AJ241" s="645"/>
      <c r="AK241" s="645"/>
    </row>
    <row r="242" spans="1:37">
      <c r="A242" s="640"/>
      <c r="B242" s="511" t="s">
        <v>1786</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1787</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45">
        <f>AB241/AB247</f>
        <v>0</v>
      </c>
      <c r="AC243" s="1945"/>
      <c r="AD243" s="1945"/>
      <c r="AE243" s="1945"/>
      <c r="AF243" s="1945"/>
      <c r="AG243" s="1945"/>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1788</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37">
        <v>15</v>
      </c>
      <c r="AC245" s="1937"/>
      <c r="AD245" s="1937"/>
      <c r="AE245" s="1937"/>
      <c r="AF245" s="1937"/>
      <c r="AG245" s="1937"/>
      <c r="AH245" s="645"/>
      <c r="AI245" s="645"/>
      <c r="AJ245" s="645"/>
      <c r="AK245" s="645"/>
    </row>
    <row r="246" spans="1:37">
      <c r="A246" s="640"/>
      <c r="B246" s="511" t="s">
        <v>1789</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77">
        <v>0.04</v>
      </c>
      <c r="AC246" s="1977"/>
      <c r="AD246" s="1977"/>
      <c r="AE246" s="1977"/>
      <c r="AF246" s="1977"/>
      <c r="AG246" s="1977"/>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49">
        <v>1.1499999999999999</v>
      </c>
      <c r="AC247" s="1949"/>
      <c r="AD247" s="1949"/>
      <c r="AE247" s="1949"/>
      <c r="AF247" s="1949"/>
      <c r="AG247" s="1949"/>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1790</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68">
        <f>PV(AB246/12,AB245*12,-AB243/12, ,0)</f>
        <v>0</v>
      </c>
      <c r="AC249" s="1969"/>
      <c r="AD249" s="1969"/>
      <c r="AE249" s="1969"/>
      <c r="AF249" s="1969"/>
      <c r="AG249" s="1970"/>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1766</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1769</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1768</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1767</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72">
        <f>IFERROR(('Sources and Uses Budget'!D105/'Sources and Uses Budget'!B105),0)</f>
        <v>0</v>
      </c>
      <c r="AC255" s="1973"/>
      <c r="AD255" s="1973"/>
      <c r="AE255" s="1973"/>
      <c r="AF255" s="1973"/>
      <c r="AG255" s="1974"/>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1543</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62">
        <f>AD200*(1-AB255)</f>
        <v>10000000</v>
      </c>
      <c r="AH257" s="1962"/>
      <c r="AI257" s="1962"/>
      <c r="AJ257" s="1962"/>
      <c r="AK257" s="1962"/>
    </row>
    <row r="258" spans="1:52">
      <c r="A258" s="657"/>
      <c r="B258" s="660" t="s">
        <v>1544</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62">
        <f>'Sources and Uses Budget'!C105</f>
        <v>100535241.86501113</v>
      </c>
      <c r="AH258" s="1962"/>
      <c r="AI258" s="1962"/>
      <c r="AJ258" s="1962"/>
      <c r="AK258" s="1962"/>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63">
        <f>ROUNDDOWN(IF(AND(C281="Yes",AK78=10),((AG257*2)/AG258),AG257/AG258),2)</f>
        <v>0.19</v>
      </c>
      <c r="AH259" s="1963"/>
      <c r="AI259" s="1963"/>
      <c r="AJ259" s="1963"/>
      <c r="AK259" s="1963"/>
    </row>
    <row r="260" spans="1:52">
      <c r="A260" s="657"/>
      <c r="B260" s="1014" t="s">
        <v>1999</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3"/>
      <c r="AH260" s="1013"/>
      <c r="AI260" s="1013"/>
      <c r="AJ260" s="1013"/>
      <c r="AK260" s="1013"/>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1545</v>
      </c>
      <c r="AK262" s="1964">
        <f>IFERROR(IF(AG259=0,0,IF((AG259*100)&gt;8,8,(AG259*100))),0)</f>
        <v>8</v>
      </c>
      <c r="AL262" s="1964"/>
      <c r="AM262" s="1965"/>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1546</v>
      </c>
      <c r="B265" s="573" t="s">
        <v>1547</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1484</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56" t="s">
        <v>554</v>
      </c>
      <c r="D267" s="1956"/>
      <c r="E267" s="582"/>
      <c r="F267" s="2109" t="s">
        <v>2420</v>
      </c>
      <c r="G267" s="2110"/>
      <c r="H267" s="2110"/>
      <c r="I267" s="2110"/>
      <c r="J267" s="2110"/>
      <c r="K267" s="2110"/>
      <c r="L267" s="2110"/>
      <c r="M267" s="2110"/>
      <c r="N267" s="2110"/>
      <c r="O267" s="2110"/>
      <c r="P267" s="2110"/>
      <c r="Q267" s="2110"/>
      <c r="R267" s="2110"/>
      <c r="S267" s="2110"/>
      <c r="T267" s="2110"/>
      <c r="U267" s="2110"/>
      <c r="V267" s="2110"/>
      <c r="W267" s="2110"/>
      <c r="X267" s="2110"/>
      <c r="Y267" s="2110"/>
      <c r="Z267" s="2110"/>
      <c r="AA267" s="2110"/>
      <c r="AB267" s="2110"/>
      <c r="AC267" s="2110"/>
      <c r="AD267" s="2111"/>
      <c r="AE267" s="585"/>
      <c r="AF267" s="670"/>
      <c r="AG267" s="1957" t="s">
        <v>1533</v>
      </c>
      <c r="AH267" s="1957"/>
      <c r="AI267" s="1957"/>
      <c r="AJ267" s="1957"/>
      <c r="AK267" s="585"/>
      <c r="AL267" s="585"/>
      <c r="AM267" s="585"/>
      <c r="AO267" s="585"/>
    </row>
    <row r="268" spans="1:52" ht="13.7" customHeight="1">
      <c r="A268" s="585"/>
      <c r="B268" s="631"/>
      <c r="C268" s="671"/>
      <c r="D268" s="585"/>
      <c r="E268" s="582"/>
      <c r="F268" s="2112"/>
      <c r="G268" s="2113"/>
      <c r="H268" s="2113"/>
      <c r="I268" s="2113"/>
      <c r="J268" s="2113"/>
      <c r="K268" s="2113"/>
      <c r="L268" s="2113"/>
      <c r="M268" s="2113"/>
      <c r="N268" s="2113"/>
      <c r="O268" s="2113"/>
      <c r="P268" s="2113"/>
      <c r="Q268" s="2113"/>
      <c r="R268" s="2113"/>
      <c r="S268" s="2113"/>
      <c r="T268" s="2113"/>
      <c r="U268" s="2113"/>
      <c r="V268" s="2113"/>
      <c r="W268" s="2113"/>
      <c r="X268" s="2113"/>
      <c r="Y268" s="2113"/>
      <c r="Z268" s="2113"/>
      <c r="AA268" s="2113"/>
      <c r="AB268" s="2113"/>
      <c r="AC268" s="2113"/>
      <c r="AD268" s="2114"/>
      <c r="AE268" s="585"/>
      <c r="AF268" s="670"/>
      <c r="AG268" s="670"/>
      <c r="AH268" s="670"/>
      <c r="AI268" s="670"/>
      <c r="AJ268" s="585"/>
      <c r="AK268" s="585"/>
      <c r="AL268" s="585"/>
      <c r="AM268" s="585"/>
      <c r="AO268" s="585"/>
    </row>
    <row r="269" spans="1:52">
      <c r="A269" s="585"/>
      <c r="B269" s="631"/>
      <c r="C269" s="671"/>
      <c r="D269" s="585"/>
      <c r="E269" s="582"/>
      <c r="F269" s="2112"/>
      <c r="G269" s="2113"/>
      <c r="H269" s="2113"/>
      <c r="I269" s="2113"/>
      <c r="J269" s="2113"/>
      <c r="K269" s="2113"/>
      <c r="L269" s="2113"/>
      <c r="M269" s="2113"/>
      <c r="N269" s="2113"/>
      <c r="O269" s="2113"/>
      <c r="P269" s="2113"/>
      <c r="Q269" s="2113"/>
      <c r="R269" s="2113"/>
      <c r="S269" s="2113"/>
      <c r="T269" s="2113"/>
      <c r="U269" s="2113"/>
      <c r="V269" s="2113"/>
      <c r="W269" s="2113"/>
      <c r="X269" s="2113"/>
      <c r="Y269" s="2113"/>
      <c r="Z269" s="2113"/>
      <c r="AA269" s="2113"/>
      <c r="AB269" s="2113"/>
      <c r="AC269" s="2113"/>
      <c r="AD269" s="2114"/>
      <c r="AE269" s="585"/>
      <c r="AF269" s="670"/>
      <c r="AG269" s="670"/>
      <c r="AH269" s="670"/>
      <c r="AI269" s="670"/>
      <c r="AJ269" s="585"/>
      <c r="AK269" s="585"/>
      <c r="AL269" s="585"/>
      <c r="AM269" s="585"/>
      <c r="AO269" s="585"/>
      <c r="AP269" s="672"/>
    </row>
    <row r="270" spans="1:52">
      <c r="A270" s="585"/>
      <c r="B270" s="631"/>
      <c r="C270" s="671"/>
      <c r="D270" s="585"/>
      <c r="E270" s="582"/>
      <c r="F270" s="2112"/>
      <c r="G270" s="2113"/>
      <c r="H270" s="2113"/>
      <c r="I270" s="2113"/>
      <c r="J270" s="2113"/>
      <c r="K270" s="2113"/>
      <c r="L270" s="2113"/>
      <c r="M270" s="2113"/>
      <c r="N270" s="2113"/>
      <c r="O270" s="2113"/>
      <c r="P270" s="2113"/>
      <c r="Q270" s="2113"/>
      <c r="R270" s="2113"/>
      <c r="S270" s="2113"/>
      <c r="T270" s="2113"/>
      <c r="U270" s="2113"/>
      <c r="V270" s="2113"/>
      <c r="W270" s="2113"/>
      <c r="X270" s="2113"/>
      <c r="Y270" s="2113"/>
      <c r="Z270" s="2113"/>
      <c r="AA270" s="2113"/>
      <c r="AB270" s="2113"/>
      <c r="AC270" s="2113"/>
      <c r="AD270" s="2114"/>
      <c r="AE270" s="585"/>
      <c r="AF270" s="670"/>
      <c r="AG270" s="670"/>
      <c r="AH270" s="670"/>
      <c r="AI270" s="670"/>
      <c r="AJ270" s="585"/>
      <c r="AK270" s="585"/>
      <c r="AL270" s="585"/>
      <c r="AM270" s="585"/>
      <c r="AO270" s="585"/>
      <c r="AP270" s="672"/>
    </row>
    <row r="271" spans="1:52" ht="13.7" customHeight="1">
      <c r="A271" s="585"/>
      <c r="B271" s="631"/>
      <c r="C271" s="1958"/>
      <c r="D271" s="1958"/>
      <c r="E271" s="582"/>
      <c r="F271" s="2115"/>
      <c r="G271" s="2116"/>
      <c r="H271" s="2116"/>
      <c r="I271" s="2116"/>
      <c r="J271" s="2116"/>
      <c r="K271" s="2116"/>
      <c r="L271" s="2116"/>
      <c r="M271" s="2116"/>
      <c r="N271" s="2116"/>
      <c r="O271" s="2116"/>
      <c r="P271" s="2116"/>
      <c r="Q271" s="2116"/>
      <c r="R271" s="2116"/>
      <c r="S271" s="2116"/>
      <c r="T271" s="2116"/>
      <c r="U271" s="2116"/>
      <c r="V271" s="2116"/>
      <c r="W271" s="2116"/>
      <c r="X271" s="2116"/>
      <c r="Y271" s="2116"/>
      <c r="Z271" s="2116"/>
      <c r="AA271" s="2116"/>
      <c r="AB271" s="2116"/>
      <c r="AC271" s="2116"/>
      <c r="AD271" s="2117"/>
      <c r="AE271" s="585"/>
      <c r="AF271" s="670"/>
      <c r="AG271" s="1957"/>
      <c r="AH271" s="1957"/>
      <c r="AI271" s="1957"/>
      <c r="AJ271" s="1957"/>
      <c r="AK271" s="585"/>
      <c r="AL271" s="585"/>
      <c r="AM271" s="585"/>
    </row>
    <row r="272" spans="1:52" ht="13.7" hidden="1" customHeight="1">
      <c r="A272" s="585"/>
      <c r="C272" s="638"/>
      <c r="D272" s="638"/>
      <c r="E272" s="638"/>
      <c r="F272" s="1059"/>
      <c r="G272" s="1060"/>
      <c r="H272" s="1060"/>
      <c r="I272" s="1060"/>
      <c r="J272" s="1060"/>
      <c r="K272" s="1060"/>
      <c r="L272" s="1060"/>
      <c r="M272" s="1060"/>
      <c r="N272" s="1060"/>
      <c r="O272" s="1060"/>
      <c r="P272" s="1060"/>
      <c r="Q272" s="1060"/>
      <c r="R272" s="1060"/>
      <c r="S272" s="1060"/>
      <c r="T272" s="1060"/>
      <c r="U272" s="1060"/>
      <c r="V272" s="1060"/>
      <c r="W272" s="1060"/>
      <c r="X272" s="1060"/>
      <c r="Y272" s="1060"/>
      <c r="Z272" s="1060"/>
      <c r="AA272" s="1060"/>
      <c r="AB272" s="1060"/>
      <c r="AC272" s="1060"/>
      <c r="AD272" s="1061"/>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1549</v>
      </c>
      <c r="AK274" s="1964">
        <f>IF($C$267="yes",10,0)</f>
        <v>10</v>
      </c>
      <c r="AL274" s="1964"/>
      <c r="AM274" s="1965"/>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1550</v>
      </c>
      <c r="B277" s="573" t="s">
        <v>2114</v>
      </c>
      <c r="AH277" s="626" t="s">
        <v>1484</v>
      </c>
    </row>
    <row r="278" spans="1:49" ht="15" customHeight="1">
      <c r="B278" s="574"/>
    </row>
    <row r="279" spans="1:49" ht="15" customHeight="1">
      <c r="B279" s="574" t="s">
        <v>1986</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46" t="s">
        <v>1552</v>
      </c>
      <c r="B281" s="1646"/>
      <c r="C281" s="1953" t="s">
        <v>554</v>
      </c>
      <c r="D281" s="1956"/>
      <c r="E281" s="582"/>
      <c r="F281" s="1984" t="s">
        <v>1553</v>
      </c>
      <c r="G281" s="1985"/>
      <c r="H281" s="1985"/>
      <c r="I281" s="1985"/>
      <c r="J281" s="1985"/>
      <c r="K281" s="1985"/>
      <c r="L281" s="1985"/>
      <c r="M281" s="1985"/>
      <c r="N281" s="1985"/>
      <c r="O281" s="1985"/>
      <c r="P281" s="1985"/>
      <c r="Q281" s="1985"/>
      <c r="R281" s="1985"/>
      <c r="S281" s="1985"/>
      <c r="T281" s="1985"/>
      <c r="U281" s="1985"/>
      <c r="V281" s="1985"/>
      <c r="W281" s="1985"/>
      <c r="X281" s="1985"/>
      <c r="Y281" s="1985"/>
      <c r="Z281" s="1985"/>
      <c r="AA281" s="1985"/>
      <c r="AB281" s="1985"/>
      <c r="AC281" s="1985"/>
      <c r="AD281" s="1986"/>
      <c r="AE281" s="677"/>
      <c r="AF281" s="585"/>
      <c r="AG281" s="1987" t="s">
        <v>2413</v>
      </c>
      <c r="AH281" s="1987"/>
      <c r="AI281" s="1987"/>
      <c r="AJ281" s="1987"/>
      <c r="AK281" s="1987"/>
      <c r="AL281" s="585"/>
      <c r="AM281" s="585"/>
      <c r="AN281" s="73"/>
      <c r="AO281" s="14"/>
      <c r="AP281" s="30"/>
      <c r="AS281" s="605"/>
      <c r="AT281" s="605"/>
      <c r="AU281" s="605"/>
      <c r="AV281" s="32"/>
      <c r="AW281" s="32"/>
    </row>
    <row r="282" spans="1:49">
      <c r="A282" s="675"/>
      <c r="B282" s="631"/>
      <c r="F282" s="1978"/>
      <c r="G282" s="1979"/>
      <c r="H282" s="1979"/>
      <c r="I282" s="1979"/>
      <c r="J282" s="1979"/>
      <c r="K282" s="1979"/>
      <c r="L282" s="1979"/>
      <c r="M282" s="1979"/>
      <c r="N282" s="1979"/>
      <c r="O282" s="1979"/>
      <c r="P282" s="1979"/>
      <c r="Q282" s="1979"/>
      <c r="R282" s="1979"/>
      <c r="S282" s="1979"/>
      <c r="T282" s="1979"/>
      <c r="U282" s="1979"/>
      <c r="V282" s="1979"/>
      <c r="W282" s="1979"/>
      <c r="X282" s="1979"/>
      <c r="Y282" s="1979"/>
      <c r="Z282" s="1979"/>
      <c r="AA282" s="1979"/>
      <c r="AB282" s="1979"/>
      <c r="AC282" s="1979"/>
      <c r="AD282" s="1980"/>
      <c r="AE282" s="677"/>
      <c r="AF282" s="586"/>
      <c r="AH282" s="586"/>
      <c r="AI282" s="586"/>
      <c r="AJ282" s="585"/>
      <c r="AK282" s="585"/>
      <c r="AL282" s="585"/>
      <c r="AM282" s="585"/>
      <c r="AN282" s="73"/>
      <c r="AO282" s="14"/>
      <c r="AP282" s="585">
        <f>IF($C$281="yes",10,IF(C281="50% Met",9,0))</f>
        <v>10</v>
      </c>
      <c r="AS282" s="605"/>
      <c r="AT282" s="605"/>
      <c r="AU282" s="605"/>
      <c r="AV282" s="32"/>
      <c r="AW282" s="32"/>
    </row>
    <row r="283" spans="1:49" ht="15" customHeight="1">
      <c r="A283" s="675"/>
      <c r="B283" s="631"/>
      <c r="F283" s="1978"/>
      <c r="G283" s="1979"/>
      <c r="H283" s="1979"/>
      <c r="I283" s="1979"/>
      <c r="J283" s="1979"/>
      <c r="K283" s="1979"/>
      <c r="L283" s="1979"/>
      <c r="M283" s="1979"/>
      <c r="N283" s="1979"/>
      <c r="O283" s="1979"/>
      <c r="P283" s="1979"/>
      <c r="Q283" s="1979"/>
      <c r="R283" s="1979"/>
      <c r="S283" s="1979"/>
      <c r="T283" s="1979"/>
      <c r="U283" s="1979"/>
      <c r="V283" s="1979"/>
      <c r="W283" s="1979"/>
      <c r="X283" s="1979"/>
      <c r="Y283" s="1979"/>
      <c r="Z283" s="1979"/>
      <c r="AA283" s="1979"/>
      <c r="AB283" s="1979"/>
      <c r="AC283" s="1979"/>
      <c r="AD283" s="1980"/>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78" t="s">
        <v>2421</v>
      </c>
      <c r="G284" s="1979"/>
      <c r="H284" s="1979"/>
      <c r="I284" s="1979"/>
      <c r="J284" s="1979"/>
      <c r="K284" s="1979"/>
      <c r="L284" s="1979"/>
      <c r="M284" s="1979"/>
      <c r="N284" s="1979"/>
      <c r="O284" s="1979"/>
      <c r="P284" s="1979"/>
      <c r="Q284" s="1979"/>
      <c r="R284" s="1979"/>
      <c r="S284" s="1979"/>
      <c r="T284" s="1979"/>
      <c r="U284" s="1979"/>
      <c r="V284" s="1979"/>
      <c r="W284" s="1979"/>
      <c r="X284" s="1979"/>
      <c r="Y284" s="1979"/>
      <c r="Z284" s="1979"/>
      <c r="AA284" s="1979"/>
      <c r="AB284" s="1979"/>
      <c r="AC284" s="1979"/>
      <c r="AD284" s="1980"/>
      <c r="AE284" s="677"/>
      <c r="AF284" s="586"/>
      <c r="AH284" s="586"/>
      <c r="AI284" s="586"/>
      <c r="AJ284" s="585"/>
      <c r="AK284" s="585"/>
      <c r="AL284" s="585"/>
      <c r="AM284" s="585"/>
      <c r="AN284" s="73"/>
      <c r="AO284" s="14"/>
      <c r="AP284" s="646">
        <f>MAX(AP282,AP283)</f>
        <v>10</v>
      </c>
      <c r="AQ284" s="609" t="s">
        <v>1486</v>
      </c>
      <c r="AS284" s="605"/>
      <c r="AT284" s="605"/>
      <c r="AU284" s="605"/>
      <c r="AV284" s="32"/>
      <c r="AW284" s="32"/>
    </row>
    <row r="285" spans="1:49">
      <c r="A285" s="675"/>
      <c r="B285" s="631"/>
      <c r="F285" s="1978"/>
      <c r="G285" s="1979"/>
      <c r="H285" s="1979"/>
      <c r="I285" s="1979"/>
      <c r="J285" s="1979"/>
      <c r="K285" s="1979"/>
      <c r="L285" s="1979"/>
      <c r="M285" s="1979"/>
      <c r="N285" s="1979"/>
      <c r="O285" s="1979"/>
      <c r="P285" s="1979"/>
      <c r="Q285" s="1979"/>
      <c r="R285" s="1979"/>
      <c r="S285" s="1979"/>
      <c r="T285" s="1979"/>
      <c r="U285" s="1979"/>
      <c r="V285" s="1979"/>
      <c r="W285" s="1979"/>
      <c r="X285" s="1979"/>
      <c r="Y285" s="1979"/>
      <c r="Z285" s="1979"/>
      <c r="AA285" s="1979"/>
      <c r="AB285" s="1979"/>
      <c r="AC285" s="1979"/>
      <c r="AD285" s="1980"/>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78" t="s">
        <v>1554</v>
      </c>
      <c r="G286" s="1979"/>
      <c r="H286" s="1979"/>
      <c r="I286" s="1979"/>
      <c r="J286" s="1979"/>
      <c r="K286" s="1979"/>
      <c r="L286" s="1979"/>
      <c r="M286" s="1979"/>
      <c r="N286" s="1979"/>
      <c r="O286" s="1979"/>
      <c r="P286" s="1979"/>
      <c r="Q286" s="1979"/>
      <c r="R286" s="1979"/>
      <c r="S286" s="1979"/>
      <c r="T286" s="1979"/>
      <c r="U286" s="1979"/>
      <c r="V286" s="1979"/>
      <c r="W286" s="1979"/>
      <c r="X286" s="1979"/>
      <c r="Y286" s="1979"/>
      <c r="Z286" s="1979"/>
      <c r="AA286" s="1979"/>
      <c r="AB286" s="1979"/>
      <c r="AC286" s="1979"/>
      <c r="AD286" s="1980"/>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78"/>
      <c r="G287" s="1979"/>
      <c r="H287" s="1979"/>
      <c r="I287" s="1979"/>
      <c r="J287" s="1979"/>
      <c r="K287" s="1979"/>
      <c r="L287" s="1979"/>
      <c r="M287" s="1979"/>
      <c r="N287" s="1979"/>
      <c r="O287" s="1979"/>
      <c r="P287" s="1979"/>
      <c r="Q287" s="1979"/>
      <c r="R287" s="1979"/>
      <c r="S287" s="1979"/>
      <c r="T287" s="1979"/>
      <c r="U287" s="1979"/>
      <c r="V287" s="1979"/>
      <c r="W287" s="1979"/>
      <c r="X287" s="1979"/>
      <c r="Y287" s="1979"/>
      <c r="Z287" s="1979"/>
      <c r="AA287" s="1979"/>
      <c r="AB287" s="1979"/>
      <c r="AC287" s="1979"/>
      <c r="AD287" s="1980"/>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78" t="s">
        <v>1555</v>
      </c>
      <c r="G288" s="1979"/>
      <c r="H288" s="1979"/>
      <c r="I288" s="1979"/>
      <c r="J288" s="1979"/>
      <c r="K288" s="1979"/>
      <c r="L288" s="1979"/>
      <c r="M288" s="1979"/>
      <c r="N288" s="1979"/>
      <c r="O288" s="1979"/>
      <c r="P288" s="1979"/>
      <c r="Q288" s="1979"/>
      <c r="R288" s="1979"/>
      <c r="S288" s="1979"/>
      <c r="T288" s="1979"/>
      <c r="U288" s="1979"/>
      <c r="V288" s="1979"/>
      <c r="W288" s="1979"/>
      <c r="X288" s="1979"/>
      <c r="Y288" s="1979"/>
      <c r="Z288" s="1979"/>
      <c r="AA288" s="1979"/>
      <c r="AB288" s="1979"/>
      <c r="AC288" s="1979"/>
      <c r="AD288" s="1980"/>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81"/>
      <c r="G289" s="1982"/>
      <c r="H289" s="1982"/>
      <c r="I289" s="1982"/>
      <c r="J289" s="1982"/>
      <c r="K289" s="1982"/>
      <c r="L289" s="1982"/>
      <c r="M289" s="1982"/>
      <c r="N289" s="1982"/>
      <c r="O289" s="1982"/>
      <c r="P289" s="1982"/>
      <c r="Q289" s="1982"/>
      <c r="R289" s="1982"/>
      <c r="S289" s="1982"/>
      <c r="T289" s="1982"/>
      <c r="U289" s="1982"/>
      <c r="V289" s="1982"/>
      <c r="W289" s="1982"/>
      <c r="X289" s="1982"/>
      <c r="Y289" s="1982"/>
      <c r="Z289" s="1982"/>
      <c r="AA289" s="1982"/>
      <c r="AB289" s="1982"/>
      <c r="AC289" s="1982"/>
      <c r="AD289" s="1983"/>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46" t="s">
        <v>1556</v>
      </c>
      <c r="B291" s="1646"/>
      <c r="C291" s="1956" t="s">
        <v>600</v>
      </c>
      <c r="D291" s="1956"/>
      <c r="E291" s="582"/>
      <c r="F291" s="679" t="s">
        <v>2414</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1558</v>
      </c>
      <c r="AH291" s="586"/>
      <c r="AI291" s="586"/>
      <c r="AJ291" s="585"/>
      <c r="AK291" s="585"/>
      <c r="AL291" s="585"/>
      <c r="AM291" s="585"/>
      <c r="AN291" s="682"/>
      <c r="AO291" s="14"/>
    </row>
    <row r="292" spans="1:49">
      <c r="A292" s="585"/>
      <c r="B292" s="586"/>
      <c r="C292" s="585"/>
      <c r="D292" s="586"/>
      <c r="E292" s="585"/>
      <c r="F292" s="1891" t="s">
        <v>2415</v>
      </c>
      <c r="G292" s="1892"/>
      <c r="H292" s="1892"/>
      <c r="I292" s="1892"/>
      <c r="J292" s="1892"/>
      <c r="K292" s="1892"/>
      <c r="L292" s="1892"/>
      <c r="M292" s="1892"/>
      <c r="N292" s="1892"/>
      <c r="O292" s="1892"/>
      <c r="P292" s="1892"/>
      <c r="Q292" s="1892"/>
      <c r="R292" s="1892"/>
      <c r="S292" s="1892"/>
      <c r="T292" s="1892"/>
      <c r="U292" s="1892"/>
      <c r="V292" s="1892"/>
      <c r="W292" s="1892"/>
      <c r="X292" s="1892"/>
      <c r="Y292" s="1892"/>
      <c r="Z292" s="1892"/>
      <c r="AA292" s="1892"/>
      <c r="AB292" s="1892"/>
      <c r="AC292" s="1892"/>
      <c r="AD292" s="1893"/>
      <c r="AE292" s="586"/>
      <c r="AF292" s="586"/>
      <c r="AG292" s="586"/>
      <c r="AH292" s="586"/>
      <c r="AI292" s="586"/>
      <c r="AJ292" s="585"/>
      <c r="AK292" s="585"/>
      <c r="AL292" s="585"/>
      <c r="AM292" s="585"/>
      <c r="AR292" s="683"/>
    </row>
    <row r="293" spans="1:49" ht="15" customHeight="1">
      <c r="A293" s="585"/>
      <c r="B293" s="586"/>
      <c r="C293" s="585"/>
      <c r="D293" s="586"/>
      <c r="E293" s="585"/>
      <c r="F293" s="1891"/>
      <c r="G293" s="1892"/>
      <c r="H293" s="1892"/>
      <c r="I293" s="1892"/>
      <c r="J293" s="1892"/>
      <c r="K293" s="1892"/>
      <c r="L293" s="1892"/>
      <c r="M293" s="1892"/>
      <c r="N293" s="1892"/>
      <c r="O293" s="1892"/>
      <c r="P293" s="1892"/>
      <c r="Q293" s="1892"/>
      <c r="R293" s="1892"/>
      <c r="S293" s="1892"/>
      <c r="T293" s="1892"/>
      <c r="U293" s="1892"/>
      <c r="V293" s="1892"/>
      <c r="W293" s="1892"/>
      <c r="X293" s="1892"/>
      <c r="Y293" s="1892"/>
      <c r="Z293" s="1892"/>
      <c r="AA293" s="1892"/>
      <c r="AB293" s="1892"/>
      <c r="AC293" s="1892"/>
      <c r="AD293" s="1893"/>
      <c r="AE293" s="586"/>
      <c r="AF293" s="586"/>
      <c r="AG293" s="586"/>
      <c r="AH293" s="586"/>
      <c r="AI293" s="586"/>
      <c r="AJ293" s="585"/>
      <c r="AK293" s="585"/>
      <c r="AL293" s="585"/>
      <c r="AM293" s="585"/>
      <c r="AR293" s="683"/>
    </row>
    <row r="294" spans="1:49">
      <c r="A294" s="585"/>
      <c r="B294" s="586"/>
      <c r="C294" s="585"/>
      <c r="D294" s="586"/>
      <c r="E294" s="585"/>
      <c r="F294" s="1891"/>
      <c r="G294" s="1892"/>
      <c r="H294" s="1892"/>
      <c r="I294" s="1892"/>
      <c r="J294" s="1892"/>
      <c r="K294" s="1892"/>
      <c r="L294" s="1892"/>
      <c r="M294" s="1892"/>
      <c r="N294" s="1892"/>
      <c r="O294" s="1892"/>
      <c r="P294" s="1892"/>
      <c r="Q294" s="1892"/>
      <c r="R294" s="1892"/>
      <c r="S294" s="1892"/>
      <c r="T294" s="1892"/>
      <c r="U294" s="1892"/>
      <c r="V294" s="1892"/>
      <c r="W294" s="1892"/>
      <c r="X294" s="1892"/>
      <c r="Y294" s="1892"/>
      <c r="Z294" s="1892"/>
      <c r="AA294" s="1892"/>
      <c r="AB294" s="1892"/>
      <c r="AC294" s="1892"/>
      <c r="AD294" s="1893"/>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88"/>
      <c r="G295" s="1889"/>
      <c r="H295" s="1889"/>
      <c r="I295" s="1889"/>
      <c r="J295" s="1889"/>
      <c r="K295" s="1889"/>
      <c r="L295" s="1889"/>
      <c r="M295" s="1889"/>
      <c r="N295" s="1889"/>
      <c r="O295" s="1889"/>
      <c r="P295" s="1889"/>
      <c r="Q295" s="1889"/>
      <c r="R295" s="1889"/>
      <c r="S295" s="1889"/>
      <c r="T295" s="1889"/>
      <c r="U295" s="1889"/>
      <c r="V295" s="1889"/>
      <c r="W295" s="1889"/>
      <c r="X295" s="1889"/>
      <c r="Y295" s="1889"/>
      <c r="Z295" s="1889"/>
      <c r="AA295" s="1889"/>
      <c r="AB295" s="1889"/>
      <c r="AC295" s="1889"/>
      <c r="AD295" s="1890"/>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46" t="s">
        <v>1559</v>
      </c>
      <c r="B299" s="1646"/>
      <c r="C299" s="1956" t="s">
        <v>600</v>
      </c>
      <c r="D299" s="1956"/>
      <c r="E299" s="582"/>
      <c r="F299" s="679" t="s">
        <v>1557</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1558</v>
      </c>
      <c r="AH299" s="586"/>
      <c r="AI299" s="586"/>
      <c r="AJ299" s="585"/>
      <c r="AK299" s="585"/>
      <c r="AL299" s="585"/>
      <c r="AM299" s="585"/>
      <c r="AN299" s="73"/>
      <c r="AO299" s="14"/>
    </row>
    <row r="300" spans="1:49" hidden="1">
      <c r="A300" s="89"/>
      <c r="B300" s="89"/>
      <c r="C300" s="765"/>
      <c r="D300" s="765"/>
      <c r="E300" s="582"/>
      <c r="F300" s="1978" t="s">
        <v>2422</v>
      </c>
      <c r="G300" s="1979"/>
      <c r="H300" s="1979"/>
      <c r="I300" s="1979"/>
      <c r="J300" s="1979"/>
      <c r="K300" s="1979"/>
      <c r="L300" s="1979"/>
      <c r="M300" s="1979"/>
      <c r="N300" s="1979"/>
      <c r="O300" s="1979"/>
      <c r="P300" s="1979"/>
      <c r="Q300" s="1979"/>
      <c r="R300" s="1979"/>
      <c r="S300" s="1979"/>
      <c r="T300" s="1979"/>
      <c r="U300" s="1979"/>
      <c r="V300" s="1979"/>
      <c r="W300" s="1979"/>
      <c r="X300" s="1979"/>
      <c r="Y300" s="1979"/>
      <c r="Z300" s="1979"/>
      <c r="AA300" s="1979"/>
      <c r="AB300" s="1979"/>
      <c r="AC300" s="1979"/>
      <c r="AD300" s="1980"/>
      <c r="AE300" s="586"/>
      <c r="AF300" s="586"/>
      <c r="AG300" s="574"/>
      <c r="AH300" s="586"/>
      <c r="AI300" s="586"/>
      <c r="AJ300" s="585"/>
      <c r="AK300" s="585"/>
      <c r="AL300" s="585"/>
      <c r="AM300" s="585"/>
      <c r="AN300" s="73"/>
      <c r="AO300" s="14"/>
      <c r="AP300" s="592" t="s">
        <v>1325</v>
      </c>
    </row>
    <row r="301" spans="1:49" hidden="1">
      <c r="F301" s="1978"/>
      <c r="G301" s="1979"/>
      <c r="H301" s="1979"/>
      <c r="I301" s="1979"/>
      <c r="J301" s="1979"/>
      <c r="K301" s="1979"/>
      <c r="L301" s="1979"/>
      <c r="M301" s="1979"/>
      <c r="N301" s="1979"/>
      <c r="O301" s="1979"/>
      <c r="P301" s="1979"/>
      <c r="Q301" s="1979"/>
      <c r="R301" s="1979"/>
      <c r="S301" s="1979"/>
      <c r="T301" s="1979"/>
      <c r="U301" s="1979"/>
      <c r="V301" s="1979"/>
      <c r="W301" s="1979"/>
      <c r="X301" s="1979"/>
      <c r="Y301" s="1979"/>
      <c r="Z301" s="1979"/>
      <c r="AA301" s="1979"/>
      <c r="AB301" s="1979"/>
      <c r="AC301" s="1979"/>
      <c r="AD301" s="1980"/>
      <c r="AE301" s="586"/>
      <c r="AF301" s="586"/>
      <c r="AH301" s="586"/>
      <c r="AI301" s="586"/>
      <c r="AJ301" s="585"/>
      <c r="AK301" s="585"/>
      <c r="AL301" s="585"/>
      <c r="AM301" s="585"/>
      <c r="AN301" s="73"/>
      <c r="AO301" s="14"/>
      <c r="AP301" s="592" t="s">
        <v>1988</v>
      </c>
    </row>
    <row r="302" spans="1:49" hidden="1">
      <c r="A302" s="585"/>
      <c r="B302" s="586"/>
      <c r="C302" s="765"/>
      <c r="D302" s="765"/>
      <c r="E302" s="582"/>
      <c r="F302" s="687" t="s">
        <v>1560</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6"/>
      <c r="AE302" s="586"/>
      <c r="AF302" s="586"/>
      <c r="AG302" s="574"/>
      <c r="AH302" s="586"/>
      <c r="AI302" s="586"/>
      <c r="AJ302" s="585"/>
      <c r="AK302" s="585"/>
      <c r="AL302" s="585"/>
      <c r="AM302" s="585"/>
      <c r="AN302" s="73"/>
      <c r="AO302" s="14"/>
      <c r="AP302" s="592" t="s">
        <v>1990</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6"/>
      <c r="AE303" s="586"/>
      <c r="AF303" s="586"/>
      <c r="AG303" s="574"/>
      <c r="AH303" s="586"/>
      <c r="AI303" s="586"/>
      <c r="AJ303" s="585"/>
      <c r="AK303" s="585"/>
      <c r="AL303" s="585"/>
      <c r="AM303" s="585"/>
      <c r="AN303" s="73"/>
      <c r="AO303" s="14"/>
      <c r="AP303" s="592" t="s">
        <v>2116</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88" t="s">
        <v>1325</v>
      </c>
      <c r="G305" s="1989"/>
      <c r="H305" s="1989"/>
      <c r="I305" s="1989"/>
      <c r="J305" s="1989"/>
      <c r="K305" s="1989"/>
      <c r="L305" s="1989"/>
      <c r="M305" s="1989"/>
      <c r="N305" s="1989"/>
      <c r="O305" s="1989"/>
      <c r="P305" s="1989"/>
      <c r="Q305" s="1989"/>
      <c r="R305" s="1989"/>
      <c r="S305" s="1989"/>
      <c r="T305" s="1989"/>
      <c r="U305" s="1989"/>
      <c r="V305" s="1989"/>
      <c r="W305" s="1989"/>
      <c r="X305" s="1989"/>
      <c r="Y305" s="1989"/>
      <c r="Z305" s="1989"/>
      <c r="AA305" s="1989"/>
      <c r="AB305" s="1989"/>
      <c r="AC305" s="1989"/>
      <c r="AD305" s="1990"/>
      <c r="AE305" s="677"/>
      <c r="AF305" s="677"/>
      <c r="AG305" s="677"/>
      <c r="AH305" s="677"/>
      <c r="AI305" s="677"/>
      <c r="AJ305" s="677"/>
      <c r="AK305" s="677"/>
      <c r="AL305" s="585"/>
      <c r="AM305" s="585"/>
      <c r="AN305" s="73"/>
      <c r="AO305" s="14"/>
      <c r="AP305" s="30"/>
    </row>
    <row r="306" spans="1:42" hidden="1">
      <c r="A306" s="585"/>
      <c r="B306" s="586"/>
      <c r="C306" s="765"/>
      <c r="D306" s="765"/>
      <c r="E306" s="582"/>
      <c r="F306" s="1988"/>
      <c r="G306" s="1989"/>
      <c r="H306" s="1989"/>
      <c r="I306" s="1989"/>
      <c r="J306" s="1989"/>
      <c r="K306" s="1989"/>
      <c r="L306" s="1989"/>
      <c r="M306" s="1989"/>
      <c r="N306" s="1989"/>
      <c r="O306" s="1989"/>
      <c r="P306" s="1989"/>
      <c r="Q306" s="1989"/>
      <c r="R306" s="1989"/>
      <c r="S306" s="1989"/>
      <c r="T306" s="1989"/>
      <c r="U306" s="1989"/>
      <c r="V306" s="1989"/>
      <c r="W306" s="1989"/>
      <c r="X306" s="1989"/>
      <c r="Y306" s="1989"/>
      <c r="Z306" s="1989"/>
      <c r="AA306" s="1989"/>
      <c r="AB306" s="1989"/>
      <c r="AC306" s="1989"/>
      <c r="AD306" s="1990"/>
      <c r="AE306" s="586"/>
      <c r="AF306" s="586"/>
      <c r="AG306" s="574"/>
      <c r="AH306" s="586"/>
      <c r="AI306" s="586"/>
      <c r="AJ306" s="585"/>
      <c r="AK306" s="585"/>
      <c r="AL306" s="585"/>
      <c r="AM306" s="585"/>
      <c r="AN306" s="73"/>
      <c r="AO306" s="14"/>
      <c r="AP306" s="30"/>
    </row>
    <row r="307" spans="1:42" hidden="1">
      <c r="A307" s="585"/>
      <c r="B307" s="586"/>
      <c r="C307" s="765"/>
      <c r="D307" s="765"/>
      <c r="E307" s="582"/>
      <c r="F307" s="1988"/>
      <c r="G307" s="1989"/>
      <c r="H307" s="1989"/>
      <c r="I307" s="1989"/>
      <c r="J307" s="1989"/>
      <c r="K307" s="1989"/>
      <c r="L307" s="1989"/>
      <c r="M307" s="1989"/>
      <c r="N307" s="1989"/>
      <c r="O307" s="1989"/>
      <c r="P307" s="1989"/>
      <c r="Q307" s="1989"/>
      <c r="R307" s="1989"/>
      <c r="S307" s="1989"/>
      <c r="T307" s="1989"/>
      <c r="U307" s="1989"/>
      <c r="V307" s="1989"/>
      <c r="W307" s="1989"/>
      <c r="X307" s="1989"/>
      <c r="Y307" s="1989"/>
      <c r="Z307" s="1989"/>
      <c r="AA307" s="1989"/>
      <c r="AB307" s="1989"/>
      <c r="AC307" s="1989"/>
      <c r="AD307" s="1990"/>
      <c r="AE307" s="586"/>
      <c r="AF307" s="586"/>
      <c r="AG307" s="574"/>
      <c r="AH307" s="586"/>
      <c r="AI307" s="586"/>
      <c r="AJ307" s="585"/>
      <c r="AK307" s="585"/>
      <c r="AL307" s="585"/>
      <c r="AM307" s="585"/>
      <c r="AN307" s="73"/>
      <c r="AO307" s="14"/>
      <c r="AP307" s="30"/>
    </row>
    <row r="308" spans="1:42" hidden="1">
      <c r="A308" s="585"/>
      <c r="B308" s="586"/>
      <c r="C308" s="765"/>
      <c r="D308" s="765"/>
      <c r="E308" s="582"/>
      <c r="F308" s="1988"/>
      <c r="G308" s="1989"/>
      <c r="H308" s="1989"/>
      <c r="I308" s="1989"/>
      <c r="J308" s="1989"/>
      <c r="K308" s="1989"/>
      <c r="L308" s="1989"/>
      <c r="M308" s="1989"/>
      <c r="N308" s="1989"/>
      <c r="O308" s="1989"/>
      <c r="P308" s="1989"/>
      <c r="Q308" s="1989"/>
      <c r="R308" s="1989"/>
      <c r="S308" s="1989"/>
      <c r="T308" s="1989"/>
      <c r="U308" s="1989"/>
      <c r="V308" s="1989"/>
      <c r="W308" s="1989"/>
      <c r="X308" s="1989"/>
      <c r="Y308" s="1989"/>
      <c r="Z308" s="1989"/>
      <c r="AA308" s="1989"/>
      <c r="AB308" s="1989"/>
      <c r="AC308" s="1989"/>
      <c r="AD308" s="1990"/>
      <c r="AE308" s="586"/>
      <c r="AF308" s="586"/>
      <c r="AG308" s="574"/>
      <c r="AH308" s="586"/>
      <c r="AI308" s="586"/>
      <c r="AJ308" s="585"/>
      <c r="AK308" s="585"/>
      <c r="AL308" s="585"/>
      <c r="AM308" s="585"/>
      <c r="AN308" s="73"/>
      <c r="AO308" s="14"/>
      <c r="AP308" s="30"/>
    </row>
    <row r="309" spans="1:42" hidden="1">
      <c r="A309" s="585"/>
      <c r="B309" s="586"/>
      <c r="C309" s="765"/>
      <c r="D309" s="765"/>
      <c r="E309" s="582"/>
      <c r="F309" s="1991"/>
      <c r="G309" s="1992"/>
      <c r="H309" s="1992"/>
      <c r="I309" s="1992"/>
      <c r="J309" s="1992"/>
      <c r="K309" s="1992"/>
      <c r="L309" s="1992"/>
      <c r="M309" s="1992"/>
      <c r="N309" s="1992"/>
      <c r="O309" s="1992"/>
      <c r="P309" s="1992"/>
      <c r="Q309" s="1992"/>
      <c r="R309" s="1992"/>
      <c r="S309" s="1992"/>
      <c r="T309" s="1992"/>
      <c r="U309" s="1992"/>
      <c r="V309" s="1992"/>
      <c r="W309" s="1992"/>
      <c r="X309" s="1992"/>
      <c r="Y309" s="1992"/>
      <c r="Z309" s="1992"/>
      <c r="AA309" s="1992"/>
      <c r="AB309" s="1992"/>
      <c r="AC309" s="1992"/>
      <c r="AD309" s="1993"/>
      <c r="AE309" s="586"/>
      <c r="AF309" s="586"/>
      <c r="AG309" s="574"/>
      <c r="AH309" s="586"/>
      <c r="AI309" s="586"/>
      <c r="AJ309" s="585"/>
      <c r="AK309" s="585"/>
      <c r="AL309" s="585"/>
      <c r="AM309" s="585"/>
      <c r="AN309" s="73"/>
      <c r="AO309" s="14"/>
      <c r="AP309" s="30"/>
    </row>
    <row r="310" spans="1:42" hidden="1">
      <c r="A310" s="585"/>
      <c r="B310" s="586"/>
      <c r="C310" s="765"/>
      <c r="D310" s="765"/>
      <c r="E310" s="582"/>
      <c r="F310" s="1011"/>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1989</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1325</v>
      </c>
    </row>
    <row r="313" spans="1:42" ht="12.75" hidden="1" customHeight="1">
      <c r="A313" s="585"/>
      <c r="B313" s="586"/>
      <c r="C313" s="765"/>
      <c r="D313" s="765"/>
      <c r="E313" s="582"/>
      <c r="F313" s="691"/>
      <c r="G313" s="610" t="s">
        <v>697</v>
      </c>
      <c r="H313" s="610"/>
      <c r="I313" s="1994" t="s">
        <v>1325</v>
      </c>
      <c r="J313" s="1994"/>
      <c r="K313" s="1994"/>
      <c r="L313" s="1994"/>
      <c r="M313" s="1994"/>
      <c r="N313" s="1994"/>
      <c r="O313" s="1994"/>
      <c r="P313" s="1994"/>
      <c r="Q313" s="1994"/>
      <c r="R313" s="1994"/>
      <c r="S313" s="1994"/>
      <c r="T313" s="1994"/>
      <c r="U313" s="1994"/>
      <c r="V313" s="1994"/>
      <c r="W313" s="1994"/>
      <c r="X313" s="1994"/>
      <c r="Y313" s="1994"/>
      <c r="Z313" s="1994"/>
      <c r="AA313" s="1994"/>
      <c r="AB313" s="1994"/>
      <c r="AC313" s="1994"/>
      <c r="AD313" s="1995"/>
      <c r="AE313" s="586"/>
      <c r="AF313" s="586"/>
      <c r="AG313" s="574"/>
      <c r="AH313" s="586"/>
      <c r="AI313" s="586"/>
      <c r="AJ313" s="585"/>
      <c r="AK313" s="585"/>
      <c r="AL313" s="585"/>
      <c r="AM313" s="585"/>
      <c r="AN313" s="73"/>
      <c r="AO313" s="14"/>
      <c r="AP313" s="592" t="s">
        <v>1815</v>
      </c>
    </row>
    <row r="314" spans="1:42" hidden="1">
      <c r="A314" s="585"/>
      <c r="B314" s="586"/>
      <c r="C314" s="765"/>
      <c r="D314" s="765"/>
      <c r="E314" s="582"/>
      <c r="F314" s="691"/>
      <c r="G314" s="610"/>
      <c r="H314" s="610"/>
      <c r="I314" s="1994"/>
      <c r="J314" s="1994"/>
      <c r="K314" s="1994"/>
      <c r="L314" s="1994"/>
      <c r="M314" s="1994"/>
      <c r="N314" s="1994"/>
      <c r="O314" s="1994"/>
      <c r="P314" s="1994"/>
      <c r="Q314" s="1994"/>
      <c r="R314" s="1994"/>
      <c r="S314" s="1994"/>
      <c r="T314" s="1994"/>
      <c r="U314" s="1994"/>
      <c r="V314" s="1994"/>
      <c r="W314" s="1994"/>
      <c r="X314" s="1994"/>
      <c r="Y314" s="1994"/>
      <c r="Z314" s="1994"/>
      <c r="AA314" s="1994"/>
      <c r="AB314" s="1994"/>
      <c r="AC314" s="1994"/>
      <c r="AD314" s="1995"/>
      <c r="AE314" s="586"/>
      <c r="AF314" s="586"/>
      <c r="AG314" s="574"/>
      <c r="AH314" s="586"/>
      <c r="AI314" s="586"/>
      <c r="AJ314" s="585"/>
      <c r="AK314" s="585"/>
      <c r="AL314" s="585"/>
      <c r="AM314" s="585"/>
      <c r="AN314" s="73"/>
      <c r="AO314" s="14"/>
      <c r="AP314" s="592" t="s">
        <v>1991</v>
      </c>
    </row>
    <row r="315" spans="1:42" hidden="1">
      <c r="A315" s="585"/>
      <c r="B315" s="586"/>
      <c r="C315" s="686"/>
      <c r="D315" s="686"/>
      <c r="E315" s="582"/>
      <c r="F315" s="691"/>
      <c r="G315" s="610"/>
      <c r="H315" s="610"/>
      <c r="I315" s="1994"/>
      <c r="J315" s="1994"/>
      <c r="K315" s="1994"/>
      <c r="L315" s="1994"/>
      <c r="M315" s="1994"/>
      <c r="N315" s="1994"/>
      <c r="O315" s="1994"/>
      <c r="P315" s="1994"/>
      <c r="Q315" s="1994"/>
      <c r="R315" s="1994"/>
      <c r="S315" s="1994"/>
      <c r="T315" s="1994"/>
      <c r="U315" s="1994"/>
      <c r="V315" s="1994"/>
      <c r="W315" s="1994"/>
      <c r="X315" s="1994"/>
      <c r="Y315" s="1994"/>
      <c r="Z315" s="1994"/>
      <c r="AA315" s="1994"/>
      <c r="AB315" s="1994"/>
      <c r="AC315" s="1994"/>
      <c r="AD315" s="1995"/>
      <c r="AE315" s="586"/>
      <c r="AF315" s="586"/>
      <c r="AG315" s="574"/>
      <c r="AH315" s="586"/>
      <c r="AI315" s="586"/>
      <c r="AJ315" s="585"/>
      <c r="AK315" s="585"/>
      <c r="AL315" s="585"/>
      <c r="AM315" s="585"/>
      <c r="AN315" s="73"/>
      <c r="AO315" s="14"/>
      <c r="AP315" s="592" t="s">
        <v>1993</v>
      </c>
    </row>
    <row r="316" spans="1:42" hidden="1">
      <c r="A316" s="585"/>
      <c r="B316" s="586"/>
      <c r="C316" s="686"/>
      <c r="D316" s="686"/>
      <c r="E316" s="582"/>
      <c r="F316" s="689"/>
      <c r="G316" s="586"/>
      <c r="H316" s="586"/>
      <c r="I316" s="1996"/>
      <c r="J316" s="1996"/>
      <c r="K316" s="1996"/>
      <c r="L316" s="1996"/>
      <c r="M316" s="1996"/>
      <c r="N316" s="1996"/>
      <c r="O316" s="1996"/>
      <c r="P316" s="1996"/>
      <c r="Q316" s="1996"/>
      <c r="R316" s="1996"/>
      <c r="S316" s="1996"/>
      <c r="T316" s="1996"/>
      <c r="U316" s="1996"/>
      <c r="V316" s="1996"/>
      <c r="W316" s="1996"/>
      <c r="X316" s="1996"/>
      <c r="Y316" s="1996"/>
      <c r="Z316" s="1996"/>
      <c r="AA316" s="1996"/>
      <c r="AB316" s="1996"/>
      <c r="AC316" s="1996"/>
      <c r="AD316" s="1997"/>
      <c r="AE316" s="586"/>
      <c r="AF316" s="586"/>
      <c r="AG316" s="574"/>
      <c r="AH316" s="586"/>
      <c r="AI316" s="586"/>
      <c r="AJ316" s="585"/>
      <c r="AK316" s="585"/>
      <c r="AL316" s="585"/>
      <c r="AM316" s="585"/>
      <c r="AN316" s="73"/>
      <c r="AO316" s="14"/>
      <c r="AP316" s="592" t="s">
        <v>1992</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518</v>
      </c>
      <c r="H318" s="586"/>
      <c r="I318" s="1994" t="s">
        <v>1325</v>
      </c>
      <c r="J318" s="1994"/>
      <c r="K318" s="1994"/>
      <c r="L318" s="1994"/>
      <c r="M318" s="1994"/>
      <c r="N318" s="1994"/>
      <c r="O318" s="1994"/>
      <c r="P318" s="1994"/>
      <c r="Q318" s="1994"/>
      <c r="R318" s="1994"/>
      <c r="S318" s="1994"/>
      <c r="T318" s="1994"/>
      <c r="U318" s="1994"/>
      <c r="V318" s="1994"/>
      <c r="W318" s="1994"/>
      <c r="X318" s="1994"/>
      <c r="Y318" s="1994"/>
      <c r="Z318" s="1994"/>
      <c r="AA318" s="1994"/>
      <c r="AB318" s="1994"/>
      <c r="AC318" s="1994"/>
      <c r="AD318" s="1995"/>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1994"/>
      <c r="J319" s="1994"/>
      <c r="K319" s="1994"/>
      <c r="L319" s="1994"/>
      <c r="M319" s="1994"/>
      <c r="N319" s="1994"/>
      <c r="O319" s="1994"/>
      <c r="P319" s="1994"/>
      <c r="Q319" s="1994"/>
      <c r="R319" s="1994"/>
      <c r="S319" s="1994"/>
      <c r="T319" s="1994"/>
      <c r="U319" s="1994"/>
      <c r="V319" s="1994"/>
      <c r="W319" s="1994"/>
      <c r="X319" s="1994"/>
      <c r="Y319" s="1994"/>
      <c r="Z319" s="1994"/>
      <c r="AA319" s="1994"/>
      <c r="AB319" s="1994"/>
      <c r="AC319" s="1994"/>
      <c r="AD319" s="1995"/>
      <c r="AE319" s="586"/>
      <c r="AF319" s="586"/>
      <c r="AG319" s="574"/>
      <c r="AH319" s="586"/>
      <c r="AI319" s="586"/>
      <c r="AJ319" s="585"/>
      <c r="AK319" s="585"/>
      <c r="AL319" s="585"/>
      <c r="AM319" s="585"/>
      <c r="AN319" s="73"/>
      <c r="AO319" s="14"/>
      <c r="AP319" s="592" t="s">
        <v>1325</v>
      </c>
    </row>
    <row r="320" spans="1:42" hidden="1">
      <c r="A320" s="585"/>
      <c r="B320" s="586"/>
      <c r="C320" s="686"/>
      <c r="D320" s="686"/>
      <c r="E320" s="582"/>
      <c r="F320" s="692"/>
      <c r="G320" s="693"/>
      <c r="H320" s="693"/>
      <c r="I320" s="1996"/>
      <c r="J320" s="1996"/>
      <c r="K320" s="1996"/>
      <c r="L320" s="1996"/>
      <c r="M320" s="1996"/>
      <c r="N320" s="1996"/>
      <c r="O320" s="1996"/>
      <c r="P320" s="1996"/>
      <c r="Q320" s="1996"/>
      <c r="R320" s="1996"/>
      <c r="S320" s="1996"/>
      <c r="T320" s="1996"/>
      <c r="U320" s="1996"/>
      <c r="V320" s="1996"/>
      <c r="W320" s="1996"/>
      <c r="X320" s="1996"/>
      <c r="Y320" s="1996"/>
      <c r="Z320" s="1996"/>
      <c r="AA320" s="1996"/>
      <c r="AB320" s="1996"/>
      <c r="AC320" s="1996"/>
      <c r="AD320" s="1997"/>
      <c r="AE320" s="586"/>
      <c r="AF320" s="586"/>
      <c r="AG320" s="574"/>
      <c r="AH320" s="586"/>
      <c r="AI320" s="586"/>
      <c r="AJ320" s="585"/>
      <c r="AK320" s="585"/>
      <c r="AL320" s="585"/>
      <c r="AM320" s="585"/>
      <c r="AN320" s="73"/>
      <c r="AO320" s="14"/>
      <c r="AP320" s="592" t="s">
        <v>1561</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1816</v>
      </c>
    </row>
    <row r="322" spans="1:44" ht="12.75" hidden="1" customHeight="1">
      <c r="A322" s="1646" t="s">
        <v>1562</v>
      </c>
      <c r="B322" s="1646"/>
      <c r="C322" s="1956" t="s">
        <v>600</v>
      </c>
      <c r="D322" s="1956"/>
      <c r="E322" s="582"/>
      <c r="F322" s="1885" t="s">
        <v>2423</v>
      </c>
      <c r="G322" s="1886"/>
      <c r="H322" s="1886"/>
      <c r="I322" s="1886"/>
      <c r="J322" s="1886"/>
      <c r="K322" s="1886"/>
      <c r="L322" s="1886"/>
      <c r="M322" s="1886"/>
      <c r="N322" s="1886"/>
      <c r="O322" s="1886"/>
      <c r="P322" s="1886"/>
      <c r="Q322" s="1886"/>
      <c r="R322" s="1886"/>
      <c r="S322" s="1886"/>
      <c r="T322" s="1886"/>
      <c r="U322" s="1886"/>
      <c r="V322" s="1886"/>
      <c r="W322" s="1886"/>
      <c r="X322" s="1886"/>
      <c r="Y322" s="1886"/>
      <c r="Z322" s="1886"/>
      <c r="AA322" s="1886"/>
      <c r="AB322" s="1886"/>
      <c r="AC322" s="1886"/>
      <c r="AD322" s="1887"/>
      <c r="AE322" s="586"/>
      <c r="AF322" s="586"/>
      <c r="AG322" s="574" t="s">
        <v>1558</v>
      </c>
      <c r="AH322" s="586"/>
      <c r="AI322" s="586"/>
      <c r="AJ322" s="585"/>
      <c r="AK322" s="585"/>
      <c r="AL322" s="585"/>
      <c r="AM322" s="585"/>
      <c r="AN322" s="73"/>
      <c r="AO322" s="14"/>
    </row>
    <row r="323" spans="1:44" ht="15" hidden="1" customHeight="1">
      <c r="A323" s="585"/>
      <c r="B323" s="586"/>
      <c r="C323" s="586"/>
      <c r="D323" s="586"/>
      <c r="E323" s="586"/>
      <c r="F323" s="1891"/>
      <c r="G323" s="1892"/>
      <c r="H323" s="1892"/>
      <c r="I323" s="1892"/>
      <c r="J323" s="1892"/>
      <c r="K323" s="1892"/>
      <c r="L323" s="1892"/>
      <c r="M323" s="1892"/>
      <c r="N323" s="1892"/>
      <c r="O323" s="1892"/>
      <c r="P323" s="1892"/>
      <c r="Q323" s="1892"/>
      <c r="R323" s="1892"/>
      <c r="S323" s="1892"/>
      <c r="T323" s="1892"/>
      <c r="U323" s="1892"/>
      <c r="V323" s="1892"/>
      <c r="W323" s="1892"/>
      <c r="X323" s="1892"/>
      <c r="Y323" s="1892"/>
      <c r="Z323" s="1892"/>
      <c r="AA323" s="1892"/>
      <c r="AB323" s="1892"/>
      <c r="AC323" s="1892"/>
      <c r="AD323" s="1893"/>
      <c r="AE323" s="586"/>
      <c r="AF323" s="586"/>
      <c r="AG323" s="586"/>
      <c r="AH323" s="586"/>
      <c r="AI323" s="586"/>
      <c r="AJ323" s="585"/>
      <c r="AK323" s="585"/>
      <c r="AL323" s="585"/>
      <c r="AM323" s="585"/>
      <c r="AN323" s="73"/>
      <c r="AO323" s="14"/>
    </row>
    <row r="324" spans="1:44" ht="15" hidden="1" customHeight="1">
      <c r="A324" s="585"/>
      <c r="B324" s="586"/>
      <c r="C324" s="586"/>
      <c r="D324" s="586"/>
      <c r="E324" s="586"/>
      <c r="F324" s="1891"/>
      <c r="G324" s="1892"/>
      <c r="H324" s="1892"/>
      <c r="I324" s="1892"/>
      <c r="J324" s="1892"/>
      <c r="K324" s="1892"/>
      <c r="L324" s="1892"/>
      <c r="M324" s="1892"/>
      <c r="N324" s="1892"/>
      <c r="O324" s="1892"/>
      <c r="P324" s="1892"/>
      <c r="Q324" s="1892"/>
      <c r="R324" s="1892"/>
      <c r="S324" s="1892"/>
      <c r="T324" s="1892"/>
      <c r="U324" s="1892"/>
      <c r="V324" s="1892"/>
      <c r="W324" s="1892"/>
      <c r="X324" s="1892"/>
      <c r="Y324" s="1892"/>
      <c r="Z324" s="1892"/>
      <c r="AA324" s="1892"/>
      <c r="AB324" s="1892"/>
      <c r="AC324" s="1892"/>
      <c r="AD324" s="1893"/>
      <c r="AE324" s="586"/>
      <c r="AF324" s="586"/>
      <c r="AG324" s="586"/>
      <c r="AH324" s="586"/>
      <c r="AI324" s="586"/>
      <c r="AJ324" s="585"/>
      <c r="AK324" s="585"/>
      <c r="AL324" s="585"/>
      <c r="AM324" s="694"/>
      <c r="AN324" s="14"/>
      <c r="AO324" s="14"/>
    </row>
    <row r="325" spans="1:44" hidden="1">
      <c r="A325" s="585"/>
      <c r="B325" s="586"/>
      <c r="C325" s="585"/>
      <c r="D325" s="586"/>
      <c r="E325" s="585"/>
      <c r="F325" s="695" t="s">
        <v>1563</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1622</v>
      </c>
      <c r="AK327" s="1959">
        <f>IF(NOT(OR(Application!M354="Yes",Application!M355="Yes")),0,AP284)</f>
        <v>10</v>
      </c>
      <c r="AL327" s="1960"/>
      <c r="AM327" s="1961"/>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1623</v>
      </c>
      <c r="B330" s="574" t="s">
        <v>873</v>
      </c>
      <c r="C330" s="571"/>
      <c r="AC330" s="574"/>
      <c r="AE330" s="1894" t="s">
        <v>1484</v>
      </c>
      <c r="AF330" s="1894"/>
      <c r="AG330" s="1894"/>
      <c r="AH330" s="1894"/>
      <c r="AI330" s="1894"/>
      <c r="AJ330" s="1894"/>
      <c r="AK330" s="1894"/>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98" t="s">
        <v>1624</v>
      </c>
      <c r="D332" s="1998"/>
      <c r="E332" s="1998"/>
      <c r="F332" s="1998"/>
      <c r="G332" s="1998"/>
      <c r="H332" s="1998"/>
      <c r="I332" s="1998"/>
      <c r="J332" s="1998"/>
      <c r="K332" s="1998"/>
      <c r="L332" s="1998"/>
      <c r="M332" s="1998"/>
      <c r="N332" s="1998"/>
      <c r="O332" s="1998"/>
      <c r="P332" s="1998"/>
      <c r="Q332" s="1998"/>
      <c r="R332" s="1998"/>
      <c r="S332" s="1998"/>
      <c r="T332" s="1998"/>
      <c r="U332" s="1998"/>
      <c r="V332" s="1998"/>
      <c r="W332" s="1998"/>
      <c r="X332" s="1998"/>
      <c r="Y332" s="1998"/>
      <c r="Z332" s="1998"/>
      <c r="AA332" s="1998"/>
      <c r="AB332" s="1998"/>
      <c r="AC332" s="1998"/>
      <c r="AD332" s="1998"/>
      <c r="AE332" s="1998"/>
      <c r="AF332" s="1998"/>
      <c r="AG332" s="1998"/>
      <c r="AH332" s="1998"/>
      <c r="AI332" s="1998"/>
      <c r="AJ332" s="1998"/>
      <c r="AK332" s="638"/>
      <c r="AL332" s="638"/>
      <c r="AM332" s="638"/>
      <c r="AN332" s="632"/>
    </row>
    <row r="333" spans="1:44" s="585" customFormat="1" ht="12.75" customHeight="1">
      <c r="A333" s="638"/>
      <c r="B333" s="646"/>
      <c r="C333" s="1998"/>
      <c r="D333" s="1998"/>
      <c r="E333" s="1998"/>
      <c r="F333" s="1998"/>
      <c r="G333" s="1998"/>
      <c r="H333" s="1998"/>
      <c r="I333" s="1998"/>
      <c r="J333" s="1998"/>
      <c r="K333" s="1998"/>
      <c r="L333" s="1998"/>
      <c r="M333" s="1998"/>
      <c r="N333" s="1998"/>
      <c r="O333" s="1998"/>
      <c r="P333" s="1998"/>
      <c r="Q333" s="1998"/>
      <c r="R333" s="1998"/>
      <c r="S333" s="1998"/>
      <c r="T333" s="1998"/>
      <c r="U333" s="1998"/>
      <c r="V333" s="1998"/>
      <c r="W333" s="1998"/>
      <c r="X333" s="1998"/>
      <c r="Y333" s="1998"/>
      <c r="Z333" s="1998"/>
      <c r="AA333" s="1998"/>
      <c r="AB333" s="1998"/>
      <c r="AC333" s="1998"/>
      <c r="AD333" s="1998"/>
      <c r="AE333" s="1998"/>
      <c r="AF333" s="1998"/>
      <c r="AG333" s="1998"/>
      <c r="AH333" s="1998"/>
      <c r="AI333" s="1998"/>
      <c r="AJ333" s="1998"/>
      <c r="AK333" s="638"/>
      <c r="AL333" s="638"/>
      <c r="AM333" s="638"/>
      <c r="AN333" s="632"/>
    </row>
    <row r="334" spans="1:44" s="585" customFormat="1" ht="12.75" customHeight="1">
      <c r="A334" s="638"/>
      <c r="B334" s="646"/>
      <c r="C334" s="1998"/>
      <c r="D334" s="1998"/>
      <c r="E334" s="1998"/>
      <c r="F334" s="1998"/>
      <c r="G334" s="1998"/>
      <c r="H334" s="1998"/>
      <c r="I334" s="1998"/>
      <c r="J334" s="1998"/>
      <c r="K334" s="1998"/>
      <c r="L334" s="1998"/>
      <c r="M334" s="1998"/>
      <c r="N334" s="1998"/>
      <c r="O334" s="1998"/>
      <c r="P334" s="1998"/>
      <c r="Q334" s="1998"/>
      <c r="R334" s="1998"/>
      <c r="S334" s="1998"/>
      <c r="T334" s="1998"/>
      <c r="U334" s="1998"/>
      <c r="V334" s="1998"/>
      <c r="W334" s="1998"/>
      <c r="X334" s="1998"/>
      <c r="Y334" s="1998"/>
      <c r="Z334" s="1998"/>
      <c r="AA334" s="1998"/>
      <c r="AB334" s="1998"/>
      <c r="AC334" s="1998"/>
      <c r="AD334" s="1998"/>
      <c r="AE334" s="1998"/>
      <c r="AF334" s="1998"/>
      <c r="AG334" s="1998"/>
      <c r="AH334" s="1998"/>
      <c r="AI334" s="1998"/>
      <c r="AJ334" s="1998"/>
      <c r="AK334" s="638"/>
      <c r="AL334" s="638"/>
      <c r="AM334" s="638"/>
      <c r="AN334" s="632"/>
      <c r="AQ334" s="605"/>
    </row>
    <row r="335" spans="1:44" s="585" customFormat="1" ht="12.75" customHeight="1">
      <c r="A335" s="638"/>
      <c r="B335" s="646"/>
      <c r="C335" s="1998"/>
      <c r="D335" s="1998"/>
      <c r="E335" s="1998"/>
      <c r="F335" s="1998"/>
      <c r="G335" s="1998"/>
      <c r="H335" s="1998"/>
      <c r="I335" s="1998"/>
      <c r="J335" s="1998"/>
      <c r="K335" s="1998"/>
      <c r="L335" s="1998"/>
      <c r="M335" s="1998"/>
      <c r="N335" s="1998"/>
      <c r="O335" s="1998"/>
      <c r="P335" s="1998"/>
      <c r="Q335" s="1998"/>
      <c r="R335" s="1998"/>
      <c r="S335" s="1998"/>
      <c r="T335" s="1998"/>
      <c r="U335" s="1998"/>
      <c r="V335" s="1998"/>
      <c r="W335" s="1998"/>
      <c r="X335" s="1998"/>
      <c r="Y335" s="1998"/>
      <c r="Z335" s="1998"/>
      <c r="AA335" s="1998"/>
      <c r="AB335" s="1998"/>
      <c r="AC335" s="1998"/>
      <c r="AD335" s="1998"/>
      <c r="AE335" s="1998"/>
      <c r="AF335" s="1998"/>
      <c r="AG335" s="1998"/>
      <c r="AH335" s="1998"/>
      <c r="AI335" s="1998"/>
      <c r="AJ335" s="1998"/>
      <c r="AK335" s="638"/>
      <c r="AL335" s="638"/>
      <c r="AM335" s="638"/>
      <c r="AN335" s="632"/>
      <c r="AQ335" s="605"/>
    </row>
    <row r="336" spans="1:44" s="585" customFormat="1" ht="12.4" customHeight="1">
      <c r="A336" s="638"/>
      <c r="B336" s="646"/>
      <c r="C336" s="1998"/>
      <c r="D336" s="1998"/>
      <c r="E336" s="1998"/>
      <c r="F336" s="1998"/>
      <c r="G336" s="1998"/>
      <c r="H336" s="1998"/>
      <c r="I336" s="1998"/>
      <c r="J336" s="1998"/>
      <c r="K336" s="1998"/>
      <c r="L336" s="1998"/>
      <c r="M336" s="1998"/>
      <c r="N336" s="1998"/>
      <c r="O336" s="1998"/>
      <c r="P336" s="1998"/>
      <c r="Q336" s="1998"/>
      <c r="R336" s="1998"/>
      <c r="S336" s="1998"/>
      <c r="T336" s="1998"/>
      <c r="U336" s="1998"/>
      <c r="V336" s="1998"/>
      <c r="W336" s="1998"/>
      <c r="X336" s="1998"/>
      <c r="Y336" s="1998"/>
      <c r="Z336" s="1998"/>
      <c r="AA336" s="1998"/>
      <c r="AB336" s="1998"/>
      <c r="AC336" s="1998"/>
      <c r="AD336" s="1998"/>
      <c r="AE336" s="1998"/>
      <c r="AF336" s="1998"/>
      <c r="AG336" s="1998"/>
      <c r="AH336" s="1998"/>
      <c r="AI336" s="1998"/>
      <c r="AJ336" s="1998"/>
      <c r="AK336" s="638"/>
      <c r="AL336" s="638"/>
      <c r="AM336" s="638"/>
      <c r="AN336" s="632"/>
      <c r="AQ336" s="605"/>
      <c r="AR336" s="605"/>
    </row>
    <row r="337" spans="1:46" s="585" customFormat="1" ht="45.75" customHeight="1">
      <c r="A337" s="638"/>
      <c r="B337" s="646"/>
      <c r="C337" s="1998" t="s">
        <v>2514</v>
      </c>
      <c r="D337" s="1998"/>
      <c r="E337" s="1998"/>
      <c r="F337" s="1998"/>
      <c r="G337" s="1998"/>
      <c r="H337" s="1998"/>
      <c r="I337" s="1998"/>
      <c r="J337" s="1998"/>
      <c r="K337" s="1998"/>
      <c r="L337" s="1998"/>
      <c r="M337" s="1998"/>
      <c r="N337" s="1998"/>
      <c r="O337" s="1998"/>
      <c r="P337" s="1998"/>
      <c r="Q337" s="1998"/>
      <c r="R337" s="1998"/>
      <c r="S337" s="1998"/>
      <c r="T337" s="1998"/>
      <c r="U337" s="1998"/>
      <c r="V337" s="1998"/>
      <c r="W337" s="1998"/>
      <c r="X337" s="1998"/>
      <c r="Y337" s="1998"/>
      <c r="Z337" s="1998"/>
      <c r="AA337" s="1998"/>
      <c r="AB337" s="1998"/>
      <c r="AC337" s="1998"/>
      <c r="AD337" s="1998"/>
      <c r="AE337" s="1998"/>
      <c r="AF337" s="1998"/>
      <c r="AG337" s="1998"/>
      <c r="AH337" s="1998"/>
      <c r="AI337" s="1998"/>
      <c r="AJ337" s="1998"/>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98" t="s">
        <v>2125</v>
      </c>
      <c r="D339" s="1998"/>
      <c r="E339" s="1998"/>
      <c r="F339" s="1998"/>
      <c r="G339" s="1998"/>
      <c r="H339" s="1998"/>
      <c r="I339" s="1998"/>
      <c r="J339" s="1998"/>
      <c r="K339" s="1998"/>
      <c r="L339" s="1998"/>
      <c r="M339" s="1998"/>
      <c r="N339" s="1998"/>
      <c r="O339" s="1998"/>
      <c r="P339" s="1998"/>
      <c r="Q339" s="1998"/>
      <c r="R339" s="1998"/>
      <c r="S339" s="1998"/>
      <c r="T339" s="1998"/>
      <c r="U339" s="1998"/>
      <c r="V339" s="1998"/>
      <c r="W339" s="1998"/>
      <c r="X339" s="1998"/>
      <c r="Y339" s="1998"/>
      <c r="Z339" s="1998"/>
      <c r="AA339" s="1998"/>
      <c r="AB339" s="1998"/>
      <c r="AC339" s="1998"/>
      <c r="AD339" s="1998"/>
      <c r="AE339" s="1998"/>
      <c r="AF339" s="1998"/>
      <c r="AG339" s="1998"/>
      <c r="AH339" s="1998"/>
      <c r="AI339" s="1998"/>
      <c r="AJ339" s="1998"/>
      <c r="AK339" s="638"/>
      <c r="AL339" s="638"/>
      <c r="AM339" s="638"/>
      <c r="AN339" s="632"/>
      <c r="AQ339" s="605"/>
      <c r="AR339" s="605"/>
    </row>
    <row r="340" spans="1:46" s="585" customFormat="1" ht="30" customHeight="1">
      <c r="A340" s="638"/>
      <c r="B340" s="646"/>
      <c r="C340" s="1998"/>
      <c r="D340" s="1998"/>
      <c r="E340" s="1998"/>
      <c r="F340" s="1998"/>
      <c r="G340" s="1998"/>
      <c r="H340" s="1998"/>
      <c r="I340" s="1998"/>
      <c r="J340" s="1998"/>
      <c r="K340" s="1998"/>
      <c r="L340" s="1998"/>
      <c r="M340" s="1998"/>
      <c r="N340" s="1998"/>
      <c r="O340" s="1998"/>
      <c r="P340" s="1998"/>
      <c r="Q340" s="1998"/>
      <c r="R340" s="1998"/>
      <c r="S340" s="1998"/>
      <c r="T340" s="1998"/>
      <c r="U340" s="1998"/>
      <c r="V340" s="1998"/>
      <c r="W340" s="1998"/>
      <c r="X340" s="1998"/>
      <c r="Y340" s="1998"/>
      <c r="Z340" s="1998"/>
      <c r="AA340" s="1998"/>
      <c r="AB340" s="1998"/>
      <c r="AC340" s="1998"/>
      <c r="AD340" s="1998"/>
      <c r="AE340" s="1998"/>
      <c r="AF340" s="1998"/>
      <c r="AG340" s="1998"/>
      <c r="AH340" s="1998"/>
      <c r="AI340" s="1998"/>
      <c r="AJ340" s="1998"/>
      <c r="AK340" s="638"/>
      <c r="AL340" s="638"/>
      <c r="AM340" s="638"/>
      <c r="AN340" s="632"/>
      <c r="AR340" s="605"/>
    </row>
    <row r="341" spans="1:46" s="585" customFormat="1" ht="12.75" customHeight="1">
      <c r="A341" s="638"/>
      <c r="B341" s="646"/>
      <c r="C341" s="1998"/>
      <c r="D341" s="1998"/>
      <c r="E341" s="1998"/>
      <c r="F341" s="1998"/>
      <c r="G341" s="1998"/>
      <c r="H341" s="1998"/>
      <c r="I341" s="1998"/>
      <c r="J341" s="1998"/>
      <c r="K341" s="1998"/>
      <c r="L341" s="1998"/>
      <c r="M341" s="1998"/>
      <c r="N341" s="1998"/>
      <c r="O341" s="1998"/>
      <c r="P341" s="1998"/>
      <c r="Q341" s="1998"/>
      <c r="R341" s="1998"/>
      <c r="S341" s="1998"/>
      <c r="T341" s="1998"/>
      <c r="U341" s="1998"/>
      <c r="V341" s="1998"/>
      <c r="W341" s="1998"/>
      <c r="X341" s="1998"/>
      <c r="Y341" s="1998"/>
      <c r="Z341" s="1998"/>
      <c r="AA341" s="1998"/>
      <c r="AB341" s="1998"/>
      <c r="AC341" s="1998"/>
      <c r="AD341" s="1998"/>
      <c r="AE341" s="1998"/>
      <c r="AF341" s="1998"/>
      <c r="AG341" s="1998"/>
      <c r="AH341" s="1998"/>
      <c r="AI341" s="1998"/>
      <c r="AJ341" s="1998"/>
      <c r="AK341" s="638"/>
      <c r="AL341" s="638"/>
      <c r="AM341" s="638"/>
      <c r="AN341" s="632"/>
      <c r="AR341" s="605"/>
    </row>
    <row r="342" spans="1:46" s="585" customFormat="1" ht="12.75" customHeight="1">
      <c r="A342" s="638"/>
      <c r="B342" s="646"/>
      <c r="C342" s="1998" t="s">
        <v>1625</v>
      </c>
      <c r="D342" s="1998"/>
      <c r="E342" s="1998"/>
      <c r="F342" s="1998"/>
      <c r="G342" s="1998"/>
      <c r="H342" s="1998"/>
      <c r="I342" s="1998"/>
      <c r="J342" s="1998"/>
      <c r="K342" s="1998"/>
      <c r="L342" s="1998"/>
      <c r="M342" s="1998"/>
      <c r="N342" s="1998"/>
      <c r="O342" s="1998"/>
      <c r="P342" s="1998"/>
      <c r="Q342" s="1998"/>
      <c r="R342" s="1998"/>
      <c r="S342" s="1998"/>
      <c r="T342" s="1998"/>
      <c r="U342" s="1998"/>
      <c r="V342" s="1998"/>
      <c r="W342" s="1998"/>
      <c r="X342" s="1998"/>
      <c r="Y342" s="1998"/>
      <c r="Z342" s="1998"/>
      <c r="AA342" s="1998"/>
      <c r="AB342" s="1998"/>
      <c r="AC342" s="1998"/>
      <c r="AD342" s="1998"/>
      <c r="AE342" s="1998"/>
      <c r="AF342" s="1998"/>
      <c r="AG342" s="1998"/>
      <c r="AH342" s="1998"/>
      <c r="AI342" s="1998"/>
      <c r="AJ342" s="1998"/>
      <c r="AK342" s="638"/>
      <c r="AL342" s="638"/>
      <c r="AM342" s="638"/>
      <c r="AN342" s="632"/>
      <c r="AQ342" s="605"/>
      <c r="AR342" s="605"/>
    </row>
    <row r="343" spans="1:46" s="585" customFormat="1" ht="12.75" customHeight="1">
      <c r="A343" s="638"/>
      <c r="B343" s="646"/>
      <c r="C343" s="1998"/>
      <c r="D343" s="1998"/>
      <c r="E343" s="1998"/>
      <c r="F343" s="1998"/>
      <c r="G343" s="1998"/>
      <c r="H343" s="1998"/>
      <c r="I343" s="1998"/>
      <c r="J343" s="1998"/>
      <c r="K343" s="1998"/>
      <c r="L343" s="1998"/>
      <c r="M343" s="1998"/>
      <c r="N343" s="1998"/>
      <c r="O343" s="1998"/>
      <c r="P343" s="1998"/>
      <c r="Q343" s="1998"/>
      <c r="R343" s="1998"/>
      <c r="S343" s="1998"/>
      <c r="T343" s="1998"/>
      <c r="U343" s="1998"/>
      <c r="V343" s="1998"/>
      <c r="W343" s="1998"/>
      <c r="X343" s="1998"/>
      <c r="Y343" s="1998"/>
      <c r="Z343" s="1998"/>
      <c r="AA343" s="1998"/>
      <c r="AB343" s="1998"/>
      <c r="AC343" s="1998"/>
      <c r="AD343" s="1998"/>
      <c r="AE343" s="1998"/>
      <c r="AF343" s="1998"/>
      <c r="AG343" s="1998"/>
      <c r="AH343" s="1998"/>
      <c r="AI343" s="1998"/>
      <c r="AJ343" s="1998"/>
      <c r="AK343" s="638"/>
      <c r="AL343" s="638"/>
      <c r="AM343" s="638"/>
      <c r="AN343" s="632"/>
      <c r="AQ343" s="605"/>
      <c r="AR343" s="605"/>
    </row>
    <row r="344" spans="1:46" s="585" customFormat="1" ht="13.15" customHeight="1">
      <c r="A344" s="638"/>
      <c r="B344" s="646"/>
      <c r="C344" s="1998"/>
      <c r="D344" s="1998"/>
      <c r="E344" s="1998"/>
      <c r="F344" s="1998"/>
      <c r="G344" s="1998"/>
      <c r="H344" s="1998"/>
      <c r="I344" s="1998"/>
      <c r="J344" s="1998"/>
      <c r="K344" s="1998"/>
      <c r="L344" s="1998"/>
      <c r="M344" s="1998"/>
      <c r="N344" s="1998"/>
      <c r="O344" s="1998"/>
      <c r="P344" s="1998"/>
      <c r="Q344" s="1998"/>
      <c r="R344" s="1998"/>
      <c r="S344" s="1998"/>
      <c r="T344" s="1998"/>
      <c r="U344" s="1998"/>
      <c r="V344" s="1998"/>
      <c r="W344" s="1998"/>
      <c r="X344" s="1998"/>
      <c r="Y344" s="1998"/>
      <c r="Z344" s="1998"/>
      <c r="AA344" s="1998"/>
      <c r="AB344" s="1998"/>
      <c r="AC344" s="1998"/>
      <c r="AD344" s="1998"/>
      <c r="AE344" s="1998"/>
      <c r="AF344" s="1998"/>
      <c r="AG344" s="1998"/>
      <c r="AH344" s="1998"/>
      <c r="AI344" s="1998"/>
      <c r="AJ344" s="1998"/>
      <c r="AK344" s="638"/>
      <c r="AL344" s="638"/>
      <c r="AM344" s="638"/>
      <c r="AN344" s="632"/>
      <c r="AQ344" s="605"/>
      <c r="AR344" s="605"/>
    </row>
    <row r="345" spans="1:46" s="585" customFormat="1" ht="12.75" customHeight="1">
      <c r="A345" s="638"/>
      <c r="B345" s="646"/>
      <c r="C345" s="1998"/>
      <c r="D345" s="1998"/>
      <c r="E345" s="1998"/>
      <c r="F345" s="1998"/>
      <c r="G345" s="1998"/>
      <c r="H345" s="1998"/>
      <c r="I345" s="1998"/>
      <c r="J345" s="1998"/>
      <c r="K345" s="1998"/>
      <c r="L345" s="1998"/>
      <c r="M345" s="1998"/>
      <c r="N345" s="1998"/>
      <c r="O345" s="1998"/>
      <c r="P345" s="1998"/>
      <c r="Q345" s="1998"/>
      <c r="R345" s="1998"/>
      <c r="S345" s="1998"/>
      <c r="T345" s="1998"/>
      <c r="U345" s="1998"/>
      <c r="V345" s="1998"/>
      <c r="W345" s="1998"/>
      <c r="X345" s="1998"/>
      <c r="Y345" s="1998"/>
      <c r="Z345" s="1998"/>
      <c r="AA345" s="1998"/>
      <c r="AB345" s="1998"/>
      <c r="AC345" s="1998"/>
      <c r="AD345" s="1998"/>
      <c r="AE345" s="1998"/>
      <c r="AF345" s="1998"/>
      <c r="AG345" s="1998"/>
      <c r="AH345" s="1998"/>
      <c r="AI345" s="1998"/>
      <c r="AJ345" s="1998"/>
      <c r="AK345" s="638"/>
      <c r="AL345" s="638"/>
      <c r="AM345" s="638"/>
      <c r="AN345" s="632"/>
      <c r="AO345" s="729"/>
      <c r="AP345" s="729"/>
      <c r="AQ345" s="605"/>
    </row>
    <row r="346" spans="1:46" s="585" customFormat="1" ht="11.85" customHeight="1">
      <c r="A346" s="638"/>
      <c r="B346" s="646"/>
      <c r="C346" s="1998"/>
      <c r="D346" s="1998"/>
      <c r="E346" s="1998"/>
      <c r="F346" s="1998"/>
      <c r="G346" s="1998"/>
      <c r="H346" s="1998"/>
      <c r="I346" s="1998"/>
      <c r="J346" s="1998"/>
      <c r="K346" s="1998"/>
      <c r="L346" s="1998"/>
      <c r="M346" s="1998"/>
      <c r="N346" s="1998"/>
      <c r="O346" s="1998"/>
      <c r="P346" s="1998"/>
      <c r="Q346" s="1998"/>
      <c r="R346" s="1998"/>
      <c r="S346" s="1998"/>
      <c r="T346" s="1998"/>
      <c r="U346" s="1998"/>
      <c r="V346" s="1998"/>
      <c r="W346" s="1998"/>
      <c r="X346" s="1998"/>
      <c r="Y346" s="1998"/>
      <c r="Z346" s="1998"/>
      <c r="AA346" s="1998"/>
      <c r="AB346" s="1998"/>
      <c r="AC346" s="1998"/>
      <c r="AD346" s="1998"/>
      <c r="AE346" s="1998"/>
      <c r="AF346" s="1998"/>
      <c r="AG346" s="1998"/>
      <c r="AH346" s="1998"/>
      <c r="AI346" s="1998"/>
      <c r="AJ346" s="1998"/>
      <c r="AK346" s="638"/>
      <c r="AL346" s="638"/>
      <c r="AM346" s="638"/>
      <c r="AN346" s="632"/>
      <c r="AO346" s="730" t="s">
        <v>113</v>
      </c>
      <c r="AP346" s="731">
        <f>IF(C370="Yes",5,0)</f>
        <v>0</v>
      </c>
      <c r="AS346" s="574" t="s">
        <v>1626</v>
      </c>
    </row>
    <row r="347" spans="1:46" s="585" customFormat="1" ht="12.75" customHeight="1">
      <c r="A347" s="638"/>
      <c r="B347" s="646"/>
      <c r="C347" s="1998"/>
      <c r="D347" s="1998"/>
      <c r="E347" s="1998"/>
      <c r="F347" s="1998"/>
      <c r="G347" s="1998"/>
      <c r="H347" s="1998"/>
      <c r="I347" s="1998"/>
      <c r="J347" s="1998"/>
      <c r="K347" s="1998"/>
      <c r="L347" s="1998"/>
      <c r="M347" s="1998"/>
      <c r="N347" s="1998"/>
      <c r="O347" s="1998"/>
      <c r="P347" s="1998"/>
      <c r="Q347" s="1998"/>
      <c r="R347" s="1998"/>
      <c r="S347" s="1998"/>
      <c r="T347" s="1998"/>
      <c r="U347" s="1998"/>
      <c r="V347" s="1998"/>
      <c r="W347" s="1998"/>
      <c r="X347" s="1998"/>
      <c r="Y347" s="1998"/>
      <c r="Z347" s="1998"/>
      <c r="AA347" s="1998"/>
      <c r="AB347" s="1998"/>
      <c r="AC347" s="1998"/>
      <c r="AD347" s="1998"/>
      <c r="AE347" s="1998"/>
      <c r="AF347" s="1998"/>
      <c r="AG347" s="1998"/>
      <c r="AH347" s="1998"/>
      <c r="AI347" s="1998"/>
      <c r="AJ347" s="1998"/>
      <c r="AK347" s="638"/>
      <c r="AL347" s="638"/>
      <c r="AM347" s="638"/>
      <c r="AN347" s="632"/>
      <c r="AO347" s="730" t="s">
        <v>114</v>
      </c>
      <c r="AP347" s="731">
        <f>IF(C378="Yes",5,0)</f>
        <v>0</v>
      </c>
      <c r="AS347" s="2015">
        <f>IF(Application!D210="Non-Targeted",(SUM(AQ355+AQ364)),AS351)</f>
        <v>10</v>
      </c>
      <c r="AT347" s="2015"/>
    </row>
    <row r="348" spans="1:46" s="585" customFormat="1" ht="12.75" customHeight="1">
      <c r="A348" s="638"/>
      <c r="B348" s="646"/>
      <c r="C348" s="1998"/>
      <c r="D348" s="1998"/>
      <c r="E348" s="1998"/>
      <c r="F348" s="1998"/>
      <c r="G348" s="1998"/>
      <c r="H348" s="1998"/>
      <c r="I348" s="1998"/>
      <c r="J348" s="1998"/>
      <c r="K348" s="1998"/>
      <c r="L348" s="1998"/>
      <c r="M348" s="1998"/>
      <c r="N348" s="1998"/>
      <c r="O348" s="1998"/>
      <c r="P348" s="1998"/>
      <c r="Q348" s="1998"/>
      <c r="R348" s="1998"/>
      <c r="S348" s="1998"/>
      <c r="T348" s="1998"/>
      <c r="U348" s="1998"/>
      <c r="V348" s="1998"/>
      <c r="W348" s="1998"/>
      <c r="X348" s="1998"/>
      <c r="Y348" s="1998"/>
      <c r="Z348" s="1998"/>
      <c r="AA348" s="1998"/>
      <c r="AB348" s="1998"/>
      <c r="AC348" s="1998"/>
      <c r="AD348" s="1998"/>
      <c r="AE348" s="1998"/>
      <c r="AF348" s="1998"/>
      <c r="AG348" s="1998"/>
      <c r="AH348" s="1998"/>
      <c r="AI348" s="1998"/>
      <c r="AJ348" s="1998"/>
      <c r="AK348" s="638"/>
      <c r="AL348" s="638"/>
      <c r="AM348" s="638"/>
      <c r="AN348" s="632"/>
      <c r="AO348" s="730" t="s">
        <v>120</v>
      </c>
      <c r="AP348" s="731">
        <f>IF(C386="Yes",7,0)</f>
        <v>7</v>
      </c>
      <c r="AS348" s="574" t="s">
        <v>1627</v>
      </c>
    </row>
    <row r="349" spans="1:46" s="585" customFormat="1" ht="12.75" customHeight="1">
      <c r="A349" s="638"/>
      <c r="B349" s="646"/>
      <c r="C349" s="1998"/>
      <c r="D349" s="1998"/>
      <c r="E349" s="1998"/>
      <c r="F349" s="1998"/>
      <c r="G349" s="1998"/>
      <c r="H349" s="1998"/>
      <c r="I349" s="1998"/>
      <c r="J349" s="1998"/>
      <c r="K349" s="1998"/>
      <c r="L349" s="1998"/>
      <c r="M349" s="1998"/>
      <c r="N349" s="1998"/>
      <c r="O349" s="1998"/>
      <c r="P349" s="1998"/>
      <c r="Q349" s="1998"/>
      <c r="R349" s="1998"/>
      <c r="S349" s="1998"/>
      <c r="T349" s="1998"/>
      <c r="U349" s="1998"/>
      <c r="V349" s="1998"/>
      <c r="W349" s="1998"/>
      <c r="X349" s="1998"/>
      <c r="Y349" s="1998"/>
      <c r="Z349" s="1998"/>
      <c r="AA349" s="1998"/>
      <c r="AB349" s="1998"/>
      <c r="AC349" s="1998"/>
      <c r="AD349" s="1998"/>
      <c r="AE349" s="1998"/>
      <c r="AF349" s="1998"/>
      <c r="AG349" s="1998"/>
      <c r="AH349" s="1998"/>
      <c r="AI349" s="1998"/>
      <c r="AJ349" s="1998"/>
      <c r="AK349" s="638"/>
      <c r="AL349" s="638"/>
      <c r="AM349" s="638"/>
      <c r="AN349" s="632"/>
      <c r="AO349" s="632"/>
      <c r="AP349" s="731">
        <f>IF(C388="Yes",5,0)</f>
        <v>0</v>
      </c>
      <c r="AS349" s="2015">
        <f>IF(AND(AQ355&gt;0,AQ364&gt;0),(AQ355+AQ364)/2,0)</f>
        <v>0</v>
      </c>
      <c r="AT349" s="2015"/>
    </row>
    <row r="350" spans="1:46" s="585" customFormat="1" ht="12.75" customHeight="1">
      <c r="A350" s="638"/>
      <c r="B350" s="646"/>
      <c r="C350" s="1998"/>
      <c r="D350" s="1998"/>
      <c r="E350" s="1998"/>
      <c r="F350" s="1998"/>
      <c r="G350" s="1998"/>
      <c r="H350" s="1998"/>
      <c r="I350" s="1998"/>
      <c r="J350" s="1998"/>
      <c r="K350" s="1998"/>
      <c r="L350" s="1998"/>
      <c r="M350" s="1998"/>
      <c r="N350" s="1998"/>
      <c r="O350" s="1998"/>
      <c r="P350" s="1998"/>
      <c r="Q350" s="1998"/>
      <c r="R350" s="1998"/>
      <c r="S350" s="1998"/>
      <c r="T350" s="1998"/>
      <c r="U350" s="1998"/>
      <c r="V350" s="1998"/>
      <c r="W350" s="1998"/>
      <c r="X350" s="1998"/>
      <c r="Y350" s="1998"/>
      <c r="Z350" s="1998"/>
      <c r="AA350" s="1998"/>
      <c r="AB350" s="1998"/>
      <c r="AC350" s="1998"/>
      <c r="AD350" s="1998"/>
      <c r="AE350" s="1998"/>
      <c r="AF350" s="1998"/>
      <c r="AG350" s="1998"/>
      <c r="AH350" s="1998"/>
      <c r="AI350" s="1998"/>
      <c r="AJ350" s="1998"/>
      <c r="AK350" s="638"/>
      <c r="AL350" s="638"/>
      <c r="AM350" s="638"/>
      <c r="AN350" s="632"/>
      <c r="AO350" s="730" t="s">
        <v>590</v>
      </c>
      <c r="AP350" s="731">
        <f>IF(C396="Yes",5,0)</f>
        <v>0</v>
      </c>
      <c r="AS350" s="574" t="s">
        <v>2142</v>
      </c>
    </row>
    <row r="351" spans="1:46" s="585" customFormat="1" ht="12.75" customHeight="1">
      <c r="A351" s="638"/>
      <c r="B351" s="646"/>
      <c r="C351" s="2016" t="s">
        <v>1628</v>
      </c>
      <c r="D351" s="2016"/>
      <c r="E351" s="2016"/>
      <c r="F351" s="2016"/>
      <c r="G351" s="2016"/>
      <c r="H351" s="2016"/>
      <c r="I351" s="2016"/>
      <c r="J351" s="2016"/>
      <c r="K351" s="2016"/>
      <c r="L351" s="2016"/>
      <c r="M351" s="2016"/>
      <c r="N351" s="2016"/>
      <c r="O351" s="2016"/>
      <c r="P351" s="2016"/>
      <c r="Q351" s="2016"/>
      <c r="R351" s="2016"/>
      <c r="S351" s="2016"/>
      <c r="T351" s="2016"/>
      <c r="U351" s="2016"/>
      <c r="V351" s="2016"/>
      <c r="W351" s="2016"/>
      <c r="X351" s="2016"/>
      <c r="Y351" s="2016"/>
      <c r="Z351" s="2016"/>
      <c r="AA351" s="2016"/>
      <c r="AB351" s="2016"/>
      <c r="AC351" s="2016"/>
      <c r="AD351" s="2016"/>
      <c r="AE351" s="2016"/>
      <c r="AF351" s="2016"/>
      <c r="AG351" s="2016"/>
      <c r="AH351" s="2016"/>
      <c r="AI351" s="2016"/>
      <c r="AJ351" s="2016"/>
      <c r="AK351" s="638"/>
      <c r="AL351" s="638"/>
      <c r="AM351" s="638"/>
      <c r="AN351" s="632"/>
      <c r="AO351" s="632"/>
      <c r="AP351" s="731">
        <f>IF(C398="Yes",3,0)</f>
        <v>3</v>
      </c>
      <c r="AS351" s="2015">
        <f>IF(AQ355=0,AQ364,AQ355)</f>
        <v>10</v>
      </c>
      <c r="AT351" s="2015"/>
    </row>
    <row r="352" spans="1:46" s="585" customFormat="1" ht="12.75" customHeight="1">
      <c r="A352" s="638"/>
      <c r="B352" s="646"/>
      <c r="C352" s="2016"/>
      <c r="D352" s="2016"/>
      <c r="E352" s="2016"/>
      <c r="F352" s="2016"/>
      <c r="G352" s="2016"/>
      <c r="H352" s="2016"/>
      <c r="I352" s="2016"/>
      <c r="J352" s="2016"/>
      <c r="K352" s="2016"/>
      <c r="L352" s="2016"/>
      <c r="M352" s="2016"/>
      <c r="N352" s="2016"/>
      <c r="O352" s="2016"/>
      <c r="P352" s="2016"/>
      <c r="Q352" s="2016"/>
      <c r="R352" s="2016"/>
      <c r="S352" s="2016"/>
      <c r="T352" s="2016"/>
      <c r="U352" s="2016"/>
      <c r="V352" s="2016"/>
      <c r="W352" s="2016"/>
      <c r="X352" s="2016"/>
      <c r="Y352" s="2016"/>
      <c r="Z352" s="2016"/>
      <c r="AA352" s="2016"/>
      <c r="AB352" s="2016"/>
      <c r="AC352" s="2016"/>
      <c r="AD352" s="2016"/>
      <c r="AE352" s="2016"/>
      <c r="AF352" s="2016"/>
      <c r="AG352" s="2016"/>
      <c r="AH352" s="2016"/>
      <c r="AI352" s="2016"/>
      <c r="AJ352" s="2016"/>
      <c r="AK352" s="638"/>
      <c r="AL352" s="638"/>
      <c r="AM352" s="638"/>
      <c r="AN352" s="632"/>
      <c r="AO352" s="730" t="s">
        <v>787</v>
      </c>
      <c r="AP352" s="731">
        <f>IF(C401="Yes",5,0)</f>
        <v>0</v>
      </c>
    </row>
    <row r="353" spans="1:81" s="585" customFormat="1" ht="12.75" customHeight="1">
      <c r="A353" s="638"/>
      <c r="B353" s="646"/>
      <c r="C353" s="2016"/>
      <c r="D353" s="2016"/>
      <c r="E353" s="2016"/>
      <c r="F353" s="2016"/>
      <c r="G353" s="2016"/>
      <c r="H353" s="2016"/>
      <c r="I353" s="2016"/>
      <c r="J353" s="2016"/>
      <c r="K353" s="2016"/>
      <c r="L353" s="2016"/>
      <c r="M353" s="2016"/>
      <c r="N353" s="2016"/>
      <c r="O353" s="2016"/>
      <c r="P353" s="2016"/>
      <c r="Q353" s="2016"/>
      <c r="R353" s="2016"/>
      <c r="S353" s="2016"/>
      <c r="T353" s="2016"/>
      <c r="U353" s="2016"/>
      <c r="V353" s="2016"/>
      <c r="W353" s="2016"/>
      <c r="X353" s="2016"/>
      <c r="Y353" s="2016"/>
      <c r="Z353" s="2016"/>
      <c r="AA353" s="2016"/>
      <c r="AB353" s="2016"/>
      <c r="AC353" s="2016"/>
      <c r="AD353" s="2016"/>
      <c r="AE353" s="2016"/>
      <c r="AF353" s="2016"/>
      <c r="AG353" s="2016"/>
      <c r="AH353" s="2016"/>
      <c r="AI353" s="2016"/>
      <c r="AJ353" s="2016"/>
      <c r="AK353" s="638"/>
      <c r="AL353" s="638"/>
      <c r="AM353" s="638"/>
      <c r="AN353" s="632"/>
      <c r="AO353" s="730" t="s">
        <v>593</v>
      </c>
      <c r="AP353" s="731">
        <f>IF(C410="Yes",5,0)</f>
        <v>0</v>
      </c>
    </row>
    <row r="354" spans="1:81" s="585" customFormat="1" ht="11.85" customHeight="1">
      <c r="A354" s="638"/>
      <c r="B354" s="646"/>
      <c r="C354" s="2016"/>
      <c r="D354" s="2016"/>
      <c r="E354" s="2016"/>
      <c r="F354" s="2016"/>
      <c r="G354" s="2016"/>
      <c r="H354" s="2016"/>
      <c r="I354" s="2016"/>
      <c r="J354" s="2016"/>
      <c r="K354" s="2016"/>
      <c r="L354" s="2016"/>
      <c r="M354" s="2016"/>
      <c r="N354" s="2016"/>
      <c r="O354" s="2016"/>
      <c r="P354" s="2016"/>
      <c r="Q354" s="2016"/>
      <c r="R354" s="2016"/>
      <c r="S354" s="2016"/>
      <c r="T354" s="2016"/>
      <c r="U354" s="2016"/>
      <c r="V354" s="2016"/>
      <c r="W354" s="2016"/>
      <c r="X354" s="2016"/>
      <c r="Y354" s="2016"/>
      <c r="Z354" s="2016"/>
      <c r="AA354" s="2016"/>
      <c r="AB354" s="2016"/>
      <c r="AC354" s="2016"/>
      <c r="AD354" s="2016"/>
      <c r="AE354" s="2016"/>
      <c r="AF354" s="2016"/>
      <c r="AG354" s="2016"/>
      <c r="AH354" s="2016"/>
      <c r="AI354" s="2016"/>
      <c r="AJ354" s="2016"/>
      <c r="AK354" s="638"/>
      <c r="AL354" s="638"/>
      <c r="AM354" s="638"/>
      <c r="AN354" s="632"/>
      <c r="AO354" s="732"/>
      <c r="AP354" s="733">
        <f>IF(C412="Yes",3,0)</f>
        <v>0</v>
      </c>
    </row>
    <row r="355" spans="1:81" s="585" customFormat="1" ht="12.4" customHeight="1">
      <c r="A355" s="638"/>
      <c r="B355" s="646"/>
      <c r="C355" s="2016"/>
      <c r="D355" s="2016"/>
      <c r="E355" s="2016"/>
      <c r="F355" s="2016"/>
      <c r="G355" s="2016"/>
      <c r="H355" s="2016"/>
      <c r="I355" s="2016"/>
      <c r="J355" s="2016"/>
      <c r="K355" s="2016"/>
      <c r="L355" s="2016"/>
      <c r="M355" s="2016"/>
      <c r="N355" s="2016"/>
      <c r="O355" s="2016"/>
      <c r="P355" s="2016"/>
      <c r="Q355" s="2016"/>
      <c r="R355" s="2016"/>
      <c r="S355" s="2016"/>
      <c r="T355" s="2016"/>
      <c r="U355" s="2016"/>
      <c r="V355" s="2016"/>
      <c r="W355" s="2016"/>
      <c r="X355" s="2016"/>
      <c r="Y355" s="2016"/>
      <c r="Z355" s="2016"/>
      <c r="AA355" s="2016"/>
      <c r="AB355" s="2016"/>
      <c r="AC355" s="2016"/>
      <c r="AD355" s="2016"/>
      <c r="AE355" s="2016"/>
      <c r="AF355" s="2016"/>
      <c r="AG355" s="2016"/>
      <c r="AH355" s="2016"/>
      <c r="AI355" s="2016"/>
      <c r="AJ355" s="2016"/>
      <c r="AK355" s="638"/>
      <c r="AL355" s="638"/>
      <c r="AM355" s="638"/>
      <c r="AN355" s="632"/>
      <c r="AO355" s="734" t="s">
        <v>229</v>
      </c>
      <c r="AP355" s="735">
        <f>SUM(AP346:AP354)</f>
        <v>10</v>
      </c>
      <c r="AQ355" s="2017">
        <f>IF(AP355&gt;0,AP355,0)</f>
        <v>10</v>
      </c>
      <c r="AR355" s="2017"/>
    </row>
    <row r="356" spans="1:81" s="585" customFormat="1" ht="12.75" customHeight="1">
      <c r="A356" s="638"/>
      <c r="B356" s="646"/>
      <c r="C356" s="2016"/>
      <c r="D356" s="2016"/>
      <c r="E356" s="2016"/>
      <c r="F356" s="2016"/>
      <c r="G356" s="2016"/>
      <c r="H356" s="2016"/>
      <c r="I356" s="2016"/>
      <c r="J356" s="2016"/>
      <c r="K356" s="2016"/>
      <c r="L356" s="2016"/>
      <c r="M356" s="2016"/>
      <c r="N356" s="2016"/>
      <c r="O356" s="2016"/>
      <c r="P356" s="2016"/>
      <c r="Q356" s="2016"/>
      <c r="R356" s="2016"/>
      <c r="S356" s="2016"/>
      <c r="T356" s="2016"/>
      <c r="U356" s="2016"/>
      <c r="V356" s="2016"/>
      <c r="W356" s="2016"/>
      <c r="X356" s="2016"/>
      <c r="Y356" s="2016"/>
      <c r="Z356" s="2016"/>
      <c r="AA356" s="2016"/>
      <c r="AB356" s="2016"/>
      <c r="AC356" s="2016"/>
      <c r="AD356" s="2016"/>
      <c r="AE356" s="2016"/>
      <c r="AF356" s="2016"/>
      <c r="AG356" s="2016"/>
      <c r="AH356" s="2016"/>
      <c r="AI356" s="2016"/>
      <c r="AJ356" s="2016"/>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98" t="s">
        <v>1629</v>
      </c>
      <c r="D358" s="1998"/>
      <c r="E358" s="1998"/>
      <c r="F358" s="1998"/>
      <c r="G358" s="1998"/>
      <c r="H358" s="1998"/>
      <c r="I358" s="1998"/>
      <c r="J358" s="1998"/>
      <c r="K358" s="1998"/>
      <c r="L358" s="1998"/>
      <c r="M358" s="1998"/>
      <c r="N358" s="1998"/>
      <c r="O358" s="1998"/>
      <c r="P358" s="1998"/>
      <c r="Q358" s="1998"/>
      <c r="R358" s="1998"/>
      <c r="S358" s="1998"/>
      <c r="T358" s="1998"/>
      <c r="U358" s="1998"/>
      <c r="V358" s="1998"/>
      <c r="W358" s="1998"/>
      <c r="X358" s="1998"/>
      <c r="Y358" s="1998"/>
      <c r="Z358" s="1998"/>
      <c r="AA358" s="1998"/>
      <c r="AB358" s="1998"/>
      <c r="AC358" s="1998"/>
      <c r="AD358" s="1998"/>
      <c r="AE358" s="1998"/>
      <c r="AF358" s="1998"/>
      <c r="AG358" s="1998"/>
      <c r="AH358" s="1998"/>
      <c r="AI358" s="1998"/>
      <c r="AJ358" s="1998"/>
      <c r="AK358" s="638"/>
      <c r="AL358" s="638"/>
      <c r="AM358" s="638"/>
      <c r="AN358" s="632"/>
      <c r="AO358" s="730" t="s">
        <v>465</v>
      </c>
      <c r="AP358" s="731">
        <f>IF(C431="Yes",5,0)</f>
        <v>0</v>
      </c>
    </row>
    <row r="359" spans="1:81" s="585" customFormat="1" ht="12.75" customHeight="1">
      <c r="A359" s="638"/>
      <c r="B359" s="646"/>
      <c r="C359" s="1998"/>
      <c r="D359" s="1998"/>
      <c r="E359" s="1998"/>
      <c r="F359" s="1998"/>
      <c r="G359" s="1998"/>
      <c r="H359" s="1998"/>
      <c r="I359" s="1998"/>
      <c r="J359" s="1998"/>
      <c r="K359" s="1998"/>
      <c r="L359" s="1998"/>
      <c r="M359" s="1998"/>
      <c r="N359" s="1998"/>
      <c r="O359" s="1998"/>
      <c r="P359" s="1998"/>
      <c r="Q359" s="1998"/>
      <c r="R359" s="1998"/>
      <c r="S359" s="1998"/>
      <c r="T359" s="1998"/>
      <c r="U359" s="1998"/>
      <c r="V359" s="1998"/>
      <c r="W359" s="1998"/>
      <c r="X359" s="1998"/>
      <c r="Y359" s="1998"/>
      <c r="Z359" s="1998"/>
      <c r="AA359" s="1998"/>
      <c r="AB359" s="1998"/>
      <c r="AC359" s="1998"/>
      <c r="AD359" s="1998"/>
      <c r="AE359" s="1998"/>
      <c r="AF359" s="1998"/>
      <c r="AG359" s="1998"/>
      <c r="AH359" s="1998"/>
      <c r="AI359" s="1998"/>
      <c r="AJ359" s="1998"/>
      <c r="AK359" s="638"/>
      <c r="AL359" s="638"/>
      <c r="AM359" s="638"/>
      <c r="AN359" s="632"/>
      <c r="AO359" s="730" t="s">
        <v>470</v>
      </c>
      <c r="AP359" s="731">
        <f>IF(C438="Yes",5,0)</f>
        <v>0</v>
      </c>
    </row>
    <row r="360" spans="1:81" s="585" customFormat="1" ht="68.099999999999994" customHeight="1">
      <c r="A360" s="638"/>
      <c r="B360" s="646"/>
      <c r="C360" s="1998"/>
      <c r="D360" s="1998"/>
      <c r="E360" s="1998"/>
      <c r="F360" s="1998"/>
      <c r="G360" s="1998"/>
      <c r="H360" s="1998"/>
      <c r="I360" s="1998"/>
      <c r="J360" s="1998"/>
      <c r="K360" s="1998"/>
      <c r="L360" s="1998"/>
      <c r="M360" s="1998"/>
      <c r="N360" s="1998"/>
      <c r="O360" s="1998"/>
      <c r="P360" s="1998"/>
      <c r="Q360" s="1998"/>
      <c r="R360" s="1998"/>
      <c r="S360" s="1998"/>
      <c r="T360" s="1998"/>
      <c r="U360" s="1998"/>
      <c r="V360" s="1998"/>
      <c r="W360" s="1998"/>
      <c r="X360" s="1998"/>
      <c r="Y360" s="1998"/>
      <c r="Z360" s="1998"/>
      <c r="AA360" s="1998"/>
      <c r="AB360" s="1998"/>
      <c r="AC360" s="1998"/>
      <c r="AD360" s="1998"/>
      <c r="AE360" s="1998"/>
      <c r="AF360" s="1998"/>
      <c r="AG360" s="1998"/>
      <c r="AH360" s="1998"/>
      <c r="AI360" s="1998"/>
      <c r="AJ360" s="1998"/>
      <c r="AK360" s="638"/>
      <c r="AL360" s="638"/>
      <c r="AM360" s="638"/>
      <c r="AN360" s="632"/>
      <c r="AO360" s="730" t="s">
        <v>655</v>
      </c>
      <c r="AP360" s="736">
        <f>IF(C442="Yes",5,0)</f>
        <v>0</v>
      </c>
    </row>
    <row r="361" spans="1:81" s="585" customFormat="1" ht="12.4" customHeight="1">
      <c r="A361" s="638"/>
      <c r="B361" s="646"/>
      <c r="C361" s="585" t="s">
        <v>1630</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1631</v>
      </c>
      <c r="D362" s="738"/>
      <c r="E362" s="738"/>
      <c r="F362" s="738"/>
      <c r="G362" s="738"/>
      <c r="H362" s="738"/>
      <c r="I362" s="738"/>
      <c r="J362" s="738"/>
      <c r="K362" s="738"/>
      <c r="L362" s="738"/>
      <c r="M362" s="702"/>
      <c r="N362" s="702"/>
      <c r="O362" s="739"/>
      <c r="P362" s="738"/>
      <c r="Q362" s="738"/>
      <c r="R362" s="702"/>
      <c r="S362" s="702"/>
      <c r="T362" s="738"/>
      <c r="U362" s="2103">
        <f>Application!CS649-U363</f>
        <v>307</v>
      </c>
      <c r="V362" s="2103"/>
      <c r="W362" s="2103"/>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1632</v>
      </c>
      <c r="D363" s="729"/>
      <c r="E363" s="729"/>
      <c r="F363" s="729"/>
      <c r="G363" s="729"/>
      <c r="H363" s="729"/>
      <c r="I363" s="729"/>
      <c r="J363" s="729"/>
      <c r="K363" s="729"/>
      <c r="L363" s="729"/>
      <c r="M363" s="729"/>
      <c r="N363" s="729"/>
      <c r="O363" s="729"/>
      <c r="P363" s="729"/>
      <c r="Q363" s="729"/>
      <c r="R363" s="729"/>
      <c r="S363" s="729"/>
      <c r="T363" s="729"/>
      <c r="U363" s="2104">
        <f>Application!AG742</f>
        <v>0</v>
      </c>
      <c r="V363" s="2104"/>
      <c r="W363" s="2104"/>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2017">
        <f>IF(AP364&gt;0,AP364,0)</f>
        <v>0</v>
      </c>
      <c r="AR364" s="2017"/>
    </row>
    <row r="365" spans="1:81" s="585" customFormat="1" ht="12.75" customHeight="1">
      <c r="A365" s="638"/>
      <c r="B365" s="14"/>
      <c r="C365" s="747" t="s">
        <v>1633</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1485</v>
      </c>
      <c r="F366" s="2002" t="s">
        <v>1634</v>
      </c>
      <c r="G366" s="2002"/>
      <c r="H366" s="2002"/>
      <c r="I366" s="2002"/>
      <c r="J366" s="2002"/>
      <c r="K366" s="2002"/>
      <c r="L366" s="2002"/>
      <c r="M366" s="2002"/>
      <c r="N366" s="2002"/>
      <c r="O366" s="2002"/>
      <c r="P366" s="2002"/>
      <c r="Q366" s="2002"/>
      <c r="R366" s="2002"/>
      <c r="S366" s="2002"/>
      <c r="T366" s="2002"/>
      <c r="U366" s="2002"/>
      <c r="V366" s="2002"/>
      <c r="W366" s="2002"/>
      <c r="X366" s="2002"/>
      <c r="Y366" s="2002"/>
      <c r="Z366" s="2002"/>
      <c r="AA366" s="2002"/>
      <c r="AB366" s="2002"/>
      <c r="AC366" s="2002"/>
      <c r="AD366" s="2002"/>
      <c r="AE366" s="2002"/>
      <c r="AF366" s="2002"/>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2003"/>
      <c r="G367" s="2003"/>
      <c r="H367" s="2003"/>
      <c r="I367" s="2003"/>
      <c r="J367" s="2003"/>
      <c r="K367" s="2003"/>
      <c r="L367" s="2003"/>
      <c r="M367" s="2003"/>
      <c r="N367" s="2003"/>
      <c r="O367" s="2003"/>
      <c r="P367" s="2003"/>
      <c r="Q367" s="2003"/>
      <c r="R367" s="2003"/>
      <c r="S367" s="2003"/>
      <c r="T367" s="2003"/>
      <c r="U367" s="2003"/>
      <c r="V367" s="2003"/>
      <c r="W367" s="2003"/>
      <c r="X367" s="2003"/>
      <c r="Y367" s="2003"/>
      <c r="Z367" s="2003"/>
      <c r="AA367" s="2003"/>
      <c r="AB367" s="2003"/>
      <c r="AC367" s="2003"/>
      <c r="AD367" s="2003"/>
      <c r="AE367" s="2003"/>
      <c r="AF367" s="2003"/>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2003"/>
      <c r="G368" s="2003"/>
      <c r="H368" s="2003"/>
      <c r="I368" s="2003"/>
      <c r="J368" s="2003"/>
      <c r="K368" s="2003"/>
      <c r="L368" s="2003"/>
      <c r="M368" s="2003"/>
      <c r="N368" s="2003"/>
      <c r="O368" s="2003"/>
      <c r="P368" s="2003"/>
      <c r="Q368" s="2003"/>
      <c r="R368" s="2003"/>
      <c r="S368" s="2003"/>
      <c r="T368" s="2003"/>
      <c r="U368" s="2003"/>
      <c r="V368" s="2003"/>
      <c r="W368" s="2003"/>
      <c r="X368" s="2003"/>
      <c r="Y368" s="2003"/>
      <c r="Z368" s="2003"/>
      <c r="AA368" s="2003"/>
      <c r="AB368" s="2003"/>
      <c r="AC368" s="2003"/>
      <c r="AD368" s="2003"/>
      <c r="AE368" s="2003"/>
      <c r="AF368" s="2003"/>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2003"/>
      <c r="G369" s="2003"/>
      <c r="H369" s="2003"/>
      <c r="I369" s="2003"/>
      <c r="J369" s="2003"/>
      <c r="K369" s="2003"/>
      <c r="L369" s="2003"/>
      <c r="M369" s="2003"/>
      <c r="N369" s="2003"/>
      <c r="O369" s="2003"/>
      <c r="P369" s="2003"/>
      <c r="Q369" s="2003"/>
      <c r="R369" s="2003"/>
      <c r="S369" s="2003"/>
      <c r="T369" s="2003"/>
      <c r="U369" s="2003"/>
      <c r="V369" s="2003"/>
      <c r="W369" s="2003"/>
      <c r="X369" s="2003"/>
      <c r="Y369" s="2003"/>
      <c r="Z369" s="2003"/>
      <c r="AA369" s="2003"/>
      <c r="AB369" s="2003"/>
      <c r="AC369" s="2003"/>
      <c r="AD369" s="2003"/>
      <c r="AE369" s="2003"/>
      <c r="AF369" s="2003"/>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99" t="s">
        <v>600</v>
      </c>
      <c r="D370" s="1956"/>
      <c r="E370" s="754"/>
      <c r="F370" s="756" t="s">
        <v>1635</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2000" t="s">
        <v>1636</v>
      </c>
      <c r="AG370" s="2000"/>
      <c r="AH370" s="2000"/>
      <c r="AI370" s="2000"/>
      <c r="AJ370" s="2000"/>
      <c r="AK370" s="2000"/>
      <c r="AL370" s="2001"/>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1487</v>
      </c>
      <c r="F373" s="2002" t="s">
        <v>1637</v>
      </c>
      <c r="G373" s="2002"/>
      <c r="H373" s="2002"/>
      <c r="I373" s="2002"/>
      <c r="J373" s="2002"/>
      <c r="K373" s="2002"/>
      <c r="L373" s="2002"/>
      <c r="M373" s="2002"/>
      <c r="N373" s="2002"/>
      <c r="O373" s="2002"/>
      <c r="P373" s="2002"/>
      <c r="Q373" s="2002"/>
      <c r="R373" s="2002"/>
      <c r="S373" s="2002"/>
      <c r="T373" s="2002"/>
      <c r="U373" s="2002"/>
      <c r="V373" s="2002"/>
      <c r="W373" s="2002"/>
      <c r="X373" s="2002"/>
      <c r="Y373" s="2002"/>
      <c r="Z373" s="2002"/>
      <c r="AA373" s="2002"/>
      <c r="AB373" s="2002"/>
      <c r="AC373" s="2002"/>
      <c r="AD373" s="2002"/>
      <c r="AE373" s="2002"/>
      <c r="AF373" s="2002"/>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2003"/>
      <c r="G374" s="2003"/>
      <c r="H374" s="2003"/>
      <c r="I374" s="2003"/>
      <c r="J374" s="2003"/>
      <c r="K374" s="2003"/>
      <c r="L374" s="2003"/>
      <c r="M374" s="2003"/>
      <c r="N374" s="2003"/>
      <c r="O374" s="2003"/>
      <c r="P374" s="2003"/>
      <c r="Q374" s="2003"/>
      <c r="R374" s="2003"/>
      <c r="S374" s="2003"/>
      <c r="T374" s="2003"/>
      <c r="U374" s="2003"/>
      <c r="V374" s="2003"/>
      <c r="W374" s="2003"/>
      <c r="X374" s="2003"/>
      <c r="Y374" s="2003"/>
      <c r="Z374" s="2003"/>
      <c r="AA374" s="2003"/>
      <c r="AB374" s="2003"/>
      <c r="AC374" s="2003"/>
      <c r="AD374" s="2003"/>
      <c r="AE374" s="2003"/>
      <c r="AF374" s="2003"/>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2003"/>
      <c r="G375" s="2003"/>
      <c r="H375" s="2003"/>
      <c r="I375" s="2003"/>
      <c r="J375" s="2003"/>
      <c r="K375" s="2003"/>
      <c r="L375" s="2003"/>
      <c r="M375" s="2003"/>
      <c r="N375" s="2003"/>
      <c r="O375" s="2003"/>
      <c r="P375" s="2003"/>
      <c r="Q375" s="2003"/>
      <c r="R375" s="2003"/>
      <c r="S375" s="2003"/>
      <c r="T375" s="2003"/>
      <c r="U375" s="2003"/>
      <c r="V375" s="2003"/>
      <c r="W375" s="2003"/>
      <c r="X375" s="2003"/>
      <c r="Y375" s="2003"/>
      <c r="Z375" s="2003"/>
      <c r="AA375" s="2003"/>
      <c r="AB375" s="2003"/>
      <c r="AC375" s="2003"/>
      <c r="AD375" s="2003"/>
      <c r="AE375" s="2003"/>
      <c r="AF375" s="2003"/>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2003"/>
      <c r="G376" s="2003"/>
      <c r="H376" s="2003"/>
      <c r="I376" s="2003"/>
      <c r="J376" s="2003"/>
      <c r="K376" s="2003"/>
      <c r="L376" s="2003"/>
      <c r="M376" s="2003"/>
      <c r="N376" s="2003"/>
      <c r="O376" s="2003"/>
      <c r="P376" s="2003"/>
      <c r="Q376" s="2003"/>
      <c r="R376" s="2003"/>
      <c r="S376" s="2003"/>
      <c r="T376" s="2003"/>
      <c r="U376" s="2003"/>
      <c r="V376" s="2003"/>
      <c r="W376" s="2003"/>
      <c r="X376" s="2003"/>
      <c r="Y376" s="2003"/>
      <c r="Z376" s="2003"/>
      <c r="AA376" s="2003"/>
      <c r="AB376" s="2003"/>
      <c r="AC376" s="2003"/>
      <c r="AD376" s="2003"/>
      <c r="AE376" s="2003"/>
      <c r="AF376" s="2003"/>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2003"/>
      <c r="G377" s="2003"/>
      <c r="H377" s="2003"/>
      <c r="I377" s="2003"/>
      <c r="J377" s="2003"/>
      <c r="K377" s="2003"/>
      <c r="L377" s="2003"/>
      <c r="M377" s="2003"/>
      <c r="N377" s="2003"/>
      <c r="O377" s="2003"/>
      <c r="P377" s="2003"/>
      <c r="Q377" s="2003"/>
      <c r="R377" s="2003"/>
      <c r="S377" s="2003"/>
      <c r="T377" s="2003"/>
      <c r="U377" s="2003"/>
      <c r="V377" s="2003"/>
      <c r="W377" s="2003"/>
      <c r="X377" s="2003"/>
      <c r="Y377" s="2003"/>
      <c r="Z377" s="2003"/>
      <c r="AA377" s="2003"/>
      <c r="AB377" s="2003"/>
      <c r="AC377" s="2003"/>
      <c r="AD377" s="2003"/>
      <c r="AE377" s="2003"/>
      <c r="AF377" s="2003"/>
      <c r="AL377" s="767"/>
      <c r="AN377" s="632"/>
      <c r="BS377" s="30"/>
      <c r="BT377" s="30"/>
      <c r="BU377" s="14"/>
      <c r="BV377" s="14"/>
      <c r="BW377" s="14"/>
      <c r="BX377" s="14"/>
      <c r="BY377" s="14"/>
      <c r="BZ377" s="14"/>
      <c r="CA377" s="14"/>
      <c r="CB377" s="14"/>
      <c r="CC377" s="14"/>
    </row>
    <row r="378" spans="1:81" s="585" customFormat="1" ht="12.75" customHeight="1">
      <c r="A378" s="571"/>
      <c r="B378" s="14"/>
      <c r="C378" s="1999" t="s">
        <v>600</v>
      </c>
      <c r="D378" s="1956"/>
      <c r="E378" s="726"/>
      <c r="F378" s="756" t="s">
        <v>1638</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2000" t="s">
        <v>1636</v>
      </c>
      <c r="AG378" s="2000"/>
      <c r="AH378" s="2000"/>
      <c r="AI378" s="2000"/>
      <c r="AJ378" s="2000"/>
      <c r="AK378" s="2000"/>
      <c r="AL378" s="2001"/>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1490</v>
      </c>
      <c r="F381" s="2002" t="s">
        <v>1639</v>
      </c>
      <c r="G381" s="2002"/>
      <c r="H381" s="2002"/>
      <c r="I381" s="2002"/>
      <c r="J381" s="2002"/>
      <c r="K381" s="2002"/>
      <c r="L381" s="2002"/>
      <c r="M381" s="2002"/>
      <c r="N381" s="2002"/>
      <c r="O381" s="2002"/>
      <c r="P381" s="2002"/>
      <c r="Q381" s="2002"/>
      <c r="R381" s="2002"/>
      <c r="S381" s="2002"/>
      <c r="T381" s="2002"/>
      <c r="U381" s="2002"/>
      <c r="V381" s="2002"/>
      <c r="W381" s="2002"/>
      <c r="X381" s="2002"/>
      <c r="Y381" s="2002"/>
      <c r="Z381" s="2002"/>
      <c r="AA381" s="2002"/>
      <c r="AB381" s="2002"/>
      <c r="AC381" s="2002"/>
      <c r="AD381" s="2002"/>
      <c r="AE381" s="2002"/>
      <c r="AF381" s="2002"/>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2003"/>
      <c r="G382" s="2003"/>
      <c r="H382" s="2003"/>
      <c r="I382" s="2003"/>
      <c r="J382" s="2003"/>
      <c r="K382" s="2003"/>
      <c r="L382" s="2003"/>
      <c r="M382" s="2003"/>
      <c r="N382" s="2003"/>
      <c r="O382" s="2003"/>
      <c r="P382" s="2003"/>
      <c r="Q382" s="2003"/>
      <c r="R382" s="2003"/>
      <c r="S382" s="2003"/>
      <c r="T382" s="2003"/>
      <c r="U382" s="2003"/>
      <c r="V382" s="2003"/>
      <c r="W382" s="2003"/>
      <c r="X382" s="2003"/>
      <c r="Y382" s="2003"/>
      <c r="Z382" s="2003"/>
      <c r="AA382" s="2003"/>
      <c r="AB382" s="2003"/>
      <c r="AC382" s="2003"/>
      <c r="AD382" s="2003"/>
      <c r="AE382" s="2003"/>
      <c r="AF382" s="2003"/>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2003"/>
      <c r="G383" s="2003"/>
      <c r="H383" s="2003"/>
      <c r="I383" s="2003"/>
      <c r="J383" s="2003"/>
      <c r="K383" s="2003"/>
      <c r="L383" s="2003"/>
      <c r="M383" s="2003"/>
      <c r="N383" s="2003"/>
      <c r="O383" s="2003"/>
      <c r="P383" s="2003"/>
      <c r="Q383" s="2003"/>
      <c r="R383" s="2003"/>
      <c r="S383" s="2003"/>
      <c r="T383" s="2003"/>
      <c r="U383" s="2003"/>
      <c r="V383" s="2003"/>
      <c r="W383" s="2003"/>
      <c r="X383" s="2003"/>
      <c r="Y383" s="2003"/>
      <c r="Z383" s="2003"/>
      <c r="AA383" s="2003"/>
      <c r="AB383" s="2003"/>
      <c r="AC383" s="2003"/>
      <c r="AD383" s="2003"/>
      <c r="AE383" s="2003"/>
      <c r="AF383" s="2003"/>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2003"/>
      <c r="G384" s="2003"/>
      <c r="H384" s="2003"/>
      <c r="I384" s="2003"/>
      <c r="J384" s="2003"/>
      <c r="K384" s="2003"/>
      <c r="L384" s="2003"/>
      <c r="M384" s="2003"/>
      <c r="N384" s="2003"/>
      <c r="O384" s="2003"/>
      <c r="P384" s="2003"/>
      <c r="Q384" s="2003"/>
      <c r="R384" s="2003"/>
      <c r="S384" s="2003"/>
      <c r="T384" s="2003"/>
      <c r="U384" s="2003"/>
      <c r="V384" s="2003"/>
      <c r="W384" s="2003"/>
      <c r="X384" s="2003"/>
      <c r="Y384" s="2003"/>
      <c r="Z384" s="2003"/>
      <c r="AA384" s="2003"/>
      <c r="AB384" s="2003"/>
      <c r="AC384" s="2003"/>
      <c r="AD384" s="2003"/>
      <c r="AE384" s="2003"/>
      <c r="AF384" s="2003"/>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2003"/>
      <c r="G385" s="2003"/>
      <c r="H385" s="2003"/>
      <c r="I385" s="2003"/>
      <c r="J385" s="2003"/>
      <c r="K385" s="2003"/>
      <c r="L385" s="2003"/>
      <c r="M385" s="2003"/>
      <c r="N385" s="2003"/>
      <c r="O385" s="2003"/>
      <c r="P385" s="2003"/>
      <c r="Q385" s="2003"/>
      <c r="R385" s="2003"/>
      <c r="S385" s="2003"/>
      <c r="T385" s="2003"/>
      <c r="U385" s="2003"/>
      <c r="V385" s="2003"/>
      <c r="W385" s="2003"/>
      <c r="X385" s="2003"/>
      <c r="Y385" s="2003"/>
      <c r="Z385" s="2003"/>
      <c r="AA385" s="2003"/>
      <c r="AB385" s="2003"/>
      <c r="AC385" s="2003"/>
      <c r="AD385" s="2003"/>
      <c r="AE385" s="2003"/>
      <c r="AF385" s="2003"/>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99" t="s">
        <v>554</v>
      </c>
      <c r="D386" s="1956"/>
      <c r="E386" s="726"/>
      <c r="F386" s="756" t="s">
        <v>1640</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2000" t="s">
        <v>1641</v>
      </c>
      <c r="AG386" s="2000"/>
      <c r="AH386" s="2000"/>
      <c r="AI386" s="2000"/>
      <c r="AJ386" s="2000"/>
      <c r="AK386" s="2000"/>
      <c r="AL386" s="2001"/>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99" t="s">
        <v>600</v>
      </c>
      <c r="D388" s="1956"/>
      <c r="E388" s="726"/>
      <c r="F388" s="773" t="s">
        <v>1642</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2000" t="s">
        <v>1636</v>
      </c>
      <c r="AG388" s="2000"/>
      <c r="AH388" s="2000"/>
      <c r="AI388" s="2000"/>
      <c r="AJ388" s="2000"/>
      <c r="AK388" s="2000"/>
      <c r="AL388" s="2001"/>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1643</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1644</v>
      </c>
      <c r="F392" s="2002" t="s">
        <v>1645</v>
      </c>
      <c r="G392" s="2002"/>
      <c r="H392" s="2002"/>
      <c r="I392" s="2002"/>
      <c r="J392" s="2002"/>
      <c r="K392" s="2002"/>
      <c r="L392" s="2002"/>
      <c r="M392" s="2002"/>
      <c r="N392" s="2002"/>
      <c r="O392" s="2002"/>
      <c r="P392" s="2002"/>
      <c r="Q392" s="2002"/>
      <c r="R392" s="2002"/>
      <c r="S392" s="2002"/>
      <c r="T392" s="2002"/>
      <c r="U392" s="2002"/>
      <c r="V392" s="2002"/>
      <c r="W392" s="2002"/>
      <c r="X392" s="2002"/>
      <c r="Y392" s="2002"/>
      <c r="Z392" s="2002"/>
      <c r="AA392" s="2002"/>
      <c r="AB392" s="2002"/>
      <c r="AC392" s="2002"/>
      <c r="AD392" s="2002"/>
      <c r="AE392" s="2002"/>
      <c r="AF392" s="2002"/>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2003"/>
      <c r="G393" s="2003"/>
      <c r="H393" s="2003"/>
      <c r="I393" s="2003"/>
      <c r="J393" s="2003"/>
      <c r="K393" s="2003"/>
      <c r="L393" s="2003"/>
      <c r="M393" s="2003"/>
      <c r="N393" s="2003"/>
      <c r="O393" s="2003"/>
      <c r="P393" s="2003"/>
      <c r="Q393" s="2003"/>
      <c r="R393" s="2003"/>
      <c r="S393" s="2003"/>
      <c r="T393" s="2003"/>
      <c r="U393" s="2003"/>
      <c r="V393" s="2003"/>
      <c r="W393" s="2003"/>
      <c r="X393" s="2003"/>
      <c r="Y393" s="2003"/>
      <c r="Z393" s="2003"/>
      <c r="AA393" s="2003"/>
      <c r="AB393" s="2003"/>
      <c r="AC393" s="2003"/>
      <c r="AD393" s="2003"/>
      <c r="AE393" s="2003"/>
      <c r="AF393" s="2003"/>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2003"/>
      <c r="G394" s="2003"/>
      <c r="H394" s="2003"/>
      <c r="I394" s="2003"/>
      <c r="J394" s="2003"/>
      <c r="K394" s="2003"/>
      <c r="L394" s="2003"/>
      <c r="M394" s="2003"/>
      <c r="N394" s="2003"/>
      <c r="O394" s="2003"/>
      <c r="P394" s="2003"/>
      <c r="Q394" s="2003"/>
      <c r="R394" s="2003"/>
      <c r="S394" s="2003"/>
      <c r="T394" s="2003"/>
      <c r="U394" s="2003"/>
      <c r="V394" s="2003"/>
      <c r="W394" s="2003"/>
      <c r="X394" s="2003"/>
      <c r="Y394" s="2003"/>
      <c r="Z394" s="2003"/>
      <c r="AA394" s="2003"/>
      <c r="AB394" s="2003"/>
      <c r="AC394" s="2003"/>
      <c r="AD394" s="2003"/>
      <c r="AE394" s="2003"/>
      <c r="AF394" s="2003"/>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2003"/>
      <c r="G395" s="2003"/>
      <c r="H395" s="2003"/>
      <c r="I395" s="2003"/>
      <c r="J395" s="2003"/>
      <c r="K395" s="2003"/>
      <c r="L395" s="2003"/>
      <c r="M395" s="2003"/>
      <c r="N395" s="2003"/>
      <c r="O395" s="2003"/>
      <c r="P395" s="2003"/>
      <c r="Q395" s="2003"/>
      <c r="R395" s="2003"/>
      <c r="S395" s="2003"/>
      <c r="T395" s="2003"/>
      <c r="U395" s="2003"/>
      <c r="V395" s="2003"/>
      <c r="W395" s="2003"/>
      <c r="X395" s="2003"/>
      <c r="Y395" s="2003"/>
      <c r="Z395" s="2003"/>
      <c r="AA395" s="2003"/>
      <c r="AB395" s="2003"/>
      <c r="AC395" s="2003"/>
      <c r="AD395" s="2003"/>
      <c r="AE395" s="2003"/>
      <c r="AF395" s="2003"/>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99" t="s">
        <v>600</v>
      </c>
      <c r="D396" s="1956"/>
      <c r="E396" s="726"/>
      <c r="F396" s="756" t="s">
        <v>1646</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2000" t="s">
        <v>1636</v>
      </c>
      <c r="AG396" s="2000"/>
      <c r="AH396" s="2000"/>
      <c r="AI396" s="2000"/>
      <c r="AJ396" s="2000"/>
      <c r="AK396" s="2000"/>
      <c r="AL396" s="2001"/>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99" t="s">
        <v>554</v>
      </c>
      <c r="D398" s="1956"/>
      <c r="E398" s="754"/>
      <c r="F398" s="756" t="s">
        <v>1647</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2000" t="s">
        <v>1648</v>
      </c>
      <c r="AG398" s="2000"/>
      <c r="AH398" s="2000"/>
      <c r="AI398" s="2000"/>
      <c r="AJ398" s="2000"/>
      <c r="AK398" s="2000"/>
      <c r="AL398" s="2001"/>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99" t="s">
        <v>600</v>
      </c>
      <c r="D401" s="1956"/>
      <c r="E401" s="750" t="s">
        <v>1649</v>
      </c>
      <c r="F401" s="2002" t="s">
        <v>1650</v>
      </c>
      <c r="G401" s="2002"/>
      <c r="H401" s="2002"/>
      <c r="I401" s="2002"/>
      <c r="J401" s="2002"/>
      <c r="K401" s="2002"/>
      <c r="L401" s="2002"/>
      <c r="M401" s="2002"/>
      <c r="N401" s="2002"/>
      <c r="O401" s="2002"/>
      <c r="P401" s="2002"/>
      <c r="Q401" s="2002"/>
      <c r="R401" s="2002"/>
      <c r="S401" s="2002"/>
      <c r="T401" s="2002"/>
      <c r="U401" s="2002"/>
      <c r="V401" s="2002"/>
      <c r="W401" s="2002"/>
      <c r="X401" s="2002"/>
      <c r="Y401" s="2002"/>
      <c r="Z401" s="2002"/>
      <c r="AA401" s="2002"/>
      <c r="AB401" s="2002"/>
      <c r="AC401" s="2002"/>
      <c r="AD401" s="2002"/>
      <c r="AE401" s="2002"/>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2003"/>
      <c r="G402" s="2003"/>
      <c r="H402" s="2003"/>
      <c r="I402" s="2003"/>
      <c r="J402" s="2003"/>
      <c r="K402" s="2003"/>
      <c r="L402" s="2003"/>
      <c r="M402" s="2003"/>
      <c r="N402" s="2003"/>
      <c r="O402" s="2003"/>
      <c r="P402" s="2003"/>
      <c r="Q402" s="2003"/>
      <c r="R402" s="2003"/>
      <c r="S402" s="2003"/>
      <c r="T402" s="2003"/>
      <c r="U402" s="2003"/>
      <c r="V402" s="2003"/>
      <c r="W402" s="2003"/>
      <c r="X402" s="2003"/>
      <c r="Y402" s="2003"/>
      <c r="Z402" s="2003"/>
      <c r="AA402" s="2003"/>
      <c r="AB402" s="2003"/>
      <c r="AC402" s="2003"/>
      <c r="AD402" s="2003"/>
      <c r="AE402" s="2003"/>
      <c r="AF402" s="1926" t="s">
        <v>1636</v>
      </c>
      <c r="AG402" s="1926"/>
      <c r="AH402" s="1926"/>
      <c r="AI402" s="1926"/>
      <c r="AJ402" s="1926"/>
      <c r="AK402" s="1926"/>
      <c r="AL402" s="2004"/>
      <c r="AM402" s="605"/>
      <c r="AN402" s="632"/>
      <c r="BS402" s="605"/>
      <c r="BT402" s="605"/>
      <c r="BY402" s="605"/>
      <c r="BZ402" s="605"/>
      <c r="CA402" s="605"/>
      <c r="CB402" s="605"/>
      <c r="CC402" s="605"/>
    </row>
    <row r="403" spans="1:81" s="585" customFormat="1" ht="12.75" customHeight="1">
      <c r="A403" s="571"/>
      <c r="B403" s="14"/>
      <c r="C403" s="766"/>
      <c r="D403" s="14"/>
      <c r="E403" s="726"/>
      <c r="F403" s="2003"/>
      <c r="G403" s="2003"/>
      <c r="H403" s="2003"/>
      <c r="I403" s="2003"/>
      <c r="J403" s="2003"/>
      <c r="K403" s="2003"/>
      <c r="L403" s="2003"/>
      <c r="M403" s="2003"/>
      <c r="N403" s="2003"/>
      <c r="O403" s="2003"/>
      <c r="P403" s="2003"/>
      <c r="Q403" s="2003"/>
      <c r="R403" s="2003"/>
      <c r="S403" s="2003"/>
      <c r="T403" s="2003"/>
      <c r="U403" s="2003"/>
      <c r="V403" s="2003"/>
      <c r="W403" s="2003"/>
      <c r="X403" s="2003"/>
      <c r="Y403" s="2003"/>
      <c r="Z403" s="2003"/>
      <c r="AA403" s="2003"/>
      <c r="AB403" s="2003"/>
      <c r="AC403" s="2003"/>
      <c r="AD403" s="2003"/>
      <c r="AE403" s="2003"/>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18"/>
      <c r="G404" s="2018"/>
      <c r="H404" s="2018"/>
      <c r="I404" s="2018"/>
      <c r="J404" s="2018"/>
      <c r="K404" s="2018"/>
      <c r="L404" s="2018"/>
      <c r="M404" s="2018"/>
      <c r="N404" s="2018"/>
      <c r="O404" s="2018"/>
      <c r="P404" s="2018"/>
      <c r="Q404" s="2018"/>
      <c r="R404" s="2018"/>
      <c r="S404" s="2018"/>
      <c r="T404" s="2018"/>
      <c r="U404" s="2018"/>
      <c r="V404" s="2018"/>
      <c r="W404" s="2018"/>
      <c r="X404" s="2018"/>
      <c r="Y404" s="2018"/>
      <c r="Z404" s="2018"/>
      <c r="AA404" s="2018"/>
      <c r="AB404" s="2018"/>
      <c r="AC404" s="2018"/>
      <c r="AD404" s="2018"/>
      <c r="AE404" s="2018"/>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1651</v>
      </c>
      <c r="F406" s="2002" t="s">
        <v>1652</v>
      </c>
      <c r="G406" s="2002"/>
      <c r="H406" s="2002"/>
      <c r="I406" s="2002"/>
      <c r="J406" s="2002"/>
      <c r="K406" s="2002"/>
      <c r="L406" s="2002"/>
      <c r="M406" s="2002"/>
      <c r="N406" s="2002"/>
      <c r="O406" s="2002"/>
      <c r="P406" s="2002"/>
      <c r="Q406" s="2002"/>
      <c r="R406" s="2002"/>
      <c r="S406" s="2002"/>
      <c r="T406" s="2002"/>
      <c r="U406" s="2002"/>
      <c r="V406" s="2002"/>
      <c r="W406" s="2002"/>
      <c r="X406" s="2002"/>
      <c r="Y406" s="2002"/>
      <c r="Z406" s="2002"/>
      <c r="AA406" s="2002"/>
      <c r="AB406" s="2002"/>
      <c r="AC406" s="2002"/>
      <c r="AD406" s="2002"/>
      <c r="AE406" s="2002"/>
      <c r="AF406" s="782"/>
      <c r="AG406" s="782"/>
      <c r="AH406" s="782"/>
      <c r="AI406" s="782"/>
      <c r="AJ406" s="782"/>
      <c r="AK406" s="782"/>
      <c r="AL406" s="783"/>
      <c r="AM406" s="605"/>
    </row>
    <row r="407" spans="1:81">
      <c r="A407" s="571"/>
      <c r="C407" s="766"/>
      <c r="E407" s="726"/>
      <c r="F407" s="2003"/>
      <c r="G407" s="2003"/>
      <c r="H407" s="2003"/>
      <c r="I407" s="2003"/>
      <c r="J407" s="2003"/>
      <c r="K407" s="2003"/>
      <c r="L407" s="2003"/>
      <c r="M407" s="2003"/>
      <c r="N407" s="2003"/>
      <c r="O407" s="2003"/>
      <c r="P407" s="2003"/>
      <c r="Q407" s="2003"/>
      <c r="R407" s="2003"/>
      <c r="S407" s="2003"/>
      <c r="T407" s="2003"/>
      <c r="U407" s="2003"/>
      <c r="V407" s="2003"/>
      <c r="W407" s="2003"/>
      <c r="X407" s="2003"/>
      <c r="Y407" s="2003"/>
      <c r="Z407" s="2003"/>
      <c r="AA407" s="2003"/>
      <c r="AB407" s="2003"/>
      <c r="AC407" s="2003"/>
      <c r="AD407" s="2003"/>
      <c r="AE407" s="2003"/>
      <c r="AF407" s="574"/>
      <c r="AG407" s="571"/>
      <c r="AH407" s="585"/>
      <c r="AI407" s="585"/>
      <c r="AJ407" s="585"/>
      <c r="AK407" s="585"/>
      <c r="AL407" s="767"/>
      <c r="AM407" s="605"/>
    </row>
    <row r="408" spans="1:81" s="585" customFormat="1" ht="12.75" customHeight="1">
      <c r="A408" s="571"/>
      <c r="B408" s="14"/>
      <c r="C408" s="766"/>
      <c r="D408" s="14"/>
      <c r="E408" s="726"/>
      <c r="F408" s="2003"/>
      <c r="G408" s="2003"/>
      <c r="H408" s="2003"/>
      <c r="I408" s="2003"/>
      <c r="J408" s="2003"/>
      <c r="K408" s="2003"/>
      <c r="L408" s="2003"/>
      <c r="M408" s="2003"/>
      <c r="N408" s="2003"/>
      <c r="O408" s="2003"/>
      <c r="P408" s="2003"/>
      <c r="Q408" s="2003"/>
      <c r="R408" s="2003"/>
      <c r="S408" s="2003"/>
      <c r="T408" s="2003"/>
      <c r="U408" s="2003"/>
      <c r="V408" s="2003"/>
      <c r="W408" s="2003"/>
      <c r="X408" s="2003"/>
      <c r="Y408" s="2003"/>
      <c r="Z408" s="2003"/>
      <c r="AA408" s="2003"/>
      <c r="AB408" s="2003"/>
      <c r="AC408" s="2003"/>
      <c r="AD408" s="2003"/>
      <c r="AE408" s="2003"/>
      <c r="AL408" s="767"/>
      <c r="AM408" s="605"/>
      <c r="AN408" s="632"/>
    </row>
    <row r="409" spans="1:81" s="585" customFormat="1" ht="12.75" customHeight="1">
      <c r="A409" s="571"/>
      <c r="B409" s="14"/>
      <c r="C409" s="774"/>
      <c r="F409" s="2003"/>
      <c r="G409" s="2003"/>
      <c r="H409" s="2003"/>
      <c r="I409" s="2003"/>
      <c r="J409" s="2003"/>
      <c r="K409" s="2003"/>
      <c r="L409" s="2003"/>
      <c r="M409" s="2003"/>
      <c r="N409" s="2003"/>
      <c r="O409" s="2003"/>
      <c r="P409" s="2003"/>
      <c r="Q409" s="2003"/>
      <c r="R409" s="2003"/>
      <c r="S409" s="2003"/>
      <c r="T409" s="2003"/>
      <c r="U409" s="2003"/>
      <c r="V409" s="2003"/>
      <c r="W409" s="2003"/>
      <c r="X409" s="2003"/>
      <c r="Y409" s="2003"/>
      <c r="Z409" s="2003"/>
      <c r="AA409" s="2003"/>
      <c r="AB409" s="2003"/>
      <c r="AC409" s="2003"/>
      <c r="AD409" s="2003"/>
      <c r="AE409" s="2003"/>
      <c r="AL409" s="767"/>
      <c r="AM409" s="605"/>
      <c r="AN409" s="632"/>
    </row>
    <row r="410" spans="1:81" s="585" customFormat="1" ht="12.75" customHeight="1">
      <c r="A410" s="571"/>
      <c r="B410" s="14"/>
      <c r="C410" s="1999" t="s">
        <v>600</v>
      </c>
      <c r="D410" s="1956"/>
      <c r="E410" s="726"/>
      <c r="F410" s="756" t="s">
        <v>1653</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26" t="s">
        <v>1636</v>
      </c>
      <c r="AG410" s="1926"/>
      <c r="AH410" s="1926"/>
      <c r="AI410" s="1926"/>
      <c r="AJ410" s="1926"/>
      <c r="AK410" s="1926"/>
      <c r="AL410" s="2004"/>
      <c r="AM410" s="605"/>
      <c r="AN410" s="632"/>
    </row>
    <row r="411" spans="1:81" s="585" customFormat="1" ht="12.75" customHeight="1">
      <c r="A411" s="571"/>
      <c r="B411" s="14"/>
      <c r="C411" s="774"/>
      <c r="AL411" s="767"/>
      <c r="AM411" s="605"/>
      <c r="AN411" s="632"/>
    </row>
    <row r="412" spans="1:81" s="585" customFormat="1" ht="12.75" customHeight="1">
      <c r="A412" s="571"/>
      <c r="B412" s="14"/>
      <c r="C412" s="1999" t="s">
        <v>600</v>
      </c>
      <c r="D412" s="1956"/>
      <c r="E412" s="754"/>
      <c r="F412" s="756" t="s">
        <v>1654</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26" t="s">
        <v>1648</v>
      </c>
      <c r="AG412" s="1926"/>
      <c r="AH412" s="1926"/>
      <c r="AI412" s="1926"/>
      <c r="AJ412" s="1926"/>
      <c r="AK412" s="1926"/>
      <c r="AL412" s="2004"/>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1655</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1656</v>
      </c>
      <c r="F416" s="2002" t="s">
        <v>1657</v>
      </c>
      <c r="G416" s="2002"/>
      <c r="H416" s="2002"/>
      <c r="I416" s="2002"/>
      <c r="J416" s="2002"/>
      <c r="K416" s="2002"/>
      <c r="L416" s="2002"/>
      <c r="M416" s="2002"/>
      <c r="N416" s="2002"/>
      <c r="O416" s="2002"/>
      <c r="P416" s="2002"/>
      <c r="Q416" s="2002"/>
      <c r="R416" s="2002"/>
      <c r="S416" s="2002"/>
      <c r="T416" s="2002"/>
      <c r="U416" s="2002"/>
      <c r="V416" s="2002"/>
      <c r="W416" s="2002"/>
      <c r="X416" s="2002"/>
      <c r="Y416" s="2002"/>
      <c r="Z416" s="2002"/>
      <c r="AA416" s="2002"/>
      <c r="AB416" s="2002"/>
      <c r="AC416" s="2002"/>
      <c r="AD416" s="2002"/>
      <c r="AE416" s="2002"/>
      <c r="AF416" s="749"/>
      <c r="AG416" s="749"/>
      <c r="AH416" s="749"/>
      <c r="AI416" s="749"/>
      <c r="AJ416" s="749"/>
      <c r="AK416" s="749"/>
      <c r="AL416" s="780"/>
      <c r="AM416" s="605"/>
      <c r="AN416" s="632"/>
    </row>
    <row r="417" spans="1:60" s="585" customFormat="1" ht="12.75" customHeight="1">
      <c r="A417" s="571"/>
      <c r="B417" s="14"/>
      <c r="C417" s="766"/>
      <c r="D417" s="14"/>
      <c r="E417" s="726"/>
      <c r="F417" s="2003"/>
      <c r="G417" s="2003"/>
      <c r="H417" s="2003"/>
      <c r="I417" s="2003"/>
      <c r="J417" s="2003"/>
      <c r="K417" s="2003"/>
      <c r="L417" s="2003"/>
      <c r="M417" s="2003"/>
      <c r="N417" s="2003"/>
      <c r="O417" s="2003"/>
      <c r="P417" s="2003"/>
      <c r="Q417" s="2003"/>
      <c r="R417" s="2003"/>
      <c r="S417" s="2003"/>
      <c r="T417" s="2003"/>
      <c r="U417" s="2003"/>
      <c r="V417" s="2003"/>
      <c r="W417" s="2003"/>
      <c r="X417" s="2003"/>
      <c r="Y417" s="2003"/>
      <c r="Z417" s="2003"/>
      <c r="AA417" s="2003"/>
      <c r="AB417" s="2003"/>
      <c r="AC417" s="2003"/>
      <c r="AD417" s="2003"/>
      <c r="AE417" s="2003"/>
      <c r="AF417" s="574"/>
      <c r="AG417" s="571"/>
      <c r="AL417" s="767"/>
      <c r="AM417" s="605"/>
      <c r="AN417" s="632"/>
    </row>
    <row r="418" spans="1:60" s="585" customFormat="1" ht="12.4" customHeight="1">
      <c r="A418" s="571"/>
      <c r="B418" s="14"/>
      <c r="C418" s="766"/>
      <c r="D418" s="14"/>
      <c r="E418" s="726"/>
      <c r="F418" s="2003"/>
      <c r="G418" s="2003"/>
      <c r="H418" s="2003"/>
      <c r="I418" s="2003"/>
      <c r="J418" s="2003"/>
      <c r="K418" s="2003"/>
      <c r="L418" s="2003"/>
      <c r="M418" s="2003"/>
      <c r="N418" s="2003"/>
      <c r="O418" s="2003"/>
      <c r="P418" s="2003"/>
      <c r="Q418" s="2003"/>
      <c r="R418" s="2003"/>
      <c r="S418" s="2003"/>
      <c r="T418" s="2003"/>
      <c r="U418" s="2003"/>
      <c r="V418" s="2003"/>
      <c r="W418" s="2003"/>
      <c r="X418" s="2003"/>
      <c r="Y418" s="2003"/>
      <c r="Z418" s="2003"/>
      <c r="AA418" s="2003"/>
      <c r="AB418" s="2003"/>
      <c r="AC418" s="2003"/>
      <c r="AD418" s="2003"/>
      <c r="AE418" s="2003"/>
      <c r="AL418" s="767"/>
      <c r="AM418" s="605"/>
      <c r="AN418" s="632"/>
    </row>
    <row r="419" spans="1:60" s="585" customFormat="1" ht="12.75" customHeight="1">
      <c r="A419" s="571"/>
      <c r="B419" s="14"/>
      <c r="C419" s="1999" t="s">
        <v>600</v>
      </c>
      <c r="D419" s="1956"/>
      <c r="E419" s="726"/>
      <c r="F419" s="756" t="s">
        <v>1658</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26" t="s">
        <v>1636</v>
      </c>
      <c r="AG419" s="1926"/>
      <c r="AH419" s="1926"/>
      <c r="AI419" s="1926"/>
      <c r="AJ419" s="1926"/>
      <c r="AK419" s="1926"/>
      <c r="AL419" s="2004"/>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1659</v>
      </c>
      <c r="F422" s="2002" t="s">
        <v>1660</v>
      </c>
      <c r="G422" s="2002"/>
      <c r="H422" s="2002"/>
      <c r="I422" s="2002"/>
      <c r="J422" s="2002"/>
      <c r="K422" s="2002"/>
      <c r="L422" s="2002"/>
      <c r="M422" s="2002"/>
      <c r="N422" s="2002"/>
      <c r="O422" s="2002"/>
      <c r="P422" s="2002"/>
      <c r="Q422" s="2002"/>
      <c r="R422" s="2002"/>
      <c r="S422" s="2002"/>
      <c r="T422" s="2002"/>
      <c r="U422" s="2002"/>
      <c r="V422" s="2002"/>
      <c r="W422" s="2002"/>
      <c r="X422" s="2002"/>
      <c r="Y422" s="2002"/>
      <c r="Z422" s="2002"/>
      <c r="AA422" s="2002"/>
      <c r="AB422" s="2002"/>
      <c r="AC422" s="2002"/>
      <c r="AD422" s="2002"/>
      <c r="AE422" s="2002"/>
      <c r="AF422" s="782"/>
      <c r="AG422" s="782"/>
      <c r="AH422" s="782"/>
      <c r="AI422" s="782"/>
      <c r="AJ422" s="782"/>
      <c r="AK422" s="782"/>
      <c r="AL422" s="783"/>
      <c r="AM422" s="605"/>
      <c r="AO422" s="585"/>
      <c r="AP422" s="585"/>
      <c r="BD422" s="14"/>
      <c r="BE422" s="14"/>
      <c r="BF422" s="14"/>
      <c r="BG422" s="14"/>
      <c r="BH422" s="14"/>
    </row>
    <row r="423" spans="1:60">
      <c r="A423" s="571"/>
      <c r="C423" s="766"/>
      <c r="E423" s="726"/>
      <c r="F423" s="2003"/>
      <c r="G423" s="2003"/>
      <c r="H423" s="2003"/>
      <c r="I423" s="2003"/>
      <c r="J423" s="2003"/>
      <c r="K423" s="2003"/>
      <c r="L423" s="2003"/>
      <c r="M423" s="2003"/>
      <c r="N423" s="2003"/>
      <c r="O423" s="2003"/>
      <c r="P423" s="2003"/>
      <c r="Q423" s="2003"/>
      <c r="R423" s="2003"/>
      <c r="S423" s="2003"/>
      <c r="T423" s="2003"/>
      <c r="U423" s="2003"/>
      <c r="V423" s="2003"/>
      <c r="W423" s="2003"/>
      <c r="X423" s="2003"/>
      <c r="Y423" s="2003"/>
      <c r="Z423" s="2003"/>
      <c r="AA423" s="2003"/>
      <c r="AB423" s="2003"/>
      <c r="AC423" s="2003"/>
      <c r="AD423" s="2003"/>
      <c r="AE423" s="2003"/>
      <c r="AF423" s="629"/>
      <c r="AG423" s="629"/>
      <c r="AH423" s="629"/>
      <c r="AI423" s="629"/>
      <c r="AJ423" s="629"/>
      <c r="AK423" s="629"/>
      <c r="AL423" s="786"/>
      <c r="AM423" s="605"/>
      <c r="AO423" s="585"/>
      <c r="AP423" s="585"/>
    </row>
    <row r="424" spans="1:60" s="585" customFormat="1" ht="12.75" customHeight="1">
      <c r="A424" s="571"/>
      <c r="B424" s="14"/>
      <c r="C424" s="766"/>
      <c r="D424" s="14"/>
      <c r="E424" s="726"/>
      <c r="F424" s="2003"/>
      <c r="G424" s="2003"/>
      <c r="H424" s="2003"/>
      <c r="I424" s="2003"/>
      <c r="J424" s="2003"/>
      <c r="K424" s="2003"/>
      <c r="L424" s="2003"/>
      <c r="M424" s="2003"/>
      <c r="N424" s="2003"/>
      <c r="O424" s="2003"/>
      <c r="P424" s="2003"/>
      <c r="Q424" s="2003"/>
      <c r="R424" s="2003"/>
      <c r="S424" s="2003"/>
      <c r="T424" s="2003"/>
      <c r="U424" s="2003"/>
      <c r="V424" s="2003"/>
      <c r="W424" s="2003"/>
      <c r="X424" s="2003"/>
      <c r="Y424" s="2003"/>
      <c r="Z424" s="2003"/>
      <c r="AA424" s="2003"/>
      <c r="AB424" s="2003"/>
      <c r="AC424" s="2003"/>
      <c r="AD424" s="2003"/>
      <c r="AE424" s="2003"/>
      <c r="AF424" s="629"/>
      <c r="AG424" s="629"/>
      <c r="AH424" s="629"/>
      <c r="AI424" s="629"/>
      <c r="AJ424" s="629"/>
      <c r="AK424" s="629"/>
      <c r="AL424" s="786"/>
      <c r="AM424" s="605"/>
      <c r="AN424" s="632"/>
    </row>
    <row r="425" spans="1:60" s="585" customFormat="1" ht="12.75" customHeight="1">
      <c r="A425" s="571"/>
      <c r="B425" s="14"/>
      <c r="C425" s="787"/>
      <c r="D425" s="765"/>
      <c r="E425" s="754"/>
      <c r="F425" s="2003"/>
      <c r="G425" s="2003"/>
      <c r="H425" s="2003"/>
      <c r="I425" s="2003"/>
      <c r="J425" s="2003"/>
      <c r="K425" s="2003"/>
      <c r="L425" s="2003"/>
      <c r="M425" s="2003"/>
      <c r="N425" s="2003"/>
      <c r="O425" s="2003"/>
      <c r="P425" s="2003"/>
      <c r="Q425" s="2003"/>
      <c r="R425" s="2003"/>
      <c r="S425" s="2003"/>
      <c r="T425" s="2003"/>
      <c r="U425" s="2003"/>
      <c r="V425" s="2003"/>
      <c r="W425" s="2003"/>
      <c r="X425" s="2003"/>
      <c r="Y425" s="2003"/>
      <c r="Z425" s="2003"/>
      <c r="AA425" s="2003"/>
      <c r="AB425" s="2003"/>
      <c r="AC425" s="2003"/>
      <c r="AD425" s="2003"/>
      <c r="AE425" s="2003"/>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2003"/>
      <c r="G426" s="2003"/>
      <c r="H426" s="2003"/>
      <c r="I426" s="2003"/>
      <c r="J426" s="2003"/>
      <c r="K426" s="2003"/>
      <c r="L426" s="2003"/>
      <c r="M426" s="2003"/>
      <c r="N426" s="2003"/>
      <c r="O426" s="2003"/>
      <c r="P426" s="2003"/>
      <c r="Q426" s="2003"/>
      <c r="R426" s="2003"/>
      <c r="S426" s="2003"/>
      <c r="T426" s="2003"/>
      <c r="U426" s="2003"/>
      <c r="V426" s="2003"/>
      <c r="W426" s="2003"/>
      <c r="X426" s="2003"/>
      <c r="Y426" s="2003"/>
      <c r="Z426" s="2003"/>
      <c r="AA426" s="2003"/>
      <c r="AB426" s="2003"/>
      <c r="AC426" s="2003"/>
      <c r="AD426" s="2003"/>
      <c r="AE426" s="2003"/>
      <c r="AF426" s="629"/>
      <c r="AG426" s="629"/>
      <c r="AH426" s="629"/>
      <c r="AI426" s="629"/>
      <c r="AJ426" s="629"/>
      <c r="AK426" s="629"/>
      <c r="AL426" s="786"/>
      <c r="AM426" s="605"/>
      <c r="AN426" s="632"/>
    </row>
    <row r="427" spans="1:60" s="585" customFormat="1" ht="12.75" customHeight="1">
      <c r="A427" s="571"/>
      <c r="B427" s="14"/>
      <c r="C427" s="787"/>
      <c r="D427" s="765"/>
      <c r="E427" s="754"/>
      <c r="F427" s="2003"/>
      <c r="G427" s="2003"/>
      <c r="H427" s="2003"/>
      <c r="I427" s="2003"/>
      <c r="J427" s="2003"/>
      <c r="K427" s="2003"/>
      <c r="L427" s="2003"/>
      <c r="M427" s="2003"/>
      <c r="N427" s="2003"/>
      <c r="O427" s="2003"/>
      <c r="P427" s="2003"/>
      <c r="Q427" s="2003"/>
      <c r="R427" s="2003"/>
      <c r="S427" s="2003"/>
      <c r="T427" s="2003"/>
      <c r="U427" s="2003"/>
      <c r="V427" s="2003"/>
      <c r="W427" s="2003"/>
      <c r="X427" s="2003"/>
      <c r="Y427" s="2003"/>
      <c r="Z427" s="2003"/>
      <c r="AA427" s="2003"/>
      <c r="AB427" s="2003"/>
      <c r="AC427" s="2003"/>
      <c r="AD427" s="2003"/>
      <c r="AE427" s="2003"/>
      <c r="AF427" s="629"/>
      <c r="AG427" s="629"/>
      <c r="AH427" s="629"/>
      <c r="AI427" s="629"/>
      <c r="AJ427" s="629"/>
      <c r="AK427" s="629"/>
      <c r="AL427" s="786"/>
      <c r="AM427" s="605"/>
      <c r="AN427" s="632"/>
    </row>
    <row r="428" spans="1:60" s="585" customFormat="1" ht="12.75" customHeight="1">
      <c r="A428" s="571"/>
      <c r="B428" s="14"/>
      <c r="C428" s="787"/>
      <c r="D428" s="765"/>
      <c r="E428" s="754"/>
      <c r="F428" s="2003"/>
      <c r="G428" s="2003"/>
      <c r="H428" s="2003"/>
      <c r="I428" s="2003"/>
      <c r="J428" s="2003"/>
      <c r="K428" s="2003"/>
      <c r="L428" s="2003"/>
      <c r="M428" s="2003"/>
      <c r="N428" s="2003"/>
      <c r="O428" s="2003"/>
      <c r="P428" s="2003"/>
      <c r="Q428" s="2003"/>
      <c r="R428" s="2003"/>
      <c r="S428" s="2003"/>
      <c r="T428" s="2003"/>
      <c r="U428" s="2003"/>
      <c r="V428" s="2003"/>
      <c r="W428" s="2003"/>
      <c r="X428" s="2003"/>
      <c r="Y428" s="2003"/>
      <c r="Z428" s="2003"/>
      <c r="AA428" s="2003"/>
      <c r="AB428" s="2003"/>
      <c r="AC428" s="2003"/>
      <c r="AD428" s="2003"/>
      <c r="AE428" s="2003"/>
      <c r="AF428" s="629"/>
      <c r="AG428" s="629"/>
      <c r="AH428" s="629"/>
      <c r="AI428" s="629"/>
      <c r="AJ428" s="629"/>
      <c r="AK428" s="629"/>
      <c r="AL428" s="786"/>
      <c r="AM428" s="605"/>
      <c r="AN428" s="632"/>
    </row>
    <row r="429" spans="1:60" s="585" customFormat="1" ht="12.75" customHeight="1">
      <c r="A429" s="571"/>
      <c r="B429" s="14"/>
      <c r="C429" s="787"/>
      <c r="D429" s="765"/>
      <c r="E429" s="754"/>
      <c r="F429" s="2003"/>
      <c r="G429" s="2003"/>
      <c r="H429" s="2003"/>
      <c r="I429" s="2003"/>
      <c r="J429" s="2003"/>
      <c r="K429" s="2003"/>
      <c r="L429" s="2003"/>
      <c r="M429" s="2003"/>
      <c r="N429" s="2003"/>
      <c r="O429" s="2003"/>
      <c r="P429" s="2003"/>
      <c r="Q429" s="2003"/>
      <c r="R429" s="2003"/>
      <c r="S429" s="2003"/>
      <c r="T429" s="2003"/>
      <c r="U429" s="2003"/>
      <c r="V429" s="2003"/>
      <c r="W429" s="2003"/>
      <c r="X429" s="2003"/>
      <c r="Y429" s="2003"/>
      <c r="Z429" s="2003"/>
      <c r="AA429" s="2003"/>
      <c r="AB429" s="2003"/>
      <c r="AC429" s="2003"/>
      <c r="AD429" s="2003"/>
      <c r="AE429" s="2003"/>
      <c r="AF429" s="629"/>
      <c r="AG429" s="629"/>
      <c r="AH429" s="629"/>
      <c r="AI429" s="629"/>
      <c r="AJ429" s="629"/>
      <c r="AK429" s="629"/>
      <c r="AL429" s="786"/>
      <c r="AM429" s="605"/>
      <c r="AN429" s="632"/>
    </row>
    <row r="430" spans="1:60" s="585" customFormat="1" ht="17.25" customHeight="1">
      <c r="A430" s="571"/>
      <c r="B430" s="14"/>
      <c r="C430" s="787"/>
      <c r="D430" s="765"/>
      <c r="E430" s="754"/>
      <c r="F430" s="2003"/>
      <c r="G430" s="2003"/>
      <c r="H430" s="2003"/>
      <c r="I430" s="2003"/>
      <c r="J430" s="2003"/>
      <c r="K430" s="2003"/>
      <c r="L430" s="2003"/>
      <c r="M430" s="2003"/>
      <c r="N430" s="2003"/>
      <c r="O430" s="2003"/>
      <c r="P430" s="2003"/>
      <c r="Q430" s="2003"/>
      <c r="R430" s="2003"/>
      <c r="S430" s="2003"/>
      <c r="T430" s="2003"/>
      <c r="U430" s="2003"/>
      <c r="V430" s="2003"/>
      <c r="W430" s="2003"/>
      <c r="X430" s="2003"/>
      <c r="Y430" s="2003"/>
      <c r="Z430" s="2003"/>
      <c r="AA430" s="2003"/>
      <c r="AB430" s="2003"/>
      <c r="AC430" s="2003"/>
      <c r="AD430" s="2003"/>
      <c r="AE430" s="2003"/>
      <c r="AL430" s="767"/>
      <c r="AM430" s="605"/>
      <c r="AN430" s="632"/>
    </row>
    <row r="431" spans="1:60" s="585" customFormat="1" ht="12.75" customHeight="1">
      <c r="A431" s="571"/>
      <c r="B431" s="14"/>
      <c r="C431" s="1999" t="s">
        <v>600</v>
      </c>
      <c r="D431" s="1956"/>
      <c r="E431" s="754"/>
      <c r="F431" s="631" t="s">
        <v>1661</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26" t="s">
        <v>1636</v>
      </c>
      <c r="AG431" s="1926"/>
      <c r="AH431" s="1926"/>
      <c r="AI431" s="1926"/>
      <c r="AJ431" s="1926"/>
      <c r="AK431" s="1926"/>
      <c r="AL431" s="2004"/>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1662</v>
      </c>
      <c r="F434" s="2002" t="s">
        <v>1663</v>
      </c>
      <c r="G434" s="2002"/>
      <c r="H434" s="2002"/>
      <c r="I434" s="2002"/>
      <c r="J434" s="2002"/>
      <c r="K434" s="2002"/>
      <c r="L434" s="2002"/>
      <c r="M434" s="2002"/>
      <c r="N434" s="2002"/>
      <c r="O434" s="2002"/>
      <c r="P434" s="2002"/>
      <c r="Q434" s="2002"/>
      <c r="R434" s="2002"/>
      <c r="S434" s="2002"/>
      <c r="T434" s="2002"/>
      <c r="U434" s="2002"/>
      <c r="V434" s="2002"/>
      <c r="W434" s="2002"/>
      <c r="X434" s="2002"/>
      <c r="Y434" s="2002"/>
      <c r="Z434" s="2002"/>
      <c r="AA434" s="2002"/>
      <c r="AB434" s="2002"/>
      <c r="AC434" s="2002"/>
      <c r="AD434" s="2002"/>
      <c r="AE434" s="2002"/>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2003"/>
      <c r="G435" s="2003"/>
      <c r="H435" s="2003"/>
      <c r="I435" s="2003"/>
      <c r="J435" s="2003"/>
      <c r="K435" s="2003"/>
      <c r="L435" s="2003"/>
      <c r="M435" s="2003"/>
      <c r="N435" s="2003"/>
      <c r="O435" s="2003"/>
      <c r="P435" s="2003"/>
      <c r="Q435" s="2003"/>
      <c r="R435" s="2003"/>
      <c r="S435" s="2003"/>
      <c r="T435" s="2003"/>
      <c r="U435" s="2003"/>
      <c r="V435" s="2003"/>
      <c r="W435" s="2003"/>
      <c r="X435" s="2003"/>
      <c r="Y435" s="2003"/>
      <c r="Z435" s="2003"/>
      <c r="AA435" s="2003"/>
      <c r="AB435" s="2003"/>
      <c r="AC435" s="2003"/>
      <c r="AD435" s="2003"/>
      <c r="AE435" s="2003"/>
      <c r="AF435" s="626"/>
      <c r="AG435" s="626"/>
      <c r="AH435" s="626"/>
      <c r="AI435" s="626"/>
      <c r="AJ435" s="626"/>
      <c r="AK435" s="626"/>
      <c r="AL435" s="755"/>
      <c r="AM435" s="605"/>
      <c r="AN435" s="632"/>
      <c r="AO435" s="585" t="s">
        <v>1664</v>
      </c>
      <c r="AP435" s="585">
        <v>5</v>
      </c>
      <c r="AQ435" s="788"/>
    </row>
    <row r="436" spans="1:54" s="585" customFormat="1" ht="12.75" customHeight="1">
      <c r="A436" s="571"/>
      <c r="B436" s="14"/>
      <c r="C436" s="787"/>
      <c r="D436" s="765"/>
      <c r="E436" s="754"/>
      <c r="F436" s="2003"/>
      <c r="G436" s="2003"/>
      <c r="H436" s="2003"/>
      <c r="I436" s="2003"/>
      <c r="J436" s="2003"/>
      <c r="K436" s="2003"/>
      <c r="L436" s="2003"/>
      <c r="M436" s="2003"/>
      <c r="N436" s="2003"/>
      <c r="O436" s="2003"/>
      <c r="P436" s="2003"/>
      <c r="Q436" s="2003"/>
      <c r="R436" s="2003"/>
      <c r="S436" s="2003"/>
      <c r="T436" s="2003"/>
      <c r="U436" s="2003"/>
      <c r="V436" s="2003"/>
      <c r="W436" s="2003"/>
      <c r="X436" s="2003"/>
      <c r="Y436" s="2003"/>
      <c r="Z436" s="2003"/>
      <c r="AA436" s="2003"/>
      <c r="AB436" s="2003"/>
      <c r="AC436" s="2003"/>
      <c r="AD436" s="2003"/>
      <c r="AE436" s="2003"/>
      <c r="AF436" s="626"/>
      <c r="AG436" s="626"/>
      <c r="AH436" s="626"/>
      <c r="AI436" s="626"/>
      <c r="AJ436" s="626"/>
      <c r="AK436" s="626"/>
      <c r="AL436" s="755"/>
      <c r="AM436" s="605"/>
      <c r="AN436" s="632"/>
      <c r="AO436" s="585" t="s">
        <v>1665</v>
      </c>
      <c r="AP436" s="585">
        <v>5</v>
      </c>
      <c r="AQ436" s="788"/>
    </row>
    <row r="437" spans="1:54" s="585" customFormat="1" ht="12.75" customHeight="1">
      <c r="A437" s="571"/>
      <c r="B437" s="14"/>
      <c r="C437" s="787"/>
      <c r="D437" s="765"/>
      <c r="E437" s="754"/>
      <c r="F437" s="2003"/>
      <c r="G437" s="2003"/>
      <c r="H437" s="2003"/>
      <c r="I437" s="2003"/>
      <c r="J437" s="2003"/>
      <c r="K437" s="2003"/>
      <c r="L437" s="2003"/>
      <c r="M437" s="2003"/>
      <c r="N437" s="2003"/>
      <c r="O437" s="2003"/>
      <c r="P437" s="2003"/>
      <c r="Q437" s="2003"/>
      <c r="R437" s="2003"/>
      <c r="S437" s="2003"/>
      <c r="T437" s="2003"/>
      <c r="U437" s="2003"/>
      <c r="V437" s="2003"/>
      <c r="W437" s="2003"/>
      <c r="X437" s="2003"/>
      <c r="Y437" s="2003"/>
      <c r="Z437" s="2003"/>
      <c r="AA437" s="2003"/>
      <c r="AB437" s="2003"/>
      <c r="AC437" s="2003"/>
      <c r="AD437" s="2003"/>
      <c r="AE437" s="2003"/>
      <c r="AL437" s="767"/>
      <c r="AM437" s="605"/>
      <c r="AN437" s="632"/>
      <c r="AO437" s="585" t="s">
        <v>1666</v>
      </c>
      <c r="AP437" s="585">
        <v>5</v>
      </c>
      <c r="AQ437" s="571"/>
    </row>
    <row r="438" spans="1:54" s="585" customFormat="1" ht="12.75" customHeight="1">
      <c r="A438" s="571"/>
      <c r="B438" s="14"/>
      <c r="C438" s="1999" t="s">
        <v>600</v>
      </c>
      <c r="D438" s="1956"/>
      <c r="E438" s="754"/>
      <c r="F438" s="756" t="s">
        <v>1667</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26" t="s">
        <v>1636</v>
      </c>
      <c r="AG438" s="1926"/>
      <c r="AH438" s="1926"/>
      <c r="AI438" s="1926"/>
      <c r="AJ438" s="1926"/>
      <c r="AK438" s="1926"/>
      <c r="AL438" s="2004"/>
      <c r="AM438" s="605"/>
      <c r="AN438" s="789"/>
      <c r="AO438" s="585" t="s">
        <v>1668</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1669</v>
      </c>
      <c r="AP439" s="585">
        <v>5</v>
      </c>
    </row>
    <row r="440" spans="1:54" s="585" customFormat="1" ht="12.75" customHeight="1">
      <c r="A440" s="571"/>
      <c r="B440" s="14"/>
      <c r="C440" s="775"/>
      <c r="D440" s="768"/>
      <c r="E440" s="769"/>
      <c r="F440" s="762" t="s">
        <v>1643</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1670</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1671</v>
      </c>
      <c r="AP441" s="585">
        <v>5</v>
      </c>
    </row>
    <row r="442" spans="1:54" s="585" customFormat="1" ht="12.75" customHeight="1">
      <c r="A442" s="571"/>
      <c r="B442" s="14"/>
      <c r="C442" s="2005" t="s">
        <v>600</v>
      </c>
      <c r="D442" s="2006"/>
      <c r="E442" s="750" t="s">
        <v>1672</v>
      </c>
      <c r="F442" s="2002" t="s">
        <v>1673</v>
      </c>
      <c r="G442" s="2002"/>
      <c r="H442" s="2002"/>
      <c r="I442" s="2002"/>
      <c r="J442" s="2002"/>
      <c r="K442" s="2002"/>
      <c r="L442" s="2002"/>
      <c r="M442" s="2002"/>
      <c r="N442" s="2002"/>
      <c r="O442" s="2002"/>
      <c r="P442" s="2002"/>
      <c r="Q442" s="2002"/>
      <c r="R442" s="2002"/>
      <c r="S442" s="2002"/>
      <c r="T442" s="2002"/>
      <c r="U442" s="2002"/>
      <c r="V442" s="2002"/>
      <c r="W442" s="2002"/>
      <c r="X442" s="2002"/>
      <c r="Y442" s="2002"/>
      <c r="Z442" s="2002"/>
      <c r="AA442" s="2002"/>
      <c r="AB442" s="2002"/>
      <c r="AC442" s="2002"/>
      <c r="AD442" s="2002"/>
      <c r="AE442" s="2002"/>
      <c r="AF442" s="2019" t="s">
        <v>1636</v>
      </c>
      <c r="AG442" s="2019"/>
      <c r="AH442" s="2019"/>
      <c r="AI442" s="2019"/>
      <c r="AJ442" s="2019"/>
      <c r="AK442" s="2019"/>
      <c r="AL442" s="2020"/>
      <c r="AM442" s="605"/>
      <c r="AN442" s="789"/>
      <c r="AO442" s="585" t="s">
        <v>1674</v>
      </c>
      <c r="AP442" s="585">
        <v>1</v>
      </c>
    </row>
    <row r="443" spans="1:54" s="585" customFormat="1" ht="12.75" customHeight="1">
      <c r="A443" s="571"/>
      <c r="B443" s="14"/>
      <c r="C443" s="787"/>
      <c r="D443" s="765"/>
      <c r="E443" s="754"/>
      <c r="F443" s="2003"/>
      <c r="G443" s="2003"/>
      <c r="H443" s="2003"/>
      <c r="I443" s="2003"/>
      <c r="J443" s="2003"/>
      <c r="K443" s="2003"/>
      <c r="L443" s="2003"/>
      <c r="M443" s="2003"/>
      <c r="N443" s="2003"/>
      <c r="O443" s="2003"/>
      <c r="P443" s="2003"/>
      <c r="Q443" s="2003"/>
      <c r="R443" s="2003"/>
      <c r="S443" s="2003"/>
      <c r="T443" s="2003"/>
      <c r="U443" s="2003"/>
      <c r="V443" s="2003"/>
      <c r="W443" s="2003"/>
      <c r="X443" s="2003"/>
      <c r="Y443" s="2003"/>
      <c r="Z443" s="2003"/>
      <c r="AA443" s="2003"/>
      <c r="AB443" s="2003"/>
      <c r="AC443" s="2003"/>
      <c r="AD443" s="2003"/>
      <c r="AE443" s="2003"/>
      <c r="AF443" s="626"/>
      <c r="AG443" s="626"/>
      <c r="AH443" s="626"/>
      <c r="AI443" s="626"/>
      <c r="AJ443" s="626"/>
      <c r="AK443" s="626"/>
      <c r="AL443" s="755"/>
      <c r="AM443" s="605"/>
      <c r="AN443" s="790"/>
      <c r="AS443" s="791"/>
      <c r="AW443" s="791" t="s">
        <v>1675</v>
      </c>
      <c r="BA443" s="791" t="s">
        <v>1676</v>
      </c>
    </row>
    <row r="444" spans="1:54" s="585" customFormat="1" ht="17.649999999999999" customHeight="1">
      <c r="A444" s="571"/>
      <c r="B444" s="14"/>
      <c r="C444" s="792"/>
      <c r="D444" s="758"/>
      <c r="E444" s="759"/>
      <c r="F444" s="2018"/>
      <c r="G444" s="2018"/>
      <c r="H444" s="2018"/>
      <c r="I444" s="2018"/>
      <c r="J444" s="2018"/>
      <c r="K444" s="2018"/>
      <c r="L444" s="2018"/>
      <c r="M444" s="2018"/>
      <c r="N444" s="2018"/>
      <c r="O444" s="2018"/>
      <c r="P444" s="2018"/>
      <c r="Q444" s="2018"/>
      <c r="R444" s="2018"/>
      <c r="S444" s="2018"/>
      <c r="T444" s="2018"/>
      <c r="U444" s="2018"/>
      <c r="V444" s="2018"/>
      <c r="W444" s="2018"/>
      <c r="X444" s="2018"/>
      <c r="Y444" s="2018"/>
      <c r="Z444" s="2018"/>
      <c r="AA444" s="2018"/>
      <c r="AB444" s="2018"/>
      <c r="AC444" s="2018"/>
      <c r="AD444" s="2018"/>
      <c r="AE444" s="2018"/>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1677</v>
      </c>
      <c r="AS445" s="672">
        <v>3</v>
      </c>
      <c r="AT445" s="628"/>
      <c r="AW445" s="794">
        <v>0.4</v>
      </c>
      <c r="AX445" s="628">
        <v>3</v>
      </c>
      <c r="BA445" s="794">
        <v>0.4</v>
      </c>
      <c r="BB445" s="628">
        <v>4</v>
      </c>
    </row>
    <row r="446" spans="1:54" s="585" customFormat="1" ht="12.75" customHeight="1">
      <c r="A446" s="571"/>
      <c r="B446" s="14"/>
      <c r="C446" s="1999" t="s">
        <v>600</v>
      </c>
      <c r="D446" s="1956"/>
      <c r="E446" s="750" t="s">
        <v>1678</v>
      </c>
      <c r="F446" s="2002" t="s">
        <v>1679</v>
      </c>
      <c r="G446" s="2002"/>
      <c r="H446" s="2002"/>
      <c r="I446" s="2002"/>
      <c r="J446" s="2002"/>
      <c r="K446" s="2002"/>
      <c r="L446" s="2002"/>
      <c r="M446" s="2002"/>
      <c r="N446" s="2002"/>
      <c r="O446" s="2002"/>
      <c r="P446" s="2002"/>
      <c r="Q446" s="2002"/>
      <c r="R446" s="2002"/>
      <c r="S446" s="2002"/>
      <c r="T446" s="2002"/>
      <c r="U446" s="2002"/>
      <c r="V446" s="2002"/>
      <c r="W446" s="2002"/>
      <c r="X446" s="2002"/>
      <c r="Y446" s="2002"/>
      <c r="Z446" s="2002"/>
      <c r="AA446" s="2002"/>
      <c r="AB446" s="2002"/>
      <c r="AC446" s="2002"/>
      <c r="AD446" s="2002"/>
      <c r="AE446" s="2002"/>
      <c r="AF446" s="2019" t="s">
        <v>1636</v>
      </c>
      <c r="AG446" s="2019"/>
      <c r="AH446" s="2019"/>
      <c r="AI446" s="2019"/>
      <c r="AJ446" s="2019"/>
      <c r="AK446" s="2019"/>
      <c r="AL446" s="2020"/>
      <c r="AM446" s="605"/>
      <c r="AN446" s="570"/>
      <c r="AO446" s="794">
        <v>0.12</v>
      </c>
      <c r="AP446" s="672">
        <v>5</v>
      </c>
      <c r="AR446" s="585" t="s">
        <v>1680</v>
      </c>
      <c r="AS446" s="672">
        <v>5</v>
      </c>
      <c r="AT446" s="628"/>
      <c r="AW446" s="794">
        <v>0.6</v>
      </c>
      <c r="AX446" s="628">
        <v>4</v>
      </c>
      <c r="BA446" s="794">
        <v>0.6</v>
      </c>
      <c r="BB446" s="628">
        <v>5</v>
      </c>
    </row>
    <row r="447" spans="1:54" s="585" customFormat="1" ht="12.75" customHeight="1">
      <c r="A447" s="571"/>
      <c r="B447" s="14"/>
      <c r="C447" s="766"/>
      <c r="D447" s="14"/>
      <c r="E447" s="726"/>
      <c r="F447" s="2003"/>
      <c r="G447" s="2003"/>
      <c r="H447" s="2003"/>
      <c r="I447" s="2003"/>
      <c r="J447" s="2003"/>
      <c r="K447" s="2003"/>
      <c r="L447" s="2003"/>
      <c r="M447" s="2003"/>
      <c r="N447" s="2003"/>
      <c r="O447" s="2003"/>
      <c r="P447" s="2003"/>
      <c r="Q447" s="2003"/>
      <c r="R447" s="2003"/>
      <c r="S447" s="2003"/>
      <c r="T447" s="2003"/>
      <c r="U447" s="2003"/>
      <c r="V447" s="2003"/>
      <c r="W447" s="2003"/>
      <c r="X447" s="2003"/>
      <c r="Y447" s="2003"/>
      <c r="Z447" s="2003"/>
      <c r="AA447" s="2003"/>
      <c r="AB447" s="2003"/>
      <c r="AC447" s="2003"/>
      <c r="AD447" s="2003"/>
      <c r="AE447" s="2003"/>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2003"/>
      <c r="G448" s="2003"/>
      <c r="H448" s="2003"/>
      <c r="I448" s="2003"/>
      <c r="J448" s="2003"/>
      <c r="K448" s="2003"/>
      <c r="L448" s="2003"/>
      <c r="M448" s="2003"/>
      <c r="N448" s="2003"/>
      <c r="O448" s="2003"/>
      <c r="P448" s="2003"/>
      <c r="Q448" s="2003"/>
      <c r="R448" s="2003"/>
      <c r="S448" s="2003"/>
      <c r="T448" s="2003"/>
      <c r="U448" s="2003"/>
      <c r="V448" s="2003"/>
      <c r="W448" s="2003"/>
      <c r="X448" s="2003"/>
      <c r="Y448" s="2003"/>
      <c r="Z448" s="2003"/>
      <c r="AA448" s="2003"/>
      <c r="AB448" s="2003"/>
      <c r="AC448" s="2003"/>
      <c r="AD448" s="2003"/>
      <c r="AE448" s="2003"/>
      <c r="AF448" s="574"/>
      <c r="AG448" s="571"/>
      <c r="AL448" s="767"/>
      <c r="AM448" s="605"/>
      <c r="AN448" s="570"/>
      <c r="AO448" s="585" t="s">
        <v>600</v>
      </c>
      <c r="AP448" s="672">
        <v>0</v>
      </c>
      <c r="AW448" s="794"/>
      <c r="AX448" s="628"/>
    </row>
    <row r="449" spans="1:49" s="585" customFormat="1" ht="12.75" customHeight="1">
      <c r="A449" s="571"/>
      <c r="B449" s="14"/>
      <c r="C449" s="792"/>
      <c r="D449" s="758"/>
      <c r="E449" s="759"/>
      <c r="F449" s="2018"/>
      <c r="G449" s="2018"/>
      <c r="H449" s="2018"/>
      <c r="I449" s="2018"/>
      <c r="J449" s="2018"/>
      <c r="K449" s="2018"/>
      <c r="L449" s="2018"/>
      <c r="M449" s="2018"/>
      <c r="N449" s="2018"/>
      <c r="O449" s="2018"/>
      <c r="P449" s="2018"/>
      <c r="Q449" s="2018"/>
      <c r="R449" s="2018"/>
      <c r="S449" s="2018"/>
      <c r="T449" s="2018"/>
      <c r="U449" s="2018"/>
      <c r="V449" s="2018"/>
      <c r="W449" s="2018"/>
      <c r="X449" s="2018"/>
      <c r="Y449" s="2018"/>
      <c r="Z449" s="2018"/>
      <c r="AA449" s="2018"/>
      <c r="AB449" s="2018"/>
      <c r="AC449" s="2018"/>
      <c r="AD449" s="2018"/>
      <c r="AE449" s="2018"/>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1681</v>
      </c>
      <c r="F451" s="2002" t="s">
        <v>1682</v>
      </c>
      <c r="G451" s="2002"/>
      <c r="H451" s="2002"/>
      <c r="I451" s="2002"/>
      <c r="J451" s="2002"/>
      <c r="K451" s="2002"/>
      <c r="L451" s="2002"/>
      <c r="M451" s="2002"/>
      <c r="N451" s="2002"/>
      <c r="O451" s="2002"/>
      <c r="P451" s="2002"/>
      <c r="Q451" s="2002"/>
      <c r="R451" s="2002"/>
      <c r="S451" s="2002"/>
      <c r="T451" s="2002"/>
      <c r="U451" s="2002"/>
      <c r="V451" s="2002"/>
      <c r="W451" s="2002"/>
      <c r="X451" s="2002"/>
      <c r="Y451" s="2002"/>
      <c r="Z451" s="2002"/>
      <c r="AA451" s="2002"/>
      <c r="AB451" s="2002"/>
      <c r="AC451" s="2002"/>
      <c r="AD451" s="2002"/>
      <c r="AE451" s="2002"/>
      <c r="AF451" s="2002"/>
      <c r="AG451" s="779"/>
      <c r="AH451" s="749"/>
      <c r="AI451" s="749"/>
      <c r="AJ451" s="749"/>
      <c r="AK451" s="749"/>
      <c r="AL451" s="780"/>
      <c r="AM451" s="605"/>
      <c r="AN451" s="632"/>
    </row>
    <row r="452" spans="1:49" s="585" customFormat="1" ht="12.75" customHeight="1">
      <c r="A452" s="571"/>
      <c r="B452" s="14"/>
      <c r="C452" s="766"/>
      <c r="D452" s="14"/>
      <c r="E452" s="726"/>
      <c r="F452" s="2003"/>
      <c r="G452" s="2003"/>
      <c r="H452" s="2003"/>
      <c r="I452" s="2003"/>
      <c r="J452" s="2003"/>
      <c r="K452" s="2003"/>
      <c r="L452" s="2003"/>
      <c r="M452" s="2003"/>
      <c r="N452" s="2003"/>
      <c r="O452" s="2003"/>
      <c r="P452" s="2003"/>
      <c r="Q452" s="2003"/>
      <c r="R452" s="2003"/>
      <c r="S452" s="2003"/>
      <c r="T452" s="2003"/>
      <c r="U452" s="2003"/>
      <c r="V452" s="2003"/>
      <c r="W452" s="2003"/>
      <c r="X452" s="2003"/>
      <c r="Y452" s="2003"/>
      <c r="Z452" s="2003"/>
      <c r="AA452" s="2003"/>
      <c r="AB452" s="2003"/>
      <c r="AC452" s="2003"/>
      <c r="AD452" s="2003"/>
      <c r="AE452" s="2003"/>
      <c r="AF452" s="2003"/>
      <c r="AL452" s="767"/>
      <c r="AM452" s="605"/>
      <c r="AN452" s="632"/>
    </row>
    <row r="453" spans="1:49" s="585" customFormat="1" ht="12.75" customHeight="1">
      <c r="A453" s="571"/>
      <c r="B453" s="14"/>
      <c r="C453" s="774"/>
      <c r="F453" s="2003"/>
      <c r="G453" s="2003"/>
      <c r="H453" s="2003"/>
      <c r="I453" s="2003"/>
      <c r="J453" s="2003"/>
      <c r="K453" s="2003"/>
      <c r="L453" s="2003"/>
      <c r="M453" s="2003"/>
      <c r="N453" s="2003"/>
      <c r="O453" s="2003"/>
      <c r="P453" s="2003"/>
      <c r="Q453" s="2003"/>
      <c r="R453" s="2003"/>
      <c r="S453" s="2003"/>
      <c r="T453" s="2003"/>
      <c r="U453" s="2003"/>
      <c r="V453" s="2003"/>
      <c r="W453" s="2003"/>
      <c r="X453" s="2003"/>
      <c r="Y453" s="2003"/>
      <c r="Z453" s="2003"/>
      <c r="AA453" s="2003"/>
      <c r="AB453" s="2003"/>
      <c r="AC453" s="2003"/>
      <c r="AD453" s="2003"/>
      <c r="AE453" s="2003"/>
      <c r="AF453" s="2003"/>
      <c r="AL453" s="767"/>
      <c r="AM453" s="605"/>
      <c r="AN453" s="632"/>
    </row>
    <row r="454" spans="1:49" s="585" customFormat="1" ht="12.75" customHeight="1">
      <c r="A454" s="571"/>
      <c r="B454" s="14"/>
      <c r="C454" s="774"/>
      <c r="F454" s="2003"/>
      <c r="G454" s="2003"/>
      <c r="H454" s="2003"/>
      <c r="I454" s="2003"/>
      <c r="J454" s="2003"/>
      <c r="K454" s="2003"/>
      <c r="L454" s="2003"/>
      <c r="M454" s="2003"/>
      <c r="N454" s="2003"/>
      <c r="O454" s="2003"/>
      <c r="P454" s="2003"/>
      <c r="Q454" s="2003"/>
      <c r="R454" s="2003"/>
      <c r="S454" s="2003"/>
      <c r="T454" s="2003"/>
      <c r="U454" s="2003"/>
      <c r="V454" s="2003"/>
      <c r="W454" s="2003"/>
      <c r="X454" s="2003"/>
      <c r="Y454" s="2003"/>
      <c r="Z454" s="2003"/>
      <c r="AA454" s="2003"/>
      <c r="AB454" s="2003"/>
      <c r="AC454" s="2003"/>
      <c r="AD454" s="2003"/>
      <c r="AE454" s="2003"/>
      <c r="AF454" s="2003"/>
      <c r="AL454" s="767"/>
      <c r="AM454" s="605"/>
      <c r="AN454" s="632"/>
    </row>
    <row r="455" spans="1:49" s="585" customFormat="1" ht="12.75" customHeight="1">
      <c r="A455" s="571"/>
      <c r="B455" s="14"/>
      <c r="C455" s="1999" t="s">
        <v>600</v>
      </c>
      <c r="D455" s="1956"/>
      <c r="E455" s="754"/>
      <c r="F455" s="756" t="s">
        <v>1653</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2000" t="s">
        <v>1636</v>
      </c>
      <c r="AG455" s="2000"/>
      <c r="AH455" s="2000"/>
      <c r="AI455" s="2000"/>
      <c r="AJ455" s="2000"/>
      <c r="AK455" s="2000"/>
      <c r="AL455" s="2001"/>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2"/>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1683</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1684</v>
      </c>
      <c r="AK458" s="1959">
        <f>IF(Application!D213="N/A",AS347,AS349)</f>
        <v>10</v>
      </c>
      <c r="AL458" s="1960"/>
      <c r="AM458" s="1961"/>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1685</v>
      </c>
      <c r="C461" s="574"/>
      <c r="E461" s="631"/>
      <c r="AE461" s="2000" t="s">
        <v>1686</v>
      </c>
      <c r="AF461" s="2000"/>
      <c r="AG461" s="2000"/>
      <c r="AH461" s="2000"/>
      <c r="AI461" s="2000"/>
      <c r="AJ461" s="2000"/>
      <c r="AK461" s="2000"/>
      <c r="AL461" s="626"/>
      <c r="AN461" s="632"/>
      <c r="AO461" s="585" t="s">
        <v>1664</v>
      </c>
      <c r="AP461" s="585">
        <v>5</v>
      </c>
    </row>
    <row r="462" spans="1:49" s="585" customFormat="1" ht="12.75" hidden="1" customHeight="1">
      <c r="A462" s="574"/>
      <c r="B462" s="571" t="s">
        <v>1687</v>
      </c>
      <c r="C462" s="574"/>
      <c r="E462" s="631"/>
      <c r="AE462" s="626"/>
      <c r="AF462" s="626"/>
      <c r="AG462" s="626"/>
      <c r="AH462" s="626"/>
      <c r="AI462" s="626"/>
      <c r="AJ462" s="626"/>
      <c r="AK462" s="626"/>
      <c r="AL462" s="626"/>
      <c r="AN462" s="632"/>
      <c r="AO462" s="585" t="s">
        <v>1688</v>
      </c>
      <c r="AP462" s="585">
        <v>5</v>
      </c>
    </row>
    <row r="463" spans="1:49" s="585" customFormat="1" ht="12.75" hidden="1" customHeight="1">
      <c r="A463" s="574"/>
      <c r="B463" s="574" t="s">
        <v>1689</v>
      </c>
      <c r="C463" s="574"/>
      <c r="E463" s="631"/>
      <c r="AE463" s="626"/>
      <c r="AF463" s="626"/>
      <c r="AG463" s="626"/>
      <c r="AH463" s="626"/>
      <c r="AI463" s="626"/>
      <c r="AJ463" s="626"/>
      <c r="AK463" s="626"/>
      <c r="AL463" s="626"/>
      <c r="AN463" s="632"/>
      <c r="AO463" s="585" t="s">
        <v>1666</v>
      </c>
      <c r="AP463" s="585">
        <v>5</v>
      </c>
      <c r="AQ463" s="574"/>
      <c r="AR463" s="574"/>
      <c r="AS463" s="791"/>
      <c r="AW463" s="791"/>
    </row>
    <row r="464" spans="1:49" s="585" customFormat="1" ht="12.75" hidden="1" customHeight="1">
      <c r="A464" s="574"/>
      <c r="B464" s="574" t="s">
        <v>1690</v>
      </c>
      <c r="C464" s="574"/>
      <c r="E464" s="631"/>
      <c r="AE464" s="626"/>
      <c r="AF464" s="626"/>
      <c r="AG464" s="626"/>
      <c r="AH464" s="626"/>
      <c r="AI464" s="626"/>
      <c r="AJ464" s="626"/>
      <c r="AK464" s="626"/>
      <c r="AL464" s="626"/>
      <c r="AN464" s="632"/>
      <c r="AO464" s="585" t="s">
        <v>1668</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1669</v>
      </c>
      <c r="AP465" s="585">
        <v>5</v>
      </c>
      <c r="AQ465" s="574"/>
      <c r="AR465" s="574"/>
      <c r="AW465" s="714"/>
    </row>
    <row r="466" spans="1:50" s="585" customFormat="1" ht="12.75" hidden="1" customHeight="1">
      <c r="A466" s="574"/>
      <c r="C466" s="747" t="s">
        <v>1691</v>
      </c>
      <c r="D466" s="605"/>
      <c r="AE466" s="626"/>
      <c r="AF466" s="626"/>
      <c r="AG466" s="631"/>
      <c r="AH466" s="631"/>
      <c r="AI466" s="631"/>
      <c r="AJ466" s="631"/>
      <c r="AK466" s="631"/>
      <c r="AL466" s="631"/>
      <c r="AN466" s="632"/>
      <c r="AO466" s="585" t="s">
        <v>1670</v>
      </c>
      <c r="AP466" s="585">
        <v>5</v>
      </c>
      <c r="AW466" s="714"/>
    </row>
    <row r="467" spans="1:50" s="585" customFormat="1" ht="12.75" hidden="1" customHeight="1">
      <c r="A467" s="574"/>
      <c r="C467" s="2021" t="s">
        <v>600</v>
      </c>
      <c r="D467" s="2022"/>
      <c r="E467" s="797" t="s">
        <v>516</v>
      </c>
      <c r="F467" s="2023" t="s">
        <v>1692</v>
      </c>
      <c r="G467" s="2023"/>
      <c r="H467" s="2023"/>
      <c r="I467" s="2023"/>
      <c r="J467" s="2023"/>
      <c r="K467" s="2023"/>
      <c r="L467" s="2023"/>
      <c r="M467" s="2023"/>
      <c r="N467" s="2023"/>
      <c r="O467" s="2023"/>
      <c r="P467" s="2023"/>
      <c r="Q467" s="2023"/>
      <c r="R467" s="2023"/>
      <c r="S467" s="2023"/>
      <c r="T467" s="2023"/>
      <c r="U467" s="2023"/>
      <c r="V467" s="2023"/>
      <c r="W467" s="2023"/>
      <c r="X467" s="2023"/>
      <c r="Y467" s="2023"/>
      <c r="Z467" s="2023"/>
      <c r="AA467" s="2023"/>
      <c r="AB467" s="2023"/>
      <c r="AC467" s="2023"/>
      <c r="AD467" s="2023"/>
      <c r="AE467" s="2023"/>
      <c r="AF467" s="749"/>
      <c r="AG467" s="749"/>
      <c r="AH467" s="749"/>
      <c r="AI467" s="749"/>
      <c r="AJ467" s="749"/>
      <c r="AK467" s="780"/>
      <c r="AN467" s="632"/>
      <c r="AO467" s="585" t="s">
        <v>1693</v>
      </c>
      <c r="AP467" s="585">
        <v>5</v>
      </c>
      <c r="AS467" s="794"/>
      <c r="AT467" s="628"/>
      <c r="AW467" s="714"/>
      <c r="AX467" s="672"/>
    </row>
    <row r="468" spans="1:50" s="585" customFormat="1" ht="12.75" hidden="1" customHeight="1">
      <c r="C468" s="798"/>
      <c r="E468" s="799"/>
      <c r="F468" s="2024"/>
      <c r="G468" s="2024"/>
      <c r="H468" s="2024"/>
      <c r="I468" s="2024"/>
      <c r="J468" s="2024"/>
      <c r="K468" s="2024"/>
      <c r="L468" s="2024"/>
      <c r="M468" s="2024"/>
      <c r="N468" s="2024"/>
      <c r="O468" s="2024"/>
      <c r="P468" s="2024"/>
      <c r="Q468" s="2024"/>
      <c r="R468" s="2024"/>
      <c r="S468" s="2024"/>
      <c r="T468" s="2024"/>
      <c r="U468" s="2024"/>
      <c r="V468" s="2024"/>
      <c r="W468" s="2024"/>
      <c r="X468" s="2024"/>
      <c r="Y468" s="2024"/>
      <c r="Z468" s="2024"/>
      <c r="AA468" s="2024"/>
      <c r="AB468" s="2024"/>
      <c r="AC468" s="2024"/>
      <c r="AD468" s="2024"/>
      <c r="AE468" s="2024"/>
      <c r="AG468" s="586"/>
      <c r="AH468" s="586"/>
      <c r="AI468" s="586"/>
      <c r="AJ468" s="586"/>
      <c r="AK468" s="767"/>
      <c r="AN468" s="632"/>
      <c r="AO468" s="585" t="s">
        <v>1674</v>
      </c>
      <c r="AP468" s="585">
        <v>1</v>
      </c>
    </row>
    <row r="469" spans="1:50" s="585" customFormat="1" ht="12.75" hidden="1" customHeight="1">
      <c r="C469" s="800"/>
      <c r="D469" s="762"/>
      <c r="E469" s="801"/>
      <c r="F469" s="2025" t="s">
        <v>600</v>
      </c>
      <c r="G469" s="2025"/>
      <c r="H469" s="2025"/>
      <c r="I469" s="2025"/>
      <c r="J469" s="2025"/>
      <c r="K469" s="2025"/>
      <c r="L469" s="2025"/>
      <c r="M469" s="2025"/>
      <c r="N469" s="2025"/>
      <c r="O469" s="2025"/>
      <c r="P469" s="2025"/>
      <c r="Q469" s="2025"/>
      <c r="R469" s="2025"/>
      <c r="S469" s="2025"/>
      <c r="T469" s="2025"/>
      <c r="U469" s="2025"/>
      <c r="V469" s="2025"/>
      <c r="W469" s="2025"/>
      <c r="X469" s="2025"/>
      <c r="Y469" s="2025"/>
      <c r="Z469" s="2025"/>
      <c r="AA469" s="802"/>
      <c r="AB469" s="693"/>
      <c r="AC469" s="693"/>
      <c r="AD469" s="762"/>
      <c r="AE469" s="762"/>
      <c r="AF469" s="762"/>
      <c r="AG469" s="803">
        <f>IF($C$467="Yes",(VLOOKUP($F$469,$AO$434:$AP$442,2,FALSE)),0)</f>
        <v>0</v>
      </c>
      <c r="AH469" s="804" t="s">
        <v>1498</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26" t="s">
        <v>554</v>
      </c>
      <c r="D471" s="2027"/>
      <c r="E471" s="797" t="s">
        <v>769</v>
      </c>
      <c r="F471" s="805" t="s">
        <v>1694</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1695</v>
      </c>
      <c r="F472" s="807" t="s">
        <v>1696</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1697</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1698</v>
      </c>
      <c r="G474" s="585"/>
      <c r="H474" s="585"/>
      <c r="I474" s="807"/>
      <c r="J474" s="807"/>
      <c r="K474" s="807"/>
      <c r="L474" s="807"/>
      <c r="M474" s="807"/>
      <c r="N474" s="807"/>
      <c r="O474" s="807"/>
      <c r="P474" s="807"/>
      <c r="Q474" s="807"/>
      <c r="R474" s="807"/>
      <c r="S474" s="807"/>
      <c r="T474" s="807"/>
      <c r="U474" s="807"/>
      <c r="V474" s="2033" t="s">
        <v>600</v>
      </c>
      <c r="W474" s="2033"/>
      <c r="X474" s="2033"/>
      <c r="Y474" s="807"/>
      <c r="Z474" s="807"/>
      <c r="AA474" s="807"/>
      <c r="AB474" s="807"/>
      <c r="AC474" s="807"/>
      <c r="AD474" s="644"/>
      <c r="AE474" s="644"/>
      <c r="AF474" s="644"/>
      <c r="AG474" s="648">
        <f>IF(AND($C$471="Yes",$V$476="N/A",$V$481="N/A",$V$485="N/A",$V$487="N/A"),(VLOOKUP(V474,$AR$444:$AS$446,2,FALSE)),0)</f>
        <v>0</v>
      </c>
      <c r="AH474" s="675" t="s">
        <v>1498</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1699</v>
      </c>
      <c r="G476" s="585"/>
      <c r="H476" s="585"/>
      <c r="I476" s="807"/>
      <c r="J476" s="807"/>
      <c r="K476" s="807"/>
      <c r="L476" s="807"/>
      <c r="M476" s="807"/>
      <c r="N476" s="807"/>
      <c r="O476" s="807"/>
      <c r="P476" s="807"/>
      <c r="Q476" s="807"/>
      <c r="R476" s="807"/>
      <c r="S476" s="807"/>
      <c r="T476" s="807"/>
      <c r="U476" s="807"/>
      <c r="V476" s="2033" t="s">
        <v>600</v>
      </c>
      <c r="W476" s="2033"/>
      <c r="X476" s="2033"/>
      <c r="Y476" s="807"/>
      <c r="Z476" s="807"/>
      <c r="AA476" s="807"/>
      <c r="AB476" s="807"/>
      <c r="AC476" s="807"/>
      <c r="AD476" s="644"/>
      <c r="AE476" s="644"/>
      <c r="AF476" s="644"/>
      <c r="AG476" s="648">
        <f>IF(AND($C$471="Yes",$V$474="N/A", $V$481="N/A",$V$485="N/A",$V$487="N/A"),(VLOOKUP(V476,$AO$444:$AP$446,2,FALSE)),0)</f>
        <v>0</v>
      </c>
      <c r="AH476" s="675" t="s">
        <v>1498</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1700</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1701</v>
      </c>
      <c r="AP478" s="672">
        <v>2</v>
      </c>
    </row>
    <row r="479" spans="1:50" s="585" customFormat="1" ht="12.75" hidden="1" customHeight="1">
      <c r="C479" s="798"/>
      <c r="F479" s="644" t="s">
        <v>1702</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1703</v>
      </c>
      <c r="AP479" s="585">
        <v>2</v>
      </c>
    </row>
    <row r="480" spans="1:50" s="631" customFormat="1" ht="12.75" hidden="1" customHeight="1">
      <c r="A480" s="585"/>
      <c r="B480" s="585"/>
      <c r="C480" s="774"/>
      <c r="D480" s="605"/>
      <c r="E480" s="605"/>
      <c r="F480" s="644" t="s">
        <v>1704</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1705</v>
      </c>
      <c r="AP480" s="585">
        <v>2</v>
      </c>
    </row>
    <row r="481" spans="1:81" s="585" customFormat="1" ht="12.75" hidden="1" customHeight="1">
      <c r="C481" s="813"/>
      <c r="F481" s="811" t="s">
        <v>1706</v>
      </c>
      <c r="M481" s="799"/>
      <c r="N481" s="799"/>
      <c r="O481" s="799"/>
      <c r="P481" s="799"/>
      <c r="Q481" s="586"/>
      <c r="R481" s="586"/>
      <c r="S481" s="586"/>
      <c r="T481" s="586"/>
      <c r="U481" s="586"/>
      <c r="V481" s="2033" t="s">
        <v>600</v>
      </c>
      <c r="W481" s="2033"/>
      <c r="X481" s="2033"/>
      <c r="Y481" s="586"/>
      <c r="Z481" s="586"/>
      <c r="AA481" s="586"/>
      <c r="AB481" s="586"/>
      <c r="AC481" s="586"/>
      <c r="AG481" s="648">
        <f>IF(AND($C$471="Yes",$V$474="N/A",$V$476="N/A", $V$485="N/A",$V$487="N/A"),(VLOOKUP($V$481,$AO$448:$AP$450,2,FALSE)),0)</f>
        <v>0</v>
      </c>
      <c r="AH481" s="675" t="s">
        <v>1498</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1707</v>
      </c>
      <c r="D483" s="749"/>
      <c r="E483" s="749"/>
      <c r="F483" s="816" t="s">
        <v>1708</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2032"/>
      <c r="E484" s="2032"/>
      <c r="F484" s="807" t="s">
        <v>1709</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1710</v>
      </c>
      <c r="AP484" s="672">
        <v>5</v>
      </c>
      <c r="AQ484" s="574"/>
    </row>
    <row r="485" spans="1:81" s="605" customFormat="1" ht="12.75" hidden="1" customHeight="1">
      <c r="A485" s="714"/>
      <c r="B485" s="585"/>
      <c r="C485" s="798"/>
      <c r="D485" s="585"/>
      <c r="E485" s="585"/>
      <c r="F485" s="818" t="s">
        <v>1698</v>
      </c>
      <c r="G485" s="585"/>
      <c r="H485" s="585"/>
      <c r="I485" s="585"/>
      <c r="J485" s="585"/>
      <c r="K485" s="585"/>
      <c r="L485" s="585"/>
      <c r="M485" s="585"/>
      <c r="N485" s="585"/>
      <c r="O485" s="585"/>
      <c r="P485" s="585"/>
      <c r="Q485" s="585"/>
      <c r="R485" s="585"/>
      <c r="S485" s="585"/>
      <c r="T485" s="585"/>
      <c r="U485" s="585"/>
      <c r="V485" s="2033" t="s">
        <v>600</v>
      </c>
      <c r="W485" s="2033"/>
      <c r="X485" s="2033"/>
      <c r="Y485" s="585"/>
      <c r="Z485" s="585"/>
      <c r="AA485" s="585"/>
      <c r="AB485" s="585"/>
      <c r="AC485" s="585"/>
      <c r="AD485" s="585"/>
      <c r="AE485" s="585"/>
      <c r="AF485" s="585"/>
      <c r="AG485" s="648">
        <f>IF(AND($C$471="Yes",$V$474="N/A",V476="N/A",$V$481="N/A",$V$487="N/A"),(VLOOKUP($V$485,$AW$444:$AX$447,2,FALSE)),0)</f>
        <v>0</v>
      </c>
      <c r="AH485" s="675" t="s">
        <v>1498</v>
      </c>
      <c r="AI485" s="586"/>
      <c r="AJ485" s="585"/>
      <c r="AK485" s="767"/>
      <c r="AL485" s="585"/>
      <c r="AM485" s="585"/>
      <c r="AN485" s="719"/>
      <c r="AO485" s="585" t="s">
        <v>1711</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1712</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1699</v>
      </c>
      <c r="G487" s="802"/>
      <c r="H487" s="802"/>
      <c r="I487" s="762"/>
      <c r="J487" s="762"/>
      <c r="K487" s="762"/>
      <c r="L487" s="762"/>
      <c r="M487" s="762"/>
      <c r="N487" s="762"/>
      <c r="O487" s="762"/>
      <c r="P487" s="762"/>
      <c r="Q487" s="762"/>
      <c r="R487" s="762"/>
      <c r="S487" s="762"/>
      <c r="T487" s="762"/>
      <c r="U487" s="762"/>
      <c r="V487" s="2033" t="s">
        <v>600</v>
      </c>
      <c r="W487" s="2033"/>
      <c r="X487" s="2033"/>
      <c r="Y487" s="762"/>
      <c r="Z487" s="762"/>
      <c r="AA487" s="762"/>
      <c r="AB487" s="762"/>
      <c r="AC487" s="762"/>
      <c r="AD487" s="762"/>
      <c r="AE487" s="762"/>
      <c r="AF487" s="762"/>
      <c r="AG487" s="819">
        <f>IF(AND($C$471="Yes",$V$474="N/A",$V$476="N/A",$V$481="N/A",$V$485="N/A"),(VLOOKUP($V$487,$BA$444:$BB$446,2,FALSE)),0)</f>
        <v>0</v>
      </c>
      <c r="AH487" s="804" t="s">
        <v>1498</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1713</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21" t="s">
        <v>600</v>
      </c>
      <c r="D490" s="2022"/>
      <c r="E490" s="797" t="s">
        <v>516</v>
      </c>
      <c r="F490" s="2023" t="s">
        <v>1692</v>
      </c>
      <c r="G490" s="2023"/>
      <c r="H490" s="2023"/>
      <c r="I490" s="2023"/>
      <c r="J490" s="2023"/>
      <c r="K490" s="2023"/>
      <c r="L490" s="2023"/>
      <c r="M490" s="2023"/>
      <c r="N490" s="2023"/>
      <c r="O490" s="2023"/>
      <c r="P490" s="2023"/>
      <c r="Q490" s="2023"/>
      <c r="R490" s="2023"/>
      <c r="S490" s="2023"/>
      <c r="T490" s="2023"/>
      <c r="U490" s="2023"/>
      <c r="V490" s="2023"/>
      <c r="W490" s="2023"/>
      <c r="X490" s="2023"/>
      <c r="Y490" s="2023"/>
      <c r="Z490" s="2023"/>
      <c r="AA490" s="2023"/>
      <c r="AB490" s="2023"/>
      <c r="AC490" s="2023"/>
      <c r="AD490" s="2023"/>
      <c r="AE490" s="2023"/>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24"/>
      <c r="G491" s="2024"/>
      <c r="H491" s="2024"/>
      <c r="I491" s="2024"/>
      <c r="J491" s="2024"/>
      <c r="K491" s="2024"/>
      <c r="L491" s="2024"/>
      <c r="M491" s="2024"/>
      <c r="N491" s="2024"/>
      <c r="O491" s="2024"/>
      <c r="P491" s="2024"/>
      <c r="Q491" s="2024"/>
      <c r="R491" s="2024"/>
      <c r="S491" s="2024"/>
      <c r="T491" s="2024"/>
      <c r="U491" s="2024"/>
      <c r="V491" s="2024"/>
      <c r="W491" s="2024"/>
      <c r="X491" s="2024"/>
      <c r="Y491" s="2024"/>
      <c r="Z491" s="2024"/>
      <c r="AA491" s="2024"/>
      <c r="AB491" s="2024"/>
      <c r="AC491" s="2024"/>
      <c r="AD491" s="2024"/>
      <c r="AE491" s="2024"/>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28" t="s">
        <v>600</v>
      </c>
      <c r="G492" s="2028"/>
      <c r="H492" s="2028"/>
      <c r="I492" s="2028"/>
      <c r="J492" s="2028"/>
      <c r="K492" s="2028"/>
      <c r="L492" s="2028"/>
      <c r="M492" s="2028"/>
      <c r="N492" s="2028"/>
      <c r="O492" s="2028"/>
      <c r="P492" s="2028"/>
      <c r="Q492" s="2028"/>
      <c r="R492" s="2028"/>
      <c r="S492" s="2028"/>
      <c r="T492" s="2028"/>
      <c r="U492" s="2028"/>
      <c r="V492" s="2028"/>
      <c r="W492" s="2028"/>
      <c r="X492" s="2028"/>
      <c r="Y492" s="2028"/>
      <c r="Z492" s="2028"/>
      <c r="AA492" s="802"/>
      <c r="AB492" s="693"/>
      <c r="AC492" s="693"/>
      <c r="AD492" s="762"/>
      <c r="AE492" s="762"/>
      <c r="AF492" s="762"/>
      <c r="AG492" s="803">
        <f>IF($C$490="Yes",(VLOOKUP($F$492,$AO$460:$AP$468,2,FALSE)),0)</f>
        <v>0</v>
      </c>
      <c r="AH492" s="804" t="s">
        <v>1498</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21" t="s">
        <v>600</v>
      </c>
      <c r="D494" s="2022"/>
      <c r="E494" s="797" t="s">
        <v>769</v>
      </c>
      <c r="F494" s="2029" t="s">
        <v>1714</v>
      </c>
      <c r="G494" s="2029"/>
      <c r="H494" s="2029"/>
      <c r="I494" s="2029"/>
      <c r="J494" s="2029"/>
      <c r="K494" s="2029"/>
      <c r="L494" s="2029"/>
      <c r="M494" s="2029"/>
      <c r="N494" s="2029"/>
      <c r="O494" s="2029"/>
      <c r="P494" s="2029"/>
      <c r="Q494" s="2029"/>
      <c r="R494" s="2029"/>
      <c r="S494" s="2029"/>
      <c r="T494" s="2029"/>
      <c r="U494" s="2029"/>
      <c r="V494" s="2029"/>
      <c r="W494" s="2029"/>
      <c r="X494" s="2029"/>
      <c r="Y494" s="2029"/>
      <c r="Z494" s="2029"/>
      <c r="AA494" s="2029"/>
      <c r="AB494" s="2029"/>
      <c r="AC494" s="2029"/>
      <c r="AD494" s="2029"/>
      <c r="AE494" s="2029"/>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30"/>
      <c r="G495" s="2030"/>
      <c r="H495" s="2030"/>
      <c r="I495" s="2030"/>
      <c r="J495" s="2030"/>
      <c r="K495" s="2030"/>
      <c r="L495" s="2030"/>
      <c r="M495" s="2030"/>
      <c r="N495" s="2030"/>
      <c r="O495" s="2030"/>
      <c r="P495" s="2030"/>
      <c r="Q495" s="2030"/>
      <c r="R495" s="2030"/>
      <c r="S495" s="2030"/>
      <c r="T495" s="2030"/>
      <c r="U495" s="2030"/>
      <c r="V495" s="2030"/>
      <c r="W495" s="2030"/>
      <c r="X495" s="2030"/>
      <c r="Y495" s="2030"/>
      <c r="Z495" s="2030"/>
      <c r="AA495" s="2030"/>
      <c r="AB495" s="2030"/>
      <c r="AC495" s="2030"/>
      <c r="AD495" s="2030"/>
      <c r="AE495" s="2030"/>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1715</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31" t="s">
        <v>600</v>
      </c>
      <c r="G497" s="2031"/>
      <c r="H497" s="2031"/>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1498</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21" t="s">
        <v>600</v>
      </c>
      <c r="D499" s="2022"/>
      <c r="E499" s="797" t="s">
        <v>1716</v>
      </c>
      <c r="F499" s="816" t="s">
        <v>1717</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44"/>
      <c r="D501" s="2032"/>
      <c r="E501" s="808"/>
      <c r="F501" s="586" t="s">
        <v>1718</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1498</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2045" t="s">
        <v>600</v>
      </c>
      <c r="H502" s="2045"/>
      <c r="I502" s="2045"/>
      <c r="J502" s="2045"/>
      <c r="K502" s="2045"/>
      <c r="L502" s="2045"/>
      <c r="M502" s="2045"/>
      <c r="N502" s="2045"/>
      <c r="O502" s="2045"/>
      <c r="P502" s="2045"/>
      <c r="Q502" s="2045"/>
      <c r="R502" s="2045"/>
      <c r="S502" s="2045"/>
      <c r="T502" s="2045"/>
      <c r="U502" s="2045"/>
      <c r="V502" s="2045"/>
      <c r="W502" s="2045"/>
      <c r="X502" s="2045"/>
      <c r="Y502" s="2045"/>
      <c r="Z502" s="2045"/>
      <c r="AA502" s="2045"/>
      <c r="AB502" s="2045"/>
      <c r="AC502" s="2045"/>
      <c r="AD502" s="2045"/>
      <c r="AE502" s="2045"/>
      <c r="AF502" s="2045"/>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46" t="s">
        <v>600</v>
      </c>
      <c r="D504" s="2047"/>
      <c r="F504" s="586" t="s">
        <v>1719</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1498</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1720</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1721</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46" t="s">
        <v>600</v>
      </c>
      <c r="D508" s="2047"/>
      <c r="F508" s="831" t="s">
        <v>1722</v>
      </c>
      <c r="G508" s="2003" t="s">
        <v>1723</v>
      </c>
      <c r="H508" s="2003"/>
      <c r="I508" s="2003"/>
      <c r="J508" s="2003"/>
      <c r="K508" s="2003"/>
      <c r="L508" s="2003"/>
      <c r="M508" s="2003"/>
      <c r="N508" s="2003"/>
      <c r="O508" s="2003"/>
      <c r="P508" s="2003"/>
      <c r="Q508" s="2003"/>
      <c r="R508" s="2003"/>
      <c r="S508" s="2003"/>
      <c r="T508" s="2003"/>
      <c r="U508" s="2003"/>
      <c r="V508" s="2003"/>
      <c r="W508" s="2003"/>
      <c r="X508" s="2003"/>
      <c r="Y508" s="2003"/>
      <c r="Z508" s="2003"/>
      <c r="AA508" s="2003"/>
      <c r="AB508" s="2003"/>
      <c r="AC508" s="2003"/>
      <c r="AD508" s="2003"/>
      <c r="AE508" s="2003"/>
      <c r="AF508" s="2003"/>
      <c r="AG508" s="648">
        <f>IF(AND($C$508="Yes",$C$499="Yes"),2,0)</f>
        <v>0</v>
      </c>
      <c r="AH508" s="675" t="s">
        <v>1498</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18"/>
      <c r="H509" s="2018"/>
      <c r="I509" s="2018"/>
      <c r="J509" s="2018"/>
      <c r="K509" s="2018"/>
      <c r="L509" s="2018"/>
      <c r="M509" s="2018"/>
      <c r="N509" s="2018"/>
      <c r="O509" s="2018"/>
      <c r="P509" s="2018"/>
      <c r="Q509" s="2018"/>
      <c r="R509" s="2018"/>
      <c r="S509" s="2018"/>
      <c r="T509" s="2018"/>
      <c r="U509" s="2018"/>
      <c r="V509" s="2018"/>
      <c r="W509" s="2018"/>
      <c r="X509" s="2018"/>
      <c r="Y509" s="2018"/>
      <c r="Z509" s="2018"/>
      <c r="AA509" s="2018"/>
      <c r="AB509" s="2018"/>
      <c r="AC509" s="2018"/>
      <c r="AD509" s="2018"/>
      <c r="AE509" s="2018"/>
      <c r="AF509" s="2018"/>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1724</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34" t="s">
        <v>600</v>
      </c>
      <c r="D512" s="2035"/>
      <c r="E512" s="838" t="s">
        <v>1725</v>
      </c>
      <c r="F512" s="807" t="s">
        <v>1726</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1498</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36" t="s">
        <v>600</v>
      </c>
      <c r="G513" s="2036"/>
      <c r="H513" s="2036"/>
      <c r="I513" s="2036"/>
      <c r="J513" s="2036"/>
      <c r="K513" s="2036"/>
      <c r="L513" s="2036"/>
      <c r="M513" s="2036"/>
      <c r="N513" s="2036"/>
      <c r="O513" s="2036"/>
      <c r="P513" s="2036"/>
      <c r="Q513" s="2036"/>
      <c r="R513" s="2036"/>
      <c r="S513" s="2036"/>
      <c r="T513" s="2036"/>
      <c r="U513" s="2036"/>
      <c r="V513" s="2036"/>
      <c r="W513" s="2036"/>
      <c r="X513" s="2036"/>
      <c r="Y513" s="2036"/>
      <c r="Z513" s="2036"/>
      <c r="AA513" s="2036"/>
      <c r="AB513" s="2036"/>
      <c r="AC513" s="2036"/>
      <c r="AD513" s="2036"/>
      <c r="AE513" s="2036"/>
      <c r="AF513" s="2036"/>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37"/>
      <c r="G514" s="2037"/>
      <c r="H514" s="2037"/>
      <c r="I514" s="2037"/>
      <c r="J514" s="2037"/>
      <c r="K514" s="2037"/>
      <c r="L514" s="2037"/>
      <c r="M514" s="2037"/>
      <c r="N514" s="2037"/>
      <c r="O514" s="2037"/>
      <c r="P514" s="2037"/>
      <c r="Q514" s="2037"/>
      <c r="R514" s="2037"/>
      <c r="S514" s="2037"/>
      <c r="T514" s="2037"/>
      <c r="U514" s="2037"/>
      <c r="V514" s="2037"/>
      <c r="W514" s="2037"/>
      <c r="X514" s="2037"/>
      <c r="Y514" s="2037"/>
      <c r="Z514" s="2037"/>
      <c r="AA514" s="2037"/>
      <c r="AB514" s="2037"/>
      <c r="AC514" s="2037"/>
      <c r="AD514" s="2037"/>
      <c r="AE514" s="2037"/>
      <c r="AF514" s="2037"/>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1727</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1728</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2424</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1729</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2425</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1730</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1731</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1732</v>
      </c>
      <c r="AK524" s="1959">
        <f>SUM(AG468:AG513)</f>
        <v>0</v>
      </c>
      <c r="AL524" s="1960"/>
      <c r="AM524" s="1961"/>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1733</v>
      </c>
      <c r="B527" s="574" t="s">
        <v>1734</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94" t="s">
        <v>1735</v>
      </c>
      <c r="AF527" s="1894"/>
      <c r="AG527" s="1894"/>
      <c r="AH527" s="1894"/>
      <c r="AI527" s="1894"/>
      <c r="AJ527" s="1894"/>
      <c r="AK527" s="1894"/>
      <c r="AL527" s="630"/>
      <c r="AM527" s="630"/>
      <c r="AN527" s="632"/>
    </row>
    <row r="528" spans="1:81" s="585" customFormat="1" ht="12.75" customHeight="1">
      <c r="A528" s="574"/>
      <c r="B528" s="574" t="s">
        <v>1494</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56" t="s">
        <v>600</v>
      </c>
      <c r="D530" s="1956"/>
      <c r="E530" s="586"/>
      <c r="F530" s="2038" t="s">
        <v>1736</v>
      </c>
      <c r="G530" s="2039"/>
      <c r="H530" s="2039"/>
      <c r="I530" s="2039"/>
      <c r="J530" s="2039"/>
      <c r="K530" s="2039"/>
      <c r="L530" s="2039"/>
      <c r="M530" s="2039"/>
      <c r="N530" s="2039"/>
      <c r="O530" s="2039"/>
      <c r="P530" s="2039"/>
      <c r="Q530" s="2039"/>
      <c r="R530" s="2039"/>
      <c r="S530" s="2039"/>
      <c r="T530" s="2039"/>
      <c r="U530" s="2039"/>
      <c r="V530" s="2039"/>
      <c r="W530" s="2039"/>
      <c r="X530" s="2039"/>
      <c r="Y530" s="2039"/>
      <c r="Z530" s="2039"/>
      <c r="AA530" s="2039"/>
      <c r="AB530" s="2039"/>
      <c r="AC530" s="2039"/>
      <c r="AD530" s="2039"/>
      <c r="AE530" s="2039"/>
      <c r="AF530" s="2039"/>
      <c r="AG530" s="2039"/>
      <c r="AH530" s="2039"/>
      <c r="AI530" s="2039"/>
      <c r="AJ530" s="2039"/>
      <c r="AK530" s="2039"/>
      <c r="AL530" s="2040"/>
      <c r="AM530" s="630"/>
      <c r="AN530" s="632"/>
    </row>
    <row r="531" spans="1:49" s="585" customFormat="1" ht="12.75" customHeight="1">
      <c r="A531" s="574"/>
      <c r="B531" s="574"/>
      <c r="C531" s="586"/>
      <c r="D531" s="586"/>
      <c r="E531" s="586"/>
      <c r="F531" s="2041"/>
      <c r="G531" s="2042"/>
      <c r="H531" s="2042"/>
      <c r="I531" s="2042"/>
      <c r="J531" s="2042"/>
      <c r="K531" s="2042"/>
      <c r="L531" s="2042"/>
      <c r="M531" s="2042"/>
      <c r="N531" s="2042"/>
      <c r="O531" s="2042"/>
      <c r="P531" s="2042"/>
      <c r="Q531" s="2042"/>
      <c r="R531" s="2042"/>
      <c r="S531" s="2042"/>
      <c r="T531" s="2042"/>
      <c r="U531" s="2042"/>
      <c r="V531" s="2042"/>
      <c r="W531" s="2042"/>
      <c r="X531" s="2042"/>
      <c r="Y531" s="2042"/>
      <c r="Z531" s="2042"/>
      <c r="AA531" s="2042"/>
      <c r="AB531" s="2042"/>
      <c r="AC531" s="2042"/>
      <c r="AD531" s="2042"/>
      <c r="AE531" s="2042"/>
      <c r="AF531" s="2042"/>
      <c r="AG531" s="2042"/>
      <c r="AH531" s="2042"/>
      <c r="AI531" s="2042"/>
      <c r="AJ531" s="2042"/>
      <c r="AK531" s="2042"/>
      <c r="AL531" s="2043"/>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56" t="s">
        <v>554</v>
      </c>
      <c r="D533" s="1956"/>
      <c r="E533" s="842"/>
      <c r="F533" s="679" t="s">
        <v>1737</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78" t="s">
        <v>1738</v>
      </c>
      <c r="G534" s="1979"/>
      <c r="H534" s="1979"/>
      <c r="I534" s="1979"/>
      <c r="J534" s="1979"/>
      <c r="K534" s="1979"/>
      <c r="L534" s="1979"/>
      <c r="M534" s="1979"/>
      <c r="N534" s="1979"/>
      <c r="O534" s="1979"/>
      <c r="P534" s="1979"/>
      <c r="Q534" s="1979"/>
      <c r="R534" s="1979"/>
      <c r="S534" s="1979"/>
      <c r="T534" s="1979"/>
      <c r="U534" s="1979"/>
      <c r="V534" s="1979"/>
      <c r="W534" s="1979"/>
      <c r="X534" s="1979"/>
      <c r="Y534" s="1979"/>
      <c r="Z534" s="1979"/>
      <c r="AA534" s="1979"/>
      <c r="AB534" s="1979"/>
      <c r="AC534" s="1979"/>
      <c r="AD534" s="1979"/>
      <c r="AE534" s="1979"/>
      <c r="AF534" s="1979"/>
      <c r="AG534" s="1979"/>
      <c r="AH534" s="1979"/>
      <c r="AI534" s="1979"/>
      <c r="AJ534" s="1979"/>
      <c r="AK534" s="1979"/>
      <c r="AL534" s="1980"/>
      <c r="AM534" s="630"/>
      <c r="AN534" s="632"/>
      <c r="AS534" s="906"/>
      <c r="AT534" s="906"/>
      <c r="AU534" s="906"/>
      <c r="AV534" s="906"/>
      <c r="AW534" s="906"/>
    </row>
    <row r="535" spans="1:49" s="585" customFormat="1" ht="12.75" customHeight="1">
      <c r="B535" s="842"/>
      <c r="C535" s="842"/>
      <c r="D535" s="842"/>
      <c r="E535" s="842"/>
      <c r="F535" s="1978"/>
      <c r="G535" s="1979"/>
      <c r="H535" s="1979"/>
      <c r="I535" s="1979"/>
      <c r="J535" s="1979"/>
      <c r="K535" s="1979"/>
      <c r="L535" s="1979"/>
      <c r="M535" s="1979"/>
      <c r="N535" s="1979"/>
      <c r="O535" s="1979"/>
      <c r="P535" s="1979"/>
      <c r="Q535" s="1979"/>
      <c r="R535" s="1979"/>
      <c r="S535" s="1979"/>
      <c r="T535" s="1979"/>
      <c r="U535" s="1979"/>
      <c r="V535" s="1979"/>
      <c r="W535" s="1979"/>
      <c r="X535" s="1979"/>
      <c r="Y535" s="1979"/>
      <c r="Z535" s="1979"/>
      <c r="AA535" s="1979"/>
      <c r="AB535" s="1979"/>
      <c r="AC535" s="1979"/>
      <c r="AD535" s="1979"/>
      <c r="AE535" s="1979"/>
      <c r="AF535" s="1979"/>
      <c r="AG535" s="1979"/>
      <c r="AH535" s="1979"/>
      <c r="AI535" s="1979"/>
      <c r="AJ535" s="1979"/>
      <c r="AK535" s="1979"/>
      <c r="AL535" s="1980"/>
      <c r="AM535" s="630"/>
      <c r="AN535" s="632"/>
    </row>
    <row r="536" spans="1:49" s="585" customFormat="1" ht="12.75" customHeight="1">
      <c r="B536" s="842"/>
      <c r="C536" s="842"/>
      <c r="D536" s="842"/>
      <c r="E536" s="842"/>
      <c r="F536" s="847" t="s">
        <v>2426</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78" t="s">
        <v>1739</v>
      </c>
      <c r="G537" s="1979"/>
      <c r="H537" s="1979"/>
      <c r="I537" s="1979"/>
      <c r="J537" s="1979"/>
      <c r="K537" s="1979"/>
      <c r="L537" s="1979"/>
      <c r="M537" s="1979"/>
      <c r="N537" s="1979"/>
      <c r="O537" s="1979"/>
      <c r="P537" s="1979"/>
      <c r="Q537" s="1979"/>
      <c r="R537" s="1979"/>
      <c r="S537" s="1979"/>
      <c r="T537" s="1979"/>
      <c r="U537" s="1979"/>
      <c r="V537" s="1979"/>
      <c r="W537" s="1979"/>
      <c r="X537" s="1979"/>
      <c r="Y537" s="1979"/>
      <c r="Z537" s="1979"/>
      <c r="AA537" s="1979"/>
      <c r="AB537" s="1979"/>
      <c r="AC537" s="1979"/>
      <c r="AD537" s="1979"/>
      <c r="AE537" s="1979"/>
      <c r="AF537" s="1979"/>
      <c r="AG537" s="1979"/>
      <c r="AH537" s="1979"/>
      <c r="AI537" s="1979"/>
      <c r="AJ537" s="1979"/>
      <c r="AK537" s="1979"/>
      <c r="AL537" s="849"/>
      <c r="AM537" s="630"/>
      <c r="AN537" s="632"/>
    </row>
    <row r="538" spans="1:49" s="585" customFormat="1" ht="12.75" customHeight="1">
      <c r="B538" s="842"/>
      <c r="C538" s="842"/>
      <c r="D538" s="842"/>
      <c r="E538" s="842"/>
      <c r="F538" s="1981"/>
      <c r="G538" s="1982"/>
      <c r="H538" s="1982"/>
      <c r="I538" s="1982"/>
      <c r="J538" s="1982"/>
      <c r="K538" s="1982"/>
      <c r="L538" s="1982"/>
      <c r="M538" s="1982"/>
      <c r="N538" s="1982"/>
      <c r="O538" s="1982"/>
      <c r="P538" s="1982"/>
      <c r="Q538" s="1982"/>
      <c r="R538" s="1982"/>
      <c r="S538" s="1982"/>
      <c r="T538" s="1982"/>
      <c r="U538" s="1982"/>
      <c r="V538" s="1982"/>
      <c r="W538" s="1982"/>
      <c r="X538" s="1982"/>
      <c r="Y538" s="1982"/>
      <c r="Z538" s="1982"/>
      <c r="AA538" s="1982"/>
      <c r="AB538" s="1982"/>
      <c r="AC538" s="1982"/>
      <c r="AD538" s="1982"/>
      <c r="AE538" s="1982"/>
      <c r="AF538" s="1982"/>
      <c r="AG538" s="1982"/>
      <c r="AH538" s="1982"/>
      <c r="AI538" s="1982"/>
      <c r="AJ538" s="1982"/>
      <c r="AK538" s="1982"/>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102">
        <f>Application!AJ961</f>
        <v>102052519</v>
      </c>
      <c r="AQ539" s="2102"/>
      <c r="AR539" s="2102"/>
    </row>
    <row r="540" spans="1:49" s="585" customFormat="1" ht="12.75" customHeight="1">
      <c r="A540" s="533"/>
      <c r="B540" s="482" t="s">
        <v>1740</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62">
        <f>'Sources and Uses Budget'!S107+'Sources and Uses Budget'!T107</f>
        <v>84167708.173505157</v>
      </c>
      <c r="AG540" s="1962"/>
      <c r="AH540" s="1962"/>
      <c r="AI540" s="1962"/>
      <c r="AJ540" s="1962"/>
      <c r="AK540" s="630"/>
      <c r="AL540" s="630"/>
      <c r="AM540" s="630"/>
      <c r="AN540" s="632"/>
    </row>
    <row r="541" spans="1:49" s="585" customFormat="1" ht="12.75" customHeight="1">
      <c r="A541" s="660"/>
      <c r="B541" s="660" t="s">
        <v>1741</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07">
        <f>IFERROR(AP548,0)</f>
        <v>175530332.97999999</v>
      </c>
      <c r="AG541" s="2107"/>
      <c r="AH541" s="2107"/>
      <c r="AI541" s="2107"/>
      <c r="AJ541" s="2107"/>
      <c r="AK541" s="630"/>
      <c r="AL541" s="630"/>
      <c r="AM541" s="630"/>
      <c r="AN541" s="632"/>
      <c r="AP541" s="2102">
        <f>Application!AJ1010</f>
        <v>0</v>
      </c>
      <c r="AQ541" s="2102"/>
      <c r="AR541" s="2102"/>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08">
        <f>IFERROR(ROUNDDOWN(IF(C533="YES",((1-(AF540/AF541))*2),(1-(AF540/AF541))),2),0)</f>
        <v>1.04</v>
      </c>
      <c r="AG542" s="2108"/>
      <c r="AH542" s="2108"/>
      <c r="AI542" s="2108"/>
      <c r="AJ542" s="2108"/>
      <c r="AK542" s="630"/>
      <c r="AL542" s="630"/>
      <c r="AM542" s="630"/>
      <c r="AN542" s="632"/>
      <c r="AP542" s="2105">
        <f>Application!AJ1014</f>
        <v>42862057.979999997</v>
      </c>
      <c r="AQ542" s="2105"/>
      <c r="AR542" s="2105"/>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101">
        <f>IF(((AP541+AP542)/AP539)&gt;0.8,0.8,((AP541+AP542)/AP539))</f>
        <v>0.42</v>
      </c>
      <c r="AQ543" s="2101"/>
      <c r="AR543" s="2101"/>
    </row>
    <row r="544" spans="1:49" s="585" customFormat="1" ht="12.75" customHeight="1">
      <c r="A544" s="659"/>
      <c r="B544" s="2054" t="s">
        <v>2427</v>
      </c>
      <c r="C544" s="2055"/>
      <c r="D544" s="2055"/>
      <c r="E544" s="2055"/>
      <c r="F544" s="2055"/>
      <c r="G544" s="2055"/>
      <c r="H544" s="2055"/>
      <c r="I544" s="2055"/>
      <c r="J544" s="2055"/>
      <c r="K544" s="2055"/>
      <c r="L544" s="2055"/>
      <c r="M544" s="2055"/>
      <c r="N544" s="2055"/>
      <c r="O544" s="2055"/>
      <c r="P544" s="2055"/>
      <c r="Q544" s="2055"/>
      <c r="R544" s="2055"/>
      <c r="S544" s="2055"/>
      <c r="T544" s="2055"/>
      <c r="U544" s="2055"/>
      <c r="V544" s="2055"/>
      <c r="W544" s="2055"/>
      <c r="X544" s="2055"/>
      <c r="Y544" s="2055"/>
      <c r="Z544" s="2055"/>
      <c r="AA544" s="2055"/>
      <c r="AB544" s="2055"/>
      <c r="AC544" s="2055"/>
      <c r="AD544" s="2055"/>
      <c r="AE544" s="2055"/>
      <c r="AF544" s="2055"/>
      <c r="AG544" s="2055"/>
      <c r="AH544" s="2055"/>
      <c r="AI544" s="2055"/>
      <c r="AJ544" s="2056"/>
      <c r="AK544" s="630"/>
      <c r="AL544" s="630"/>
      <c r="AM544" s="630"/>
      <c r="AN544" s="632"/>
    </row>
    <row r="545" spans="1:44" s="585" customFormat="1" ht="12.75" customHeight="1">
      <c r="A545" s="659"/>
      <c r="B545" s="2057"/>
      <c r="C545" s="2058"/>
      <c r="D545" s="2058"/>
      <c r="E545" s="2058"/>
      <c r="F545" s="2058"/>
      <c r="G545" s="2058"/>
      <c r="H545" s="2058"/>
      <c r="I545" s="2058"/>
      <c r="J545" s="2058"/>
      <c r="K545" s="2058"/>
      <c r="L545" s="2058"/>
      <c r="M545" s="2058"/>
      <c r="N545" s="2058"/>
      <c r="O545" s="2058"/>
      <c r="P545" s="2058"/>
      <c r="Q545" s="2058"/>
      <c r="R545" s="2058"/>
      <c r="S545" s="2058"/>
      <c r="T545" s="2058"/>
      <c r="U545" s="2058"/>
      <c r="V545" s="2058"/>
      <c r="W545" s="2058"/>
      <c r="X545" s="2058"/>
      <c r="Y545" s="2058"/>
      <c r="Z545" s="2058"/>
      <c r="AA545" s="2058"/>
      <c r="AB545" s="2058"/>
      <c r="AC545" s="2058"/>
      <c r="AD545" s="2058"/>
      <c r="AE545" s="2058"/>
      <c r="AF545" s="2058"/>
      <c r="AG545" s="2058"/>
      <c r="AH545" s="2058"/>
      <c r="AI545" s="2058"/>
      <c r="AJ545" s="2059"/>
      <c r="AK545" s="630"/>
      <c r="AL545" s="630"/>
      <c r="AM545" s="630"/>
      <c r="AN545" s="632"/>
      <c r="AP545" s="2102">
        <f>AP546-AP541-AP542</f>
        <v>132668275</v>
      </c>
      <c r="AQ545" s="2011"/>
      <c r="AR545" s="2011"/>
    </row>
    <row r="546" spans="1:44" s="585" customFormat="1" ht="12.75" customHeight="1">
      <c r="A546" s="659"/>
      <c r="B546" s="2060"/>
      <c r="C546" s="2061"/>
      <c r="D546" s="2061"/>
      <c r="E546" s="2061"/>
      <c r="F546" s="2061"/>
      <c r="G546" s="2061"/>
      <c r="H546" s="2061"/>
      <c r="I546" s="2061"/>
      <c r="J546" s="2061"/>
      <c r="K546" s="2061"/>
      <c r="L546" s="2061"/>
      <c r="M546" s="2061"/>
      <c r="N546" s="2061"/>
      <c r="O546" s="2061"/>
      <c r="P546" s="2061"/>
      <c r="Q546" s="2061"/>
      <c r="R546" s="2061"/>
      <c r="S546" s="2061"/>
      <c r="T546" s="2061"/>
      <c r="U546" s="2061"/>
      <c r="V546" s="2061"/>
      <c r="W546" s="2061"/>
      <c r="X546" s="2061"/>
      <c r="Y546" s="2061"/>
      <c r="Z546" s="2061"/>
      <c r="AA546" s="2061"/>
      <c r="AB546" s="2061"/>
      <c r="AC546" s="2061"/>
      <c r="AD546" s="2061"/>
      <c r="AE546" s="2061"/>
      <c r="AF546" s="2061"/>
      <c r="AG546" s="2061"/>
      <c r="AH546" s="2061"/>
      <c r="AI546" s="2061"/>
      <c r="AJ546" s="2062"/>
      <c r="AK546" s="630"/>
      <c r="AL546" s="630"/>
      <c r="AM546" s="630"/>
      <c r="AN546" s="632"/>
      <c r="AP546" s="2102">
        <f>Application!AJ1018</f>
        <v>175530332.97999999</v>
      </c>
      <c r="AQ546" s="2102"/>
      <c r="AR546" s="2102"/>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1742</v>
      </c>
      <c r="AK548" s="2063">
        <f>IFERROR(IF(AND(C530="N/A",C533="N/A"),0,IF(AF542=0,0,IF((AF542*100)&gt;12,12,(AF542*100)))),0)</f>
        <v>12</v>
      </c>
      <c r="AL548" s="2063"/>
      <c r="AM548" s="2064"/>
      <c r="AN548" s="632"/>
      <c r="AP548" s="2118">
        <f>AP545+(AP539*AP543)</f>
        <v>175530332.97999999</v>
      </c>
      <c r="AQ548" s="2119"/>
      <c r="AR548" s="2120"/>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2417</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94" t="s">
        <v>1484</v>
      </c>
      <c r="AF551" s="1894"/>
      <c r="AG551" s="1894"/>
      <c r="AH551" s="1894"/>
      <c r="AI551" s="1894"/>
      <c r="AJ551" s="1894"/>
      <c r="AK551" s="1894"/>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79" t="s">
        <v>2418</v>
      </c>
      <c r="C553" s="1979"/>
      <c r="D553" s="1979"/>
      <c r="E553" s="1979"/>
      <c r="F553" s="1979"/>
      <c r="G553" s="1979"/>
      <c r="H553" s="1979"/>
      <c r="I553" s="1979"/>
      <c r="J553" s="1979"/>
      <c r="K553" s="1979"/>
      <c r="L553" s="1979"/>
      <c r="M553" s="1979"/>
      <c r="N553" s="1979"/>
      <c r="O553" s="1979"/>
      <c r="P553" s="1979"/>
      <c r="Q553" s="1979"/>
      <c r="R553" s="1979"/>
      <c r="S553" s="1979"/>
      <c r="T553" s="1979"/>
      <c r="U553" s="1979"/>
      <c r="V553" s="1979"/>
      <c r="W553" s="1979"/>
      <c r="X553" s="1979"/>
      <c r="Y553" s="1979"/>
      <c r="Z553" s="1979"/>
      <c r="AA553" s="1979"/>
      <c r="AB553" s="1979"/>
      <c r="AC553" s="1979"/>
      <c r="AD553" s="1979"/>
      <c r="AE553" s="1979"/>
      <c r="AF553" s="1979"/>
      <c r="AG553" s="1979"/>
      <c r="AH553" s="1979"/>
      <c r="AI553" s="1979"/>
      <c r="AJ553" s="1979"/>
      <c r="AK553" s="677"/>
      <c r="AL553" s="608"/>
      <c r="AM553" s="638"/>
      <c r="AN553" s="632"/>
    </row>
    <row r="554" spans="1:44" s="585" customFormat="1" ht="12.75" customHeight="1">
      <c r="A554" s="638"/>
      <c r="B554" s="1979"/>
      <c r="C554" s="1979"/>
      <c r="D554" s="1979"/>
      <c r="E554" s="1979"/>
      <c r="F554" s="1979"/>
      <c r="G554" s="1979"/>
      <c r="H554" s="1979"/>
      <c r="I554" s="1979"/>
      <c r="J554" s="1979"/>
      <c r="K554" s="1979"/>
      <c r="L554" s="1979"/>
      <c r="M554" s="1979"/>
      <c r="N554" s="1979"/>
      <c r="O554" s="1979"/>
      <c r="P554" s="1979"/>
      <c r="Q554" s="1979"/>
      <c r="R554" s="1979"/>
      <c r="S554" s="1979"/>
      <c r="T554" s="1979"/>
      <c r="U554" s="1979"/>
      <c r="V554" s="1979"/>
      <c r="W554" s="1979"/>
      <c r="X554" s="1979"/>
      <c r="Y554" s="1979"/>
      <c r="Z554" s="1979"/>
      <c r="AA554" s="1979"/>
      <c r="AB554" s="1979"/>
      <c r="AC554" s="1979"/>
      <c r="AD554" s="1979"/>
      <c r="AE554" s="1979"/>
      <c r="AF554" s="1979"/>
      <c r="AG554" s="1979"/>
      <c r="AH554" s="1979"/>
      <c r="AI554" s="1979"/>
      <c r="AJ554" s="1979"/>
      <c r="AK554" s="677"/>
      <c r="AL554" s="608"/>
      <c r="AM554" s="638"/>
      <c r="AN554" s="632"/>
    </row>
    <row r="555" spans="1:44" s="585" customFormat="1" ht="12.75" customHeight="1">
      <c r="A555" s="638"/>
      <c r="B555" s="1979"/>
      <c r="C555" s="1979"/>
      <c r="D555" s="1979"/>
      <c r="E555" s="1979"/>
      <c r="F555" s="1979"/>
      <c r="G555" s="1979"/>
      <c r="H555" s="1979"/>
      <c r="I555" s="1979"/>
      <c r="J555" s="1979"/>
      <c r="K555" s="1979"/>
      <c r="L555" s="1979"/>
      <c r="M555" s="1979"/>
      <c r="N555" s="1979"/>
      <c r="O555" s="1979"/>
      <c r="P555" s="1979"/>
      <c r="Q555" s="1979"/>
      <c r="R555" s="1979"/>
      <c r="S555" s="1979"/>
      <c r="T555" s="1979"/>
      <c r="U555" s="1979"/>
      <c r="V555" s="1979"/>
      <c r="W555" s="1979"/>
      <c r="X555" s="1979"/>
      <c r="Y555" s="1979"/>
      <c r="Z555" s="1979"/>
      <c r="AA555" s="1979"/>
      <c r="AB555" s="1979"/>
      <c r="AC555" s="1979"/>
      <c r="AD555" s="1979"/>
      <c r="AE555" s="1979"/>
      <c r="AF555" s="1979"/>
      <c r="AG555" s="1979"/>
      <c r="AH555" s="1979"/>
      <c r="AI555" s="1979"/>
      <c r="AJ555" s="1979"/>
      <c r="AK555" s="677"/>
      <c r="AL555" s="608"/>
      <c r="AM555" s="638"/>
      <c r="AN555" s="632"/>
    </row>
    <row r="556" spans="1:44" s="585" customFormat="1" ht="12.75" customHeight="1">
      <c r="A556" s="638"/>
      <c r="B556" s="1979"/>
      <c r="C556" s="1979"/>
      <c r="D556" s="1979"/>
      <c r="E556" s="1979"/>
      <c r="F556" s="1979"/>
      <c r="G556" s="1979"/>
      <c r="H556" s="1979"/>
      <c r="I556" s="1979"/>
      <c r="J556" s="1979"/>
      <c r="K556" s="1979"/>
      <c r="L556" s="1979"/>
      <c r="M556" s="1979"/>
      <c r="N556" s="1979"/>
      <c r="O556" s="1979"/>
      <c r="P556" s="1979"/>
      <c r="Q556" s="1979"/>
      <c r="R556" s="1979"/>
      <c r="S556" s="1979"/>
      <c r="T556" s="1979"/>
      <c r="U556" s="1979"/>
      <c r="V556" s="1979"/>
      <c r="W556" s="1979"/>
      <c r="X556" s="1979"/>
      <c r="Y556" s="1979"/>
      <c r="Z556" s="1979"/>
      <c r="AA556" s="1979"/>
      <c r="AB556" s="1979"/>
      <c r="AC556" s="1979"/>
      <c r="AD556" s="1979"/>
      <c r="AE556" s="1979"/>
      <c r="AF556" s="1979"/>
      <c r="AG556" s="1979"/>
      <c r="AH556" s="1979"/>
      <c r="AI556" s="1979"/>
      <c r="AJ556" s="1979"/>
      <c r="AK556" s="677"/>
      <c r="AL556" s="608"/>
      <c r="AM556" s="638"/>
      <c r="AN556" s="632"/>
    </row>
    <row r="557" spans="1:44" s="585" customFormat="1" ht="12.75" customHeight="1">
      <c r="A557" s="638"/>
      <c r="B557" s="1979"/>
      <c r="C557" s="1979"/>
      <c r="D557" s="1979"/>
      <c r="E557" s="1979"/>
      <c r="F557" s="1979"/>
      <c r="G557" s="1979"/>
      <c r="H557" s="1979"/>
      <c r="I557" s="1979"/>
      <c r="J557" s="1979"/>
      <c r="K557" s="1979"/>
      <c r="L557" s="1979"/>
      <c r="M557" s="1979"/>
      <c r="N557" s="1979"/>
      <c r="O557" s="1979"/>
      <c r="P557" s="1979"/>
      <c r="Q557" s="1979"/>
      <c r="R557" s="1979"/>
      <c r="S557" s="1979"/>
      <c r="T557" s="1979"/>
      <c r="U557" s="1979"/>
      <c r="V557" s="1979"/>
      <c r="W557" s="1979"/>
      <c r="X557" s="1979"/>
      <c r="Y557" s="1979"/>
      <c r="Z557" s="1979"/>
      <c r="AA557" s="1979"/>
      <c r="AB557" s="1979"/>
      <c r="AC557" s="1979"/>
      <c r="AD557" s="1979"/>
      <c r="AE557" s="1979"/>
      <c r="AF557" s="1979"/>
      <c r="AG557" s="1979"/>
      <c r="AH557" s="1979"/>
      <c r="AI557" s="1979"/>
      <c r="AJ557" s="1979"/>
      <c r="AK557" s="677"/>
      <c r="AL557" s="608"/>
      <c r="AM557" s="638"/>
      <c r="AN557" s="632"/>
    </row>
    <row r="558" spans="1:44" s="585" customFormat="1" ht="12.75" customHeight="1">
      <c r="A558" s="638"/>
      <c r="B558" s="1979"/>
      <c r="C558" s="1979"/>
      <c r="D558" s="1979"/>
      <c r="E558" s="1979"/>
      <c r="F558" s="1979"/>
      <c r="G558" s="1979"/>
      <c r="H558" s="1979"/>
      <c r="I558" s="1979"/>
      <c r="J558" s="1979"/>
      <c r="K558" s="1979"/>
      <c r="L558" s="1979"/>
      <c r="M558" s="1979"/>
      <c r="N558" s="1979"/>
      <c r="O558" s="1979"/>
      <c r="P558" s="1979"/>
      <c r="Q558" s="1979"/>
      <c r="R558" s="1979"/>
      <c r="S558" s="1979"/>
      <c r="T558" s="1979"/>
      <c r="U558" s="1979"/>
      <c r="V558" s="1979"/>
      <c r="W558" s="1979"/>
      <c r="X558" s="1979"/>
      <c r="Y558" s="1979"/>
      <c r="Z558" s="1979"/>
      <c r="AA558" s="1979"/>
      <c r="AB558" s="1979"/>
      <c r="AC558" s="1979"/>
      <c r="AD558" s="1979"/>
      <c r="AE558" s="1979"/>
      <c r="AF558" s="1979"/>
      <c r="AG558" s="1979"/>
      <c r="AH558" s="1979"/>
      <c r="AI558" s="1979"/>
      <c r="AJ558" s="1979"/>
      <c r="AK558" s="677"/>
      <c r="AL558" s="608"/>
      <c r="AM558" s="638"/>
      <c r="AN558" s="632"/>
    </row>
    <row r="559" spans="1:44" s="585" customFormat="1" ht="12.75" customHeight="1">
      <c r="A559" s="638"/>
      <c r="B559" s="1979"/>
      <c r="C559" s="1979"/>
      <c r="D559" s="1979"/>
      <c r="E559" s="1979"/>
      <c r="F559" s="1979"/>
      <c r="G559" s="1979"/>
      <c r="H559" s="1979"/>
      <c r="I559" s="1979"/>
      <c r="J559" s="1979"/>
      <c r="K559" s="1979"/>
      <c r="L559" s="1979"/>
      <c r="M559" s="1979"/>
      <c r="N559" s="1979"/>
      <c r="O559" s="1979"/>
      <c r="P559" s="1979"/>
      <c r="Q559" s="1979"/>
      <c r="R559" s="1979"/>
      <c r="S559" s="1979"/>
      <c r="T559" s="1979"/>
      <c r="U559" s="1979"/>
      <c r="V559" s="1979"/>
      <c r="W559" s="1979"/>
      <c r="X559" s="1979"/>
      <c r="Y559" s="1979"/>
      <c r="Z559" s="1979"/>
      <c r="AA559" s="1979"/>
      <c r="AB559" s="1979"/>
      <c r="AC559" s="1979"/>
      <c r="AD559" s="1979"/>
      <c r="AE559" s="1979"/>
      <c r="AF559" s="1979"/>
      <c r="AG559" s="1979"/>
      <c r="AH559" s="1979"/>
      <c r="AI559" s="1979"/>
      <c r="AJ559" s="1979"/>
      <c r="AK559" s="677"/>
      <c r="AL559" s="608"/>
      <c r="AM559" s="638"/>
      <c r="AN559" s="632"/>
    </row>
    <row r="560" spans="1:44" ht="12.75" customHeight="1">
      <c r="A560" s="638"/>
      <c r="B560" s="1979"/>
      <c r="C560" s="1979"/>
      <c r="D560" s="1979"/>
      <c r="E560" s="1979"/>
      <c r="F560" s="1979"/>
      <c r="G560" s="1979"/>
      <c r="H560" s="1979"/>
      <c r="I560" s="1979"/>
      <c r="J560" s="1979"/>
      <c r="K560" s="1979"/>
      <c r="L560" s="1979"/>
      <c r="M560" s="1979"/>
      <c r="N560" s="1979"/>
      <c r="O560" s="1979"/>
      <c r="P560" s="1979"/>
      <c r="Q560" s="1979"/>
      <c r="R560" s="1979"/>
      <c r="S560" s="1979"/>
      <c r="T560" s="1979"/>
      <c r="U560" s="1979"/>
      <c r="V560" s="1979"/>
      <c r="W560" s="1979"/>
      <c r="X560" s="1979"/>
      <c r="Y560" s="1979"/>
      <c r="Z560" s="1979"/>
      <c r="AA560" s="1979"/>
      <c r="AB560" s="1979"/>
      <c r="AC560" s="1979"/>
      <c r="AD560" s="1979"/>
      <c r="AE560" s="1979"/>
      <c r="AF560" s="1979"/>
      <c r="AG560" s="1979"/>
      <c r="AH560" s="1979"/>
      <c r="AI560" s="1979"/>
      <c r="AJ560" s="1979"/>
      <c r="AK560" s="677"/>
      <c r="AL560" s="608"/>
      <c r="AM560" s="638"/>
    </row>
    <row r="561" spans="1:42" s="585" customFormat="1" ht="12.75" customHeight="1">
      <c r="B561" s="1979"/>
      <c r="C561" s="1979"/>
      <c r="D561" s="1979"/>
      <c r="E561" s="1979"/>
      <c r="F561" s="1979"/>
      <c r="G561" s="1979"/>
      <c r="H561" s="1979"/>
      <c r="I561" s="1979"/>
      <c r="J561" s="1979"/>
      <c r="K561" s="1979"/>
      <c r="L561" s="1979"/>
      <c r="M561" s="1979"/>
      <c r="N561" s="1979"/>
      <c r="O561" s="1979"/>
      <c r="P561" s="1979"/>
      <c r="Q561" s="1979"/>
      <c r="R561" s="1979"/>
      <c r="S561" s="1979"/>
      <c r="T561" s="1979"/>
      <c r="U561" s="1979"/>
      <c r="V561" s="1979"/>
      <c r="W561" s="1979"/>
      <c r="X561" s="1979"/>
      <c r="Y561" s="1979"/>
      <c r="Z561" s="1979"/>
      <c r="AA561" s="1979"/>
      <c r="AB561" s="1979"/>
      <c r="AC561" s="1979"/>
      <c r="AD561" s="1979"/>
      <c r="AE561" s="1979"/>
      <c r="AF561" s="1979"/>
      <c r="AG561" s="1979"/>
      <c r="AH561" s="1979"/>
      <c r="AI561" s="1979"/>
      <c r="AJ561" s="1979"/>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1564</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1565</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1956</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26" t="s">
        <v>1508</v>
      </c>
      <c r="AG567" s="1926"/>
      <c r="AH567" s="1926"/>
      <c r="AI567" s="1926"/>
      <c r="AJ567" s="1926"/>
      <c r="AK567" s="1926"/>
      <c r="AL567" s="1926"/>
      <c r="AN567" s="632"/>
    </row>
    <row r="568" spans="1:42" s="585" customFormat="1" ht="12.75" customHeight="1">
      <c r="B568" s="571"/>
      <c r="C568" s="651"/>
      <c r="D568" s="698"/>
      <c r="E568" s="874" t="s">
        <v>1957</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1958</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1959</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1960</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1961</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1962</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26" t="s">
        <v>1566</v>
      </c>
      <c r="AG574" s="1926"/>
      <c r="AH574" s="1926"/>
      <c r="AI574" s="1926"/>
      <c r="AJ574" s="1926"/>
      <c r="AK574" s="1926"/>
      <c r="AL574" s="1926"/>
      <c r="AN574" s="632"/>
    </row>
    <row r="575" spans="1:42" s="585" customFormat="1" ht="12.75" customHeight="1">
      <c r="B575" s="571"/>
      <c r="C575" s="970"/>
      <c r="D575" s="698"/>
      <c r="E575" s="874" t="s">
        <v>1963</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1964</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1966</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1965</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1567</v>
      </c>
      <c r="AP579" s="585">
        <v>4</v>
      </c>
    </row>
    <row r="580" spans="1:53" s="585" customFormat="1" ht="12.75" customHeight="1">
      <c r="B580" s="571"/>
      <c r="C580" s="968"/>
      <c r="D580" s="698" t="s">
        <v>280</v>
      </c>
      <c r="E580" s="874" t="s">
        <v>1967</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26" t="s">
        <v>1548</v>
      </c>
      <c r="AG580" s="1926"/>
      <c r="AH580" s="1926"/>
      <c r="AI580" s="1926"/>
      <c r="AJ580" s="1926"/>
      <c r="AK580" s="1926"/>
      <c r="AL580" s="1926"/>
      <c r="AN580" s="632"/>
      <c r="AO580" s="646" t="s">
        <v>1568</v>
      </c>
      <c r="AP580" s="585">
        <v>3</v>
      </c>
    </row>
    <row r="581" spans="1:53" s="585" customFormat="1" ht="12.75" customHeight="1">
      <c r="B581" s="571"/>
      <c r="C581" s="970"/>
      <c r="D581" s="698"/>
      <c r="E581" s="874" t="s">
        <v>1963</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1964</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1966</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1965</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1567</v>
      </c>
      <c r="E586" s="874" t="s">
        <v>1968</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26" t="s">
        <v>1569</v>
      </c>
      <c r="AG586" s="1926"/>
      <c r="AH586" s="1926"/>
      <c r="AI586" s="1926"/>
      <c r="AJ586" s="1926"/>
      <c r="AK586" s="1926"/>
      <c r="AL586" s="1926"/>
      <c r="AN586" s="632"/>
      <c r="AO586" s="585" t="str">
        <f>X623</f>
        <v>N/A</v>
      </c>
    </row>
    <row r="587" spans="1:53" s="585" customFormat="1" ht="12.75" customHeight="1">
      <c r="B587" s="571"/>
      <c r="C587" s="970"/>
      <c r="D587" s="698"/>
      <c r="E587" s="874" t="s">
        <v>1969</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1970</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2128</v>
      </c>
      <c r="O590" s="2010" t="s">
        <v>1325</v>
      </c>
      <c r="P590" s="2010"/>
      <c r="Q590" s="2010"/>
      <c r="R590" s="2010"/>
      <c r="S590" s="2010"/>
      <c r="T590" s="2010"/>
      <c r="U590" s="2010"/>
      <c r="V590" s="2010"/>
      <c r="W590" s="2010"/>
      <c r="X590" s="2010"/>
      <c r="Y590" s="2010"/>
      <c r="Z590" s="2010"/>
      <c r="AA590" s="2010"/>
      <c r="AB590" s="2010"/>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1568</v>
      </c>
      <c r="E592" s="874" t="s">
        <v>1972</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26" t="s">
        <v>1522</v>
      </c>
      <c r="AG592" s="1926"/>
      <c r="AH592" s="1926"/>
      <c r="AI592" s="1926"/>
      <c r="AJ592" s="1926"/>
      <c r="AK592" s="1926"/>
      <c r="AL592" s="1926"/>
      <c r="AN592" s="632"/>
    </row>
    <row r="593" spans="2:47" s="585" customFormat="1" ht="12.75" customHeight="1">
      <c r="B593" s="571"/>
      <c r="C593" s="968"/>
      <c r="D593" s="698"/>
      <c r="E593" s="874" t="s">
        <v>1971</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1570</v>
      </c>
      <c r="E595" s="973"/>
      <c r="F595" s="973"/>
      <c r="G595" s="973"/>
      <c r="H595" s="2008" t="s">
        <v>697</v>
      </c>
      <c r="I595" s="2008"/>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1973</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1974</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1975</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1976</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1570</v>
      </c>
      <c r="F603" s="973"/>
      <c r="G603" s="973"/>
      <c r="I603" s="2009" t="s">
        <v>600</v>
      </c>
      <c r="J603" s="2009"/>
      <c r="K603" s="2009"/>
      <c r="L603" s="2009"/>
      <c r="M603" s="2009"/>
      <c r="N603" s="2009"/>
      <c r="O603" s="2009"/>
      <c r="P603" s="2009"/>
      <c r="Q603" s="2009"/>
      <c r="R603" s="2009"/>
      <c r="S603" s="2009"/>
      <c r="T603" s="2009"/>
      <c r="U603" s="2009"/>
      <c r="V603" s="2009"/>
      <c r="W603" s="2009"/>
      <c r="X603" s="2009"/>
      <c r="Y603" s="2009"/>
      <c r="Z603" s="2009"/>
      <c r="AA603" s="2009"/>
      <c r="AB603" s="2009"/>
      <c r="AC603" s="2009"/>
      <c r="AD603" s="2009"/>
      <c r="AE603" s="2009"/>
      <c r="AF603" s="571"/>
      <c r="AG603" s="571"/>
      <c r="AH603" s="571"/>
      <c r="AI603" s="571"/>
      <c r="AJ603" s="571"/>
      <c r="AK603" s="571"/>
      <c r="AL603" s="571"/>
      <c r="AN603" s="632"/>
      <c r="AO603" s="585" t="s">
        <v>1571</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1572</v>
      </c>
      <c r="AP604" s="585">
        <v>2</v>
      </c>
    </row>
    <row r="605" spans="2:47" s="585" customFormat="1" ht="12.75" customHeight="1">
      <c r="B605" s="1953" t="s">
        <v>600</v>
      </c>
      <c r="C605" s="1953"/>
      <c r="D605" s="677"/>
      <c r="E605" s="1979" t="s">
        <v>1573</v>
      </c>
      <c r="F605" s="1979"/>
      <c r="G605" s="1979"/>
      <c r="H605" s="1979"/>
      <c r="I605" s="1979"/>
      <c r="J605" s="1979"/>
      <c r="K605" s="1979"/>
      <c r="L605" s="1979"/>
      <c r="M605" s="1979"/>
      <c r="N605" s="1979"/>
      <c r="O605" s="1979"/>
      <c r="P605" s="1979"/>
      <c r="Q605" s="1979"/>
      <c r="R605" s="1979"/>
      <c r="S605" s="1979"/>
      <c r="T605" s="1979"/>
      <c r="U605" s="1979"/>
      <c r="V605" s="1979"/>
      <c r="W605" s="1979"/>
      <c r="X605" s="1979"/>
      <c r="Y605" s="1979"/>
      <c r="Z605" s="1979"/>
      <c r="AA605" s="1979"/>
      <c r="AB605" s="1979"/>
      <c r="AC605" s="1979"/>
      <c r="AD605" s="1979"/>
      <c r="AE605" s="1979"/>
      <c r="AF605" s="1979"/>
      <c r="AG605" s="1979"/>
      <c r="AH605" s="677"/>
      <c r="AI605" s="677"/>
      <c r="AJ605" s="677"/>
      <c r="AK605" s="677"/>
      <c r="AL605" s="677"/>
      <c r="AN605" s="632"/>
    </row>
    <row r="606" spans="2:47" s="585" customFormat="1" ht="12.75" customHeight="1">
      <c r="B606" s="571"/>
      <c r="C606" s="970"/>
      <c r="D606" s="677"/>
      <c r="E606" s="1979"/>
      <c r="F606" s="1979"/>
      <c r="G606" s="1979"/>
      <c r="H606" s="1979"/>
      <c r="I606" s="1979"/>
      <c r="J606" s="1979"/>
      <c r="K606" s="1979"/>
      <c r="L606" s="1979"/>
      <c r="M606" s="1979"/>
      <c r="N606" s="1979"/>
      <c r="O606" s="1979"/>
      <c r="P606" s="1979"/>
      <c r="Q606" s="1979"/>
      <c r="R606" s="1979"/>
      <c r="S606" s="1979"/>
      <c r="T606" s="1979"/>
      <c r="U606" s="1979"/>
      <c r="V606" s="1979"/>
      <c r="W606" s="1979"/>
      <c r="X606" s="1979"/>
      <c r="Y606" s="1979"/>
      <c r="Z606" s="1979"/>
      <c r="AA606" s="1979"/>
      <c r="AB606" s="1979"/>
      <c r="AC606" s="1979"/>
      <c r="AD606" s="1979"/>
      <c r="AE606" s="1979"/>
      <c r="AF606" s="1979"/>
      <c r="AG606" s="1979"/>
      <c r="AH606" s="677"/>
      <c r="AI606" s="677"/>
      <c r="AJ606" s="677"/>
      <c r="AK606" s="677"/>
      <c r="AL606" s="677"/>
      <c r="AN606" s="632"/>
    </row>
    <row r="607" spans="2:47" s="585" customFormat="1" ht="12.75" customHeight="1">
      <c r="B607" s="571"/>
      <c r="C607" s="970"/>
      <c r="D607" s="677"/>
      <c r="E607" s="1979"/>
      <c r="F607" s="1979"/>
      <c r="G607" s="1979"/>
      <c r="H607" s="1979"/>
      <c r="I607" s="1979"/>
      <c r="J607" s="1979"/>
      <c r="K607" s="1979"/>
      <c r="L607" s="1979"/>
      <c r="M607" s="1979"/>
      <c r="N607" s="1979"/>
      <c r="O607" s="1979"/>
      <c r="P607" s="1979"/>
      <c r="Q607" s="1979"/>
      <c r="R607" s="1979"/>
      <c r="S607" s="1979"/>
      <c r="T607" s="1979"/>
      <c r="U607" s="1979"/>
      <c r="V607" s="1979"/>
      <c r="W607" s="1979"/>
      <c r="X607" s="1979"/>
      <c r="Y607" s="1979"/>
      <c r="Z607" s="1979"/>
      <c r="AA607" s="1979"/>
      <c r="AB607" s="1979"/>
      <c r="AC607" s="1979"/>
      <c r="AD607" s="1979"/>
      <c r="AE607" s="1979"/>
      <c r="AF607" s="1979"/>
      <c r="AG607" s="1979"/>
      <c r="AH607" s="677"/>
      <c r="AI607" s="677"/>
      <c r="AJ607" s="677"/>
      <c r="AK607" s="677"/>
      <c r="AL607" s="677"/>
      <c r="AN607" s="632"/>
    </row>
    <row r="608" spans="2:47" s="585" customFormat="1" ht="12.75" customHeight="1">
      <c r="B608" s="571"/>
      <c r="C608" s="970"/>
      <c r="D608" s="677"/>
      <c r="E608" s="1979"/>
      <c r="F608" s="1979"/>
      <c r="G608" s="1979"/>
      <c r="H608" s="1979"/>
      <c r="I608" s="1979"/>
      <c r="J608" s="1979"/>
      <c r="K608" s="1979"/>
      <c r="L608" s="1979"/>
      <c r="M608" s="1979"/>
      <c r="N608" s="1979"/>
      <c r="O608" s="1979"/>
      <c r="P608" s="1979"/>
      <c r="Q608" s="1979"/>
      <c r="R608" s="1979"/>
      <c r="S608" s="1979"/>
      <c r="T608" s="1979"/>
      <c r="U608" s="1979"/>
      <c r="V608" s="1979"/>
      <c r="W608" s="1979"/>
      <c r="X608" s="1979"/>
      <c r="Y608" s="1979"/>
      <c r="Z608" s="1979"/>
      <c r="AA608" s="1979"/>
      <c r="AB608" s="1979"/>
      <c r="AC608" s="1979"/>
      <c r="AD608" s="1979"/>
      <c r="AE608" s="1979"/>
      <c r="AF608" s="1979"/>
      <c r="AG608" s="1979"/>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1574</v>
      </c>
      <c r="AJ610" s="1959">
        <f>VLOOKUP($H$595,$AO$575:$AP$580,2,FALSE)+VLOOKUP($I$603,$AO$602:$AP$604,2,FALSE)</f>
        <v>7</v>
      </c>
      <c r="AK610" s="1961"/>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1575</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07" t="s">
        <v>1952</v>
      </c>
      <c r="F614" s="2007"/>
      <c r="G614" s="2007"/>
      <c r="H614" s="2007"/>
      <c r="I614" s="2007"/>
      <c r="J614" s="2007"/>
      <c r="K614" s="2007"/>
      <c r="L614" s="2007"/>
      <c r="M614" s="2007"/>
      <c r="N614" s="2007"/>
      <c r="O614" s="2007"/>
      <c r="P614" s="2007"/>
      <c r="Q614" s="2007"/>
      <c r="R614" s="2007"/>
      <c r="S614" s="2007"/>
      <c r="T614" s="2007"/>
      <c r="U614" s="2007"/>
      <c r="V614" s="2007"/>
      <c r="W614" s="2007"/>
      <c r="X614" s="2007"/>
      <c r="Y614" s="2007"/>
      <c r="Z614" s="2007"/>
      <c r="AA614" s="2007"/>
      <c r="AB614" s="2007"/>
      <c r="AC614" s="2007"/>
      <c r="AD614" s="2007"/>
      <c r="AE614" s="574"/>
      <c r="AF614" s="1926" t="s">
        <v>1522</v>
      </c>
      <c r="AG614" s="1926"/>
      <c r="AH614" s="1926"/>
      <c r="AI614" s="1926"/>
      <c r="AJ614" s="1926"/>
      <c r="AK614" s="1926"/>
      <c r="AL614" s="1926"/>
      <c r="AM614" s="585"/>
      <c r="AN614" s="713"/>
    </row>
    <row r="615" spans="1:42" s="585" customFormat="1" ht="12.75" customHeight="1">
      <c r="A615" s="714"/>
      <c r="B615" s="571"/>
      <c r="C615" s="970"/>
      <c r="D615" s="698"/>
      <c r="E615" s="2007"/>
      <c r="F615" s="2007"/>
      <c r="G615" s="2007"/>
      <c r="H615" s="2007"/>
      <c r="I615" s="2007"/>
      <c r="J615" s="2007"/>
      <c r="K615" s="2007"/>
      <c r="L615" s="2007"/>
      <c r="M615" s="2007"/>
      <c r="N615" s="2007"/>
      <c r="O615" s="2007"/>
      <c r="P615" s="2007"/>
      <c r="Q615" s="2007"/>
      <c r="R615" s="2007"/>
      <c r="S615" s="2007"/>
      <c r="T615" s="2007"/>
      <c r="U615" s="2007"/>
      <c r="V615" s="2007"/>
      <c r="W615" s="2007"/>
      <c r="X615" s="2007"/>
      <c r="Y615" s="2007"/>
      <c r="Z615" s="2007"/>
      <c r="AA615" s="2007"/>
      <c r="AB615" s="2007"/>
      <c r="AC615" s="2007"/>
      <c r="AD615" s="2007"/>
      <c r="AE615" s="571"/>
      <c r="AF615" s="571"/>
      <c r="AG615" s="571"/>
      <c r="AH615" s="571"/>
      <c r="AI615" s="571"/>
      <c r="AJ615" s="571"/>
      <c r="AK615" s="571"/>
      <c r="AL615" s="571"/>
      <c r="AN615" s="632"/>
    </row>
    <row r="616" spans="1:42" s="585" customFormat="1" ht="12.75" customHeight="1">
      <c r="B616" s="571"/>
      <c r="C616" s="968"/>
      <c r="D616" s="698"/>
      <c r="E616" s="2007"/>
      <c r="F616" s="2007"/>
      <c r="G616" s="2007"/>
      <c r="H616" s="2007"/>
      <c r="I616" s="2007"/>
      <c r="J616" s="2007"/>
      <c r="K616" s="2007"/>
      <c r="L616" s="2007"/>
      <c r="M616" s="2007"/>
      <c r="N616" s="2007"/>
      <c r="O616" s="2007"/>
      <c r="P616" s="2007"/>
      <c r="Q616" s="2007"/>
      <c r="R616" s="2007"/>
      <c r="S616" s="2007"/>
      <c r="T616" s="2007"/>
      <c r="U616" s="2007"/>
      <c r="V616" s="2007"/>
      <c r="W616" s="2007"/>
      <c r="X616" s="2007"/>
      <c r="Y616" s="2007"/>
      <c r="Z616" s="2007"/>
      <c r="AA616" s="2007"/>
      <c r="AB616" s="2007"/>
      <c r="AC616" s="2007"/>
      <c r="AD616" s="2007"/>
      <c r="AE616" s="571"/>
      <c r="AF616" s="571"/>
      <c r="AG616" s="571"/>
      <c r="AH616" s="571"/>
      <c r="AI616" s="571"/>
      <c r="AJ616" s="571"/>
      <c r="AK616" s="571"/>
      <c r="AL616" s="571"/>
      <c r="AN616" s="632"/>
    </row>
    <row r="617" spans="1:42" s="585" customFormat="1" ht="12.75" customHeight="1">
      <c r="B617" s="571"/>
      <c r="C617" s="968"/>
      <c r="D617" s="698"/>
      <c r="E617" s="2007"/>
      <c r="F617" s="2007"/>
      <c r="G617" s="2007"/>
      <c r="H617" s="2007"/>
      <c r="I617" s="2007"/>
      <c r="J617" s="2007"/>
      <c r="K617" s="2007"/>
      <c r="L617" s="2007"/>
      <c r="M617" s="2007"/>
      <c r="N617" s="2007"/>
      <c r="O617" s="2007"/>
      <c r="P617" s="2007"/>
      <c r="Q617" s="2007"/>
      <c r="R617" s="2007"/>
      <c r="S617" s="2007"/>
      <c r="T617" s="2007"/>
      <c r="U617" s="2007"/>
      <c r="V617" s="2007"/>
      <c r="W617" s="2007"/>
      <c r="X617" s="2007"/>
      <c r="Y617" s="2007"/>
      <c r="Z617" s="2007"/>
      <c r="AA617" s="2007"/>
      <c r="AB617" s="2007"/>
      <c r="AC617" s="2007"/>
      <c r="AD617" s="2007"/>
      <c r="AE617" s="571"/>
      <c r="AF617" s="571"/>
      <c r="AG617" s="571"/>
      <c r="AH617" s="571"/>
      <c r="AI617" s="571"/>
      <c r="AJ617" s="571"/>
      <c r="AK617" s="571"/>
      <c r="AL617" s="571"/>
      <c r="AN617" s="632"/>
    </row>
    <row r="618" spans="1:42" s="585" customFormat="1" ht="12.75" customHeight="1">
      <c r="B618" s="571"/>
      <c r="C618" s="968"/>
      <c r="D618" s="698"/>
      <c r="E618" s="2007"/>
      <c r="F618" s="2007"/>
      <c r="G618" s="2007"/>
      <c r="H618" s="2007"/>
      <c r="I618" s="2007"/>
      <c r="J618" s="2007"/>
      <c r="K618" s="2007"/>
      <c r="L618" s="2007"/>
      <c r="M618" s="2007"/>
      <c r="N618" s="2007"/>
      <c r="O618" s="2007"/>
      <c r="P618" s="2007"/>
      <c r="Q618" s="2007"/>
      <c r="R618" s="2007"/>
      <c r="S618" s="2007"/>
      <c r="T618" s="2007"/>
      <c r="U618" s="2007"/>
      <c r="V618" s="2007"/>
      <c r="W618" s="2007"/>
      <c r="X618" s="2007"/>
      <c r="Y618" s="2007"/>
      <c r="Z618" s="2007"/>
      <c r="AA618" s="2007"/>
      <c r="AB618" s="2007"/>
      <c r="AC618" s="2007"/>
      <c r="AD618" s="2007"/>
      <c r="AE618" s="571"/>
      <c r="AF618" s="571"/>
      <c r="AG618" s="571"/>
      <c r="AH618" s="571"/>
      <c r="AI618" s="571"/>
      <c r="AJ618" s="571"/>
      <c r="AK618" s="571"/>
      <c r="AL618" s="571"/>
      <c r="AN618" s="632"/>
    </row>
    <row r="619" spans="1:42" s="585" customFormat="1" ht="12.75" customHeight="1">
      <c r="B619" s="571"/>
      <c r="C619" s="968"/>
      <c r="D619" s="698"/>
      <c r="E619" s="2007"/>
      <c r="F619" s="2007"/>
      <c r="G619" s="2007"/>
      <c r="H619" s="2007"/>
      <c r="I619" s="2007"/>
      <c r="J619" s="2007"/>
      <c r="K619" s="2007"/>
      <c r="L619" s="2007"/>
      <c r="M619" s="2007"/>
      <c r="N619" s="2007"/>
      <c r="O619" s="2007"/>
      <c r="P619" s="2007"/>
      <c r="Q619" s="2007"/>
      <c r="R619" s="2007"/>
      <c r="S619" s="2007"/>
      <c r="T619" s="2007"/>
      <c r="U619" s="2007"/>
      <c r="V619" s="2007"/>
      <c r="W619" s="2007"/>
      <c r="X619" s="2007"/>
      <c r="Y619" s="2007"/>
      <c r="Z619" s="2007"/>
      <c r="AA619" s="2007"/>
      <c r="AB619" s="2007"/>
      <c r="AC619" s="2007"/>
      <c r="AD619" s="2007"/>
      <c r="AE619" s="571"/>
      <c r="AF619" s="571"/>
      <c r="AG619" s="571"/>
      <c r="AH619" s="571"/>
      <c r="AI619" s="571"/>
      <c r="AJ619" s="571"/>
      <c r="AK619" s="571"/>
      <c r="AL619" s="571"/>
      <c r="AN619" s="632"/>
    </row>
    <row r="620" spans="1:42" s="585" customFormat="1" ht="12.75" customHeight="1">
      <c r="A620" s="672"/>
      <c r="B620" s="651"/>
      <c r="C620" s="977"/>
      <c r="D620" s="698"/>
      <c r="E620" s="2007"/>
      <c r="F620" s="2007"/>
      <c r="G620" s="2007"/>
      <c r="H620" s="2007"/>
      <c r="I620" s="2007"/>
      <c r="J620" s="2007"/>
      <c r="K620" s="2007"/>
      <c r="L620" s="2007"/>
      <c r="M620" s="2007"/>
      <c r="N620" s="2007"/>
      <c r="O620" s="2007"/>
      <c r="P620" s="2007"/>
      <c r="Q620" s="2007"/>
      <c r="R620" s="2007"/>
      <c r="S620" s="2007"/>
      <c r="T620" s="2007"/>
      <c r="U620" s="2007"/>
      <c r="V620" s="2007"/>
      <c r="W620" s="2007"/>
      <c r="X620" s="2007"/>
      <c r="Y620" s="2007"/>
      <c r="Z620" s="2007"/>
      <c r="AA620" s="2007"/>
      <c r="AB620" s="2007"/>
      <c r="AC620" s="2007"/>
      <c r="AD620" s="2007"/>
      <c r="AE620" s="651"/>
      <c r="AF620" s="651"/>
      <c r="AG620" s="651"/>
      <c r="AH620" s="651"/>
      <c r="AI620" s="651"/>
      <c r="AJ620" s="651"/>
      <c r="AK620" s="571"/>
      <c r="AL620" s="571"/>
      <c r="AN620" s="632"/>
    </row>
    <row r="621" spans="1:42" s="585" customFormat="1" ht="12.75" customHeight="1">
      <c r="B621" s="651"/>
      <c r="C621" s="977"/>
      <c r="D621" s="698"/>
      <c r="E621" s="2007"/>
      <c r="F621" s="2007"/>
      <c r="G621" s="2007"/>
      <c r="H621" s="2007"/>
      <c r="I621" s="2007"/>
      <c r="J621" s="2007"/>
      <c r="K621" s="2007"/>
      <c r="L621" s="2007"/>
      <c r="M621" s="2007"/>
      <c r="N621" s="2007"/>
      <c r="O621" s="2007"/>
      <c r="P621" s="2007"/>
      <c r="Q621" s="2007"/>
      <c r="R621" s="2007"/>
      <c r="S621" s="2007"/>
      <c r="T621" s="2007"/>
      <c r="U621" s="2007"/>
      <c r="V621" s="2007"/>
      <c r="W621" s="2007"/>
      <c r="X621" s="2007"/>
      <c r="Y621" s="2007"/>
      <c r="Z621" s="2007"/>
      <c r="AA621" s="2007"/>
      <c r="AB621" s="2007"/>
      <c r="AC621" s="2007"/>
      <c r="AD621" s="2007"/>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1576</v>
      </c>
      <c r="F623" s="978"/>
      <c r="G623" s="978"/>
      <c r="H623" s="978"/>
      <c r="I623" s="978"/>
      <c r="J623" s="978"/>
      <c r="K623" s="978"/>
      <c r="L623" s="978"/>
      <c r="M623" s="978"/>
      <c r="N623" s="978"/>
      <c r="O623" s="978"/>
      <c r="P623" s="978"/>
      <c r="Q623" s="978"/>
      <c r="R623" s="978"/>
      <c r="U623" s="978"/>
      <c r="V623" s="978"/>
      <c r="W623" s="978"/>
      <c r="X623" s="1953" t="s">
        <v>600</v>
      </c>
      <c r="Y623" s="1953"/>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1577</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26" t="s">
        <v>1578</v>
      </c>
      <c r="AG625" s="1926"/>
      <c r="AH625" s="1926"/>
      <c r="AI625" s="1926"/>
      <c r="AJ625" s="1926"/>
      <c r="AK625" s="1926"/>
      <c r="AL625" s="1926"/>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1567</v>
      </c>
      <c r="AP626" s="715">
        <v>4</v>
      </c>
    </row>
    <row r="627" spans="1:42" s="585" customFormat="1" ht="12.75" customHeight="1">
      <c r="B627" s="571"/>
      <c r="C627" s="968"/>
      <c r="D627" s="571" t="s">
        <v>1570</v>
      </c>
      <c r="E627" s="973"/>
      <c r="F627" s="973"/>
      <c r="G627" s="973"/>
      <c r="H627" s="2008" t="s">
        <v>697</v>
      </c>
      <c r="I627" s="2008"/>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1568</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1579</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1580</v>
      </c>
      <c r="AJ629" s="1959">
        <f>VLOOKUP($H$627,$AO$594:$AP$596,2,FALSE)</f>
        <v>3</v>
      </c>
      <c r="AK629" s="1961"/>
      <c r="AL629" s="630"/>
      <c r="AN629" s="632"/>
      <c r="AO629" s="646" t="s">
        <v>1581</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1582</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979" t="s">
        <v>2522</v>
      </c>
      <c r="F633" s="1979"/>
      <c r="G633" s="1979"/>
      <c r="H633" s="1979"/>
      <c r="I633" s="1979"/>
      <c r="J633" s="1979"/>
      <c r="K633" s="1979"/>
      <c r="L633" s="1979"/>
      <c r="M633" s="1979"/>
      <c r="N633" s="1979"/>
      <c r="O633" s="1979"/>
      <c r="P633" s="1979"/>
      <c r="Q633" s="1979"/>
      <c r="R633" s="1979"/>
      <c r="S633" s="1979"/>
      <c r="T633" s="1979"/>
      <c r="U633" s="1979"/>
      <c r="V633" s="1979"/>
      <c r="W633" s="1979"/>
      <c r="X633" s="1979"/>
      <c r="Y633" s="1979"/>
      <c r="Z633" s="1979"/>
      <c r="AA633" s="1979"/>
      <c r="AB633" s="1979"/>
      <c r="AC633" s="1979"/>
      <c r="AD633" s="1979"/>
      <c r="AE633" s="571"/>
      <c r="AF633" s="1926" t="s">
        <v>1522</v>
      </c>
      <c r="AG633" s="1926"/>
      <c r="AH633" s="1926"/>
      <c r="AI633" s="1926"/>
      <c r="AJ633" s="1926"/>
      <c r="AK633" s="1926"/>
      <c r="AL633" s="1926"/>
      <c r="AN633" s="632"/>
    </row>
    <row r="634" spans="1:42" s="585" customFormat="1" ht="12.75" customHeight="1">
      <c r="B634" s="571"/>
      <c r="C634" s="571"/>
      <c r="D634" s="698"/>
      <c r="E634" s="1979"/>
      <c r="F634" s="1979"/>
      <c r="G634" s="1979"/>
      <c r="H634" s="1979"/>
      <c r="I634" s="1979"/>
      <c r="J634" s="1979"/>
      <c r="K634" s="1979"/>
      <c r="L634" s="1979"/>
      <c r="M634" s="1979"/>
      <c r="N634" s="1979"/>
      <c r="O634" s="1979"/>
      <c r="P634" s="1979"/>
      <c r="Q634" s="1979"/>
      <c r="R634" s="1979"/>
      <c r="S634" s="1979"/>
      <c r="T634" s="1979"/>
      <c r="U634" s="1979"/>
      <c r="V634" s="1979"/>
      <c r="W634" s="1979"/>
      <c r="X634" s="1979"/>
      <c r="Y634" s="1979"/>
      <c r="Z634" s="1979"/>
      <c r="AA634" s="1979"/>
      <c r="AB634" s="1979"/>
      <c r="AC634" s="1979"/>
      <c r="AD634" s="1979"/>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1583</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26" t="s">
        <v>1578</v>
      </c>
      <c r="AG636" s="1926"/>
      <c r="AH636" s="1926"/>
      <c r="AI636" s="1926"/>
      <c r="AJ636" s="1926"/>
      <c r="AK636" s="1926"/>
      <c r="AL636" s="1926"/>
      <c r="AN636" s="632"/>
    </row>
    <row r="637" spans="1:42" s="585" customFormat="1" ht="12.75" customHeight="1">
      <c r="B637" s="571"/>
      <c r="C637" s="968"/>
      <c r="D637" s="698"/>
      <c r="E637" s="651" t="s">
        <v>1584</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1570</v>
      </c>
      <c r="E639" s="973"/>
      <c r="F639" s="973"/>
      <c r="G639" s="973"/>
      <c r="H639" s="2008" t="s">
        <v>600</v>
      </c>
      <c r="I639" s="2008"/>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1585</v>
      </c>
      <c r="AJ641" s="1959">
        <f>VLOOKUP(H639,AT594:AU596,2,FALSE)</f>
        <v>0</v>
      </c>
      <c r="AK641" s="1961"/>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1586</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1587</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979" t="s">
        <v>1588</v>
      </c>
      <c r="F646" s="1979"/>
      <c r="G646" s="1979"/>
      <c r="H646" s="1979"/>
      <c r="I646" s="1979"/>
      <c r="J646" s="1979"/>
      <c r="K646" s="1979"/>
      <c r="L646" s="1979"/>
      <c r="M646" s="1979"/>
      <c r="N646" s="1979"/>
      <c r="O646" s="1979"/>
      <c r="P646" s="1979"/>
      <c r="Q646" s="1979"/>
      <c r="R646" s="1979"/>
      <c r="S646" s="1979"/>
      <c r="T646" s="1979"/>
      <c r="U646" s="1979"/>
      <c r="V646" s="1979"/>
      <c r="W646" s="1979"/>
      <c r="X646" s="1979"/>
      <c r="Y646" s="1979"/>
      <c r="Z646" s="1979"/>
      <c r="AA646" s="1979"/>
      <c r="AB646" s="1979"/>
      <c r="AC646" s="1979"/>
      <c r="AD646" s="571"/>
      <c r="AE646" s="571"/>
      <c r="AF646" s="1926" t="s">
        <v>1548</v>
      </c>
      <c r="AG646" s="1926"/>
      <c r="AH646" s="1926"/>
      <c r="AI646" s="1926"/>
      <c r="AJ646" s="1926"/>
      <c r="AK646" s="1926"/>
      <c r="AL646" s="1926"/>
      <c r="AN646" s="632"/>
    </row>
    <row r="647" spans="1:42" s="585" customFormat="1" ht="12.75" customHeight="1">
      <c r="B647" s="571"/>
      <c r="C647" s="574"/>
      <c r="D647" s="571"/>
      <c r="E647" s="1979"/>
      <c r="F647" s="1979"/>
      <c r="G647" s="1979"/>
      <c r="H647" s="1979"/>
      <c r="I647" s="1979"/>
      <c r="J647" s="1979"/>
      <c r="K647" s="1979"/>
      <c r="L647" s="1979"/>
      <c r="M647" s="1979"/>
      <c r="N647" s="1979"/>
      <c r="O647" s="1979"/>
      <c r="P647" s="1979"/>
      <c r="Q647" s="1979"/>
      <c r="R647" s="1979"/>
      <c r="S647" s="1979"/>
      <c r="T647" s="1979"/>
      <c r="U647" s="1979"/>
      <c r="V647" s="1979"/>
      <c r="W647" s="1979"/>
      <c r="X647" s="1979"/>
      <c r="Y647" s="1979"/>
      <c r="Z647" s="1979"/>
      <c r="AA647" s="1979"/>
      <c r="AB647" s="1979"/>
      <c r="AC647" s="1979"/>
      <c r="AD647" s="571"/>
      <c r="AE647" s="571"/>
      <c r="AF647" s="571"/>
      <c r="AG647" s="571"/>
      <c r="AH647" s="571"/>
      <c r="AI647" s="571"/>
      <c r="AJ647" s="571"/>
      <c r="AK647" s="571"/>
      <c r="AL647" s="571"/>
      <c r="AN647" s="632"/>
    </row>
    <row r="648" spans="1:42" s="585" customFormat="1" ht="12.75" customHeight="1">
      <c r="B648" s="571"/>
      <c r="C648" s="574"/>
      <c r="D648" s="698"/>
      <c r="E648" s="1979"/>
      <c r="F648" s="1979"/>
      <c r="G648" s="1979"/>
      <c r="H648" s="1979"/>
      <c r="I648" s="1979"/>
      <c r="J648" s="1979"/>
      <c r="K648" s="1979"/>
      <c r="L648" s="1979"/>
      <c r="M648" s="1979"/>
      <c r="N648" s="1979"/>
      <c r="O648" s="1979"/>
      <c r="P648" s="1979"/>
      <c r="Q648" s="1979"/>
      <c r="R648" s="1979"/>
      <c r="S648" s="1979"/>
      <c r="T648" s="1979"/>
      <c r="U648" s="1979"/>
      <c r="V648" s="1979"/>
      <c r="W648" s="1979"/>
      <c r="X648" s="1979"/>
      <c r="Y648" s="1979"/>
      <c r="Z648" s="1979"/>
      <c r="AA648" s="1979"/>
      <c r="AB648" s="1979"/>
      <c r="AC648" s="1979"/>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979" t="s">
        <v>1589</v>
      </c>
      <c r="F650" s="1979"/>
      <c r="G650" s="1979"/>
      <c r="H650" s="1979"/>
      <c r="I650" s="1979"/>
      <c r="J650" s="1979"/>
      <c r="K650" s="1979"/>
      <c r="L650" s="1979"/>
      <c r="M650" s="1979"/>
      <c r="N650" s="1979"/>
      <c r="O650" s="1979"/>
      <c r="P650" s="1979"/>
      <c r="Q650" s="1979"/>
      <c r="R650" s="1979"/>
      <c r="S650" s="1979"/>
      <c r="T650" s="1979"/>
      <c r="U650" s="1979"/>
      <c r="V650" s="1979"/>
      <c r="W650" s="1979"/>
      <c r="X650" s="1979"/>
      <c r="Y650" s="1979"/>
      <c r="Z650" s="1979"/>
      <c r="AA650" s="1979"/>
      <c r="AB650" s="1979"/>
      <c r="AC650" s="1979"/>
      <c r="AD650" s="571"/>
      <c r="AE650" s="571"/>
      <c r="AF650" s="1926" t="s">
        <v>1569</v>
      </c>
      <c r="AG650" s="1926"/>
      <c r="AH650" s="1926"/>
      <c r="AI650" s="1926"/>
      <c r="AJ650" s="1926"/>
      <c r="AK650" s="1926"/>
      <c r="AL650" s="1926"/>
      <c r="AN650" s="632"/>
    </row>
    <row r="651" spans="1:42" s="585" customFormat="1" ht="12.75" customHeight="1">
      <c r="B651" s="571"/>
      <c r="C651" s="574"/>
      <c r="D651" s="571"/>
      <c r="E651" s="1979"/>
      <c r="F651" s="1979"/>
      <c r="G651" s="1979"/>
      <c r="H651" s="1979"/>
      <c r="I651" s="1979"/>
      <c r="J651" s="1979"/>
      <c r="K651" s="1979"/>
      <c r="L651" s="1979"/>
      <c r="M651" s="1979"/>
      <c r="N651" s="1979"/>
      <c r="O651" s="1979"/>
      <c r="P651" s="1979"/>
      <c r="Q651" s="1979"/>
      <c r="R651" s="1979"/>
      <c r="S651" s="1979"/>
      <c r="T651" s="1979"/>
      <c r="U651" s="1979"/>
      <c r="V651" s="1979"/>
      <c r="W651" s="1979"/>
      <c r="X651" s="1979"/>
      <c r="Y651" s="1979"/>
      <c r="Z651" s="1979"/>
      <c r="AA651" s="1979"/>
      <c r="AB651" s="1979"/>
      <c r="AC651" s="1979"/>
      <c r="AD651" s="571"/>
      <c r="AE651" s="571"/>
      <c r="AF651" s="571"/>
      <c r="AG651" s="571"/>
      <c r="AH651" s="571"/>
      <c r="AI651" s="571"/>
      <c r="AJ651" s="571"/>
      <c r="AK651" s="571"/>
      <c r="AL651" s="571"/>
      <c r="AN651" s="632"/>
    </row>
    <row r="652" spans="1:42" s="585" customFormat="1" ht="15" customHeight="1">
      <c r="B652" s="571"/>
      <c r="C652" s="574"/>
      <c r="D652" s="698"/>
      <c r="E652" s="1979"/>
      <c r="F652" s="1979"/>
      <c r="G652" s="1979"/>
      <c r="H652" s="1979"/>
      <c r="I652" s="1979"/>
      <c r="J652" s="1979"/>
      <c r="K652" s="1979"/>
      <c r="L652" s="1979"/>
      <c r="M652" s="1979"/>
      <c r="N652" s="1979"/>
      <c r="O652" s="1979"/>
      <c r="P652" s="1979"/>
      <c r="Q652" s="1979"/>
      <c r="R652" s="1979"/>
      <c r="S652" s="1979"/>
      <c r="T652" s="1979"/>
      <c r="U652" s="1979"/>
      <c r="V652" s="1979"/>
      <c r="W652" s="1979"/>
      <c r="X652" s="1979"/>
      <c r="Y652" s="1979"/>
      <c r="Z652" s="1979"/>
      <c r="AA652" s="1979"/>
      <c r="AB652" s="1979"/>
      <c r="AC652" s="1979"/>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79" t="s">
        <v>1590</v>
      </c>
      <c r="F654" s="1979"/>
      <c r="G654" s="1979"/>
      <c r="H654" s="1979"/>
      <c r="I654" s="1979"/>
      <c r="J654" s="1979"/>
      <c r="K654" s="1979"/>
      <c r="L654" s="1979"/>
      <c r="M654" s="1979"/>
      <c r="N654" s="1979"/>
      <c r="O654" s="1979"/>
      <c r="P654" s="1979"/>
      <c r="Q654" s="1979"/>
      <c r="R654" s="1979"/>
      <c r="S654" s="1979"/>
      <c r="T654" s="1979"/>
      <c r="U654" s="1979"/>
      <c r="V654" s="1979"/>
      <c r="W654" s="1979"/>
      <c r="X654" s="1979"/>
      <c r="Y654" s="1979"/>
      <c r="Z654" s="1979"/>
      <c r="AA654" s="1979"/>
      <c r="AB654" s="1979"/>
      <c r="AC654" s="1979"/>
      <c r="AD654" s="571"/>
      <c r="AE654" s="571"/>
      <c r="AF654" s="1926" t="s">
        <v>1522</v>
      </c>
      <c r="AG654" s="1926"/>
      <c r="AH654" s="1926"/>
      <c r="AI654" s="1926"/>
      <c r="AJ654" s="1926"/>
      <c r="AK654" s="1926"/>
      <c r="AL654" s="1926"/>
      <c r="AN654" s="632"/>
    </row>
    <row r="655" spans="1:42" s="585" customFormat="1" ht="12.75" customHeight="1">
      <c r="B655" s="571"/>
      <c r="C655" s="968"/>
      <c r="D655" s="571"/>
      <c r="E655" s="1979"/>
      <c r="F655" s="1979"/>
      <c r="G655" s="1979"/>
      <c r="H655" s="1979"/>
      <c r="I655" s="1979"/>
      <c r="J655" s="1979"/>
      <c r="K655" s="1979"/>
      <c r="L655" s="1979"/>
      <c r="M655" s="1979"/>
      <c r="N655" s="1979"/>
      <c r="O655" s="1979"/>
      <c r="P655" s="1979"/>
      <c r="Q655" s="1979"/>
      <c r="R655" s="1979"/>
      <c r="S655" s="1979"/>
      <c r="T655" s="1979"/>
      <c r="U655" s="1979"/>
      <c r="V655" s="1979"/>
      <c r="W655" s="1979"/>
      <c r="X655" s="1979"/>
      <c r="Y655" s="1979"/>
      <c r="Z655" s="1979"/>
      <c r="AA655" s="1979"/>
      <c r="AB655" s="1979"/>
      <c r="AC655" s="1979"/>
      <c r="AD655" s="571"/>
      <c r="AE655" s="1926"/>
      <c r="AF655" s="1926"/>
      <c r="AG655" s="1926"/>
      <c r="AH655" s="1926"/>
      <c r="AI655" s="1926"/>
      <c r="AJ655" s="1926"/>
      <c r="AK655" s="1926"/>
      <c r="AL655" s="629"/>
      <c r="AN655" s="632"/>
      <c r="AO655" s="585" t="s">
        <v>600</v>
      </c>
      <c r="AP655" s="708">
        <v>0</v>
      </c>
    </row>
    <row r="656" spans="1:42" s="585" customFormat="1" ht="12.75" customHeight="1">
      <c r="A656" s="714"/>
      <c r="B656" s="571"/>
      <c r="C656" s="571"/>
      <c r="D656" s="698"/>
      <c r="E656" s="1979"/>
      <c r="F656" s="1979"/>
      <c r="G656" s="1979"/>
      <c r="H656" s="1979"/>
      <c r="I656" s="1979"/>
      <c r="J656" s="1979"/>
      <c r="K656" s="1979"/>
      <c r="L656" s="1979"/>
      <c r="M656" s="1979"/>
      <c r="N656" s="1979"/>
      <c r="O656" s="1979"/>
      <c r="P656" s="1979"/>
      <c r="Q656" s="1979"/>
      <c r="R656" s="1979"/>
      <c r="S656" s="1979"/>
      <c r="T656" s="1979"/>
      <c r="U656" s="1979"/>
      <c r="V656" s="1979"/>
      <c r="W656" s="1979"/>
      <c r="X656" s="1979"/>
      <c r="Y656" s="1979"/>
      <c r="Z656" s="1979"/>
      <c r="AA656" s="1979"/>
      <c r="AB656" s="1979"/>
      <c r="AC656" s="1979"/>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1567</v>
      </c>
      <c r="E658" s="1979" t="s">
        <v>1591</v>
      </c>
      <c r="F658" s="1979"/>
      <c r="G658" s="1979"/>
      <c r="H658" s="1979"/>
      <c r="I658" s="1979"/>
      <c r="J658" s="1979"/>
      <c r="K658" s="1979"/>
      <c r="L658" s="1979"/>
      <c r="M658" s="1979"/>
      <c r="N658" s="1979"/>
      <c r="O658" s="1979"/>
      <c r="P658" s="1979"/>
      <c r="Q658" s="1979"/>
      <c r="R658" s="1979"/>
      <c r="S658" s="1979"/>
      <c r="T658" s="1979"/>
      <c r="U658" s="1979"/>
      <c r="V658" s="1979"/>
      <c r="W658" s="1979"/>
      <c r="X658" s="1979"/>
      <c r="Y658" s="1979"/>
      <c r="Z658" s="1979"/>
      <c r="AA658" s="1979"/>
      <c r="AB658" s="1979"/>
      <c r="AC658" s="1979"/>
      <c r="AD658" s="571"/>
      <c r="AE658" s="571"/>
      <c r="AF658" s="1926" t="s">
        <v>1569</v>
      </c>
      <c r="AG658" s="1926"/>
      <c r="AH658" s="1926"/>
      <c r="AI658" s="1926"/>
      <c r="AJ658" s="1926"/>
      <c r="AK658" s="1926"/>
      <c r="AL658" s="1926"/>
      <c r="AN658" s="632"/>
    </row>
    <row r="659" spans="1:42" s="585" customFormat="1" ht="12.75" customHeight="1">
      <c r="A659" s="705"/>
      <c r="B659" s="571"/>
      <c r="C659" s="984"/>
      <c r="D659" s="698"/>
      <c r="E659" s="1979"/>
      <c r="F659" s="1979"/>
      <c r="G659" s="1979"/>
      <c r="H659" s="1979"/>
      <c r="I659" s="1979"/>
      <c r="J659" s="1979"/>
      <c r="K659" s="1979"/>
      <c r="L659" s="1979"/>
      <c r="M659" s="1979"/>
      <c r="N659" s="1979"/>
      <c r="O659" s="1979"/>
      <c r="P659" s="1979"/>
      <c r="Q659" s="1979"/>
      <c r="R659" s="1979"/>
      <c r="S659" s="1979"/>
      <c r="T659" s="1979"/>
      <c r="U659" s="1979"/>
      <c r="V659" s="1979"/>
      <c r="W659" s="1979"/>
      <c r="X659" s="1979"/>
      <c r="Y659" s="1979"/>
      <c r="Z659" s="1979"/>
      <c r="AA659" s="1979"/>
      <c r="AB659" s="1979"/>
      <c r="AC659" s="1979"/>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79"/>
      <c r="F660" s="1979"/>
      <c r="G660" s="1979"/>
      <c r="H660" s="1979"/>
      <c r="I660" s="1979"/>
      <c r="J660" s="1979"/>
      <c r="K660" s="1979"/>
      <c r="L660" s="1979"/>
      <c r="M660" s="1979"/>
      <c r="N660" s="1979"/>
      <c r="O660" s="1979"/>
      <c r="P660" s="1979"/>
      <c r="Q660" s="1979"/>
      <c r="R660" s="1979"/>
      <c r="S660" s="1979"/>
      <c r="T660" s="1979"/>
      <c r="U660" s="1979"/>
      <c r="V660" s="1979"/>
      <c r="W660" s="1979"/>
      <c r="X660" s="1979"/>
      <c r="Y660" s="1979"/>
      <c r="Z660" s="1979"/>
      <c r="AA660" s="1979"/>
      <c r="AB660" s="1979"/>
      <c r="AC660" s="1979"/>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1568</v>
      </c>
      <c r="E662" s="1979" t="s">
        <v>1592</v>
      </c>
      <c r="F662" s="1979"/>
      <c r="G662" s="1979"/>
      <c r="H662" s="1979"/>
      <c r="I662" s="1979"/>
      <c r="J662" s="1979"/>
      <c r="K662" s="1979"/>
      <c r="L662" s="1979"/>
      <c r="M662" s="1979"/>
      <c r="N662" s="1979"/>
      <c r="O662" s="1979"/>
      <c r="P662" s="1979"/>
      <c r="Q662" s="1979"/>
      <c r="R662" s="1979"/>
      <c r="S662" s="1979"/>
      <c r="T662" s="1979"/>
      <c r="U662" s="1979"/>
      <c r="V662" s="1979"/>
      <c r="W662" s="1979"/>
      <c r="X662" s="1979"/>
      <c r="Y662" s="1979"/>
      <c r="Z662" s="1979"/>
      <c r="AA662" s="1979"/>
      <c r="AB662" s="1979"/>
      <c r="AC662" s="1979"/>
      <c r="AD662" s="571"/>
      <c r="AE662" s="571"/>
      <c r="AF662" s="1926" t="s">
        <v>1522</v>
      </c>
      <c r="AG662" s="1926"/>
      <c r="AH662" s="1926"/>
      <c r="AI662" s="1926"/>
      <c r="AJ662" s="1926"/>
      <c r="AK662" s="1926"/>
      <c r="AL662" s="1926"/>
      <c r="AM662" s="631"/>
      <c r="AN662" s="632"/>
    </row>
    <row r="663" spans="1:42" s="585" customFormat="1" ht="12.75" customHeight="1">
      <c r="B663" s="571"/>
      <c r="C663" s="968"/>
      <c r="D663" s="698"/>
      <c r="E663" s="1979"/>
      <c r="F663" s="1979"/>
      <c r="G663" s="1979"/>
      <c r="H663" s="1979"/>
      <c r="I663" s="1979"/>
      <c r="J663" s="1979"/>
      <c r="K663" s="1979"/>
      <c r="L663" s="1979"/>
      <c r="M663" s="1979"/>
      <c r="N663" s="1979"/>
      <c r="O663" s="1979"/>
      <c r="P663" s="1979"/>
      <c r="Q663" s="1979"/>
      <c r="R663" s="1979"/>
      <c r="S663" s="1979"/>
      <c r="T663" s="1979"/>
      <c r="U663" s="1979"/>
      <c r="V663" s="1979"/>
      <c r="W663" s="1979"/>
      <c r="X663" s="1979"/>
      <c r="Y663" s="1979"/>
      <c r="Z663" s="1979"/>
      <c r="AA663" s="1979"/>
      <c r="AB663" s="1979"/>
      <c r="AC663" s="1979"/>
      <c r="AD663" s="571"/>
      <c r="AE663" s="571"/>
      <c r="AF663" s="571"/>
      <c r="AG663" s="571"/>
      <c r="AH663" s="571"/>
      <c r="AI663" s="571"/>
      <c r="AJ663" s="571"/>
      <c r="AK663" s="571"/>
      <c r="AL663" s="571"/>
      <c r="AM663" s="631"/>
      <c r="AN663" s="632"/>
    </row>
    <row r="664" spans="1:42" s="585" customFormat="1" ht="12.75" customHeight="1">
      <c r="B664" s="571"/>
      <c r="C664" s="968"/>
      <c r="D664" s="698"/>
      <c r="E664" s="1979"/>
      <c r="F664" s="1979"/>
      <c r="G664" s="1979"/>
      <c r="H664" s="1979"/>
      <c r="I664" s="1979"/>
      <c r="J664" s="1979"/>
      <c r="K664" s="1979"/>
      <c r="L664" s="1979"/>
      <c r="M664" s="1979"/>
      <c r="N664" s="1979"/>
      <c r="O664" s="1979"/>
      <c r="P664" s="1979"/>
      <c r="Q664" s="1979"/>
      <c r="R664" s="1979"/>
      <c r="S664" s="1979"/>
      <c r="T664" s="1979"/>
      <c r="U664" s="1979"/>
      <c r="V664" s="1979"/>
      <c r="W664" s="1979"/>
      <c r="X664" s="1979"/>
      <c r="Y664" s="1979"/>
      <c r="Z664" s="1979"/>
      <c r="AA664" s="1979"/>
      <c r="AB664" s="1979"/>
      <c r="AC664" s="1979"/>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1579</v>
      </c>
      <c r="E666" s="1979" t="s">
        <v>1593</v>
      </c>
      <c r="F666" s="1979"/>
      <c r="G666" s="1979"/>
      <c r="H666" s="1979"/>
      <c r="I666" s="1979"/>
      <c r="J666" s="1979"/>
      <c r="K666" s="1979"/>
      <c r="L666" s="1979"/>
      <c r="M666" s="1979"/>
      <c r="N666" s="1979"/>
      <c r="O666" s="1979"/>
      <c r="P666" s="1979"/>
      <c r="Q666" s="1979"/>
      <c r="R666" s="1979"/>
      <c r="S666" s="1979"/>
      <c r="T666" s="1979"/>
      <c r="U666" s="1979"/>
      <c r="V666" s="1979"/>
      <c r="W666" s="1979"/>
      <c r="X666" s="1979"/>
      <c r="Y666" s="1979"/>
      <c r="Z666" s="1979"/>
      <c r="AA666" s="1979"/>
      <c r="AB666" s="1979"/>
      <c r="AC666" s="1979"/>
      <c r="AD666" s="571"/>
      <c r="AE666" s="571"/>
      <c r="AF666" s="1926" t="s">
        <v>1578</v>
      </c>
      <c r="AG666" s="1926"/>
      <c r="AH666" s="1926"/>
      <c r="AI666" s="1926"/>
      <c r="AJ666" s="1926"/>
      <c r="AK666" s="1926"/>
      <c r="AL666" s="1926"/>
      <c r="AM666" s="631"/>
      <c r="AN666" s="632"/>
    </row>
    <row r="667" spans="1:42" s="585" customFormat="1" ht="12.75" customHeight="1">
      <c r="A667" s="714"/>
      <c r="B667" s="571"/>
      <c r="C667" s="968"/>
      <c r="D667" s="698"/>
      <c r="E667" s="1979"/>
      <c r="F667" s="1979"/>
      <c r="G667" s="1979"/>
      <c r="H667" s="1979"/>
      <c r="I667" s="1979"/>
      <c r="J667" s="1979"/>
      <c r="K667" s="1979"/>
      <c r="L667" s="1979"/>
      <c r="M667" s="1979"/>
      <c r="N667" s="1979"/>
      <c r="O667" s="1979"/>
      <c r="P667" s="1979"/>
      <c r="Q667" s="1979"/>
      <c r="R667" s="1979"/>
      <c r="S667" s="1979"/>
      <c r="T667" s="1979"/>
      <c r="U667" s="1979"/>
      <c r="V667" s="1979"/>
      <c r="W667" s="1979"/>
      <c r="X667" s="1979"/>
      <c r="Y667" s="1979"/>
      <c r="Z667" s="1979"/>
      <c r="AA667" s="1979"/>
      <c r="AB667" s="1979"/>
      <c r="AC667" s="1979"/>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79"/>
      <c r="F668" s="1979"/>
      <c r="G668" s="1979"/>
      <c r="H668" s="1979"/>
      <c r="I668" s="1979"/>
      <c r="J668" s="1979"/>
      <c r="K668" s="1979"/>
      <c r="L668" s="1979"/>
      <c r="M668" s="1979"/>
      <c r="N668" s="1979"/>
      <c r="O668" s="1979"/>
      <c r="P668" s="1979"/>
      <c r="Q668" s="1979"/>
      <c r="R668" s="1979"/>
      <c r="S668" s="1979"/>
      <c r="T668" s="1979"/>
      <c r="U668" s="1979"/>
      <c r="V668" s="1979"/>
      <c r="W668" s="1979"/>
      <c r="X668" s="1979"/>
      <c r="Y668" s="1979"/>
      <c r="Z668" s="1979"/>
      <c r="AA668" s="1979"/>
      <c r="AB668" s="1979"/>
      <c r="AC668" s="1979"/>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1581</v>
      </c>
      <c r="E670" s="1979" t="s">
        <v>1594</v>
      </c>
      <c r="F670" s="1979"/>
      <c r="G670" s="1979"/>
      <c r="H670" s="1979"/>
      <c r="I670" s="1979"/>
      <c r="J670" s="1979"/>
      <c r="K670" s="1979"/>
      <c r="L670" s="1979"/>
      <c r="M670" s="1979"/>
      <c r="N670" s="1979"/>
      <c r="O670" s="1979"/>
      <c r="P670" s="1979"/>
      <c r="Q670" s="1979"/>
      <c r="R670" s="1979"/>
      <c r="S670" s="1979"/>
      <c r="T670" s="1979"/>
      <c r="U670" s="1979"/>
      <c r="V670" s="1979"/>
      <c r="W670" s="1979"/>
      <c r="X670" s="1979"/>
      <c r="Y670" s="1979"/>
      <c r="Z670" s="1979"/>
      <c r="AA670" s="1979"/>
      <c r="AB670" s="1979"/>
      <c r="AC670" s="1979"/>
      <c r="AD670" s="571"/>
      <c r="AE670" s="571"/>
      <c r="AF670" s="1926" t="s">
        <v>1595</v>
      </c>
      <c r="AG670" s="1926"/>
      <c r="AH670" s="1926"/>
      <c r="AI670" s="1926"/>
      <c r="AJ670" s="1926"/>
      <c r="AK670" s="1926"/>
      <c r="AL670" s="1926"/>
      <c r="AM670" s="631"/>
      <c r="AN670" s="632"/>
      <c r="AO670" s="646" t="s">
        <v>697</v>
      </c>
      <c r="AP670" s="585">
        <v>3</v>
      </c>
    </row>
    <row r="671" spans="1:42" s="585" customFormat="1" ht="12.75" customHeight="1">
      <c r="A671" s="714"/>
      <c r="B671" s="571"/>
      <c r="C671" s="968"/>
      <c r="D671" s="698"/>
      <c r="E671" s="1979"/>
      <c r="F671" s="1979"/>
      <c r="G671" s="1979"/>
      <c r="H671" s="1979"/>
      <c r="I671" s="1979"/>
      <c r="J671" s="1979"/>
      <c r="K671" s="1979"/>
      <c r="L671" s="1979"/>
      <c r="M671" s="1979"/>
      <c r="N671" s="1979"/>
      <c r="O671" s="1979"/>
      <c r="P671" s="1979"/>
      <c r="Q671" s="1979"/>
      <c r="R671" s="1979"/>
      <c r="S671" s="1979"/>
      <c r="T671" s="1979"/>
      <c r="U671" s="1979"/>
      <c r="V671" s="1979"/>
      <c r="W671" s="1979"/>
      <c r="X671" s="1979"/>
      <c r="Y671" s="1979"/>
      <c r="Z671" s="1979"/>
      <c r="AA671" s="1979"/>
      <c r="AB671" s="1979"/>
      <c r="AC671" s="1979"/>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979"/>
      <c r="F672" s="1979"/>
      <c r="G672" s="1979"/>
      <c r="H672" s="1979"/>
      <c r="I672" s="1979"/>
      <c r="J672" s="1979"/>
      <c r="K672" s="1979"/>
      <c r="L672" s="1979"/>
      <c r="M672" s="1979"/>
      <c r="N672" s="1979"/>
      <c r="O672" s="1979"/>
      <c r="P672" s="1979"/>
      <c r="Q672" s="1979"/>
      <c r="R672" s="1979"/>
      <c r="S672" s="1979"/>
      <c r="T672" s="1979"/>
      <c r="U672" s="1979"/>
      <c r="V672" s="1979"/>
      <c r="W672" s="1979"/>
      <c r="X672" s="1979"/>
      <c r="Y672" s="1979"/>
      <c r="Z672" s="1979"/>
      <c r="AA672" s="1979"/>
      <c r="AB672" s="1979"/>
      <c r="AC672" s="1979"/>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1570</v>
      </c>
      <c r="E674" s="973"/>
      <c r="F674" s="973"/>
      <c r="G674" s="973"/>
      <c r="H674" s="2008" t="s">
        <v>518</v>
      </c>
      <c r="I674" s="2008"/>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1596</v>
      </c>
      <c r="AJ676" s="1959">
        <f>VLOOKUP($H$674,$AO$622:$AP$629,2,FALSE)</f>
        <v>4</v>
      </c>
      <c r="AK676" s="1961"/>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2561</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979" t="s">
        <v>2559</v>
      </c>
      <c r="F680" s="1979"/>
      <c r="G680" s="1979"/>
      <c r="H680" s="1979"/>
      <c r="I680" s="1979"/>
      <c r="J680" s="1979"/>
      <c r="K680" s="1979"/>
      <c r="L680" s="1979"/>
      <c r="M680" s="1979"/>
      <c r="N680" s="1979"/>
      <c r="O680" s="1979"/>
      <c r="P680" s="1979"/>
      <c r="Q680" s="1979"/>
      <c r="R680" s="1979"/>
      <c r="S680" s="1979"/>
      <c r="T680" s="1979"/>
      <c r="U680" s="1979"/>
      <c r="V680" s="1979"/>
      <c r="W680" s="1979"/>
      <c r="X680" s="1979"/>
      <c r="Y680" s="1979"/>
      <c r="Z680" s="1979"/>
      <c r="AA680" s="1979"/>
      <c r="AB680" s="1979"/>
      <c r="AC680" s="571"/>
      <c r="AD680" s="571"/>
      <c r="AE680" s="571"/>
      <c r="AF680" s="1926" t="s">
        <v>1522</v>
      </c>
      <c r="AG680" s="1926"/>
      <c r="AH680" s="1926"/>
      <c r="AI680" s="1926"/>
      <c r="AJ680" s="1926"/>
      <c r="AK680" s="1926"/>
      <c r="AL680" s="1926"/>
      <c r="AN680" s="632"/>
    </row>
    <row r="681" spans="1:42" s="585" customFormat="1" ht="12.75" customHeight="1">
      <c r="B681" s="571"/>
      <c r="C681" s="977"/>
      <c r="D681" s="698"/>
      <c r="E681" s="1979"/>
      <c r="F681" s="1979"/>
      <c r="G681" s="1979"/>
      <c r="H681" s="1979"/>
      <c r="I681" s="1979"/>
      <c r="J681" s="1979"/>
      <c r="K681" s="1979"/>
      <c r="L681" s="1979"/>
      <c r="M681" s="1979"/>
      <c r="N681" s="1979"/>
      <c r="O681" s="1979"/>
      <c r="P681" s="1979"/>
      <c r="Q681" s="1979"/>
      <c r="R681" s="1979"/>
      <c r="S681" s="1979"/>
      <c r="T681" s="1979"/>
      <c r="U681" s="1979"/>
      <c r="V681" s="1979"/>
      <c r="W681" s="1979"/>
      <c r="X681" s="1979"/>
      <c r="Y681" s="1979"/>
      <c r="Z681" s="1979"/>
      <c r="AA681" s="1979"/>
      <c r="AB681" s="1979"/>
      <c r="AC681" s="571"/>
      <c r="AD681" s="571"/>
      <c r="AE681" s="651"/>
      <c r="AF681" s="571"/>
      <c r="AG681" s="571"/>
      <c r="AH681" s="571"/>
      <c r="AI681" s="571"/>
      <c r="AJ681" s="571"/>
      <c r="AK681" s="571"/>
      <c r="AL681" s="571"/>
      <c r="AN681" s="632"/>
      <c r="AO681" s="2011"/>
      <c r="AP681" s="2011"/>
    </row>
    <row r="682" spans="1:42" s="585" customFormat="1" ht="12.75" customHeight="1">
      <c r="B682" s="571"/>
      <c r="C682" s="977"/>
      <c r="D682" s="698"/>
      <c r="E682" s="1979"/>
      <c r="F682" s="1979"/>
      <c r="G682" s="1979"/>
      <c r="H682" s="1979"/>
      <c r="I682" s="1979"/>
      <c r="J682" s="1979"/>
      <c r="K682" s="1979"/>
      <c r="L682" s="1979"/>
      <c r="M682" s="1979"/>
      <c r="N682" s="1979"/>
      <c r="O682" s="1979"/>
      <c r="P682" s="1979"/>
      <c r="Q682" s="1979"/>
      <c r="R682" s="1979"/>
      <c r="S682" s="1979"/>
      <c r="T682" s="1979"/>
      <c r="U682" s="1979"/>
      <c r="V682" s="1979"/>
      <c r="W682" s="1979"/>
      <c r="X682" s="1979"/>
      <c r="Y682" s="1979"/>
      <c r="Z682" s="1979"/>
      <c r="AA682" s="1979"/>
      <c r="AB682" s="1979"/>
      <c r="AC682" s="571"/>
      <c r="AD682" s="571"/>
      <c r="AE682" s="651"/>
      <c r="AF682" s="651"/>
      <c r="AG682" s="651"/>
      <c r="AH682" s="651"/>
      <c r="AI682" s="651"/>
      <c r="AJ682" s="651"/>
      <c r="AK682" s="651"/>
      <c r="AL682" s="651"/>
      <c r="AN682" s="632"/>
    </row>
    <row r="683" spans="1:42" s="585" customFormat="1" ht="28.5" customHeight="1">
      <c r="B683" s="571"/>
      <c r="C683" s="977"/>
      <c r="D683" s="698"/>
      <c r="E683" s="1979"/>
      <c r="F683" s="1979"/>
      <c r="G683" s="1979"/>
      <c r="H683" s="1979"/>
      <c r="I683" s="1979"/>
      <c r="J683" s="1979"/>
      <c r="K683" s="1979"/>
      <c r="L683" s="1979"/>
      <c r="M683" s="1979"/>
      <c r="N683" s="1979"/>
      <c r="O683" s="1979"/>
      <c r="P683" s="1979"/>
      <c r="Q683" s="1979"/>
      <c r="R683" s="1979"/>
      <c r="S683" s="1979"/>
      <c r="T683" s="1979"/>
      <c r="U683" s="1979"/>
      <c r="V683" s="1979"/>
      <c r="W683" s="1979"/>
      <c r="X683" s="1979"/>
      <c r="Y683" s="1979"/>
      <c r="Z683" s="1979"/>
      <c r="AA683" s="1979"/>
      <c r="AB683" s="1979"/>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979" t="s">
        <v>2560</v>
      </c>
      <c r="F685" s="1979"/>
      <c r="G685" s="1979"/>
      <c r="H685" s="1979"/>
      <c r="I685" s="1979"/>
      <c r="J685" s="1979"/>
      <c r="K685" s="1979"/>
      <c r="L685" s="1979"/>
      <c r="M685" s="1979"/>
      <c r="N685" s="1979"/>
      <c r="O685" s="1979"/>
      <c r="P685" s="1979"/>
      <c r="Q685" s="1979"/>
      <c r="R685" s="1979"/>
      <c r="S685" s="1979"/>
      <c r="T685" s="1979"/>
      <c r="U685" s="1979"/>
      <c r="V685" s="1979"/>
      <c r="W685" s="1979"/>
      <c r="X685" s="1979"/>
      <c r="Y685" s="1979"/>
      <c r="Z685" s="1979"/>
      <c r="AA685" s="1979"/>
      <c r="AB685" s="1979"/>
      <c r="AC685" s="571"/>
      <c r="AD685" s="571"/>
      <c r="AE685" s="571"/>
      <c r="AF685" s="1926" t="s">
        <v>1578</v>
      </c>
      <c r="AG685" s="1926"/>
      <c r="AH685" s="1926"/>
      <c r="AI685" s="1926"/>
      <c r="AJ685" s="1926"/>
      <c r="AK685" s="1926"/>
      <c r="AL685" s="1926"/>
      <c r="AN685" s="632"/>
      <c r="AO685" s="646" t="s">
        <v>518</v>
      </c>
      <c r="AP685" s="585">
        <v>1</v>
      </c>
    </row>
    <row r="686" spans="1:42" s="585" customFormat="1" ht="12" customHeight="1">
      <c r="B686" s="571"/>
      <c r="C686" s="968"/>
      <c r="D686" s="571"/>
      <c r="E686" s="1979"/>
      <c r="F686" s="1979"/>
      <c r="G686" s="1979"/>
      <c r="H686" s="1979"/>
      <c r="I686" s="1979"/>
      <c r="J686" s="1979"/>
      <c r="K686" s="1979"/>
      <c r="L686" s="1979"/>
      <c r="M686" s="1979"/>
      <c r="N686" s="1979"/>
      <c r="O686" s="1979"/>
      <c r="P686" s="1979"/>
      <c r="Q686" s="1979"/>
      <c r="R686" s="1979"/>
      <c r="S686" s="1979"/>
      <c r="T686" s="1979"/>
      <c r="U686" s="1979"/>
      <c r="V686" s="1979"/>
      <c r="W686" s="1979"/>
      <c r="X686" s="1979"/>
      <c r="Y686" s="1979"/>
      <c r="Z686" s="1979"/>
      <c r="AA686" s="1979"/>
      <c r="AB686" s="1979"/>
      <c r="AC686" s="571"/>
      <c r="AD686" s="571"/>
      <c r="AE686" s="651"/>
      <c r="AF686" s="571"/>
      <c r="AG686" s="571"/>
      <c r="AH686" s="571"/>
      <c r="AI686" s="571"/>
      <c r="AJ686" s="571"/>
      <c r="AK686" s="571"/>
      <c r="AL686" s="571"/>
      <c r="AN686" s="632"/>
    </row>
    <row r="687" spans="1:42" s="585" customFormat="1" ht="12" customHeight="1">
      <c r="B687" s="571"/>
      <c r="C687" s="968"/>
      <c r="D687" s="571"/>
      <c r="E687" s="1979"/>
      <c r="F687" s="1979"/>
      <c r="G687" s="1979"/>
      <c r="H687" s="1979"/>
      <c r="I687" s="1979"/>
      <c r="J687" s="1979"/>
      <c r="K687" s="1979"/>
      <c r="L687" s="1979"/>
      <c r="M687" s="1979"/>
      <c r="N687" s="1979"/>
      <c r="O687" s="1979"/>
      <c r="P687" s="1979"/>
      <c r="Q687" s="1979"/>
      <c r="R687" s="1979"/>
      <c r="S687" s="1979"/>
      <c r="T687" s="1979"/>
      <c r="U687" s="1979"/>
      <c r="V687" s="1979"/>
      <c r="W687" s="1979"/>
      <c r="X687" s="1979"/>
      <c r="Y687" s="1979"/>
      <c r="Z687" s="1979"/>
      <c r="AA687" s="1979"/>
      <c r="AB687" s="1979"/>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79"/>
      <c r="F688" s="1979"/>
      <c r="G688" s="1979"/>
      <c r="H688" s="1979"/>
      <c r="I688" s="1979"/>
      <c r="J688" s="1979"/>
      <c r="K688" s="1979"/>
      <c r="L688" s="1979"/>
      <c r="M688" s="1979"/>
      <c r="N688" s="1979"/>
      <c r="O688" s="1979"/>
      <c r="P688" s="1979"/>
      <c r="Q688" s="1979"/>
      <c r="R688" s="1979"/>
      <c r="S688" s="1979"/>
      <c r="T688" s="1979"/>
      <c r="U688" s="1979"/>
      <c r="V688" s="1979"/>
      <c r="W688" s="1979"/>
      <c r="X688" s="1979"/>
      <c r="Y688" s="1979"/>
      <c r="Z688" s="1979"/>
      <c r="AA688" s="1979"/>
      <c r="AB688" s="1979"/>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79" t="s">
        <v>1951</v>
      </c>
      <c r="F690" s="1979"/>
      <c r="G690" s="1979"/>
      <c r="H690" s="1979"/>
      <c r="I690" s="1979"/>
      <c r="J690" s="1979"/>
      <c r="K690" s="1979"/>
      <c r="L690" s="1979"/>
      <c r="M690" s="1979"/>
      <c r="N690" s="1979"/>
      <c r="O690" s="1979"/>
      <c r="P690" s="1979"/>
      <c r="Q690" s="1979"/>
      <c r="R690" s="1979"/>
      <c r="S690" s="1979"/>
      <c r="T690" s="1979"/>
      <c r="U690" s="1979"/>
      <c r="V690" s="1979"/>
      <c r="W690" s="1979"/>
      <c r="X690" s="1979"/>
      <c r="Y690" s="1979"/>
      <c r="Z690" s="1979"/>
      <c r="AA690" s="1979"/>
      <c r="AB690" s="1979"/>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79"/>
      <c r="F691" s="1979"/>
      <c r="G691" s="1979"/>
      <c r="H691" s="1979"/>
      <c r="I691" s="1979"/>
      <c r="J691" s="1979"/>
      <c r="K691" s="1979"/>
      <c r="L691" s="1979"/>
      <c r="M691" s="1979"/>
      <c r="N691" s="1979"/>
      <c r="O691" s="1979"/>
      <c r="P691" s="1979"/>
      <c r="Q691" s="1979"/>
      <c r="R691" s="1979"/>
      <c r="S691" s="1979"/>
      <c r="T691" s="1979"/>
      <c r="U691" s="1979"/>
      <c r="V691" s="1979"/>
      <c r="W691" s="1979"/>
      <c r="X691" s="1979"/>
      <c r="Y691" s="1979"/>
      <c r="Z691" s="1979"/>
      <c r="AA691" s="1979"/>
      <c r="AB691" s="1979"/>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79"/>
      <c r="F692" s="1979"/>
      <c r="G692" s="1979"/>
      <c r="H692" s="1979"/>
      <c r="I692" s="1979"/>
      <c r="J692" s="1979"/>
      <c r="K692" s="1979"/>
      <c r="L692" s="1979"/>
      <c r="M692" s="1979"/>
      <c r="N692" s="1979"/>
      <c r="O692" s="1979"/>
      <c r="P692" s="1979"/>
      <c r="Q692" s="1979"/>
      <c r="R692" s="1979"/>
      <c r="S692" s="1979"/>
      <c r="T692" s="1979"/>
      <c r="U692" s="1979"/>
      <c r="V692" s="1979"/>
      <c r="W692" s="1979"/>
      <c r="X692" s="1979"/>
      <c r="Y692" s="1979"/>
      <c r="Z692" s="1979"/>
      <c r="AA692" s="1979"/>
      <c r="AB692" s="1979"/>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1570</v>
      </c>
      <c r="E694" s="973"/>
      <c r="F694" s="973"/>
      <c r="G694" s="973"/>
      <c r="H694" s="2008" t="s">
        <v>697</v>
      </c>
      <c r="I694" s="2008"/>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1597</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1575</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2562</v>
      </c>
      <c r="AJ696" s="1959">
        <f>VLOOKUP($H$694,$AO$641:$AP$643,2,FALSE)</f>
        <v>3</v>
      </c>
      <c r="AK696" s="1961"/>
      <c r="AL696" s="630"/>
      <c r="AM696" s="585"/>
      <c r="AN696" s="719"/>
      <c r="AP696" s="605" t="s">
        <v>1582</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1598</v>
      </c>
    </row>
    <row r="698" spans="1:42" s="605" customFormat="1" ht="12.75" customHeight="1">
      <c r="A698" s="585"/>
      <c r="B698" s="571"/>
      <c r="C698" s="574" t="s">
        <v>1599</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1600</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1601</v>
      </c>
    </row>
    <row r="700" spans="1:42" s="605" customFormat="1" ht="12.75" customHeight="1">
      <c r="A700" s="672"/>
      <c r="B700" s="571"/>
      <c r="C700" s="968"/>
      <c r="D700" s="698" t="s">
        <v>697</v>
      </c>
      <c r="E700" s="2012" t="s">
        <v>1953</v>
      </c>
      <c r="F700" s="2012"/>
      <c r="G700" s="2012"/>
      <c r="H700" s="2012"/>
      <c r="I700" s="2012"/>
      <c r="J700" s="2012"/>
      <c r="K700" s="2012"/>
      <c r="L700" s="2012"/>
      <c r="M700" s="2012"/>
      <c r="N700" s="2012"/>
      <c r="O700" s="2012"/>
      <c r="P700" s="2012"/>
      <c r="Q700" s="2012"/>
      <c r="R700" s="2012"/>
      <c r="S700" s="2012"/>
      <c r="T700" s="2012"/>
      <c r="U700" s="2012"/>
      <c r="V700" s="2012"/>
      <c r="W700" s="2012"/>
      <c r="X700" s="2012"/>
      <c r="Y700" s="2012"/>
      <c r="Z700" s="2012"/>
      <c r="AA700" s="2012"/>
      <c r="AB700" s="2012"/>
      <c r="AC700" s="571"/>
      <c r="AD700" s="571"/>
      <c r="AE700" s="571"/>
      <c r="AF700" s="1926" t="s">
        <v>1522</v>
      </c>
      <c r="AG700" s="1926"/>
      <c r="AH700" s="1926"/>
      <c r="AI700" s="1926"/>
      <c r="AJ700" s="1926"/>
      <c r="AK700" s="1926"/>
      <c r="AL700" s="1926"/>
      <c r="AM700" s="585"/>
      <c r="AN700" s="719"/>
      <c r="AP700" s="605" t="s">
        <v>1602</v>
      </c>
    </row>
    <row r="701" spans="1:42" s="605" customFormat="1" ht="11.85" customHeight="1">
      <c r="A701" s="585"/>
      <c r="B701" s="571"/>
      <c r="C701" s="970"/>
      <c r="D701" s="698"/>
      <c r="E701" s="2012"/>
      <c r="F701" s="2012"/>
      <c r="G701" s="2012"/>
      <c r="H701" s="2012"/>
      <c r="I701" s="2012"/>
      <c r="J701" s="2012"/>
      <c r="K701" s="2012"/>
      <c r="L701" s="2012"/>
      <c r="M701" s="2012"/>
      <c r="N701" s="2012"/>
      <c r="O701" s="2012"/>
      <c r="P701" s="2012"/>
      <c r="Q701" s="2012"/>
      <c r="R701" s="2012"/>
      <c r="S701" s="2012"/>
      <c r="T701" s="2012"/>
      <c r="U701" s="2012"/>
      <c r="V701" s="2012"/>
      <c r="W701" s="2012"/>
      <c r="X701" s="2012"/>
      <c r="Y701" s="2012"/>
      <c r="Z701" s="2012"/>
      <c r="AA701" s="2012"/>
      <c r="AB701" s="2012"/>
      <c r="AC701" s="571"/>
      <c r="AD701" s="571"/>
      <c r="AE701" s="571"/>
      <c r="AF701" s="571"/>
      <c r="AG701" s="571"/>
      <c r="AH701" s="571"/>
      <c r="AI701" s="571"/>
      <c r="AJ701" s="571"/>
      <c r="AK701" s="571"/>
      <c r="AL701" s="571"/>
      <c r="AM701" s="585"/>
      <c r="AN701" s="719"/>
      <c r="AP701" s="605" t="s">
        <v>1603</v>
      </c>
    </row>
    <row r="702" spans="1:42" s="605" customFormat="1" ht="13.9" customHeight="1">
      <c r="A702" s="585"/>
      <c r="B702" s="645"/>
      <c r="C702" s="968"/>
      <c r="D702" s="698"/>
      <c r="E702" s="2012"/>
      <c r="F702" s="2012"/>
      <c r="G702" s="2012"/>
      <c r="H702" s="2012"/>
      <c r="I702" s="2012"/>
      <c r="J702" s="2012"/>
      <c r="K702" s="2012"/>
      <c r="L702" s="2012"/>
      <c r="M702" s="2012"/>
      <c r="N702" s="2012"/>
      <c r="O702" s="2012"/>
      <c r="P702" s="2012"/>
      <c r="Q702" s="2012"/>
      <c r="R702" s="2012"/>
      <c r="S702" s="2012"/>
      <c r="T702" s="2012"/>
      <c r="U702" s="2012"/>
      <c r="V702" s="2012"/>
      <c r="W702" s="2012"/>
      <c r="X702" s="2012"/>
      <c r="Y702" s="2012"/>
      <c r="Z702" s="2012"/>
      <c r="AA702" s="2012"/>
      <c r="AB702" s="2012"/>
      <c r="AC702" s="571"/>
      <c r="AD702" s="571"/>
      <c r="AE702" s="651"/>
      <c r="AF702" s="571"/>
      <c r="AG702" s="571"/>
      <c r="AH702" s="571"/>
      <c r="AI702" s="571"/>
      <c r="AJ702" s="571"/>
      <c r="AK702" s="571"/>
      <c r="AL702" s="571"/>
      <c r="AM702" s="585"/>
      <c r="AN702" s="719"/>
      <c r="AP702" s="605" t="s">
        <v>1604</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1606</v>
      </c>
    </row>
    <row r="704" spans="1:42" s="605" customFormat="1" ht="13.9" customHeight="1">
      <c r="A704" s="585"/>
      <c r="B704" s="571"/>
      <c r="C704" s="968"/>
      <c r="D704" s="698" t="s">
        <v>518</v>
      </c>
      <c r="E704" s="2013" t="s">
        <v>1605</v>
      </c>
      <c r="F704" s="2013"/>
      <c r="G704" s="2013"/>
      <c r="H704" s="2013"/>
      <c r="I704" s="2013"/>
      <c r="J704" s="2013"/>
      <c r="K704" s="2013"/>
      <c r="L704" s="2013"/>
      <c r="M704" s="2013"/>
      <c r="N704" s="2013"/>
      <c r="O704" s="2013"/>
      <c r="P704" s="2013"/>
      <c r="Q704" s="2013"/>
      <c r="R704" s="2013"/>
      <c r="S704" s="2013"/>
      <c r="T704" s="2013"/>
      <c r="U704" s="2013"/>
      <c r="V704" s="2013"/>
      <c r="W704" s="2013"/>
      <c r="X704" s="2013"/>
      <c r="Y704" s="2013"/>
      <c r="Z704" s="2013"/>
      <c r="AA704" s="2013"/>
      <c r="AB704" s="2013"/>
      <c r="AC704" s="571"/>
      <c r="AD704" s="571"/>
      <c r="AE704" s="571"/>
      <c r="AF704" s="1926" t="s">
        <v>1578</v>
      </c>
      <c r="AG704" s="1926"/>
      <c r="AH704" s="1926"/>
      <c r="AI704" s="1926"/>
      <c r="AJ704" s="1926"/>
      <c r="AK704" s="1926"/>
      <c r="AL704" s="1926"/>
      <c r="AM704" s="585"/>
      <c r="AN704" s="720"/>
    </row>
    <row r="705" spans="1:52" s="605" customFormat="1" ht="12.75" customHeight="1">
      <c r="A705" s="585"/>
      <c r="B705" s="571"/>
      <c r="C705" s="970"/>
      <c r="D705" s="571"/>
      <c r="E705" s="2013"/>
      <c r="F705" s="2013"/>
      <c r="G705" s="2013"/>
      <c r="H705" s="2013"/>
      <c r="I705" s="2013"/>
      <c r="J705" s="2013"/>
      <c r="K705" s="2013"/>
      <c r="L705" s="2013"/>
      <c r="M705" s="2013"/>
      <c r="N705" s="2013"/>
      <c r="O705" s="2013"/>
      <c r="P705" s="2013"/>
      <c r="Q705" s="2013"/>
      <c r="R705" s="2013"/>
      <c r="S705" s="2013"/>
      <c r="T705" s="2013"/>
      <c r="U705" s="2013"/>
      <c r="V705" s="2013"/>
      <c r="W705" s="2013"/>
      <c r="X705" s="2013"/>
      <c r="Y705" s="2013"/>
      <c r="Z705" s="2013"/>
      <c r="AA705" s="2013"/>
      <c r="AB705" s="2013"/>
      <c r="AC705" s="571"/>
      <c r="AD705" s="571"/>
      <c r="AE705" s="571"/>
      <c r="AF705" s="571"/>
      <c r="AG705" s="571"/>
      <c r="AH705" s="571"/>
      <c r="AI705" s="571"/>
      <c r="AJ705" s="571"/>
      <c r="AK705" s="571"/>
      <c r="AL705" s="571"/>
      <c r="AM705" s="585"/>
      <c r="AN705" s="719"/>
      <c r="AP705" s="585" t="s">
        <v>600</v>
      </c>
      <c r="AQ705" s="708">
        <v>0</v>
      </c>
    </row>
    <row r="706" spans="1:52" s="605" customFormat="1" ht="13.9" customHeight="1">
      <c r="A706" s="585"/>
      <c r="B706" s="571"/>
      <c r="C706" s="970"/>
      <c r="D706" s="571"/>
      <c r="E706" s="2013"/>
      <c r="F706" s="2013"/>
      <c r="G706" s="2013"/>
      <c r="H706" s="2013"/>
      <c r="I706" s="2013"/>
      <c r="J706" s="2013"/>
      <c r="K706" s="2013"/>
      <c r="L706" s="2013"/>
      <c r="M706" s="2013"/>
      <c r="N706" s="2013"/>
      <c r="O706" s="2013"/>
      <c r="P706" s="2013"/>
      <c r="Q706" s="2013"/>
      <c r="R706" s="2013"/>
      <c r="S706" s="2013"/>
      <c r="T706" s="2013"/>
      <c r="U706" s="2013"/>
      <c r="V706" s="2013"/>
      <c r="W706" s="2013"/>
      <c r="X706" s="2013"/>
      <c r="Y706" s="2013"/>
      <c r="Z706" s="2013"/>
      <c r="AA706" s="2013"/>
      <c r="AB706" s="2013"/>
      <c r="AC706" s="571"/>
      <c r="AD706" s="571"/>
      <c r="AE706" s="571"/>
      <c r="AF706" s="571"/>
      <c r="AG706" s="571"/>
      <c r="AH706" s="571"/>
      <c r="AI706" s="571"/>
      <c r="AJ706" s="571"/>
      <c r="AK706" s="571"/>
      <c r="AL706" s="571"/>
      <c r="AM706" s="585"/>
      <c r="AN706" s="719"/>
      <c r="AP706" s="646" t="s">
        <v>697</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3.9" customHeight="1">
      <c r="A708" s="585"/>
      <c r="B708" s="571"/>
      <c r="C708" s="970"/>
      <c r="D708" s="571" t="s">
        <v>1570</v>
      </c>
      <c r="E708" s="973"/>
      <c r="F708" s="973"/>
      <c r="G708" s="973"/>
      <c r="H708" s="2008" t="s">
        <v>600</v>
      </c>
      <c r="I708" s="2008"/>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1607</v>
      </c>
      <c r="AJ710" s="1959">
        <f>VLOOKUP($H$708,$AO$641:$AP$643,2,FALSE)</f>
        <v>0</v>
      </c>
      <c r="AK710" s="1961"/>
      <c r="AL710" s="630"/>
      <c r="AM710" s="585"/>
      <c r="AN710" s="719"/>
      <c r="AP710" s="1959"/>
      <c r="AQ710" s="1961"/>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1608</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697</v>
      </c>
      <c r="E714" s="1979" t="s">
        <v>1954</v>
      </c>
      <c r="F714" s="1979"/>
      <c r="G714" s="1979"/>
      <c r="H714" s="1979"/>
      <c r="I714" s="1979"/>
      <c r="J714" s="1979"/>
      <c r="K714" s="1979"/>
      <c r="L714" s="1979"/>
      <c r="M714" s="1979"/>
      <c r="N714" s="1979"/>
      <c r="O714" s="1979"/>
      <c r="P714" s="1979"/>
      <c r="Q714" s="1979"/>
      <c r="R714" s="1979"/>
      <c r="S714" s="1979"/>
      <c r="T714" s="1979"/>
      <c r="U714" s="1979"/>
      <c r="V714" s="1979"/>
      <c r="W714" s="1979"/>
      <c r="X714" s="1979"/>
      <c r="Y714" s="1979"/>
      <c r="Z714" s="1979"/>
      <c r="AA714" s="1979"/>
      <c r="AB714" s="1979"/>
      <c r="AC714" s="571"/>
      <c r="AD714" s="571"/>
      <c r="AE714" s="571"/>
      <c r="AF714" s="1926" t="s">
        <v>1522</v>
      </c>
      <c r="AG714" s="1926"/>
      <c r="AH714" s="1926"/>
      <c r="AI714" s="1926"/>
      <c r="AJ714" s="1926"/>
      <c r="AK714" s="1926"/>
      <c r="AL714" s="1926"/>
      <c r="AM714" s="585"/>
      <c r="AN714" s="719"/>
      <c r="AT714" s="14"/>
      <c r="AU714" s="14"/>
      <c r="AV714" s="14"/>
      <c r="AW714" s="14"/>
      <c r="AX714" s="14"/>
      <c r="AY714" s="14"/>
      <c r="AZ714" s="14"/>
    </row>
    <row r="715" spans="1:52" s="605" customFormat="1">
      <c r="A715" s="585"/>
      <c r="B715" s="571"/>
      <c r="C715" s="970"/>
      <c r="D715" s="698"/>
      <c r="E715" s="1979"/>
      <c r="F715" s="1979"/>
      <c r="G715" s="1979"/>
      <c r="H715" s="1979"/>
      <c r="I715" s="1979"/>
      <c r="J715" s="1979"/>
      <c r="K715" s="1979"/>
      <c r="L715" s="1979"/>
      <c r="M715" s="1979"/>
      <c r="N715" s="1979"/>
      <c r="O715" s="1979"/>
      <c r="P715" s="1979"/>
      <c r="Q715" s="1979"/>
      <c r="R715" s="1979"/>
      <c r="S715" s="1979"/>
      <c r="T715" s="1979"/>
      <c r="U715" s="1979"/>
      <c r="V715" s="1979"/>
      <c r="W715" s="1979"/>
      <c r="X715" s="1979"/>
      <c r="Y715" s="1979"/>
      <c r="Z715" s="1979"/>
      <c r="AA715" s="1979"/>
      <c r="AB715" s="1979"/>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979" t="s">
        <v>1609</v>
      </c>
      <c r="F717" s="1979"/>
      <c r="G717" s="1979"/>
      <c r="H717" s="1979"/>
      <c r="I717" s="1979"/>
      <c r="J717" s="1979"/>
      <c r="K717" s="1979"/>
      <c r="L717" s="1979"/>
      <c r="M717" s="1979"/>
      <c r="N717" s="1979"/>
      <c r="O717" s="1979"/>
      <c r="P717" s="1979"/>
      <c r="Q717" s="1979"/>
      <c r="R717" s="1979"/>
      <c r="S717" s="1979"/>
      <c r="T717" s="1979"/>
      <c r="U717" s="1979"/>
      <c r="V717" s="1979"/>
      <c r="W717" s="1979"/>
      <c r="X717" s="1979"/>
      <c r="Y717" s="1979"/>
      <c r="Z717" s="1979"/>
      <c r="AA717" s="1979"/>
      <c r="AB717" s="1979"/>
      <c r="AC717" s="571"/>
      <c r="AD717" s="571"/>
      <c r="AE717" s="571"/>
      <c r="AF717" s="1926" t="s">
        <v>1578</v>
      </c>
      <c r="AG717" s="1926"/>
      <c r="AH717" s="1926"/>
      <c r="AI717" s="1926"/>
      <c r="AJ717" s="1926"/>
      <c r="AK717" s="1926"/>
      <c r="AL717" s="1926"/>
      <c r="AM717" s="585"/>
      <c r="AN717" s="719"/>
      <c r="AT717" s="14"/>
      <c r="AU717" s="14"/>
      <c r="AV717" s="14"/>
      <c r="AW717" s="14"/>
      <c r="AX717" s="14"/>
      <c r="AY717" s="14"/>
      <c r="AZ717" s="14"/>
    </row>
    <row r="718" spans="1:52" s="605" customFormat="1">
      <c r="A718" s="585"/>
      <c r="B718" s="571"/>
      <c r="C718" s="970"/>
      <c r="D718" s="571"/>
      <c r="E718" s="1979"/>
      <c r="F718" s="1979"/>
      <c r="G718" s="1979"/>
      <c r="H718" s="1979"/>
      <c r="I718" s="1979"/>
      <c r="J718" s="1979"/>
      <c r="K718" s="1979"/>
      <c r="L718" s="1979"/>
      <c r="M718" s="1979"/>
      <c r="N718" s="1979"/>
      <c r="O718" s="1979"/>
      <c r="P718" s="1979"/>
      <c r="Q718" s="1979"/>
      <c r="R718" s="1979"/>
      <c r="S718" s="1979"/>
      <c r="T718" s="1979"/>
      <c r="U718" s="1979"/>
      <c r="V718" s="1979"/>
      <c r="W718" s="1979"/>
      <c r="X718" s="1979"/>
      <c r="Y718" s="1979"/>
      <c r="Z718" s="1979"/>
      <c r="AA718" s="1979"/>
      <c r="AB718" s="1979"/>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1570</v>
      </c>
      <c r="E720" s="973"/>
      <c r="F720" s="973"/>
      <c r="G720" s="973"/>
      <c r="H720" s="2008" t="s">
        <v>600</v>
      </c>
      <c r="I720" s="2008"/>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1610</v>
      </c>
      <c r="AJ722" s="1959">
        <f>VLOOKUP($H$720,$AO$655:$AP$657,2,FALSE)</f>
        <v>0</v>
      </c>
      <c r="AK722" s="1961"/>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1611</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697</v>
      </c>
      <c r="E726" s="1979" t="s">
        <v>1612</v>
      </c>
      <c r="F726" s="1979"/>
      <c r="G726" s="1979"/>
      <c r="H726" s="1979"/>
      <c r="I726" s="1979"/>
      <c r="J726" s="1979"/>
      <c r="K726" s="1979"/>
      <c r="L726" s="1979"/>
      <c r="M726" s="1979"/>
      <c r="N726" s="1979"/>
      <c r="O726" s="1979"/>
      <c r="P726" s="1979"/>
      <c r="Q726" s="1979"/>
      <c r="R726" s="1979"/>
      <c r="S726" s="1979"/>
      <c r="T726" s="1979"/>
      <c r="U726" s="1979"/>
      <c r="V726" s="1979"/>
      <c r="W726" s="1979"/>
      <c r="X726" s="1979"/>
      <c r="Y726" s="1979"/>
      <c r="Z726" s="1979"/>
      <c r="AA726" s="1979"/>
      <c r="AB726" s="1979"/>
      <c r="AC726" s="571"/>
      <c r="AD726" s="571"/>
      <c r="AE726" s="571"/>
      <c r="AF726" s="1926" t="s">
        <v>1522</v>
      </c>
      <c r="AG726" s="1926"/>
      <c r="AH726" s="1926"/>
      <c r="AI726" s="1926"/>
      <c r="AJ726" s="1926"/>
      <c r="AK726" s="1926"/>
      <c r="AL726" s="1926"/>
      <c r="AM726" s="585"/>
      <c r="AN726" s="719"/>
      <c r="AT726" s="14"/>
      <c r="AU726" s="14"/>
      <c r="AV726" s="14"/>
      <c r="AW726" s="14"/>
      <c r="AX726" s="14"/>
      <c r="AY726" s="14"/>
      <c r="AZ726" s="14"/>
    </row>
    <row r="727" spans="1:81" s="605" customFormat="1">
      <c r="A727" s="585"/>
      <c r="B727" s="571"/>
      <c r="C727" s="968"/>
      <c r="D727" s="698"/>
      <c r="E727" s="1979"/>
      <c r="F727" s="1979"/>
      <c r="G727" s="1979"/>
      <c r="H727" s="1979"/>
      <c r="I727" s="1979"/>
      <c r="J727" s="1979"/>
      <c r="K727" s="1979"/>
      <c r="L727" s="1979"/>
      <c r="M727" s="1979"/>
      <c r="N727" s="1979"/>
      <c r="O727" s="1979"/>
      <c r="P727" s="1979"/>
      <c r="Q727" s="1979"/>
      <c r="R727" s="1979"/>
      <c r="S727" s="1979"/>
      <c r="T727" s="1979"/>
      <c r="U727" s="1979"/>
      <c r="V727" s="1979"/>
      <c r="W727" s="1979"/>
      <c r="X727" s="1979"/>
      <c r="Y727" s="1979"/>
      <c r="Z727" s="1979"/>
      <c r="AA727" s="1979"/>
      <c r="AB727" s="1979"/>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79"/>
      <c r="F728" s="1979"/>
      <c r="G728" s="1979"/>
      <c r="H728" s="1979"/>
      <c r="I728" s="1979"/>
      <c r="J728" s="1979"/>
      <c r="K728" s="1979"/>
      <c r="L728" s="1979"/>
      <c r="M728" s="1979"/>
      <c r="N728" s="1979"/>
      <c r="O728" s="1979"/>
      <c r="P728" s="1979"/>
      <c r="Q728" s="1979"/>
      <c r="R728" s="1979"/>
      <c r="S728" s="1979"/>
      <c r="T728" s="1979"/>
      <c r="U728" s="1979"/>
      <c r="V728" s="1979"/>
      <c r="W728" s="1979"/>
      <c r="X728" s="1979"/>
      <c r="Y728" s="1979"/>
      <c r="Z728" s="1979"/>
      <c r="AA728" s="1979"/>
      <c r="AB728" s="1979"/>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79"/>
      <c r="F729" s="1979"/>
      <c r="G729" s="1979"/>
      <c r="H729" s="1979"/>
      <c r="I729" s="1979"/>
      <c r="J729" s="1979"/>
      <c r="K729" s="1979"/>
      <c r="L729" s="1979"/>
      <c r="M729" s="1979"/>
      <c r="N729" s="1979"/>
      <c r="O729" s="1979"/>
      <c r="P729" s="1979"/>
      <c r="Q729" s="1979"/>
      <c r="R729" s="1979"/>
      <c r="S729" s="1979"/>
      <c r="T729" s="1979"/>
      <c r="U729" s="1979"/>
      <c r="V729" s="1979"/>
      <c r="W729" s="1979"/>
      <c r="X729" s="1979"/>
      <c r="Y729" s="1979"/>
      <c r="Z729" s="1979"/>
      <c r="AA729" s="1979"/>
      <c r="AB729" s="1979"/>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518</v>
      </c>
      <c r="E731" s="1979" t="s">
        <v>1613</v>
      </c>
      <c r="F731" s="1979"/>
      <c r="G731" s="1979"/>
      <c r="H731" s="1979"/>
      <c r="I731" s="1979"/>
      <c r="J731" s="1979"/>
      <c r="K731" s="1979"/>
      <c r="L731" s="1979"/>
      <c r="M731" s="1979"/>
      <c r="N731" s="1979"/>
      <c r="O731" s="1979"/>
      <c r="P731" s="1979"/>
      <c r="Q731" s="1979"/>
      <c r="R731" s="1979"/>
      <c r="S731" s="1979"/>
      <c r="T731" s="1979"/>
      <c r="U731" s="1979"/>
      <c r="V731" s="1979"/>
      <c r="W731" s="1979"/>
      <c r="X731" s="1979"/>
      <c r="Y731" s="1979"/>
      <c r="Z731" s="1979"/>
      <c r="AA731" s="1979"/>
      <c r="AB731" s="610"/>
      <c r="AC731" s="571"/>
      <c r="AD731" s="571"/>
      <c r="AE731" s="571"/>
      <c r="AF731" s="1926" t="s">
        <v>1578</v>
      </c>
      <c r="AG731" s="1926"/>
      <c r="AH731" s="1926"/>
      <c r="AI731" s="1926"/>
      <c r="AJ731" s="1926"/>
      <c r="AK731" s="1926"/>
      <c r="AL731" s="1926"/>
      <c r="AM731" s="585"/>
      <c r="AN731" s="719"/>
      <c r="AO731" s="30"/>
      <c r="AP731" s="14"/>
    </row>
    <row r="732" spans="1:81" s="605" customFormat="1">
      <c r="A732" s="585"/>
      <c r="B732" s="571"/>
      <c r="C732" s="968"/>
      <c r="D732" s="698"/>
      <c r="E732" s="1979"/>
      <c r="F732" s="1979"/>
      <c r="G732" s="1979"/>
      <c r="H732" s="1979"/>
      <c r="I732" s="1979"/>
      <c r="J732" s="1979"/>
      <c r="K732" s="1979"/>
      <c r="L732" s="1979"/>
      <c r="M732" s="1979"/>
      <c r="N732" s="1979"/>
      <c r="O732" s="1979"/>
      <c r="P732" s="1979"/>
      <c r="Q732" s="1979"/>
      <c r="R732" s="1979"/>
      <c r="S732" s="1979"/>
      <c r="T732" s="1979"/>
      <c r="U732" s="1979"/>
      <c r="V732" s="1979"/>
      <c r="W732" s="1979"/>
      <c r="X732" s="1979"/>
      <c r="Y732" s="1979"/>
      <c r="Z732" s="1979"/>
      <c r="AA732" s="1979"/>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79"/>
      <c r="F733" s="1979"/>
      <c r="G733" s="1979"/>
      <c r="H733" s="1979"/>
      <c r="I733" s="1979"/>
      <c r="J733" s="1979"/>
      <c r="K733" s="1979"/>
      <c r="L733" s="1979"/>
      <c r="M733" s="1979"/>
      <c r="N733" s="1979"/>
      <c r="O733" s="1979"/>
      <c r="P733" s="1979"/>
      <c r="Q733" s="1979"/>
      <c r="R733" s="1979"/>
      <c r="S733" s="1979"/>
      <c r="T733" s="1979"/>
      <c r="U733" s="1979"/>
      <c r="V733" s="1979"/>
      <c r="W733" s="1979"/>
      <c r="X733" s="1979"/>
      <c r="Y733" s="1979"/>
      <c r="Z733" s="1979"/>
      <c r="AA733" s="1979"/>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79"/>
      <c r="F734" s="1979"/>
      <c r="G734" s="1979"/>
      <c r="H734" s="1979"/>
      <c r="I734" s="1979"/>
      <c r="J734" s="1979"/>
      <c r="K734" s="1979"/>
      <c r="L734" s="1979"/>
      <c r="M734" s="1979"/>
      <c r="N734" s="1979"/>
      <c r="O734" s="1979"/>
      <c r="P734" s="1979"/>
      <c r="Q734" s="1979"/>
      <c r="R734" s="1979"/>
      <c r="S734" s="1979"/>
      <c r="T734" s="1979"/>
      <c r="U734" s="1979"/>
      <c r="V734" s="1979"/>
      <c r="W734" s="1979"/>
      <c r="X734" s="1979"/>
      <c r="Y734" s="1979"/>
      <c r="Z734" s="1979"/>
      <c r="AA734" s="1979"/>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1570</v>
      </c>
      <c r="E736" s="973"/>
      <c r="F736" s="973"/>
      <c r="G736" s="973"/>
      <c r="H736" s="2008" t="s">
        <v>518</v>
      </c>
      <c r="I736" s="2008"/>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1614</v>
      </c>
      <c r="AJ738" s="1959">
        <f>VLOOKUP($H$736,$AO$669:$AP$671,2,FALSE)</f>
        <v>2</v>
      </c>
      <c r="AK738" s="1961"/>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1604</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697</v>
      </c>
      <c r="E742" s="1979" t="s">
        <v>1615</v>
      </c>
      <c r="F742" s="1979"/>
      <c r="G742" s="1979"/>
      <c r="H742" s="1979"/>
      <c r="I742" s="1979"/>
      <c r="J742" s="1979"/>
      <c r="K742" s="1979"/>
      <c r="L742" s="1979"/>
      <c r="M742" s="1979"/>
      <c r="N742" s="1979"/>
      <c r="O742" s="1979"/>
      <c r="P742" s="1979"/>
      <c r="Q742" s="1979"/>
      <c r="R742" s="1979"/>
      <c r="S742" s="1979"/>
      <c r="T742" s="1979"/>
      <c r="U742" s="1979"/>
      <c r="V742" s="1979"/>
      <c r="W742" s="1979"/>
      <c r="X742" s="1979"/>
      <c r="Y742" s="1979"/>
      <c r="Z742" s="1979"/>
      <c r="AA742" s="1979"/>
      <c r="AB742" s="1979"/>
      <c r="AC742" s="571"/>
      <c r="AD742" s="571"/>
      <c r="AE742" s="571"/>
      <c r="AF742" s="1926" t="s">
        <v>1578</v>
      </c>
      <c r="AG742" s="1926"/>
      <c r="AH742" s="1926"/>
      <c r="AI742" s="1926"/>
      <c r="AJ742" s="1926"/>
      <c r="AK742" s="1926"/>
      <c r="AL742" s="1926"/>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79"/>
      <c r="F743" s="1979"/>
      <c r="G743" s="1979"/>
      <c r="H743" s="1979"/>
      <c r="I743" s="1979"/>
      <c r="J743" s="1979"/>
      <c r="K743" s="1979"/>
      <c r="L743" s="1979"/>
      <c r="M743" s="1979"/>
      <c r="N743" s="1979"/>
      <c r="O743" s="1979"/>
      <c r="P743" s="1979"/>
      <c r="Q743" s="1979"/>
      <c r="R743" s="1979"/>
      <c r="S743" s="1979"/>
      <c r="T743" s="1979"/>
      <c r="U743" s="1979"/>
      <c r="V743" s="1979"/>
      <c r="W743" s="1979"/>
      <c r="X743" s="1979"/>
      <c r="Y743" s="1979"/>
      <c r="Z743" s="1979"/>
      <c r="AA743" s="1979"/>
      <c r="AB743" s="1979"/>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518</v>
      </c>
      <c r="E745" s="1979" t="s">
        <v>1616</v>
      </c>
      <c r="F745" s="1979"/>
      <c r="G745" s="1979"/>
      <c r="H745" s="1979"/>
      <c r="I745" s="1979"/>
      <c r="J745" s="1979"/>
      <c r="K745" s="1979"/>
      <c r="L745" s="1979"/>
      <c r="M745" s="1979"/>
      <c r="N745" s="1979"/>
      <c r="O745" s="1979"/>
      <c r="P745" s="1979"/>
      <c r="Q745" s="1979"/>
      <c r="R745" s="1979"/>
      <c r="S745" s="1979"/>
      <c r="T745" s="1979"/>
      <c r="U745" s="1979"/>
      <c r="V745" s="1979"/>
      <c r="W745" s="1979"/>
      <c r="X745" s="1979"/>
      <c r="Y745" s="1979"/>
      <c r="Z745" s="1979"/>
      <c r="AA745" s="1979"/>
      <c r="AB745" s="1979"/>
      <c r="AC745" s="571"/>
      <c r="AD745" s="571"/>
      <c r="AE745" s="571"/>
      <c r="AF745" s="1926" t="s">
        <v>1595</v>
      </c>
      <c r="AG745" s="1926"/>
      <c r="AH745" s="1926"/>
      <c r="AI745" s="1926"/>
      <c r="AJ745" s="1926"/>
      <c r="AK745" s="1926"/>
      <c r="AL745" s="1926"/>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79"/>
      <c r="F746" s="1979"/>
      <c r="G746" s="1979"/>
      <c r="H746" s="1979"/>
      <c r="I746" s="1979"/>
      <c r="J746" s="1979"/>
      <c r="K746" s="1979"/>
      <c r="L746" s="1979"/>
      <c r="M746" s="1979"/>
      <c r="N746" s="1979"/>
      <c r="O746" s="1979"/>
      <c r="P746" s="1979"/>
      <c r="Q746" s="1979"/>
      <c r="R746" s="1979"/>
      <c r="S746" s="1979"/>
      <c r="T746" s="1979"/>
      <c r="U746" s="1979"/>
      <c r="V746" s="1979"/>
      <c r="W746" s="1979"/>
      <c r="X746" s="1979"/>
      <c r="Y746" s="1979"/>
      <c r="Z746" s="1979"/>
      <c r="AA746" s="1979"/>
      <c r="AB746" s="1979"/>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1570</v>
      </c>
      <c r="E748" s="973"/>
      <c r="F748" s="973"/>
      <c r="G748" s="973"/>
      <c r="H748" s="2008" t="s">
        <v>518</v>
      </c>
      <c r="I748" s="2008"/>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1617</v>
      </c>
      <c r="AJ750" s="1959">
        <f>VLOOKUP($H$748,$AO$683:$AP$685,2,FALSE)</f>
        <v>1</v>
      </c>
      <c r="AK750" s="1961"/>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1606</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697</v>
      </c>
      <c r="E754" s="1979" t="s">
        <v>1950</v>
      </c>
      <c r="F754" s="1979"/>
      <c r="G754" s="1979"/>
      <c r="H754" s="1979"/>
      <c r="I754" s="1979"/>
      <c r="J754" s="1979"/>
      <c r="K754" s="1979"/>
      <c r="L754" s="1979"/>
      <c r="M754" s="1979"/>
      <c r="N754" s="1979"/>
      <c r="O754" s="1979"/>
      <c r="P754" s="1979"/>
      <c r="Q754" s="1979"/>
      <c r="R754" s="1979"/>
      <c r="S754" s="1979"/>
      <c r="T754" s="1979"/>
      <c r="U754" s="1979"/>
      <c r="V754" s="1979"/>
      <c r="W754" s="1979"/>
      <c r="X754" s="1979"/>
      <c r="Y754" s="1979"/>
      <c r="Z754" s="1979"/>
      <c r="AA754" s="1979"/>
      <c r="AB754" s="1979"/>
      <c r="AC754" s="1979"/>
      <c r="AD754" s="1979"/>
      <c r="AE754" s="571"/>
      <c r="AF754" s="1926" t="s">
        <v>1578</v>
      </c>
      <c r="AG754" s="1926"/>
      <c r="AH754" s="1926"/>
      <c r="AI754" s="1926"/>
      <c r="AJ754" s="1926"/>
      <c r="AK754" s="1926"/>
      <c r="AL754" s="1926"/>
      <c r="AM754" s="648"/>
      <c r="AN754" s="719"/>
    </row>
    <row r="755" spans="1:81" s="605" customFormat="1" ht="13.7" customHeight="1">
      <c r="A755" s="585"/>
      <c r="B755" s="651"/>
      <c r="C755" s="977"/>
      <c r="D755" s="698"/>
      <c r="E755" s="1979"/>
      <c r="F755" s="1979"/>
      <c r="G755" s="1979"/>
      <c r="H755" s="1979"/>
      <c r="I755" s="1979"/>
      <c r="J755" s="1979"/>
      <c r="K755" s="1979"/>
      <c r="L755" s="1979"/>
      <c r="M755" s="1979"/>
      <c r="N755" s="1979"/>
      <c r="O755" s="1979"/>
      <c r="P755" s="1979"/>
      <c r="Q755" s="1979"/>
      <c r="R755" s="1979"/>
      <c r="S755" s="1979"/>
      <c r="T755" s="1979"/>
      <c r="U755" s="1979"/>
      <c r="V755" s="1979"/>
      <c r="W755" s="1979"/>
      <c r="X755" s="1979"/>
      <c r="Y755" s="1979"/>
      <c r="Z755" s="1979"/>
      <c r="AA755" s="1979"/>
      <c r="AB755" s="1979"/>
      <c r="AC755" s="1979"/>
      <c r="AD755" s="1979"/>
      <c r="AE755" s="571"/>
      <c r="AF755" s="629"/>
      <c r="AG755" s="629"/>
      <c r="AH755" s="629"/>
      <c r="AI755" s="629"/>
      <c r="AJ755" s="629"/>
      <c r="AK755" s="629"/>
      <c r="AL755" s="629"/>
      <c r="AM755" s="648"/>
      <c r="AN755" s="719"/>
    </row>
    <row r="756" spans="1:81" s="605" customFormat="1">
      <c r="A756" s="585"/>
      <c r="B756" s="651"/>
      <c r="C756" s="977"/>
      <c r="D756" s="698"/>
      <c r="E756" s="1979"/>
      <c r="F756" s="1979"/>
      <c r="G756" s="1979"/>
      <c r="H756" s="1979"/>
      <c r="I756" s="1979"/>
      <c r="J756" s="1979"/>
      <c r="K756" s="1979"/>
      <c r="L756" s="1979"/>
      <c r="M756" s="1979"/>
      <c r="N756" s="1979"/>
      <c r="O756" s="1979"/>
      <c r="P756" s="1979"/>
      <c r="Q756" s="1979"/>
      <c r="R756" s="1979"/>
      <c r="S756" s="1979"/>
      <c r="T756" s="1979"/>
      <c r="U756" s="1979"/>
      <c r="V756" s="1979"/>
      <c r="W756" s="1979"/>
      <c r="X756" s="1979"/>
      <c r="Y756" s="1979"/>
      <c r="Z756" s="1979"/>
      <c r="AA756" s="1979"/>
      <c r="AB756" s="1979"/>
      <c r="AC756" s="1979"/>
      <c r="AD756" s="1979"/>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79"/>
      <c r="F757" s="1979"/>
      <c r="G757" s="1979"/>
      <c r="H757" s="1979"/>
      <c r="I757" s="1979"/>
      <c r="J757" s="1979"/>
      <c r="K757" s="1979"/>
      <c r="L757" s="1979"/>
      <c r="M757" s="1979"/>
      <c r="N757" s="1979"/>
      <c r="O757" s="1979"/>
      <c r="P757" s="1979"/>
      <c r="Q757" s="1979"/>
      <c r="R757" s="1979"/>
      <c r="S757" s="1979"/>
      <c r="T757" s="1979"/>
      <c r="U757" s="1979"/>
      <c r="V757" s="1979"/>
      <c r="W757" s="1979"/>
      <c r="X757" s="1979"/>
      <c r="Y757" s="1979"/>
      <c r="Z757" s="1979"/>
      <c r="AA757" s="1979"/>
      <c r="AB757" s="1979"/>
      <c r="AC757" s="1979"/>
      <c r="AD757" s="1979"/>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14" t="s">
        <v>1955</v>
      </c>
      <c r="F759" s="2014"/>
      <c r="G759" s="2014"/>
      <c r="H759" s="2014"/>
      <c r="I759" s="2014"/>
      <c r="J759" s="2014"/>
      <c r="K759" s="2014"/>
      <c r="L759" s="2014"/>
      <c r="M759" s="2014"/>
      <c r="N759" s="2014"/>
      <c r="O759" s="2014"/>
      <c r="P759" s="2014"/>
      <c r="Q759" s="2014"/>
      <c r="R759" s="2014"/>
      <c r="S759" s="2014"/>
      <c r="T759" s="2014"/>
      <c r="U759" s="2014"/>
      <c r="V759" s="2014"/>
      <c r="W759" s="2014"/>
      <c r="X759" s="2014"/>
      <c r="Y759" s="2014"/>
      <c r="Z759" s="2014"/>
      <c r="AA759" s="2014"/>
      <c r="AB759" s="2014"/>
      <c r="AC759" s="2014"/>
      <c r="AD759" s="2014"/>
      <c r="AE759" s="571"/>
      <c r="AF759" s="1926" t="s">
        <v>1522</v>
      </c>
      <c r="AG759" s="1926"/>
      <c r="AH759" s="1926"/>
      <c r="AI759" s="1926"/>
      <c r="AJ759" s="1926"/>
      <c r="AK759" s="1926"/>
      <c r="AL759" s="1926"/>
      <c r="AM759" s="648"/>
      <c r="AN759" s="632"/>
    </row>
    <row r="760" spans="1:81" s="585" customFormat="1" ht="12.75" customHeight="1">
      <c r="B760" s="651"/>
      <c r="C760" s="977"/>
      <c r="D760" s="698"/>
      <c r="E760" s="2014"/>
      <c r="F760" s="2014"/>
      <c r="G760" s="2014"/>
      <c r="H760" s="2014"/>
      <c r="I760" s="2014"/>
      <c r="J760" s="2014"/>
      <c r="K760" s="2014"/>
      <c r="L760" s="2014"/>
      <c r="M760" s="2014"/>
      <c r="N760" s="2014"/>
      <c r="O760" s="2014"/>
      <c r="P760" s="2014"/>
      <c r="Q760" s="2014"/>
      <c r="R760" s="2014"/>
      <c r="S760" s="2014"/>
      <c r="T760" s="2014"/>
      <c r="U760" s="2014"/>
      <c r="V760" s="2014"/>
      <c r="W760" s="2014"/>
      <c r="X760" s="2014"/>
      <c r="Y760" s="2014"/>
      <c r="Z760" s="2014"/>
      <c r="AA760" s="2014"/>
      <c r="AB760" s="2014"/>
      <c r="AC760" s="2014"/>
      <c r="AD760" s="2014"/>
      <c r="AE760" s="629"/>
      <c r="AF760" s="629"/>
      <c r="AG760" s="629"/>
      <c r="AH760" s="629"/>
      <c r="AI760" s="629"/>
      <c r="AJ760" s="629"/>
      <c r="AK760" s="629"/>
      <c r="AL760" s="629"/>
      <c r="AM760" s="648"/>
      <c r="AN760" s="632"/>
    </row>
    <row r="761" spans="1:81" s="585" customFormat="1" ht="12.75" customHeight="1">
      <c r="B761" s="651"/>
      <c r="C761" s="977"/>
      <c r="D761" s="698"/>
      <c r="E761" s="2014"/>
      <c r="F761" s="2014"/>
      <c r="G761" s="2014"/>
      <c r="H761" s="2014"/>
      <c r="I761" s="2014"/>
      <c r="J761" s="2014"/>
      <c r="K761" s="2014"/>
      <c r="L761" s="2014"/>
      <c r="M761" s="2014"/>
      <c r="N761" s="2014"/>
      <c r="O761" s="2014"/>
      <c r="P761" s="2014"/>
      <c r="Q761" s="2014"/>
      <c r="R761" s="2014"/>
      <c r="S761" s="2014"/>
      <c r="T761" s="2014"/>
      <c r="U761" s="2014"/>
      <c r="V761" s="2014"/>
      <c r="W761" s="2014"/>
      <c r="X761" s="2014"/>
      <c r="Y761" s="2014"/>
      <c r="Z761" s="2014"/>
      <c r="AA761" s="2014"/>
      <c r="AB761" s="2014"/>
      <c r="AC761" s="2014"/>
      <c r="AD761" s="2014"/>
      <c r="AE761" s="629"/>
      <c r="AF761" s="629"/>
      <c r="AG761" s="629"/>
      <c r="AH761" s="629"/>
      <c r="AI761" s="629"/>
      <c r="AJ761" s="629"/>
      <c r="AK761" s="629"/>
      <c r="AL761" s="629"/>
      <c r="AM761" s="648"/>
      <c r="AN761" s="632"/>
    </row>
    <row r="762" spans="1:81" s="585" customFormat="1" ht="12.75" customHeight="1">
      <c r="B762" s="651"/>
      <c r="C762" s="977"/>
      <c r="D762" s="698"/>
      <c r="E762" s="2014"/>
      <c r="F762" s="2014"/>
      <c r="G762" s="2014"/>
      <c r="H762" s="2014"/>
      <c r="I762" s="2014"/>
      <c r="J762" s="2014"/>
      <c r="K762" s="2014"/>
      <c r="L762" s="2014"/>
      <c r="M762" s="2014"/>
      <c r="N762" s="2014"/>
      <c r="O762" s="2014"/>
      <c r="P762" s="2014"/>
      <c r="Q762" s="2014"/>
      <c r="R762" s="2014"/>
      <c r="S762" s="2014"/>
      <c r="T762" s="2014"/>
      <c r="U762" s="2014"/>
      <c r="V762" s="2014"/>
      <c r="W762" s="2014"/>
      <c r="X762" s="2014"/>
      <c r="Y762" s="2014"/>
      <c r="Z762" s="2014"/>
      <c r="AA762" s="2014"/>
      <c r="AB762" s="2014"/>
      <c r="AC762" s="2014"/>
      <c r="AD762" s="2014"/>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1570</v>
      </c>
      <c r="E764" s="973"/>
      <c r="F764" s="973"/>
      <c r="G764" s="973"/>
      <c r="H764" s="2008" t="s">
        <v>600</v>
      </c>
      <c r="I764" s="2008"/>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1618</v>
      </c>
      <c r="AJ766" s="1959">
        <f>VLOOKUP($H$764,$AP$705:$AQ$707,2,FALSE)</f>
        <v>0</v>
      </c>
      <c r="AK766" s="1961"/>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1619</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697</v>
      </c>
      <c r="E770" s="1979" t="s">
        <v>2428</v>
      </c>
      <c r="F770" s="1979"/>
      <c r="G770" s="1979"/>
      <c r="H770" s="1979"/>
      <c r="I770" s="1979"/>
      <c r="J770" s="1979"/>
      <c r="K770" s="1979"/>
      <c r="L770" s="1979"/>
      <c r="M770" s="1979"/>
      <c r="N770" s="1979"/>
      <c r="O770" s="1979"/>
      <c r="P770" s="1979"/>
      <c r="Q770" s="1979"/>
      <c r="R770" s="1979"/>
      <c r="S770" s="1979"/>
      <c r="T770" s="1979"/>
      <c r="U770" s="1979"/>
      <c r="V770" s="1979"/>
      <c r="W770" s="1979"/>
      <c r="X770" s="1979"/>
      <c r="Y770" s="1979"/>
      <c r="Z770" s="1979"/>
      <c r="AA770" s="1979"/>
      <c r="AB770" s="1979"/>
      <c r="AC770" s="1979"/>
      <c r="AD770" s="1979"/>
      <c r="AE770" s="571"/>
      <c r="AF770" s="1926" t="s">
        <v>1522</v>
      </c>
      <c r="AG770" s="1926"/>
      <c r="AH770" s="1926"/>
      <c r="AI770" s="1926"/>
      <c r="AJ770" s="1926"/>
      <c r="AK770" s="1926"/>
      <c r="AL770" s="1926"/>
      <c r="AM770" s="648"/>
      <c r="AN770" s="719"/>
      <c r="AO770" s="646" t="s">
        <v>554</v>
      </c>
      <c r="AP770" s="585">
        <v>3</v>
      </c>
      <c r="AT770" s="709"/>
      <c r="AU770" s="709"/>
      <c r="AV770" s="709"/>
      <c r="AW770" s="709"/>
      <c r="AX770" s="709"/>
      <c r="AY770" s="709"/>
      <c r="AZ770" s="709"/>
    </row>
    <row r="771" spans="1:81" s="605" customFormat="1" ht="13.7" customHeight="1">
      <c r="A771" s="585"/>
      <c r="B771" s="651"/>
      <c r="C771" s="977"/>
      <c r="D771" s="698"/>
      <c r="E771" s="1979"/>
      <c r="F771" s="1979"/>
      <c r="G771" s="1979"/>
      <c r="H771" s="1979"/>
      <c r="I771" s="1979"/>
      <c r="J771" s="1979"/>
      <c r="K771" s="1979"/>
      <c r="L771" s="1979"/>
      <c r="M771" s="1979"/>
      <c r="N771" s="1979"/>
      <c r="O771" s="1979"/>
      <c r="P771" s="1979"/>
      <c r="Q771" s="1979"/>
      <c r="R771" s="1979"/>
      <c r="S771" s="1979"/>
      <c r="T771" s="1979"/>
      <c r="U771" s="1979"/>
      <c r="V771" s="1979"/>
      <c r="W771" s="1979"/>
      <c r="X771" s="1979"/>
      <c r="Y771" s="1979"/>
      <c r="Z771" s="1979"/>
      <c r="AA771" s="1979"/>
      <c r="AB771" s="1979"/>
      <c r="AC771" s="1979"/>
      <c r="AD771" s="1979"/>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79"/>
      <c r="F772" s="1979"/>
      <c r="G772" s="1979"/>
      <c r="H772" s="1979"/>
      <c r="I772" s="1979"/>
      <c r="J772" s="1979"/>
      <c r="K772" s="1979"/>
      <c r="L772" s="1979"/>
      <c r="M772" s="1979"/>
      <c r="N772" s="1979"/>
      <c r="O772" s="1979"/>
      <c r="P772" s="1979"/>
      <c r="Q772" s="1979"/>
      <c r="R772" s="1979"/>
      <c r="S772" s="1979"/>
      <c r="T772" s="1979"/>
      <c r="U772" s="1979"/>
      <c r="V772" s="1979"/>
      <c r="W772" s="1979"/>
      <c r="X772" s="1979"/>
      <c r="Y772" s="1979"/>
      <c r="Z772" s="1979"/>
      <c r="AA772" s="1979"/>
      <c r="AB772" s="1979"/>
      <c r="AC772" s="1979"/>
      <c r="AD772" s="1979"/>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79"/>
      <c r="F773" s="1979"/>
      <c r="G773" s="1979"/>
      <c r="H773" s="1979"/>
      <c r="I773" s="1979"/>
      <c r="J773" s="1979"/>
      <c r="K773" s="1979"/>
      <c r="L773" s="1979"/>
      <c r="M773" s="1979"/>
      <c r="N773" s="1979"/>
      <c r="O773" s="1979"/>
      <c r="P773" s="1979"/>
      <c r="Q773" s="1979"/>
      <c r="R773" s="1979"/>
      <c r="S773" s="1979"/>
      <c r="T773" s="1979"/>
      <c r="U773" s="1979"/>
      <c r="V773" s="1979"/>
      <c r="W773" s="1979"/>
      <c r="X773" s="1979"/>
      <c r="Y773" s="1979"/>
      <c r="Z773" s="1979"/>
      <c r="AA773" s="1979"/>
      <c r="AB773" s="1979"/>
      <c r="AC773" s="1979"/>
      <c r="AD773" s="1979"/>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1570</v>
      </c>
      <c r="E775" s="973"/>
      <c r="F775" s="973"/>
      <c r="G775" s="973"/>
      <c r="H775" s="2008" t="s">
        <v>554</v>
      </c>
      <c r="I775" s="2008"/>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1620</v>
      </c>
      <c r="AJ777" s="1959">
        <f>VLOOKUP($H$775,$AO$769:$AP$770,2,FALSE)</f>
        <v>3</v>
      </c>
      <c r="AK777" s="1961"/>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1621</v>
      </c>
      <c r="AK779" s="1959">
        <f>IF(($AJ$610+$AJ$629+$AJ$641+$AJ$676+$AJ$696+$AJ$710+$AJ$722+$AJ$738+$AJ$750+$AJ$766+AJ777)&gt;10,10,($AJ$610+$AJ$629+$AJ$641+$AJ$676+$AJ$696+$AJ$710+$AJ$722+$AJ$738+$AJ$750+$AJ$766+AJ777))</f>
        <v>10</v>
      </c>
      <c r="AL779" s="1960"/>
      <c r="AM779" s="1961"/>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65" t="s">
        <v>1743</v>
      </c>
      <c r="B782" s="2066"/>
      <c r="C782" s="2066"/>
      <c r="D782" s="2066"/>
      <c r="E782" s="2066"/>
      <c r="F782" s="2066"/>
      <c r="G782" s="2066"/>
      <c r="H782" s="2066"/>
      <c r="I782" s="2066"/>
      <c r="J782" s="2066"/>
      <c r="K782" s="2066"/>
      <c r="L782" s="2066"/>
      <c r="M782" s="2066"/>
      <c r="N782" s="2066"/>
      <c r="O782" s="2066"/>
      <c r="P782" s="2066"/>
      <c r="Q782" s="2066"/>
      <c r="R782" s="2066"/>
      <c r="S782" s="2066"/>
      <c r="T782" s="2066"/>
      <c r="U782" s="2066"/>
      <c r="V782" s="2066"/>
      <c r="W782" s="2066"/>
      <c r="X782" s="2066"/>
      <c r="Y782" s="2066"/>
      <c r="Z782" s="2066"/>
      <c r="AA782" s="2066"/>
      <c r="AB782" s="2066"/>
      <c r="AC782" s="2066"/>
      <c r="AD782" s="2066"/>
      <c r="AE782" s="2066"/>
      <c r="AF782" s="2066"/>
      <c r="AG782" s="2066"/>
      <c r="AH782" s="2066"/>
      <c r="AI782" s="2066"/>
      <c r="AJ782" s="2066"/>
      <c r="AK782" s="2066"/>
      <c r="AL782" s="2066"/>
      <c r="AM782" s="2066"/>
    </row>
    <row r="783" spans="1:81">
      <c r="A783" s="2067"/>
      <c r="B783" s="2067"/>
      <c r="C783" s="2067"/>
      <c r="D783" s="2067"/>
      <c r="E783" s="2067"/>
      <c r="F783" s="2067"/>
      <c r="G783" s="2067"/>
      <c r="H783" s="2067"/>
      <c r="I783" s="2067"/>
      <c r="J783" s="2067"/>
      <c r="K783" s="2067"/>
      <c r="L783" s="2067"/>
      <c r="M783" s="2067"/>
      <c r="N783" s="2067"/>
      <c r="O783" s="2067"/>
      <c r="P783" s="2067"/>
      <c r="Q783" s="2067"/>
      <c r="R783" s="2067"/>
      <c r="S783" s="2067"/>
      <c r="T783" s="2067"/>
      <c r="U783" s="2067"/>
      <c r="V783" s="2067"/>
      <c r="W783" s="2067"/>
      <c r="X783" s="2067"/>
      <c r="Y783" s="2067"/>
      <c r="Z783" s="2067"/>
      <c r="AA783" s="2067"/>
      <c r="AB783" s="2067"/>
      <c r="AC783" s="2067"/>
      <c r="AD783" s="2067"/>
      <c r="AE783" s="2067"/>
      <c r="AF783" s="2067"/>
      <c r="AG783" s="2067"/>
      <c r="AH783" s="2067"/>
      <c r="AI783" s="2067"/>
      <c r="AJ783" s="2067"/>
      <c r="AK783" s="2067"/>
      <c r="AL783" s="2067"/>
      <c r="AM783" s="2067"/>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2000"/>
      <c r="B785" s="2000"/>
      <c r="C785" s="2000"/>
      <c r="D785" s="2000"/>
      <c r="E785" s="2000"/>
      <c r="F785" s="2000"/>
      <c r="G785" s="2000"/>
      <c r="H785" s="2000"/>
      <c r="I785" s="2000"/>
      <c r="J785" s="2000"/>
      <c r="K785" s="2000"/>
      <c r="L785" s="2000"/>
      <c r="M785" s="2000"/>
      <c r="N785" s="2000"/>
      <c r="O785" s="2000"/>
      <c r="P785" s="2000"/>
      <c r="Q785" s="2000"/>
      <c r="R785" s="2000"/>
      <c r="S785" s="2000"/>
      <c r="T785" s="2000"/>
      <c r="U785" s="2000"/>
      <c r="V785" s="2000"/>
      <c r="W785" s="2000"/>
      <c r="X785" s="2000"/>
      <c r="Y785" s="2000"/>
      <c r="Z785" s="2000"/>
      <c r="AA785" s="2000"/>
      <c r="AB785" s="2000"/>
      <c r="AC785" s="2000"/>
      <c r="AD785" s="2000"/>
      <c r="AE785" s="2000"/>
      <c r="AF785" s="2000"/>
      <c r="AG785" s="2000"/>
      <c r="AH785" s="2000"/>
      <c r="AI785" s="2000"/>
      <c r="AJ785" s="2000"/>
      <c r="AK785" s="2000"/>
      <c r="AL785" s="2000"/>
      <c r="AM785" s="2000"/>
      <c r="AP785" s="852"/>
      <c r="AQ785" s="852"/>
    </row>
    <row r="786" spans="1:81">
      <c r="A786" s="2000"/>
      <c r="B786" s="2000"/>
      <c r="C786" s="2000"/>
      <c r="D786" s="2000"/>
      <c r="E786" s="2000"/>
      <c r="F786" s="2000"/>
      <c r="G786" s="2000"/>
      <c r="H786" s="2000"/>
      <c r="I786" s="2000"/>
      <c r="J786" s="2000"/>
      <c r="K786" s="2000"/>
      <c r="L786" s="2000"/>
      <c r="M786" s="2000"/>
      <c r="N786" s="2000"/>
      <c r="O786" s="2000"/>
      <c r="P786" s="2000"/>
      <c r="Q786" s="2000"/>
      <c r="R786" s="2000"/>
      <c r="S786" s="2000"/>
      <c r="T786" s="2000"/>
      <c r="U786" s="2000"/>
      <c r="V786" s="2000"/>
      <c r="W786" s="2000"/>
      <c r="X786" s="2000"/>
      <c r="Y786" s="2000"/>
      <c r="Z786" s="2000"/>
      <c r="AA786" s="2000"/>
      <c r="AB786" s="2000"/>
      <c r="AC786" s="2000"/>
      <c r="AD786" s="2000"/>
      <c r="AE786" s="2000"/>
      <c r="AF786" s="2000"/>
      <c r="AG786" s="2000"/>
      <c r="AH786" s="2000"/>
      <c r="AI786" s="2000"/>
      <c r="AJ786" s="2000"/>
      <c r="AK786" s="2000"/>
      <c r="AL786" s="2000"/>
      <c r="AM786" s="2000"/>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68" t="s">
        <v>1744</v>
      </c>
      <c r="U787" s="2069"/>
      <c r="V787" s="2069"/>
      <c r="W787" s="2069"/>
      <c r="X787" s="2069"/>
      <c r="Y787" s="2070"/>
      <c r="Z787" s="2068" t="s">
        <v>1745</v>
      </c>
      <c r="AA787" s="2069"/>
      <c r="AB787" s="2069"/>
      <c r="AC787" s="2069"/>
      <c r="AD787" s="2069"/>
      <c r="AE787" s="2070"/>
      <c r="AF787" s="2068" t="s">
        <v>1746</v>
      </c>
      <c r="AG787" s="2069"/>
      <c r="AH787" s="2069"/>
      <c r="AI787" s="2069"/>
      <c r="AJ787" s="2069"/>
      <c r="AK787" s="2070"/>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71"/>
      <c r="U788" s="2072"/>
      <c r="V788" s="2072"/>
      <c r="W788" s="2072"/>
      <c r="X788" s="2072"/>
      <c r="Y788" s="2073"/>
      <c r="Z788" s="2071"/>
      <c r="AA788" s="2072"/>
      <c r="AB788" s="2072"/>
      <c r="AC788" s="2072"/>
      <c r="AD788" s="2072"/>
      <c r="AE788" s="2073"/>
      <c r="AF788" s="2071"/>
      <c r="AG788" s="2072"/>
      <c r="AH788" s="2072"/>
      <c r="AI788" s="2072"/>
      <c r="AJ788" s="2072"/>
      <c r="AK788" s="2073"/>
      <c r="AL788" s="854"/>
      <c r="AM788" s="631"/>
      <c r="AO788" s="852"/>
      <c r="AP788" s="852"/>
      <c r="AQ788" s="852"/>
    </row>
    <row r="789" spans="1:81">
      <c r="A789" s="855" t="s">
        <v>769</v>
      </c>
      <c r="B789" s="2048" t="s">
        <v>1474</v>
      </c>
      <c r="C789" s="2048"/>
      <c r="D789" s="2048"/>
      <c r="E789" s="2048"/>
      <c r="F789" s="2048"/>
      <c r="G789" s="2048"/>
      <c r="H789" s="2048"/>
      <c r="I789" s="2048"/>
      <c r="J789" s="2048"/>
      <c r="K789" s="2048"/>
      <c r="L789" s="2048"/>
      <c r="M789" s="2048"/>
      <c r="N789" s="2048"/>
      <c r="O789" s="2048"/>
      <c r="P789" s="2048"/>
      <c r="Q789" s="2048"/>
      <c r="R789" s="2048"/>
      <c r="S789" s="2049"/>
      <c r="T789" s="2050">
        <f>AK56</f>
        <v>0</v>
      </c>
      <c r="U789" s="2051"/>
      <c r="V789" s="2051"/>
      <c r="W789" s="2051"/>
      <c r="X789" s="2051"/>
      <c r="Y789" s="2052"/>
      <c r="Z789" s="2053">
        <v>20</v>
      </c>
      <c r="AA789" s="2051"/>
      <c r="AB789" s="2051"/>
      <c r="AC789" s="2051"/>
      <c r="AD789" s="2051"/>
      <c r="AE789" s="2052"/>
      <c r="AF789" s="2017">
        <f>IF(T789&gt;Z789,Z789,T789)</f>
        <v>0</v>
      </c>
      <c r="AG789" s="2017"/>
      <c r="AH789" s="2017"/>
      <c r="AI789" s="2017"/>
      <c r="AJ789" s="2017"/>
      <c r="AK789" s="2017"/>
      <c r="AL789" s="854"/>
      <c r="AM789" s="631"/>
      <c r="AO789" s="852"/>
      <c r="AP789" s="852"/>
      <c r="AQ789" s="852"/>
    </row>
    <row r="790" spans="1:81">
      <c r="A790" s="855" t="s">
        <v>1716</v>
      </c>
      <c r="B790" s="2048" t="s">
        <v>1483</v>
      </c>
      <c r="C790" s="2048"/>
      <c r="D790" s="2048"/>
      <c r="E790" s="2048"/>
      <c r="F790" s="2048"/>
      <c r="G790" s="2048"/>
      <c r="H790" s="2048"/>
      <c r="I790" s="2048"/>
      <c r="J790" s="2048"/>
      <c r="K790" s="2048"/>
      <c r="L790" s="2048"/>
      <c r="M790" s="2048"/>
      <c r="N790" s="2048"/>
      <c r="O790" s="2048"/>
      <c r="P790" s="2048"/>
      <c r="Q790" s="2048"/>
      <c r="R790" s="2048"/>
      <c r="S790" s="2049"/>
      <c r="T790" s="2050">
        <f>AK78</f>
        <v>10</v>
      </c>
      <c r="U790" s="2051"/>
      <c r="V790" s="2051"/>
      <c r="W790" s="2051"/>
      <c r="X790" s="2051"/>
      <c r="Y790" s="2052"/>
      <c r="Z790" s="2053">
        <v>10</v>
      </c>
      <c r="AA790" s="2051"/>
      <c r="AB790" s="2051"/>
      <c r="AC790" s="2051"/>
      <c r="AD790" s="2051"/>
      <c r="AE790" s="2052"/>
      <c r="AF790" s="2017">
        <f>IF(T790&gt;Z790,Z790,T790)</f>
        <v>10</v>
      </c>
      <c r="AG790" s="2017"/>
      <c r="AH790" s="2017"/>
      <c r="AI790" s="2017"/>
      <c r="AJ790" s="2017"/>
      <c r="AK790" s="2017"/>
      <c r="AL790" s="854"/>
      <c r="AM790" s="631"/>
      <c r="AO790" s="852"/>
      <c r="AP790" s="852"/>
      <c r="AQ790" s="852"/>
    </row>
    <row r="791" spans="1:81">
      <c r="A791" s="855" t="s">
        <v>1725</v>
      </c>
      <c r="B791" s="2048" t="s">
        <v>1493</v>
      </c>
      <c r="C791" s="2048"/>
      <c r="D791" s="2048"/>
      <c r="E791" s="2048"/>
      <c r="F791" s="2048"/>
      <c r="G791" s="2048"/>
      <c r="H791" s="2048"/>
      <c r="I791" s="2048"/>
      <c r="J791" s="2048"/>
      <c r="K791" s="2048"/>
      <c r="L791" s="2048"/>
      <c r="M791" s="2048"/>
      <c r="N791" s="2048"/>
      <c r="O791" s="2048"/>
      <c r="P791" s="2048"/>
      <c r="Q791" s="2048"/>
      <c r="R791" s="2048"/>
      <c r="S791" s="2049"/>
      <c r="T791" s="2050">
        <f ca="1">AK103</f>
        <v>20</v>
      </c>
      <c r="U791" s="2051"/>
      <c r="V791" s="2051"/>
      <c r="W791" s="2051"/>
      <c r="X791" s="2051"/>
      <c r="Y791" s="2052"/>
      <c r="Z791" s="2053">
        <v>20</v>
      </c>
      <c r="AA791" s="2051"/>
      <c r="AB791" s="2051"/>
      <c r="AC791" s="2051"/>
      <c r="AD791" s="2051"/>
      <c r="AE791" s="2052"/>
      <c r="AF791" s="2017">
        <f ca="1">IF(T791&gt;Z791,Z791,T791)</f>
        <v>20</v>
      </c>
      <c r="AG791" s="2017"/>
      <c r="AH791" s="2017"/>
      <c r="AI791" s="2017"/>
      <c r="AJ791" s="2017"/>
      <c r="AK791" s="2017"/>
      <c r="AL791" s="854"/>
      <c r="AM791" s="631"/>
      <c r="AO791" s="852"/>
      <c r="AP791" s="852"/>
      <c r="AQ791" s="852"/>
    </row>
    <row r="792" spans="1:81">
      <c r="A792" s="855" t="s">
        <v>1747</v>
      </c>
      <c r="B792" s="2048" t="s">
        <v>1503</v>
      </c>
      <c r="C792" s="2048"/>
      <c r="D792" s="2048"/>
      <c r="E792" s="2048"/>
      <c r="F792" s="2048"/>
      <c r="G792" s="2048"/>
      <c r="H792" s="2048"/>
      <c r="I792" s="2048"/>
      <c r="J792" s="2048"/>
      <c r="K792" s="2048"/>
      <c r="L792" s="2048"/>
      <c r="M792" s="2048"/>
      <c r="N792" s="2048"/>
      <c r="O792" s="2048"/>
      <c r="P792" s="2048"/>
      <c r="Q792" s="2048"/>
      <c r="R792" s="2048"/>
      <c r="S792" s="2049"/>
      <c r="T792" s="2050">
        <f>AK137</f>
        <v>10</v>
      </c>
      <c r="U792" s="2051"/>
      <c r="V792" s="2051"/>
      <c r="W792" s="2051"/>
      <c r="X792" s="2051"/>
      <c r="Y792" s="2052"/>
      <c r="Z792" s="2053">
        <v>10</v>
      </c>
      <c r="AA792" s="2051"/>
      <c r="AB792" s="2051"/>
      <c r="AC792" s="2051"/>
      <c r="AD792" s="2051"/>
      <c r="AE792" s="2052"/>
      <c r="AF792" s="2017">
        <f>IF(T792&gt;Z792,Z792,T792)</f>
        <v>10</v>
      </c>
      <c r="AG792" s="2017"/>
      <c r="AH792" s="2017"/>
      <c r="AI792" s="2017"/>
      <c r="AJ792" s="2017"/>
      <c r="AK792" s="2017"/>
      <c r="AL792" s="854"/>
      <c r="AM792" s="631"/>
      <c r="AO792" s="852"/>
      <c r="AP792" s="852"/>
      <c r="AQ792" s="852"/>
    </row>
    <row r="793" spans="1:81">
      <c r="A793" s="856" t="s">
        <v>1748</v>
      </c>
      <c r="B793" s="2048" t="s">
        <v>1749</v>
      </c>
      <c r="C793" s="2048"/>
      <c r="D793" s="2048"/>
      <c r="E793" s="2048"/>
      <c r="F793" s="2048"/>
      <c r="G793" s="2048"/>
      <c r="H793" s="2048"/>
      <c r="I793" s="2048"/>
      <c r="J793" s="2048"/>
      <c r="K793" s="2048"/>
      <c r="L793" s="2048"/>
      <c r="M793" s="2048"/>
      <c r="N793" s="2048"/>
      <c r="O793" s="2048"/>
      <c r="P793" s="2048"/>
      <c r="Q793" s="2048"/>
      <c r="R793" s="2048"/>
      <c r="S793" s="2049"/>
      <c r="T793" s="2074">
        <f>SUM(T794:Y795)</f>
        <v>10</v>
      </c>
      <c r="U793" s="2074"/>
      <c r="V793" s="2074"/>
      <c r="W793" s="2074"/>
      <c r="X793" s="2074"/>
      <c r="Y793" s="2074"/>
      <c r="Z793" s="2017">
        <v>10</v>
      </c>
      <c r="AA793" s="2017"/>
      <c r="AB793" s="2017"/>
      <c r="AC793" s="2017"/>
      <c r="AD793" s="2017"/>
      <c r="AE793" s="2017"/>
      <c r="AF793" s="2017">
        <f>IF(T793&gt;Z793,Z793,T793)</f>
        <v>10</v>
      </c>
      <c r="AG793" s="2017"/>
      <c r="AH793" s="2017"/>
      <c r="AI793" s="2017"/>
      <c r="AJ793" s="2017"/>
      <c r="AK793" s="2017"/>
      <c r="AL793" s="854"/>
      <c r="AM793" s="631"/>
    </row>
    <row r="794" spans="1:81">
      <c r="A794" s="570"/>
      <c r="B794" s="636"/>
      <c r="C794" s="2075" t="s">
        <v>1750</v>
      </c>
      <c r="D794" s="2075"/>
      <c r="E794" s="2075"/>
      <c r="F794" s="2075"/>
      <c r="G794" s="2075"/>
      <c r="H794" s="2075"/>
      <c r="I794" s="2075"/>
      <c r="J794" s="2075"/>
      <c r="K794" s="2075"/>
      <c r="L794" s="2075"/>
      <c r="M794" s="2075"/>
      <c r="N794" s="2075"/>
      <c r="O794" s="2075"/>
      <c r="P794" s="2075"/>
      <c r="Q794" s="2075"/>
      <c r="R794" s="2075"/>
      <c r="S794" s="2076"/>
      <c r="T794" s="1954">
        <f>AJ155</f>
        <v>7</v>
      </c>
      <c r="U794" s="1954"/>
      <c r="V794" s="1954"/>
      <c r="W794" s="1954"/>
      <c r="X794" s="1954"/>
      <c r="Y794" s="1954"/>
      <c r="Z794" s="1955">
        <v>7</v>
      </c>
      <c r="AA794" s="1955"/>
      <c r="AB794" s="1955"/>
      <c r="AC794" s="1955"/>
      <c r="AD794" s="1955"/>
      <c r="AE794" s="1955"/>
      <c r="AF794" s="2077"/>
      <c r="AG794" s="2077"/>
      <c r="AH794" s="2077"/>
      <c r="AI794" s="2077"/>
      <c r="AJ794" s="2077"/>
      <c r="AK794" s="2077"/>
      <c r="AL794" s="854"/>
      <c r="AM794" s="631"/>
    </row>
    <row r="795" spans="1:81">
      <c r="A795" s="635"/>
      <c r="B795" s="636"/>
      <c r="C795" s="2075" t="s">
        <v>1751</v>
      </c>
      <c r="D795" s="2075"/>
      <c r="E795" s="2075"/>
      <c r="F795" s="2075"/>
      <c r="G795" s="2075"/>
      <c r="H795" s="2075"/>
      <c r="I795" s="2075"/>
      <c r="J795" s="2075"/>
      <c r="K795" s="2075"/>
      <c r="L795" s="2075"/>
      <c r="M795" s="2075"/>
      <c r="N795" s="2075"/>
      <c r="O795" s="2075"/>
      <c r="P795" s="2075"/>
      <c r="Q795" s="2075"/>
      <c r="R795" s="2075"/>
      <c r="S795" s="2076"/>
      <c r="T795" s="1954">
        <f>AJ169</f>
        <v>3</v>
      </c>
      <c r="U795" s="1954"/>
      <c r="V795" s="1954"/>
      <c r="W795" s="1954"/>
      <c r="X795" s="1954"/>
      <c r="Y795" s="1954"/>
      <c r="Z795" s="1955">
        <v>3</v>
      </c>
      <c r="AA795" s="1955"/>
      <c r="AB795" s="1955"/>
      <c r="AC795" s="1955"/>
      <c r="AD795" s="1955"/>
      <c r="AE795" s="1955"/>
      <c r="AF795" s="2077"/>
      <c r="AG795" s="2077"/>
      <c r="AH795" s="2077"/>
      <c r="AI795" s="2077"/>
      <c r="AJ795" s="2077"/>
      <c r="AK795" s="2077"/>
      <c r="AL795" s="854"/>
      <c r="AM795" s="631"/>
      <c r="AO795" s="585"/>
    </row>
    <row r="796" spans="1:81">
      <c r="A796" s="856" t="s">
        <v>1531</v>
      </c>
      <c r="B796" s="2048" t="s">
        <v>1752</v>
      </c>
      <c r="C796" s="2048"/>
      <c r="D796" s="2048"/>
      <c r="E796" s="2048"/>
      <c r="F796" s="2048"/>
      <c r="G796" s="2048"/>
      <c r="H796" s="2048"/>
      <c r="I796" s="2048"/>
      <c r="J796" s="2048"/>
      <c r="K796" s="2048"/>
      <c r="L796" s="2048"/>
      <c r="M796" s="2048"/>
      <c r="N796" s="2048"/>
      <c r="O796" s="2048"/>
      <c r="P796" s="2048"/>
      <c r="Q796" s="2048"/>
      <c r="R796" s="2048"/>
      <c r="S796" s="2049"/>
      <c r="T796" s="2074">
        <f>AK180</f>
        <v>10</v>
      </c>
      <c r="U796" s="2074"/>
      <c r="V796" s="2074"/>
      <c r="W796" s="2074"/>
      <c r="X796" s="2074"/>
      <c r="Y796" s="2074"/>
      <c r="Z796" s="2017">
        <v>10</v>
      </c>
      <c r="AA796" s="2017"/>
      <c r="AB796" s="2017"/>
      <c r="AC796" s="2017"/>
      <c r="AD796" s="2017"/>
      <c r="AE796" s="2017"/>
      <c r="AF796" s="2017">
        <f>IF(T796&gt;Z796,Z796,T796)</f>
        <v>10</v>
      </c>
      <c r="AG796" s="2017"/>
      <c r="AH796" s="2017"/>
      <c r="AI796" s="2017"/>
      <c r="AJ796" s="2017"/>
      <c r="AK796" s="2017"/>
      <c r="AL796" s="854"/>
      <c r="AM796" s="631"/>
    </row>
    <row r="797" spans="1:81">
      <c r="A797" s="855" t="s">
        <v>1540</v>
      </c>
      <c r="B797" s="2048" t="s">
        <v>1541</v>
      </c>
      <c r="C797" s="2048"/>
      <c r="D797" s="2048"/>
      <c r="E797" s="2048"/>
      <c r="F797" s="2048"/>
      <c r="G797" s="2048"/>
      <c r="H797" s="2048"/>
      <c r="I797" s="2048"/>
      <c r="J797" s="2048"/>
      <c r="K797" s="2048"/>
      <c r="L797" s="2048"/>
      <c r="M797" s="2048"/>
      <c r="N797" s="2048"/>
      <c r="O797" s="2048"/>
      <c r="P797" s="2048"/>
      <c r="Q797" s="2048"/>
      <c r="R797" s="2048"/>
      <c r="S797" s="2049"/>
      <c r="T797" s="2074">
        <f>AK262</f>
        <v>8</v>
      </c>
      <c r="U797" s="2074"/>
      <c r="V797" s="2074"/>
      <c r="W797" s="2074"/>
      <c r="X797" s="2074"/>
      <c r="Y797" s="2074"/>
      <c r="Z797" s="2053">
        <v>8</v>
      </c>
      <c r="AA797" s="2051"/>
      <c r="AB797" s="2051"/>
      <c r="AC797" s="2051"/>
      <c r="AD797" s="2051"/>
      <c r="AE797" s="2052"/>
      <c r="AF797" s="2017">
        <f>IF(T797&gt;Z797,Z797,T797)</f>
        <v>8</v>
      </c>
      <c r="AG797" s="2017"/>
      <c r="AH797" s="2017"/>
      <c r="AI797" s="2017"/>
      <c r="AJ797" s="2017"/>
      <c r="AK797" s="2017"/>
      <c r="AL797" s="854"/>
      <c r="AM797" s="631"/>
    </row>
    <row r="798" spans="1:81" s="569" customFormat="1" hidden="1">
      <c r="A798" s="856" t="s">
        <v>598</v>
      </c>
      <c r="B798" s="2048" t="s">
        <v>1753</v>
      </c>
      <c r="C798" s="2048"/>
      <c r="D798" s="2048"/>
      <c r="E798" s="2048"/>
      <c r="F798" s="2048"/>
      <c r="G798" s="2048"/>
      <c r="H798" s="2048"/>
      <c r="I798" s="2048"/>
      <c r="J798" s="2048"/>
      <c r="K798" s="2048"/>
      <c r="L798" s="2048"/>
      <c r="M798" s="2048"/>
      <c r="N798" s="2048"/>
      <c r="O798" s="2048"/>
      <c r="P798" s="2048"/>
      <c r="Q798" s="2048"/>
      <c r="R798" s="2048"/>
      <c r="S798" s="2049"/>
      <c r="T798" s="2074">
        <f>IF(AK524&gt;5,5,AK524)</f>
        <v>0</v>
      </c>
      <c r="U798" s="2074"/>
      <c r="V798" s="2074"/>
      <c r="W798" s="2074"/>
      <c r="X798" s="2074"/>
      <c r="Y798" s="2074"/>
      <c r="Z798" s="2017">
        <v>5</v>
      </c>
      <c r="AA798" s="2017"/>
      <c r="AB798" s="2017"/>
      <c r="AC798" s="2017"/>
      <c r="AD798" s="2017"/>
      <c r="AE798" s="2017"/>
      <c r="AF798" s="2017">
        <f>IF(T798&gt;Z798,5,T798)</f>
        <v>0</v>
      </c>
      <c r="AG798" s="2017"/>
      <c r="AH798" s="2017"/>
      <c r="AI798" s="2017"/>
      <c r="AJ798" s="2017"/>
      <c r="AK798" s="2017"/>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1546</v>
      </c>
      <c r="B799" s="2048" t="s">
        <v>1754</v>
      </c>
      <c r="C799" s="2048"/>
      <c r="D799" s="2048"/>
      <c r="E799" s="2048"/>
      <c r="F799" s="2048"/>
      <c r="G799" s="2048"/>
      <c r="H799" s="2048"/>
      <c r="I799" s="2048"/>
      <c r="J799" s="2048"/>
      <c r="K799" s="2048"/>
      <c r="L799" s="2048"/>
      <c r="M799" s="2048"/>
      <c r="N799" s="2048"/>
      <c r="O799" s="2048"/>
      <c r="P799" s="2048"/>
      <c r="Q799" s="2048"/>
      <c r="R799" s="2048"/>
      <c r="S799" s="2049"/>
      <c r="T799" s="2074">
        <f>AK274</f>
        <v>10</v>
      </c>
      <c r="U799" s="2074"/>
      <c r="V799" s="2074"/>
      <c r="W799" s="2074"/>
      <c r="X799" s="2074"/>
      <c r="Y799" s="2074"/>
      <c r="Z799" s="2017">
        <v>10</v>
      </c>
      <c r="AA799" s="2017"/>
      <c r="AB799" s="2017"/>
      <c r="AC799" s="2017"/>
      <c r="AD799" s="2017"/>
      <c r="AE799" s="2017"/>
      <c r="AF799" s="2080">
        <f>IF(T799&gt;Z799,Z799,T799)</f>
        <v>10</v>
      </c>
      <c r="AG799" s="2081"/>
      <c r="AH799" s="2081"/>
      <c r="AI799" s="2081"/>
      <c r="AJ799" s="2081"/>
      <c r="AK799" s="2082"/>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1550</v>
      </c>
      <c r="B800" s="2048" t="s">
        <v>1551</v>
      </c>
      <c r="C800" s="2048"/>
      <c r="D800" s="2048"/>
      <c r="E800" s="2048"/>
      <c r="F800" s="2048"/>
      <c r="G800" s="2048"/>
      <c r="H800" s="2048"/>
      <c r="I800" s="2048"/>
      <c r="J800" s="2048"/>
      <c r="K800" s="2048"/>
      <c r="L800" s="2048"/>
      <c r="M800" s="2048"/>
      <c r="N800" s="2048"/>
      <c r="O800" s="2048"/>
      <c r="P800" s="2048"/>
      <c r="Q800" s="2048"/>
      <c r="R800" s="2048"/>
      <c r="S800" s="2049"/>
      <c r="T800" s="2074">
        <f>AK327</f>
        <v>10</v>
      </c>
      <c r="U800" s="2074"/>
      <c r="V800" s="2074"/>
      <c r="W800" s="2074"/>
      <c r="X800" s="2074"/>
      <c r="Y800" s="2074"/>
      <c r="Z800" s="2080">
        <v>10</v>
      </c>
      <c r="AA800" s="2081"/>
      <c r="AB800" s="2081"/>
      <c r="AC800" s="2081"/>
      <c r="AD800" s="2081"/>
      <c r="AE800" s="2082"/>
      <c r="AF800" s="2080">
        <f>IF(T800&gt;Z800,Z800,T800)</f>
        <v>10</v>
      </c>
      <c r="AG800" s="2081"/>
      <c r="AH800" s="2081"/>
      <c r="AI800" s="2081"/>
      <c r="AJ800" s="2081"/>
      <c r="AK800" s="2082"/>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1755</v>
      </c>
      <c r="D801" s="859"/>
      <c r="E801" s="859"/>
      <c r="F801" s="859"/>
      <c r="G801" s="859"/>
      <c r="H801" s="859"/>
      <c r="I801" s="859"/>
      <c r="J801" s="859"/>
      <c r="K801" s="859"/>
      <c r="L801" s="859"/>
      <c r="M801" s="859"/>
      <c r="N801" s="859"/>
      <c r="O801" s="859"/>
      <c r="P801" s="859"/>
      <c r="Q801" s="859"/>
      <c r="R801" s="857"/>
      <c r="S801" s="860"/>
      <c r="T801" s="1954">
        <f>AK327</f>
        <v>10</v>
      </c>
      <c r="U801" s="1954"/>
      <c r="V801" s="1954"/>
      <c r="W801" s="1954"/>
      <c r="X801" s="1954"/>
      <c r="Y801" s="1954"/>
      <c r="Z801" s="1959">
        <v>20</v>
      </c>
      <c r="AA801" s="1960"/>
      <c r="AB801" s="1960"/>
      <c r="AC801" s="1960"/>
      <c r="AD801" s="1960"/>
      <c r="AE801" s="1961"/>
      <c r="AF801" s="2077"/>
      <c r="AG801" s="2077"/>
      <c r="AH801" s="2077"/>
      <c r="AI801" s="2077"/>
      <c r="AJ801" s="2077"/>
      <c r="AK801" s="2077"/>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1623</v>
      </c>
      <c r="B802" s="2048" t="s">
        <v>873</v>
      </c>
      <c r="C802" s="2048"/>
      <c r="D802" s="2048"/>
      <c r="E802" s="2048"/>
      <c r="F802" s="2048"/>
      <c r="G802" s="2048"/>
      <c r="H802" s="2048"/>
      <c r="I802" s="2048"/>
      <c r="J802" s="2048"/>
      <c r="K802" s="2048"/>
      <c r="L802" s="2048"/>
      <c r="M802" s="2048"/>
      <c r="N802" s="2048"/>
      <c r="O802" s="2048"/>
      <c r="P802" s="2048"/>
      <c r="Q802" s="2048"/>
      <c r="R802" s="2048"/>
      <c r="S802" s="2049"/>
      <c r="T802" s="2074">
        <f>AK458</f>
        <v>10</v>
      </c>
      <c r="U802" s="2074"/>
      <c r="V802" s="2074"/>
      <c r="W802" s="2074"/>
      <c r="X802" s="2074"/>
      <c r="Y802" s="2074"/>
      <c r="Z802" s="2080">
        <v>10</v>
      </c>
      <c r="AA802" s="2081"/>
      <c r="AB802" s="2081"/>
      <c r="AC802" s="2081"/>
      <c r="AD802" s="2081"/>
      <c r="AE802" s="2082"/>
      <c r="AF802" s="2017">
        <f>IF(T802&gt;Z802,Z802,T802)</f>
        <v>10</v>
      </c>
      <c r="AG802" s="2017"/>
      <c r="AH802" s="2017"/>
      <c r="AI802" s="2017"/>
      <c r="AJ802" s="2017"/>
      <c r="AK802" s="2017"/>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1733</v>
      </c>
      <c r="B803" s="2048" t="s">
        <v>1734</v>
      </c>
      <c r="C803" s="2048"/>
      <c r="D803" s="2048"/>
      <c r="E803" s="2048"/>
      <c r="F803" s="2048"/>
      <c r="G803" s="2048"/>
      <c r="H803" s="2048"/>
      <c r="I803" s="2048"/>
      <c r="J803" s="2048"/>
      <c r="K803" s="2048"/>
      <c r="L803" s="2048"/>
      <c r="M803" s="2048"/>
      <c r="N803" s="2048"/>
      <c r="O803" s="2048"/>
      <c r="P803" s="2048"/>
      <c r="Q803" s="2048"/>
      <c r="R803" s="2048"/>
      <c r="S803" s="2049"/>
      <c r="T803" s="2074">
        <f>AK548</f>
        <v>12</v>
      </c>
      <c r="U803" s="2074"/>
      <c r="V803" s="2074"/>
      <c r="W803" s="2074"/>
      <c r="X803" s="2074"/>
      <c r="Y803" s="2074"/>
      <c r="Z803" s="2080">
        <v>12</v>
      </c>
      <c r="AA803" s="2081"/>
      <c r="AB803" s="2081"/>
      <c r="AC803" s="2081"/>
      <c r="AD803" s="2081"/>
      <c r="AE803" s="2082"/>
      <c r="AF803" s="2017">
        <f>IF(T803&gt;Z803,Z803,T803)</f>
        <v>12</v>
      </c>
      <c r="AG803" s="2017"/>
      <c r="AH803" s="2017"/>
      <c r="AI803" s="2017"/>
      <c r="AJ803" s="2017"/>
      <c r="AK803" s="2017"/>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2416</v>
      </c>
      <c r="B804" s="2048" t="s">
        <v>1756</v>
      </c>
      <c r="C804" s="2048"/>
      <c r="D804" s="2048"/>
      <c r="E804" s="2048"/>
      <c r="F804" s="2048"/>
      <c r="G804" s="2048"/>
      <c r="H804" s="2048"/>
      <c r="I804" s="2048"/>
      <c r="J804" s="2048"/>
      <c r="K804" s="2048"/>
      <c r="L804" s="2048"/>
      <c r="M804" s="2048"/>
      <c r="N804" s="2048"/>
      <c r="O804" s="2048"/>
      <c r="P804" s="2048"/>
      <c r="Q804" s="2048"/>
      <c r="R804" s="2048"/>
      <c r="S804" s="2049"/>
      <c r="T804" s="2074">
        <f>AK779</f>
        <v>10</v>
      </c>
      <c r="U804" s="2074"/>
      <c r="V804" s="2074"/>
      <c r="W804" s="2074"/>
      <c r="X804" s="2074"/>
      <c r="Y804" s="2074"/>
      <c r="Z804" s="2080">
        <v>10</v>
      </c>
      <c r="AA804" s="2081"/>
      <c r="AB804" s="2081"/>
      <c r="AC804" s="2081"/>
      <c r="AD804" s="2081"/>
      <c r="AE804" s="2082"/>
      <c r="AF804" s="2017">
        <f>IF(T804&gt;Z804,Z804,T804)</f>
        <v>10</v>
      </c>
      <c r="AG804" s="2017"/>
      <c r="AH804" s="2017"/>
      <c r="AI804" s="2017"/>
      <c r="AJ804" s="2017"/>
      <c r="AK804" s="2017"/>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78" t="s">
        <v>1757</v>
      </c>
      <c r="B805" s="2048"/>
      <c r="C805" s="2048"/>
      <c r="D805" s="2048"/>
      <c r="E805" s="2048"/>
      <c r="F805" s="2048"/>
      <c r="G805" s="2048"/>
      <c r="H805" s="2048"/>
      <c r="I805" s="2048"/>
      <c r="J805" s="2048"/>
      <c r="K805" s="2048"/>
      <c r="L805" s="2048"/>
      <c r="M805" s="2048"/>
      <c r="N805" s="2048"/>
      <c r="O805" s="2048"/>
      <c r="P805" s="2048"/>
      <c r="Q805" s="2048"/>
      <c r="R805" s="2048"/>
      <c r="S805" s="2049"/>
      <c r="T805" s="2079"/>
      <c r="U805" s="2079"/>
      <c r="V805" s="2079"/>
      <c r="W805" s="2079"/>
      <c r="X805" s="2079"/>
      <c r="Y805" s="2079"/>
      <c r="Z805" s="1955" t="s">
        <v>1758</v>
      </c>
      <c r="AA805" s="1955"/>
      <c r="AB805" s="1955"/>
      <c r="AC805" s="1955"/>
      <c r="AD805" s="1955"/>
      <c r="AE805" s="1955"/>
      <c r="AF805" s="2080">
        <f>IF(T805&gt;0,T805,0)</f>
        <v>0</v>
      </c>
      <c r="AG805" s="2081"/>
      <c r="AH805" s="2081"/>
      <c r="AI805" s="2081"/>
      <c r="AJ805" s="2081"/>
      <c r="AK805" s="2082"/>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2083" t="s">
        <v>1759</v>
      </c>
      <c r="B806" s="2084"/>
      <c r="C806" s="2084"/>
      <c r="D806" s="2084"/>
      <c r="E806" s="2084"/>
      <c r="F806" s="2084"/>
      <c r="G806" s="2084"/>
      <c r="H806" s="2084"/>
      <c r="I806" s="2084"/>
      <c r="J806" s="2084"/>
      <c r="K806" s="2084"/>
      <c r="L806" s="2084"/>
      <c r="M806" s="2084"/>
      <c r="N806" s="2084"/>
      <c r="O806" s="2084"/>
      <c r="P806" s="2084"/>
      <c r="Q806" s="2084"/>
      <c r="R806" s="2084"/>
      <c r="S806" s="2084"/>
      <c r="T806" s="2084"/>
      <c r="U806" s="2084"/>
      <c r="V806" s="2084"/>
      <c r="W806" s="2084"/>
      <c r="X806" s="2084"/>
      <c r="Y806" s="2084"/>
      <c r="Z806" s="2084"/>
      <c r="AA806" s="2084"/>
      <c r="AB806" s="2084"/>
      <c r="AC806" s="2084"/>
      <c r="AD806" s="2084"/>
      <c r="AE806" s="2085"/>
      <c r="AF806" s="2089">
        <f ca="1">SUM(AF789:AK804)-AF805</f>
        <v>120</v>
      </c>
      <c r="AG806" s="2090"/>
      <c r="AH806" s="2090"/>
      <c r="AI806" s="2090"/>
      <c r="AJ806" s="2090"/>
      <c r="AK806" s="2091"/>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2086"/>
      <c r="B807" s="2087"/>
      <c r="C807" s="2087"/>
      <c r="D807" s="2087"/>
      <c r="E807" s="2087"/>
      <c r="F807" s="2087"/>
      <c r="G807" s="2087"/>
      <c r="H807" s="2087"/>
      <c r="I807" s="2087"/>
      <c r="J807" s="2087"/>
      <c r="K807" s="2087"/>
      <c r="L807" s="2087"/>
      <c r="M807" s="2087"/>
      <c r="N807" s="2087"/>
      <c r="O807" s="2087"/>
      <c r="P807" s="2087"/>
      <c r="Q807" s="2087"/>
      <c r="R807" s="2087"/>
      <c r="S807" s="2087"/>
      <c r="T807" s="2087"/>
      <c r="U807" s="2087"/>
      <c r="V807" s="2087"/>
      <c r="W807" s="2087"/>
      <c r="X807" s="2087"/>
      <c r="Y807" s="2087"/>
      <c r="Z807" s="2087"/>
      <c r="AA807" s="2087"/>
      <c r="AB807" s="2087"/>
      <c r="AC807" s="2087"/>
      <c r="AD807" s="2087"/>
      <c r="AE807" s="2088"/>
      <c r="AF807" s="2092"/>
      <c r="AG807" s="2093"/>
      <c r="AH807" s="2093"/>
      <c r="AI807" s="2093"/>
      <c r="AJ807" s="2093"/>
      <c r="AK807" s="2094"/>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2" zoomScaleNormal="100" workbookViewId="0">
      <selection activeCell="AB71" sqref="AB71:AU71"/>
    </sheetView>
  </sheetViews>
  <sheetFormatPr defaultColWidth="9.140625" defaultRowHeight="14.25"/>
  <cols>
    <col min="1" max="1" width="2.42578125" style="1087" customWidth="1"/>
    <col min="2" max="9" width="14.7109375" style="1087" customWidth="1"/>
    <col min="10" max="10" width="2.28515625" style="1087" customWidth="1"/>
    <col min="11" max="11" width="11.85546875" style="1088" customWidth="1"/>
    <col min="12" max="12" width="10.7109375" style="1087" customWidth="1"/>
    <col min="13" max="13" width="10.42578125" style="1087" customWidth="1"/>
    <col min="14" max="14" width="10.85546875" style="1087" customWidth="1"/>
    <col min="15" max="16384" width="9.140625" style="1087"/>
  </cols>
  <sheetData>
    <row r="1" spans="1:13" ht="30" customHeight="1">
      <c r="A1" s="2139" t="s">
        <v>1760</v>
      </c>
      <c r="B1" s="2139"/>
      <c r="C1" s="2139"/>
      <c r="D1" s="2139"/>
      <c r="E1" s="2139"/>
      <c r="F1" s="2139"/>
      <c r="G1" s="2139"/>
      <c r="H1" s="2139"/>
      <c r="I1" s="2139"/>
      <c r="J1" s="2139"/>
    </row>
    <row r="2" spans="1:13" ht="15" customHeight="1" thickBot="1">
      <c r="A2" s="1089"/>
      <c r="B2" s="1089"/>
      <c r="I2" s="1090"/>
      <c r="K2" s="1091"/>
    </row>
    <row r="3" spans="1:13" s="1094" customFormat="1" ht="20.100000000000001" customHeight="1">
      <c r="A3" s="1148"/>
      <c r="B3" s="1149"/>
      <c r="C3" s="1150"/>
      <c r="D3" s="1155"/>
      <c r="E3" s="1150"/>
      <c r="F3" s="1151" t="s">
        <v>2381</v>
      </c>
      <c r="G3" s="1150"/>
      <c r="H3" s="1152">
        <f>E16</f>
        <v>40637600</v>
      </c>
      <c r="I3" s="1153"/>
    </row>
    <row r="4" spans="1:13" s="1094" customFormat="1" ht="20.100000000000001" customHeight="1">
      <c r="B4" s="1142"/>
      <c r="D4" s="1156"/>
      <c r="F4" s="1140" t="s">
        <v>2383</v>
      </c>
      <c r="G4" s="1139" t="s">
        <v>2382</v>
      </c>
      <c r="H4" s="1141">
        <f>I16</f>
        <v>68099049.468627453</v>
      </c>
      <c r="I4" s="1143"/>
      <c r="K4" s="1098"/>
    </row>
    <row r="5" spans="1:13" s="1094" customFormat="1" ht="20.100000000000001" customHeight="1" thickBot="1">
      <c r="B5" s="1144"/>
      <c r="C5" s="1145"/>
      <c r="D5" s="1157"/>
      <c r="E5" s="1146"/>
      <c r="F5" s="1157" t="s">
        <v>2323</v>
      </c>
      <c r="G5" s="1158"/>
      <c r="H5" s="1154">
        <f>H3/H4</f>
        <v>0.59674254364917878</v>
      </c>
      <c r="I5" s="1147"/>
      <c r="K5" s="1098"/>
    </row>
    <row r="6" spans="1:13" s="1094" customFormat="1" ht="15" customHeight="1">
      <c r="B6" s="1095"/>
      <c r="C6" s="1096"/>
      <c r="F6" s="1097"/>
      <c r="K6" s="1098"/>
    </row>
    <row r="7" spans="1:13" s="1094" customFormat="1" ht="15" customHeight="1">
      <c r="E7" s="1099"/>
      <c r="F7" s="1097"/>
      <c r="K7" s="1100"/>
    </row>
    <row r="8" spans="1:13" s="1094" customFormat="1" ht="15" customHeight="1">
      <c r="A8" s="1101"/>
      <c r="B8" s="2141" t="s">
        <v>2321</v>
      </c>
      <c r="C8" s="2142"/>
      <c r="D8" s="2142"/>
      <c r="E8" s="2143"/>
      <c r="G8" s="2144" t="s">
        <v>2322</v>
      </c>
      <c r="H8" s="2145"/>
      <c r="I8" s="2146"/>
      <c r="K8" s="1100"/>
    </row>
    <row r="9" spans="1:13" ht="15" customHeight="1">
      <c r="A9" s="1089"/>
      <c r="B9" s="2140" t="s">
        <v>2360</v>
      </c>
      <c r="C9" s="2140"/>
      <c r="D9" s="2140"/>
      <c r="E9" s="1102">
        <f>G31</f>
        <v>10050000</v>
      </c>
      <c r="G9" s="2149" t="s">
        <v>2358</v>
      </c>
      <c r="H9" s="2149"/>
      <c r="I9" s="1103">
        <f>Application!AM550</f>
        <v>51600000</v>
      </c>
      <c r="K9" s="1104"/>
      <c r="M9" s="1105"/>
    </row>
    <row r="10" spans="1:13" ht="15" customHeight="1" thickBot="1">
      <c r="A10" s="1089"/>
      <c r="B10" s="2140" t="s">
        <v>2361</v>
      </c>
      <c r="C10" s="2140"/>
      <c r="D10" s="2140"/>
      <c r="E10" s="1103">
        <f>G40</f>
        <v>13566600.000000002</v>
      </c>
      <c r="G10" s="2149" t="s">
        <v>2324</v>
      </c>
      <c r="H10" s="2149"/>
      <c r="I10" s="1190">
        <f>'Basis &amp; Credits'!AB77</f>
        <v>24990312</v>
      </c>
      <c r="M10" s="1105"/>
    </row>
    <row r="11" spans="1:13" ht="15" customHeight="1">
      <c r="A11" s="1106"/>
      <c r="B11" s="2140" t="s">
        <v>2362</v>
      </c>
      <c r="C11" s="2140"/>
      <c r="D11" s="2140"/>
      <c r="E11" s="1103">
        <f>G49</f>
        <v>0</v>
      </c>
      <c r="G11" s="2149" t="s">
        <v>2373</v>
      </c>
      <c r="H11" s="2149"/>
      <c r="I11" s="1189">
        <f>I9+I10</f>
        <v>76590312</v>
      </c>
      <c r="M11" s="1105"/>
    </row>
    <row r="12" spans="1:13" ht="15" customHeight="1">
      <c r="A12" s="1092"/>
      <c r="B12" s="2140" t="s">
        <v>2363</v>
      </c>
      <c r="C12" s="2140"/>
      <c r="D12" s="2140"/>
      <c r="E12" s="1103">
        <f>G58</f>
        <v>740000</v>
      </c>
      <c r="G12" s="1191" t="s">
        <v>2398</v>
      </c>
      <c r="H12" s="1192"/>
      <c r="M12" s="1105"/>
    </row>
    <row r="13" spans="1:13" ht="15" customHeight="1">
      <c r="A13" s="1089"/>
      <c r="B13" s="2140" t="s">
        <v>2364</v>
      </c>
      <c r="C13" s="2140"/>
      <c r="D13" s="2140"/>
      <c r="E13" s="1108">
        <f>G83</f>
        <v>12261000</v>
      </c>
      <c r="G13" s="2150" t="s">
        <v>140</v>
      </c>
      <c r="H13" s="2150"/>
      <c r="I13" s="1107">
        <f>15%*(Application!AJ963&gt;0)</f>
        <v>0</v>
      </c>
      <c r="M13" s="1105"/>
    </row>
    <row r="14" spans="1:13" ht="15" customHeight="1">
      <c r="A14" s="1089"/>
      <c r="B14" s="2140" t="s">
        <v>2365</v>
      </c>
      <c r="C14" s="2140"/>
      <c r="D14" s="2140"/>
      <c r="E14" s="1103">
        <f>IF(G96&gt;G106,G96,0)</f>
        <v>4020000</v>
      </c>
      <c r="G14" s="1187" t="s">
        <v>2374</v>
      </c>
      <c r="H14" s="1187"/>
      <c r="I14" s="1107">
        <f>IF(Application!AJ997&gt;0,10%,IF(Application!AJ1001&gt;0,5%,0))</f>
        <v>0.05</v>
      </c>
      <c r="M14" s="1105"/>
    </row>
    <row r="15" spans="1:13" ht="15" customHeight="1" thickBot="1">
      <c r="A15" s="1089"/>
      <c r="B15" s="2147" t="s">
        <v>2384</v>
      </c>
      <c r="C15" s="2147"/>
      <c r="D15" s="2147"/>
      <c r="E15" s="1159">
        <f>IF(E14&gt;0,0,G106)</f>
        <v>0</v>
      </c>
      <c r="G15" s="2153" t="s">
        <v>2375</v>
      </c>
      <c r="H15" s="2154"/>
      <c r="I15" s="1161">
        <f>G114</f>
        <v>6.0866013071895424E-2</v>
      </c>
      <c r="M15" s="1105"/>
    </row>
    <row r="16" spans="1:13" ht="15" customHeight="1">
      <c r="A16" s="1089"/>
      <c r="B16" s="2148" t="s">
        <v>2320</v>
      </c>
      <c r="C16" s="2148"/>
      <c r="D16" s="2148"/>
      <c r="E16" s="1160">
        <f>SUM(E9:E15)</f>
        <v>40637600</v>
      </c>
      <c r="G16" s="1188" t="s">
        <v>2359</v>
      </c>
      <c r="H16" s="1188"/>
      <c r="I16" s="1162">
        <f>I11-((I11*I13)+(I11*I14)+(I11*I15))</f>
        <v>68099049.468627453</v>
      </c>
    </row>
    <row r="17" spans="1:20" ht="15" customHeight="1">
      <c r="A17" s="1089"/>
      <c r="B17" s="1089"/>
      <c r="E17" s="1109"/>
      <c r="H17" s="1110"/>
      <c r="I17" s="1111"/>
    </row>
    <row r="18" spans="1:20" ht="15" customHeight="1">
      <c r="B18" s="1112" t="str">
        <f>B9</f>
        <v>A. Unit Production Benefit</v>
      </c>
      <c r="C18" s="1113"/>
      <c r="D18" s="1113"/>
      <c r="E18" s="1113"/>
      <c r="F18" s="1113"/>
      <c r="G18" s="1113"/>
      <c r="H18" s="1113"/>
      <c r="I18" s="1114"/>
      <c r="M18" s="1109">
        <f>SUM(Cdlac[Quantity])</f>
        <v>171</v>
      </c>
      <c r="O18" s="1132" t="s">
        <v>591</v>
      </c>
      <c r="P18" s="1087">
        <f>MATCH(Application!T189,Application!BP656:BP713,0)</f>
        <v>19</v>
      </c>
      <c r="S18" s="1109">
        <f>SUM(Cdlac[Population])</f>
        <v>0</v>
      </c>
    </row>
    <row r="19" spans="1:20" ht="15" customHeight="1">
      <c r="A19" s="1089"/>
      <c r="B19" s="1089"/>
      <c r="I19" s="1115"/>
      <c r="L19" s="1087" t="s">
        <v>2316</v>
      </c>
      <c r="M19" s="1087" t="s">
        <v>2315</v>
      </c>
      <c r="N19" s="1087" t="s">
        <v>2329</v>
      </c>
      <c r="O19" s="1087" t="s">
        <v>2330</v>
      </c>
      <c r="P19" s="1087" t="s">
        <v>2317</v>
      </c>
      <c r="Q19" s="1087" t="s">
        <v>2318</v>
      </c>
      <c r="R19" s="1087" t="s">
        <v>2331</v>
      </c>
      <c r="S19" s="1087" t="s">
        <v>2337</v>
      </c>
      <c r="T19" s="1087" t="s">
        <v>387</v>
      </c>
    </row>
    <row r="20" spans="1:20" ht="15" customHeight="1">
      <c r="A20" s="1092"/>
      <c r="C20" s="2151" t="s">
        <v>2377</v>
      </c>
      <c r="D20" s="2151" t="s">
        <v>2378</v>
      </c>
      <c r="E20" s="2151" t="s">
        <v>2379</v>
      </c>
      <c r="F20" s="2151" t="s">
        <v>2380</v>
      </c>
      <c r="G20" s="2151" t="s">
        <v>2376</v>
      </c>
      <c r="H20" s="1116"/>
      <c r="I20" s="1115"/>
      <c r="L20" s="1087">
        <f>IFERROR(MIN(4,MATCH(Application!B714,UnitSizes,0)-1),"")</f>
        <v>0</v>
      </c>
      <c r="M20" s="1109">
        <f>Application!G714</f>
        <v>14</v>
      </c>
      <c r="N20" s="1117">
        <f>Application!AC714</f>
        <v>0.3</v>
      </c>
      <c r="O20" s="1117">
        <f>IF(Cdlac[[#This Row],[Quantity]]&gt;0,IF(Cdlac[[#This Row],[Federal]],30%,IF($G$36,40%,Cdlac[[#This Row],[iAMI]])),"")</f>
        <v>0.3</v>
      </c>
      <c r="P20" s="1109" cm="1">
        <f t="array" ref="P20">IF(Cdlac[[#This Row],[Quantity]]&gt;0,INDEX(TcacRents,$P$18,Cdlac[[#This Row],[Bedrooms]]+1)*Cdlac[[#This Row],[AMI]],"")</f>
        <v>625.19999999999993</v>
      </c>
      <c r="Q20" s="1109" cm="1">
        <f t="array" ref="Q20">IF(Cdlac[[#This Row],[Quantity]]&gt;0,INDEX(HudFmrs,$P$18,Cdlac[[#This Row],[Bedrooms]]+1),"")</f>
        <v>1384</v>
      </c>
      <c r="R20" s="1109">
        <f>IF(Cdlac[[#This Row],[Quantity]]&gt;0,MAX(0,Cdlac[[#This Row],[Fair Market Rent]]-Cdlac[[#This Row],[Restricted Rent]]),"")</f>
        <v>758.80000000000007</v>
      </c>
      <c r="S20" s="1087">
        <f>IF(Cdlac[[#This Row],[Quantity]]&gt;0,AND(Application!AK714&lt;&gt;"N/A",Application!AK714&lt;&gt;"")*Cdlac[[#This Row],[Quantity]],"")</f>
        <v>0</v>
      </c>
      <c r="T20" s="1087" t="b">
        <f>AND('Subsidy Contract Calculation'!F4&gt;0,'Subsidy Contract Calculation'!C4="Federal",Cdlac[[#This Row],[Quantity]]&gt;0)</f>
        <v>0</v>
      </c>
    </row>
    <row r="21" spans="1:20" ht="15" customHeight="1">
      <c r="A21" s="1092"/>
      <c r="C21" s="2152"/>
      <c r="D21" s="2152"/>
      <c r="E21" s="2152"/>
      <c r="F21" s="2152"/>
      <c r="G21" s="2152"/>
      <c r="H21" s="1116"/>
      <c r="I21" s="1115"/>
      <c r="L21" s="1087">
        <f>IFERROR(MIN(4,MATCH(Application!B715,UnitSizes,0)-1),"")</f>
        <v>0</v>
      </c>
      <c r="M21" s="1109">
        <f>Application!G715</f>
        <v>26</v>
      </c>
      <c r="N21" s="1117">
        <f>Application!AC715</f>
        <v>0.7</v>
      </c>
      <c r="O21" s="1117">
        <f>IF(Cdlac[[#This Row],[Quantity]]&gt;0,IF(Cdlac[[#This Row],[Federal]],30%,IF($G$36,40%,Cdlac[[#This Row],[iAMI]])),"")</f>
        <v>0.7</v>
      </c>
      <c r="P21" s="1109" cm="1">
        <f t="array" ref="P21">IF(Cdlac[[#This Row],[Quantity]]&gt;0,INDEX(TcacRents,$P$18,Cdlac[[#This Row],[Bedrooms]]+1)*Cdlac[[#This Row],[AMI]],"")</f>
        <v>1458.8</v>
      </c>
      <c r="Q21" s="1109" cm="1">
        <f t="array" ref="Q21">IF(Cdlac[[#This Row],[Quantity]]&gt;0,INDEX(HudFmrs,$P$18,Cdlac[[#This Row],[Bedrooms]]+1),"")</f>
        <v>1384</v>
      </c>
      <c r="R21" s="1109">
        <f>IF(Cdlac[[#This Row],[Quantity]]&gt;0,MAX(0,Cdlac[[#This Row],[Fair Market Rent]]-Cdlac[[#This Row],[Restricted Rent]]),"")</f>
        <v>0</v>
      </c>
      <c r="S21" s="1087">
        <f>IF(Cdlac[[#This Row],[Quantity]]&gt;0,AND(Application!AK715&lt;&gt;"N/A",Application!AK715&lt;&gt;"")*Cdlac[[#This Row],[Quantity]],"")</f>
        <v>0</v>
      </c>
      <c r="T21" s="1087" t="b">
        <f>AND('Subsidy Contract Calculation'!F5&gt;0,'Subsidy Contract Calculation'!C5="Federal",Cdlac[[#This Row],[Quantity]]&gt;0)</f>
        <v>0</v>
      </c>
    </row>
    <row r="22" spans="1:20" ht="15" customHeight="1">
      <c r="C22" s="1118">
        <v>0</v>
      </c>
      <c r="D22" s="1119">
        <v>0.9</v>
      </c>
      <c r="E22" s="1118">
        <f>SUMIFS(Cdlac[Quantity],Cdlac[Bedrooms],C22)</f>
        <v>40</v>
      </c>
      <c r="F22" s="1118">
        <f>E22</f>
        <v>40</v>
      </c>
      <c r="G22" s="1118">
        <f>D22*F22</f>
        <v>36</v>
      </c>
      <c r="L22" s="1087">
        <f>IFERROR(MIN(4,MATCH(Application!B716,UnitSizes,0)-1),"")</f>
        <v>1</v>
      </c>
      <c r="M22" s="1109">
        <f>Application!G716</f>
        <v>13</v>
      </c>
      <c r="N22" s="1117">
        <f>Application!AC716</f>
        <v>0.3</v>
      </c>
      <c r="O22" s="1117">
        <f>IF(Cdlac[[#This Row],[Quantity]]&gt;0,IF(Cdlac[[#This Row],[Federal]],30%,IF($G$36,40%,Cdlac[[#This Row],[iAMI]])),"")</f>
        <v>0.3</v>
      </c>
      <c r="P22" s="1109" cm="1">
        <f t="array" ref="P22">IF(Cdlac[[#This Row],[Quantity]]&gt;0,INDEX(TcacRents,$P$18,Cdlac[[#This Row],[Bedrooms]]+1)*Cdlac[[#This Row],[AMI]],"")</f>
        <v>669.6</v>
      </c>
      <c r="Q22" s="1109" cm="1">
        <f t="array" ref="Q22">IF(Cdlac[[#This Row],[Quantity]]&gt;0,INDEX(HudFmrs,$P$18,Cdlac[[#This Row],[Bedrooms]]+1),"")</f>
        <v>1604</v>
      </c>
      <c r="R22" s="1109">
        <f>IF(Cdlac[[#This Row],[Quantity]]&gt;0,MAX(0,Cdlac[[#This Row],[Fair Market Rent]]-Cdlac[[#This Row],[Restricted Rent]]),"")</f>
        <v>934.4</v>
      </c>
      <c r="S22" s="1087">
        <f>IF(Cdlac[[#This Row],[Quantity]]&gt;0,AND(Application!AK716&lt;&gt;"N/A",Application!AK716&lt;&gt;"")*Cdlac[[#This Row],[Quantity]],"")</f>
        <v>0</v>
      </c>
      <c r="T22" s="1087" t="b">
        <f>AND('Subsidy Contract Calculation'!F6&gt;0,'Subsidy Contract Calculation'!C6="Federal",Cdlac[[#This Row],[Quantity]]&gt;0)</f>
        <v>0</v>
      </c>
    </row>
    <row r="23" spans="1:20" ht="15" customHeight="1">
      <c r="C23" s="1118">
        <v>1</v>
      </c>
      <c r="D23" s="1119">
        <v>1</v>
      </c>
      <c r="E23" s="1118">
        <f>SUMIFS(Cdlac[Quantity],Cdlac[Bedrooms],C23)</f>
        <v>41</v>
      </c>
      <c r="F23" s="1118">
        <f>E23</f>
        <v>41</v>
      </c>
      <c r="G23" s="1118">
        <f>D23*F23</f>
        <v>41</v>
      </c>
      <c r="L23" s="1087">
        <f>IFERROR(MIN(4,MATCH(Application!B717,UnitSizes,0)-1),"")</f>
        <v>1</v>
      </c>
      <c r="M23" s="1109">
        <f>Application!G717</f>
        <v>28</v>
      </c>
      <c r="N23" s="1117">
        <f>Application!AC717</f>
        <v>0.7</v>
      </c>
      <c r="O23" s="1117">
        <f>IF(Cdlac[[#This Row],[Quantity]]&gt;0,IF(Cdlac[[#This Row],[Federal]],30%,IF($G$36,40%,Cdlac[[#This Row],[iAMI]])),"")</f>
        <v>0.7</v>
      </c>
      <c r="P23" s="1109" cm="1">
        <f t="array" ref="P23">IF(Cdlac[[#This Row],[Quantity]]&gt;0,INDEX(TcacRents,$P$18,Cdlac[[#This Row],[Bedrooms]]+1)*Cdlac[[#This Row],[AMI]],"")</f>
        <v>1562.3999999999999</v>
      </c>
      <c r="Q23" s="1109" cm="1">
        <f t="array" ref="Q23">IF(Cdlac[[#This Row],[Quantity]]&gt;0,INDEX(HudFmrs,$P$18,Cdlac[[#This Row],[Bedrooms]]+1),"")</f>
        <v>1604</v>
      </c>
      <c r="R23" s="1109">
        <f>IF(Cdlac[[#This Row],[Quantity]]&gt;0,MAX(0,Cdlac[[#This Row],[Fair Market Rent]]-Cdlac[[#This Row],[Restricted Rent]]),"")</f>
        <v>41.600000000000136</v>
      </c>
      <c r="S23" s="1087">
        <f>IF(Cdlac[[#This Row],[Quantity]]&gt;0,AND(Application!AK717&lt;&gt;"N/A",Application!AK717&lt;&gt;"")*Cdlac[[#This Row],[Quantity]],"")</f>
        <v>0</v>
      </c>
      <c r="T23" s="1087" t="b">
        <f>AND('Subsidy Contract Calculation'!F7&gt;0,'Subsidy Contract Calculation'!C7="Federal",Cdlac[[#This Row],[Quantity]]&gt;0)</f>
        <v>0</v>
      </c>
    </row>
    <row r="24" spans="1:20" ht="15" customHeight="1">
      <c r="A24" s="1120"/>
      <c r="C24" s="1121">
        <v>2</v>
      </c>
      <c r="D24" s="1119">
        <v>1.25</v>
      </c>
      <c r="E24" s="1118">
        <f>SUMIFS(Cdlac[Quantity],Cdlac[Bedrooms],C24)</f>
        <v>44</v>
      </c>
      <c r="F24" s="1121">
        <f>SUM(E24:E26)-SUM(F25:F26)</f>
        <v>44</v>
      </c>
      <c r="G24" s="1118">
        <f>D24*F24</f>
        <v>55</v>
      </c>
      <c r="H24" s="1120"/>
      <c r="I24" s="1120"/>
      <c r="L24" s="1087">
        <f>IFERROR(MIN(4,MATCH(Application!B718,UnitSizes,0)-1),"")</f>
        <v>2</v>
      </c>
      <c r="M24" s="1109">
        <f>Application!G718</f>
        <v>5</v>
      </c>
      <c r="N24" s="1117">
        <f>Application!AC718</f>
        <v>0.3</v>
      </c>
      <c r="O24" s="1117">
        <f>IF(Cdlac[[#This Row],[Quantity]]&gt;0,IF(Cdlac[[#This Row],[Federal]],30%,IF($G$36,40%,Cdlac[[#This Row],[iAMI]])),"")</f>
        <v>0.3</v>
      </c>
      <c r="P24" s="1109" cm="1">
        <f t="array" ref="P24">IF(Cdlac[[#This Row],[Quantity]]&gt;0,INDEX(TcacRents,$P$18,Cdlac[[#This Row],[Bedrooms]]+1)*Cdlac[[#This Row],[AMI]],"")</f>
        <v>804</v>
      </c>
      <c r="Q24" s="1109" cm="1">
        <f t="array" ref="Q24">IF(Cdlac[[#This Row],[Quantity]]&gt;0,INDEX(HudFmrs,$P$18,Cdlac[[#This Row],[Bedrooms]]+1),"")</f>
        <v>2044</v>
      </c>
      <c r="R24" s="1109">
        <f>IF(Cdlac[[#This Row],[Quantity]]&gt;0,MAX(0,Cdlac[[#This Row],[Fair Market Rent]]-Cdlac[[#This Row],[Restricted Rent]]),"")</f>
        <v>1240</v>
      </c>
      <c r="S24" s="1087">
        <f>IF(Cdlac[[#This Row],[Quantity]]&gt;0,AND(Application!AK718&lt;&gt;"N/A",Application!AK718&lt;&gt;"")*Cdlac[[#This Row],[Quantity]],"")</f>
        <v>0</v>
      </c>
      <c r="T24" s="1087" t="b">
        <f>AND('Subsidy Contract Calculation'!F8&gt;0,'Subsidy Contract Calculation'!C8="Federal",Cdlac[[#This Row],[Quantity]]&gt;0)</f>
        <v>0</v>
      </c>
    </row>
    <row r="25" spans="1:20" ht="15" customHeight="1">
      <c r="A25" s="1120"/>
      <c r="C25" s="1121">
        <v>3</v>
      </c>
      <c r="D25" s="1119">
        <f>1.5+0.25*0</f>
        <v>1.5</v>
      </c>
      <c r="E25" s="1118">
        <f>SUMIFS(Cdlac[Quantity],Cdlac[Bedrooms],C25)</f>
        <v>46</v>
      </c>
      <c r="F25" s="1121">
        <f>MIN(E25,ROUNDDOWN(E27*30%,0))</f>
        <v>46</v>
      </c>
      <c r="G25" s="1118">
        <f>D25*F25</f>
        <v>69</v>
      </c>
      <c r="H25" s="1120"/>
      <c r="I25" s="1120"/>
      <c r="L25" s="1087">
        <f>IFERROR(MIN(4,MATCH(Application!B719,UnitSizes,0)-1),"")</f>
        <v>2</v>
      </c>
      <c r="M25" s="1109">
        <f>Application!G719</f>
        <v>9</v>
      </c>
      <c r="N25" s="1117">
        <f>Application!AC719</f>
        <v>0.6</v>
      </c>
      <c r="O25" s="1117">
        <f>IF(Cdlac[[#This Row],[Quantity]]&gt;0,IF(Cdlac[[#This Row],[Federal]],30%,IF($G$36,40%,Cdlac[[#This Row],[iAMI]])),"")</f>
        <v>0.6</v>
      </c>
      <c r="P25" s="1109" cm="1">
        <f t="array" ref="P25">IF(Cdlac[[#This Row],[Quantity]]&gt;0,INDEX(TcacRents,$P$18,Cdlac[[#This Row],[Bedrooms]]+1)*Cdlac[[#This Row],[AMI]],"")</f>
        <v>1608</v>
      </c>
      <c r="Q25" s="1109" cm="1">
        <f t="array" ref="Q25">IF(Cdlac[[#This Row],[Quantity]]&gt;0,INDEX(HudFmrs,$P$18,Cdlac[[#This Row],[Bedrooms]]+1),"")</f>
        <v>2044</v>
      </c>
      <c r="R25" s="1109">
        <f>IF(Cdlac[[#This Row],[Quantity]]&gt;0,MAX(0,Cdlac[[#This Row],[Fair Market Rent]]-Cdlac[[#This Row],[Restricted Rent]]),"")</f>
        <v>436</v>
      </c>
      <c r="S25" s="1087">
        <f>IF(Cdlac[[#This Row],[Quantity]]&gt;0,AND(Application!AK719&lt;&gt;"N/A",Application!AK719&lt;&gt;"")*Cdlac[[#This Row],[Quantity]],"")</f>
        <v>0</v>
      </c>
      <c r="T25" s="1087" t="b">
        <f>AND('Subsidy Contract Calculation'!F9&gt;0,'Subsidy Contract Calculation'!C9="Federal",Cdlac[[#This Row],[Quantity]]&gt;0)</f>
        <v>0</v>
      </c>
    </row>
    <row r="26" spans="1:20" ht="15" customHeight="1" thickBot="1">
      <c r="A26" s="1120"/>
      <c r="C26" s="1134">
        <v>4</v>
      </c>
      <c r="D26" s="1135">
        <f>1.75+0.25*0</f>
        <v>1.75</v>
      </c>
      <c r="E26" s="1136">
        <f>SUMIFS(Cdlac[Quantity],Cdlac[Bedrooms],C26)</f>
        <v>0</v>
      </c>
      <c r="F26" s="1134">
        <f>MIN(E26,ROUNDDOWN(E27*10%,0))</f>
        <v>0</v>
      </c>
      <c r="G26" s="1136">
        <f>D26*F26</f>
        <v>0</v>
      </c>
      <c r="H26" s="1120"/>
      <c r="I26" s="1120"/>
      <c r="L26" s="1087">
        <f>IFERROR(MIN(4,MATCH(Application!B720,UnitSizes,0)-1),"")</f>
        <v>2</v>
      </c>
      <c r="M26" s="1109">
        <f>Application!G720</f>
        <v>19</v>
      </c>
      <c r="N26" s="1117">
        <f>Application!AC720</f>
        <v>0.7</v>
      </c>
      <c r="O26" s="1117">
        <f>IF(Cdlac[[#This Row],[Quantity]]&gt;0,IF(Cdlac[[#This Row],[Federal]],30%,IF($G$36,40%,Cdlac[[#This Row],[iAMI]])),"")</f>
        <v>0.7</v>
      </c>
      <c r="P26" s="1109" cm="1">
        <f t="array" ref="P26">IF(Cdlac[[#This Row],[Quantity]]&gt;0,INDEX(TcacRents,$P$18,Cdlac[[#This Row],[Bedrooms]]+1)*Cdlac[[#This Row],[AMI]],"")</f>
        <v>1875.9999999999998</v>
      </c>
      <c r="Q26" s="1109" cm="1">
        <f t="array" ref="Q26">IF(Cdlac[[#This Row],[Quantity]]&gt;0,INDEX(HudFmrs,$P$18,Cdlac[[#This Row],[Bedrooms]]+1),"")</f>
        <v>2044</v>
      </c>
      <c r="R26" s="1109">
        <f>IF(Cdlac[[#This Row],[Quantity]]&gt;0,MAX(0,Cdlac[[#This Row],[Fair Market Rent]]-Cdlac[[#This Row],[Restricted Rent]]),"")</f>
        <v>168.00000000000023</v>
      </c>
      <c r="S26" s="1087">
        <f>IF(Cdlac[[#This Row],[Quantity]]&gt;0,AND(Application!AK720&lt;&gt;"N/A",Application!AK720&lt;&gt;"")*Cdlac[[#This Row],[Quantity]],"")</f>
        <v>0</v>
      </c>
      <c r="T26" s="1087" t="b">
        <f>AND('Subsidy Contract Calculation'!F10&gt;0,'Subsidy Contract Calculation'!C10="Federal",Cdlac[[#This Row],[Quantity]]&gt;0)</f>
        <v>0</v>
      </c>
    </row>
    <row r="27" spans="1:20" ht="15" customHeight="1">
      <c r="A27" s="1120"/>
      <c r="C27" s="2135" t="s">
        <v>1761</v>
      </c>
      <c r="D27" s="2136"/>
      <c r="E27" s="1137">
        <f>SUM(E22:E26)</f>
        <v>171</v>
      </c>
      <c r="F27" s="1137">
        <f>SUM(F22:F26)</f>
        <v>171</v>
      </c>
      <c r="G27" s="1138">
        <f>SUMPRODUCT(D22:D26,F22:F26)</f>
        <v>201</v>
      </c>
      <c r="H27" s="1120"/>
      <c r="I27" s="1120"/>
      <c r="L27" s="1087">
        <f>IFERROR(MIN(4,MATCH(Application!B721,UnitSizes,0)-1),"")</f>
        <v>2</v>
      </c>
      <c r="M27" s="1109">
        <f>Application!G721</f>
        <v>11</v>
      </c>
      <c r="N27" s="1117">
        <f>Application!AC721</f>
        <v>0.8</v>
      </c>
      <c r="O27" s="1117">
        <f>IF(Cdlac[[#This Row],[Quantity]]&gt;0,IF(Cdlac[[#This Row],[Federal]],30%,IF($G$36,40%,Cdlac[[#This Row],[iAMI]])),"")</f>
        <v>0.8</v>
      </c>
      <c r="P27" s="1109" cm="1">
        <f t="array" ref="P27">IF(Cdlac[[#This Row],[Quantity]]&gt;0,INDEX(TcacRents,$P$18,Cdlac[[#This Row],[Bedrooms]]+1)*Cdlac[[#This Row],[AMI]],"")</f>
        <v>2144</v>
      </c>
      <c r="Q27" s="1109" cm="1">
        <f t="array" ref="Q27">IF(Cdlac[[#This Row],[Quantity]]&gt;0,INDEX(HudFmrs,$P$18,Cdlac[[#This Row],[Bedrooms]]+1),"")</f>
        <v>2044</v>
      </c>
      <c r="R27" s="1109">
        <f>IF(Cdlac[[#This Row],[Quantity]]&gt;0,MAX(0,Cdlac[[#This Row],[Fair Market Rent]]-Cdlac[[#This Row],[Restricted Rent]]),"")</f>
        <v>0</v>
      </c>
      <c r="S27" s="1087">
        <f>IF(Cdlac[[#This Row],[Quantity]]&gt;0,AND(Application!AK721&lt;&gt;"N/A",Application!AK721&lt;&gt;"")*Cdlac[[#This Row],[Quantity]],"")</f>
        <v>0</v>
      </c>
      <c r="T27" s="1087" t="b">
        <f>AND('Subsidy Contract Calculation'!F11&gt;0,'Subsidy Contract Calculation'!C11="Federal",Cdlac[[#This Row],[Quantity]]&gt;0)</f>
        <v>0</v>
      </c>
    </row>
    <row r="28" spans="1:20" ht="15" customHeight="1">
      <c r="A28" s="1120"/>
      <c r="C28" s="1120"/>
      <c r="D28" s="1120"/>
      <c r="E28" s="1120"/>
      <c r="F28" s="1120"/>
      <c r="G28" s="1120"/>
      <c r="H28" s="1120"/>
      <c r="I28" s="1120"/>
      <c r="L28" s="1087">
        <f>IFERROR(MIN(4,MATCH(Application!B722,UnitSizes,0)-1),"")</f>
        <v>3</v>
      </c>
      <c r="M28" s="1109">
        <f>Application!G722</f>
        <v>5</v>
      </c>
      <c r="N28" s="1117">
        <f>Application!AC722</f>
        <v>0.3</v>
      </c>
      <c r="O28" s="1117">
        <f>IF(Cdlac[[#This Row],[Quantity]]&gt;0,IF(Cdlac[[#This Row],[Federal]],30%,IF($G$36,40%,Cdlac[[#This Row],[iAMI]])),"")</f>
        <v>0.3</v>
      </c>
      <c r="P28" s="1109" cm="1">
        <f t="array" ref="P28">IF(Cdlac[[#This Row],[Quantity]]&gt;0,INDEX(TcacRents,$P$18,Cdlac[[#This Row],[Bedrooms]]+1)*Cdlac[[#This Row],[AMI]],"")</f>
        <v>928.8</v>
      </c>
      <c r="Q28" s="1109" cm="1">
        <f t="array" ref="Q28">IF(Cdlac[[#This Row],[Quantity]]&gt;0,INDEX(HudFmrs,$P$18,Cdlac[[#This Row],[Bedrooms]]+1),"")</f>
        <v>2693</v>
      </c>
      <c r="R28" s="1109">
        <f>IF(Cdlac[[#This Row],[Quantity]]&gt;0,MAX(0,Cdlac[[#This Row],[Fair Market Rent]]-Cdlac[[#This Row],[Restricted Rent]]),"")</f>
        <v>1764.2</v>
      </c>
      <c r="S28" s="1087">
        <f>IF(Cdlac[[#This Row],[Quantity]]&gt;0,AND(Application!AK722&lt;&gt;"N/A",Application!AK722&lt;&gt;"")*Cdlac[[#This Row],[Quantity]],"")</f>
        <v>0</v>
      </c>
      <c r="T28" s="1087" t="b">
        <f>AND('Subsidy Contract Calculation'!F12&gt;0,'Subsidy Contract Calculation'!C12="Federal",Cdlac[[#This Row],[Quantity]]&gt;0)</f>
        <v>0</v>
      </c>
    </row>
    <row r="29" spans="1:20" ht="15" customHeight="1">
      <c r="A29" s="1120"/>
      <c r="E29" s="1167" t="s">
        <v>2376</v>
      </c>
      <c r="G29" s="1164">
        <f>G27</f>
        <v>201</v>
      </c>
      <c r="H29" s="1120"/>
      <c r="I29" s="1120"/>
      <c r="L29" s="1087">
        <f>IFERROR(MIN(4,MATCH(Application!B723,UnitSizes,0)-1),"")</f>
        <v>3</v>
      </c>
      <c r="M29" s="1109">
        <f>Application!G723</f>
        <v>25</v>
      </c>
      <c r="N29" s="1117">
        <f>Application!AC723</f>
        <v>0.6</v>
      </c>
      <c r="O29" s="1117">
        <f>IF(Cdlac[[#This Row],[Quantity]]&gt;0,IF(Cdlac[[#This Row],[Federal]],30%,IF($G$36,40%,Cdlac[[#This Row],[iAMI]])),"")</f>
        <v>0.6</v>
      </c>
      <c r="P29" s="1109" cm="1">
        <f t="array" ref="P29">IF(Cdlac[[#This Row],[Quantity]]&gt;0,INDEX(TcacRents,$P$18,Cdlac[[#This Row],[Bedrooms]]+1)*Cdlac[[#This Row],[AMI]],"")</f>
        <v>1857.6</v>
      </c>
      <c r="Q29" s="1109" cm="1">
        <f t="array" ref="Q29">IF(Cdlac[[#This Row],[Quantity]]&gt;0,INDEX(HudFmrs,$P$18,Cdlac[[#This Row],[Bedrooms]]+1),"")</f>
        <v>2693</v>
      </c>
      <c r="R29" s="1109">
        <f>IF(Cdlac[[#This Row],[Quantity]]&gt;0,MAX(0,Cdlac[[#This Row],[Fair Market Rent]]-Cdlac[[#This Row],[Restricted Rent]]),"")</f>
        <v>835.40000000000009</v>
      </c>
      <c r="S29" s="1087">
        <f>IF(Cdlac[[#This Row],[Quantity]]&gt;0,AND(Application!AK723&lt;&gt;"N/A",Application!AK723&lt;&gt;"")*Cdlac[[#This Row],[Quantity]],"")</f>
        <v>0</v>
      </c>
      <c r="T29" s="1087" t="b">
        <f>AND('Subsidy Contract Calculation'!F13&gt;0,'Subsidy Contract Calculation'!C13="Federal",Cdlac[[#This Row],[Quantity]]&gt;0)</f>
        <v>0</v>
      </c>
    </row>
    <row r="30" spans="1:20" ht="15" customHeight="1">
      <c r="A30" s="1120"/>
      <c r="E30" s="1167" t="s">
        <v>2328</v>
      </c>
      <c r="F30" s="1163" t="s">
        <v>2385</v>
      </c>
      <c r="G30" s="1165">
        <v>50000</v>
      </c>
      <c r="H30" s="1120"/>
      <c r="I30" s="1120"/>
      <c r="L30" s="1087">
        <f>IFERROR(MIN(4,MATCH(Application!B724,UnitSizes,0)-1),"")</f>
        <v>3</v>
      </c>
      <c r="M30" s="1109">
        <f>Application!G724</f>
        <v>16</v>
      </c>
      <c r="N30" s="1117">
        <f>Application!AC724</f>
        <v>0.7</v>
      </c>
      <c r="O30" s="1117">
        <f>IF(Cdlac[[#This Row],[Quantity]]&gt;0,IF(Cdlac[[#This Row],[Federal]],30%,IF($G$36,40%,Cdlac[[#This Row],[iAMI]])),"")</f>
        <v>0.7</v>
      </c>
      <c r="P30" s="1109" cm="1">
        <f t="array" ref="P30">IF(Cdlac[[#This Row],[Quantity]]&gt;0,INDEX(TcacRents,$P$18,Cdlac[[#This Row],[Bedrooms]]+1)*Cdlac[[#This Row],[AMI]],"")</f>
        <v>2167.1999999999998</v>
      </c>
      <c r="Q30" s="1109" cm="1">
        <f t="array" ref="Q30">IF(Cdlac[[#This Row],[Quantity]]&gt;0,INDEX(HudFmrs,$P$18,Cdlac[[#This Row],[Bedrooms]]+1),"")</f>
        <v>2693</v>
      </c>
      <c r="R30" s="1109">
        <f>IF(Cdlac[[#This Row],[Quantity]]&gt;0,MAX(0,Cdlac[[#This Row],[Fair Market Rent]]-Cdlac[[#This Row],[Restricted Rent]]),"")</f>
        <v>525.80000000000018</v>
      </c>
      <c r="S30" s="1087">
        <f>IF(Cdlac[[#This Row],[Quantity]]&gt;0,AND(Application!AK724&lt;&gt;"N/A",Application!AK724&lt;&gt;"")*Cdlac[[#This Row],[Quantity]],"")</f>
        <v>0</v>
      </c>
      <c r="T30" s="1087" t="b">
        <f>AND('Subsidy Contract Calculation'!F14&gt;0,'Subsidy Contract Calculation'!C14="Federal",Cdlac[[#This Row],[Quantity]]&gt;0)</f>
        <v>0</v>
      </c>
    </row>
    <row r="31" spans="1:20" ht="15" customHeight="1">
      <c r="A31" s="1120"/>
      <c r="E31" s="1168" t="s">
        <v>2369</v>
      </c>
      <c r="F31" s="1089"/>
      <c r="G31" s="1169">
        <f>G30*G29</f>
        <v>10050000</v>
      </c>
      <c r="H31" s="1120"/>
      <c r="I31" s="1120"/>
      <c r="L31" s="1087" t="str">
        <f>IFERROR(MIN(4,MATCH(Application!B725,UnitSizes,0)-1),"")</f>
        <v/>
      </c>
      <c r="M31" s="1109">
        <f>Application!G725</f>
        <v>0</v>
      </c>
      <c r="N31" s="1117">
        <f>Application!AC725</f>
        <v>0</v>
      </c>
      <c r="O31" s="1117" t="str">
        <f>IF(Cdlac[[#This Row],[Quantity]]&gt;0,IF(Cdlac[[#This Row],[Federal]],30%,IF($G$36,40%,Cdlac[[#This Row],[iAMI]])),"")</f>
        <v/>
      </c>
      <c r="P31" s="1109" t="str" cm="1">
        <f t="array" ref="P31">IF(Cdlac[[#This Row],[Quantity]]&gt;0,INDEX(TcacRents,$P$18,Cdlac[[#This Row],[Bedrooms]]+1)*Cdlac[[#This Row],[AMI]],"")</f>
        <v/>
      </c>
      <c r="Q31" s="1109" t="str" cm="1">
        <f t="array" ref="Q31">IF(Cdlac[[#This Row],[Quantity]]&gt;0,INDEX(HudFmrs,$P$18,Cdlac[[#This Row],[Bedrooms]]+1),"")</f>
        <v/>
      </c>
      <c r="R31" s="1109" t="str">
        <f>IF(Cdlac[[#This Row],[Quantity]]&gt;0,MAX(0,Cdlac[[#This Row],[Fair Market Rent]]-Cdlac[[#This Row],[Restricted Rent]]),"")</f>
        <v/>
      </c>
      <c r="S31" s="1087" t="str">
        <f>IF(Cdlac[[#This Row],[Quantity]]&gt;0,AND(Application!AK725&lt;&gt;"N/A",Application!AK725&lt;&gt;"")*Cdlac[[#This Row],[Quantity]],"")</f>
        <v/>
      </c>
      <c r="T31" s="1087" t="b">
        <f>AND('Subsidy Contract Calculation'!F15&gt;0,'Subsidy Contract Calculation'!C15="Federal",Cdlac[[#This Row],[Quantity]]&gt;0)</f>
        <v>0</v>
      </c>
    </row>
    <row r="32" spans="1:20" ht="15" customHeight="1">
      <c r="A32" s="1120"/>
      <c r="B32" s="1120"/>
      <c r="C32" s="1120"/>
      <c r="D32" s="1120"/>
      <c r="E32" s="1120"/>
      <c r="F32" s="1120"/>
      <c r="G32" s="1120"/>
      <c r="H32" s="1120"/>
      <c r="I32" s="1120"/>
      <c r="L32" s="1087" t="str">
        <f>IFERROR(MIN(4,MATCH(Application!B726,UnitSizes,0)-1),"")</f>
        <v/>
      </c>
      <c r="M32" s="1109">
        <f>Application!G726</f>
        <v>0</v>
      </c>
      <c r="N32" s="1117">
        <f>Application!AC726</f>
        <v>0</v>
      </c>
      <c r="O32" s="1117" t="str">
        <f>IF(Cdlac[[#This Row],[Quantity]]&gt;0,IF(Cdlac[[#This Row],[Federal]],30%,IF($G$36,40%,Cdlac[[#This Row],[iAMI]])),"")</f>
        <v/>
      </c>
      <c r="P32" s="1109" t="str" cm="1">
        <f t="array" ref="P32">IF(Cdlac[[#This Row],[Quantity]]&gt;0,INDEX(TcacRents,$P$18,Cdlac[[#This Row],[Bedrooms]]+1)*Cdlac[[#This Row],[AMI]],"")</f>
        <v/>
      </c>
      <c r="Q32" s="1109" t="str" cm="1">
        <f t="array" ref="Q32">IF(Cdlac[[#This Row],[Quantity]]&gt;0,INDEX(HudFmrs,$P$18,Cdlac[[#This Row],[Bedrooms]]+1),"")</f>
        <v/>
      </c>
      <c r="R32" s="1109" t="str">
        <f>IF(Cdlac[[#This Row],[Quantity]]&gt;0,MAX(0,Cdlac[[#This Row],[Fair Market Rent]]-Cdlac[[#This Row],[Restricted Rent]]),"")</f>
        <v/>
      </c>
      <c r="S32" s="1087" t="str">
        <f>IF(Cdlac[[#This Row],[Quantity]]&gt;0,AND(Application!AK726&lt;&gt;"N/A",Application!AK726&lt;&gt;"")*Cdlac[[#This Row],[Quantity]],"")</f>
        <v/>
      </c>
      <c r="T32" s="1087" t="b">
        <f>AND('Subsidy Contract Calculation'!F16&gt;0,'Subsidy Contract Calculation'!C16="Federal",Cdlac[[#This Row],[Quantity]]&gt;0)</f>
        <v>0</v>
      </c>
    </row>
    <row r="33" spans="2:20" ht="15" customHeight="1">
      <c r="B33" s="1112" t="str">
        <f>B10</f>
        <v>B. Rent Savings Benefit</v>
      </c>
      <c r="C33" s="1113"/>
      <c r="D33" s="1113"/>
      <c r="E33" s="1113"/>
      <c r="F33" s="1113"/>
      <c r="G33" s="1113"/>
      <c r="H33" s="1113"/>
      <c r="I33" s="1114"/>
      <c r="L33" s="1087" t="str">
        <f>IFERROR(MIN(4,MATCH(Application!B727,UnitSizes,0)-1),"")</f>
        <v/>
      </c>
      <c r="M33" s="1109">
        <f>Application!G727</f>
        <v>0</v>
      </c>
      <c r="N33" s="1117">
        <f>Application!AC727</f>
        <v>0</v>
      </c>
      <c r="O33" s="1117" t="str">
        <f>IF(Cdlac[[#This Row],[Quantity]]&gt;0,IF(Cdlac[[#This Row],[Federal]],30%,IF($G$36,40%,Cdlac[[#This Row],[iAMI]])),"")</f>
        <v/>
      </c>
      <c r="P33" s="1109" t="str" cm="1">
        <f t="array" ref="P33">IF(Cdlac[[#This Row],[Quantity]]&gt;0,INDEX(TcacRents,$P$18,Cdlac[[#This Row],[Bedrooms]]+1)*Cdlac[[#This Row],[AMI]],"")</f>
        <v/>
      </c>
      <c r="Q33" s="1109" t="str" cm="1">
        <f t="array" ref="Q33">IF(Cdlac[[#This Row],[Quantity]]&gt;0,INDEX(HudFmrs,$P$18,Cdlac[[#This Row],[Bedrooms]]+1),"")</f>
        <v/>
      </c>
      <c r="R33" s="1109" t="str">
        <f>IF(Cdlac[[#This Row],[Quantity]]&gt;0,MAX(0,Cdlac[[#This Row],[Fair Market Rent]]-Cdlac[[#This Row],[Restricted Rent]]),"")</f>
        <v/>
      </c>
      <c r="S33" s="1087" t="str">
        <f>IF(Cdlac[[#This Row],[Quantity]]&gt;0,AND(Application!AK727&lt;&gt;"N/A",Application!AK727&lt;&gt;"")*Cdlac[[#This Row],[Quantity]],"")</f>
        <v/>
      </c>
      <c r="T33" s="1087" t="b">
        <f>AND('Subsidy Contract Calculation'!F17&gt;0,'Subsidy Contract Calculation'!C17="Federal",Cdlac[[#This Row],[Quantity]]&gt;0)</f>
        <v>0</v>
      </c>
    </row>
    <row r="34" spans="2:20" ht="15" customHeight="1">
      <c r="L34" s="1087" t="str">
        <f>IFERROR(MIN(4,MATCH(Application!B728,UnitSizes,0)-1),"")</f>
        <v/>
      </c>
      <c r="M34" s="1109">
        <f>Application!G728</f>
        <v>0</v>
      </c>
      <c r="N34" s="1117">
        <f>Application!AC728</f>
        <v>0</v>
      </c>
      <c r="O34" s="1117" t="str">
        <f>IF(Cdlac[[#This Row],[Quantity]]&gt;0,IF(Cdlac[[#This Row],[Federal]],30%,IF($G$36,40%,Cdlac[[#This Row],[iAMI]])),"")</f>
        <v/>
      </c>
      <c r="P34" s="1109" t="str" cm="1">
        <f t="array" ref="P34">IF(Cdlac[[#This Row],[Quantity]]&gt;0,INDEX(TcacRents,$P$18,Cdlac[[#This Row],[Bedrooms]]+1)*Cdlac[[#This Row],[AMI]],"")</f>
        <v/>
      </c>
      <c r="Q34" s="1109" t="str" cm="1">
        <f t="array" ref="Q34">IF(Cdlac[[#This Row],[Quantity]]&gt;0,INDEX(HudFmrs,$P$18,Cdlac[[#This Row],[Bedrooms]]+1),"")</f>
        <v/>
      </c>
      <c r="R34" s="1109" t="str">
        <f>IF(Cdlac[[#This Row],[Quantity]]&gt;0,MAX(0,Cdlac[[#This Row],[Fair Market Rent]]-Cdlac[[#This Row],[Restricted Rent]]),"")</f>
        <v/>
      </c>
      <c r="S34" s="1087" t="str">
        <f>IF(Cdlac[[#This Row],[Quantity]]&gt;0,AND(Application!AK728&lt;&gt;"N/A",Application!AK728&lt;&gt;"")*Cdlac[[#This Row],[Quantity]],"")</f>
        <v/>
      </c>
      <c r="T34" s="1087" t="b">
        <f>AND('Subsidy Contract Calculation'!F18&gt;0,'Subsidy Contract Calculation'!C18="Federal",Cdlac[[#This Row],[Quantity]]&gt;0)</f>
        <v>0</v>
      </c>
    </row>
    <row r="35" spans="2:20" ht="15" customHeight="1">
      <c r="E35" s="1132" t="s">
        <v>2396</v>
      </c>
      <c r="G35" s="1170" cm="1">
        <f t="array" ref="G35">SUMPRODUCT(Cdlac[Quantity],Cdlac[iAMI],IF(Cdlac[Federal],0,1))/SUMIFS(Cdlac[Quantity],Cdlac[Federal],FALSE)</f>
        <v>0.6</v>
      </c>
      <c r="L35" s="1087" t="str">
        <f>IFERROR(MIN(4,MATCH(Application!B729,UnitSizes,0)-1),"")</f>
        <v/>
      </c>
      <c r="M35" s="1109">
        <f>Application!G729</f>
        <v>0</v>
      </c>
      <c r="N35" s="1117">
        <f>Application!AC729</f>
        <v>0</v>
      </c>
      <c r="O35" s="1117" t="str">
        <f>IF(Cdlac[[#This Row],[Quantity]]&gt;0,IF(Cdlac[[#This Row],[Federal]],30%,IF($G$36,40%,Cdlac[[#This Row],[iAMI]])),"")</f>
        <v/>
      </c>
      <c r="P35" s="1109" t="str" cm="1">
        <f t="array" ref="P35">IF(Cdlac[[#This Row],[Quantity]]&gt;0,INDEX(TcacRents,$P$18,Cdlac[[#This Row],[Bedrooms]]+1)*Cdlac[[#This Row],[AMI]],"")</f>
        <v/>
      </c>
      <c r="Q35" s="1109" t="str" cm="1">
        <f t="array" ref="Q35">IF(Cdlac[[#This Row],[Quantity]]&gt;0,INDEX(HudFmrs,$P$18,Cdlac[[#This Row],[Bedrooms]]+1),"")</f>
        <v/>
      </c>
      <c r="R35" s="1109" t="str">
        <f>IF(Cdlac[[#This Row],[Quantity]]&gt;0,MAX(0,Cdlac[[#This Row],[Fair Market Rent]]-Cdlac[[#This Row],[Restricted Rent]]),"")</f>
        <v/>
      </c>
      <c r="S35" s="1087" t="str">
        <f>IF(Cdlac[[#This Row],[Quantity]]&gt;0,AND(Application!AK729&lt;&gt;"N/A",Application!AK729&lt;&gt;"")*Cdlac[[#This Row],[Quantity]],"")</f>
        <v/>
      </c>
      <c r="T35" s="1087" t="b">
        <f>AND('Subsidy Contract Calculation'!F19&gt;0,'Subsidy Contract Calculation'!C19="Federal",Cdlac[[#This Row],[Quantity]]&gt;0)</f>
        <v>0</v>
      </c>
    </row>
    <row r="36" spans="2:20" ht="15" customHeight="1">
      <c r="E36" s="1132" t="s">
        <v>2391</v>
      </c>
      <c r="G36" s="1127" t="b">
        <f>G35&lt;40%</f>
        <v>0</v>
      </c>
      <c r="L36" s="1087" t="str">
        <f>IFERROR(MIN(4,MATCH(Application!B730,UnitSizes,0)-1),"")</f>
        <v/>
      </c>
      <c r="M36" s="1109">
        <f>Application!G730</f>
        <v>0</v>
      </c>
      <c r="N36" s="1117">
        <f>Application!AC730</f>
        <v>0</v>
      </c>
      <c r="O36" s="1117" t="str">
        <f>IF(Cdlac[[#This Row],[Quantity]]&gt;0,IF(Cdlac[[#This Row],[Federal]],30%,IF($G$36,40%,Cdlac[[#This Row],[iAMI]])),"")</f>
        <v/>
      </c>
      <c r="P36" s="1109" t="str" cm="1">
        <f t="array" ref="P36">IF(Cdlac[[#This Row],[Quantity]]&gt;0,INDEX(TcacRents,$P$18,Cdlac[[#This Row],[Bedrooms]]+1)*Cdlac[[#This Row],[AMI]],"")</f>
        <v/>
      </c>
      <c r="Q36" s="1109" t="str" cm="1">
        <f t="array" ref="Q36">IF(Cdlac[[#This Row],[Quantity]]&gt;0,INDEX(HudFmrs,$P$18,Cdlac[[#This Row],[Bedrooms]]+1),"")</f>
        <v/>
      </c>
      <c r="R36" s="1109" t="str">
        <f>IF(Cdlac[[#This Row],[Quantity]]&gt;0,MAX(0,Cdlac[[#This Row],[Fair Market Rent]]-Cdlac[[#This Row],[Restricted Rent]]),"")</f>
        <v/>
      </c>
      <c r="S36" s="1087" t="str">
        <f>IF(Cdlac[[#This Row],[Quantity]]&gt;0,AND(Application!AK730&lt;&gt;"N/A",Application!AK730&lt;&gt;"")*Cdlac[[#This Row],[Quantity]],"")</f>
        <v/>
      </c>
      <c r="T36" s="1087" t="b">
        <f>AND('Subsidy Contract Calculation'!F20&gt;0,'Subsidy Contract Calculation'!C20="Federal",Cdlac[[#This Row],[Quantity]]&gt;0)</f>
        <v>0</v>
      </c>
    </row>
    <row r="37" spans="2:20" ht="15" customHeight="1">
      <c r="L37" s="1087" t="str">
        <f>IFERROR(MIN(4,MATCH(Application!B731,UnitSizes,0)-1),"")</f>
        <v/>
      </c>
      <c r="M37" s="1109">
        <f>Application!G731</f>
        <v>0</v>
      </c>
      <c r="N37" s="1117">
        <f>Application!AC731</f>
        <v>0</v>
      </c>
      <c r="O37" s="1117" t="str">
        <f>IF(Cdlac[[#This Row],[Quantity]]&gt;0,IF(Cdlac[[#This Row],[Federal]],30%,IF($G$36,40%,Cdlac[[#This Row],[iAMI]])),"")</f>
        <v/>
      </c>
      <c r="P37" s="1109" t="str" cm="1">
        <f t="array" ref="P37">IF(Cdlac[[#This Row],[Quantity]]&gt;0,INDEX(TcacRents,$P$18,Cdlac[[#This Row],[Bedrooms]]+1)*Cdlac[[#This Row],[AMI]],"")</f>
        <v/>
      </c>
      <c r="Q37" s="1109" t="str" cm="1">
        <f t="array" ref="Q37">IF(Cdlac[[#This Row],[Quantity]]&gt;0,INDEX(HudFmrs,$P$18,Cdlac[[#This Row],[Bedrooms]]+1),"")</f>
        <v/>
      </c>
      <c r="R37" s="1109" t="str">
        <f>IF(Cdlac[[#This Row],[Quantity]]&gt;0,MAX(0,Cdlac[[#This Row],[Fair Market Rent]]-Cdlac[[#This Row],[Restricted Rent]]),"")</f>
        <v/>
      </c>
      <c r="S37" s="1087" t="str">
        <f>IF(Cdlac[[#This Row],[Quantity]]&gt;0,AND(Application!AK731&lt;&gt;"N/A",Application!AK731&lt;&gt;"")*Cdlac[[#This Row],[Quantity]],"")</f>
        <v/>
      </c>
      <c r="T37" s="1087" t="b">
        <f>AND('Subsidy Contract Calculation'!F21&gt;0,'Subsidy Contract Calculation'!C21="Federal",Cdlac[[#This Row],[Quantity]]&gt;0)</f>
        <v>0</v>
      </c>
    </row>
    <row r="38" spans="2:20" ht="15" customHeight="1">
      <c r="E38" s="1132" t="s">
        <v>2332</v>
      </c>
      <c r="G38" s="1124">
        <f>SUMPRODUCT(Cdlac[Quantity],Cdlac[Delta])</f>
        <v>75370.000000000015</v>
      </c>
      <c r="L38" s="1087" t="str">
        <f>IFERROR(MIN(4,MATCH(Application!B732,UnitSizes,0)-1),"")</f>
        <v/>
      </c>
      <c r="M38" s="1109">
        <f>Application!G732</f>
        <v>0</v>
      </c>
      <c r="N38" s="1117">
        <f>Application!AC732</f>
        <v>0</v>
      </c>
      <c r="O38" s="1117" t="str">
        <f>IF(Cdlac[[#This Row],[Quantity]]&gt;0,IF(Cdlac[[#This Row],[Federal]],30%,IF($G$36,40%,Cdlac[[#This Row],[iAMI]])),"")</f>
        <v/>
      </c>
      <c r="P38" s="1109" t="str" cm="1">
        <f t="array" ref="P38">IF(Cdlac[[#This Row],[Quantity]]&gt;0,INDEX(TcacRents,$P$18,Cdlac[[#This Row],[Bedrooms]]+1)*Cdlac[[#This Row],[AMI]],"")</f>
        <v/>
      </c>
      <c r="Q38" s="1109" t="str" cm="1">
        <f t="array" ref="Q38">IF(Cdlac[[#This Row],[Quantity]]&gt;0,INDEX(HudFmrs,$P$18,Cdlac[[#This Row],[Bedrooms]]+1),"")</f>
        <v/>
      </c>
      <c r="R38" s="1109" t="str">
        <f>IF(Cdlac[[#This Row],[Quantity]]&gt;0,MAX(0,Cdlac[[#This Row],[Fair Market Rent]]-Cdlac[[#This Row],[Restricted Rent]]),"")</f>
        <v/>
      </c>
      <c r="S38" s="1087" t="str">
        <f>IF(Cdlac[[#This Row],[Quantity]]&gt;0,AND(Application!AK732&lt;&gt;"N/A",Application!AK732&lt;&gt;"")*Cdlac[[#This Row],[Quantity]],"")</f>
        <v/>
      </c>
      <c r="T38" s="1087" t="b">
        <f>AND('Subsidy Contract Calculation'!F22&gt;0,'Subsidy Contract Calculation'!C22="Federal",Cdlac[[#This Row],[Quantity]]&gt;0)</f>
        <v>0</v>
      </c>
    </row>
    <row r="39" spans="2:20" ht="15" customHeight="1">
      <c r="E39" s="1167" t="s">
        <v>2397</v>
      </c>
      <c r="F39" s="1163" t="s">
        <v>2385</v>
      </c>
      <c r="G39" s="1171">
        <f>12*15</f>
        <v>180</v>
      </c>
      <c r="L39" s="1087" t="str">
        <f>IFERROR(MIN(4,MATCH(Application!B733,UnitSizes,0)-1),"")</f>
        <v/>
      </c>
      <c r="M39" s="1109">
        <f>Application!G733</f>
        <v>0</v>
      </c>
      <c r="N39" s="1117">
        <f>Application!AC733</f>
        <v>0</v>
      </c>
      <c r="O39" s="1117" t="str">
        <f>IF(Cdlac[[#This Row],[Quantity]]&gt;0,IF(Cdlac[[#This Row],[Federal]],30%,IF($G$36,40%,Cdlac[[#This Row],[iAMI]])),"")</f>
        <v/>
      </c>
      <c r="P39" s="1109" t="str" cm="1">
        <f t="array" ref="P39">IF(Cdlac[[#This Row],[Quantity]]&gt;0,INDEX(TcacRents,$P$18,Cdlac[[#This Row],[Bedrooms]]+1)*Cdlac[[#This Row],[AMI]],"")</f>
        <v/>
      </c>
      <c r="Q39" s="1109" t="str" cm="1">
        <f t="array" ref="Q39">IF(Cdlac[[#This Row],[Quantity]]&gt;0,INDEX(HudFmrs,$P$18,Cdlac[[#This Row],[Bedrooms]]+1),"")</f>
        <v/>
      </c>
      <c r="R39" s="1109" t="str">
        <f>IF(Cdlac[[#This Row],[Quantity]]&gt;0,MAX(0,Cdlac[[#This Row],[Fair Market Rent]]-Cdlac[[#This Row],[Restricted Rent]]),"")</f>
        <v/>
      </c>
      <c r="S39" s="1087" t="str">
        <f>IF(Cdlac[[#This Row],[Quantity]]&gt;0,AND(Application!AK733&lt;&gt;"N/A",Application!AK733&lt;&gt;"")*Cdlac[[#This Row],[Quantity]],"")</f>
        <v/>
      </c>
      <c r="T39" s="1087" t="b">
        <f>AND('Subsidy Contract Calculation'!F23&gt;0,'Subsidy Contract Calculation'!C23="Federal",Cdlac[[#This Row],[Quantity]]&gt;0)</f>
        <v>0</v>
      </c>
    </row>
    <row r="40" spans="2:20" ht="15" customHeight="1">
      <c r="E40" s="1172" t="s">
        <v>2325</v>
      </c>
      <c r="F40" s="1089"/>
      <c r="G40" s="1173">
        <f>G38*G39</f>
        <v>13566600.000000002</v>
      </c>
      <c r="L40" s="1087" t="str">
        <f>IFERROR(MIN(4,MATCH(Application!B734,UnitSizes,0)-1),"")</f>
        <v/>
      </c>
      <c r="M40" s="1109">
        <f>Application!G734</f>
        <v>0</v>
      </c>
      <c r="N40" s="1117">
        <f>Application!AC734</f>
        <v>0</v>
      </c>
      <c r="O40" s="1117" t="str">
        <f>IF(Cdlac[[#This Row],[Quantity]]&gt;0,IF(Cdlac[[#This Row],[Federal]],30%,IF($G$36,40%,Cdlac[[#This Row],[iAMI]])),"")</f>
        <v/>
      </c>
      <c r="P40" s="1109" t="str" cm="1">
        <f t="array" ref="P40">IF(Cdlac[[#This Row],[Quantity]]&gt;0,INDEX(TcacRents,$P$18,Cdlac[[#This Row],[Bedrooms]]+1)*Cdlac[[#This Row],[AMI]],"")</f>
        <v/>
      </c>
      <c r="Q40" s="1109" t="str" cm="1">
        <f t="array" ref="Q40">IF(Cdlac[[#This Row],[Quantity]]&gt;0,INDEX(HudFmrs,$P$18,Cdlac[[#This Row],[Bedrooms]]+1),"")</f>
        <v/>
      </c>
      <c r="R40" s="1109" t="str">
        <f>IF(Cdlac[[#This Row],[Quantity]]&gt;0,MAX(0,Cdlac[[#This Row],[Fair Market Rent]]-Cdlac[[#This Row],[Restricted Rent]]),"")</f>
        <v/>
      </c>
      <c r="S40" s="1087" t="str">
        <f>IF(Cdlac[[#This Row],[Quantity]]&gt;0,AND(Application!AK734&lt;&gt;"N/A",Application!AK734&lt;&gt;"")*Cdlac[[#This Row],[Quantity]],"")</f>
        <v/>
      </c>
      <c r="T40" s="1087" t="b">
        <f>AND('Subsidy Contract Calculation'!F24&gt;0,'Subsidy Contract Calculation'!C24="Federal",Cdlac[[#This Row],[Quantity]]&gt;0)</f>
        <v>0</v>
      </c>
    </row>
    <row r="41" spans="2:20" ht="15" customHeight="1">
      <c r="L41" s="1087" t="str">
        <f>IFERROR(MIN(4,MATCH(Application!B735,UnitSizes,0)-1),"")</f>
        <v/>
      </c>
      <c r="M41" s="1109">
        <f>Application!G735</f>
        <v>0</v>
      </c>
      <c r="N41" s="1117">
        <f>Application!AC735</f>
        <v>0</v>
      </c>
      <c r="O41" s="1117" t="str">
        <f>IF(Cdlac[[#This Row],[Quantity]]&gt;0,IF(Cdlac[[#This Row],[Federal]],30%,IF($G$36,40%,Cdlac[[#This Row],[iAMI]])),"")</f>
        <v/>
      </c>
      <c r="P41" s="1109" t="str" cm="1">
        <f t="array" ref="P41">IF(Cdlac[[#This Row],[Quantity]]&gt;0,INDEX(TcacRents,$P$18,Cdlac[[#This Row],[Bedrooms]]+1)*Cdlac[[#This Row],[AMI]],"")</f>
        <v/>
      </c>
      <c r="Q41" s="1109" t="str" cm="1">
        <f t="array" ref="Q41">IF(Cdlac[[#This Row],[Quantity]]&gt;0,INDEX(HudFmrs,$P$18,Cdlac[[#This Row],[Bedrooms]]+1),"")</f>
        <v/>
      </c>
      <c r="R41" s="1109" t="str">
        <f>IF(Cdlac[[#This Row],[Quantity]]&gt;0,MAX(0,Cdlac[[#This Row],[Fair Market Rent]]-Cdlac[[#This Row],[Restricted Rent]]),"")</f>
        <v/>
      </c>
      <c r="S41" s="1087" t="str">
        <f>IF(Cdlac[[#This Row],[Quantity]]&gt;0,AND(Application!AK735&lt;&gt;"N/A",Application!AK735&lt;&gt;"")*Cdlac[[#This Row],[Quantity]],"")</f>
        <v/>
      </c>
      <c r="T41" s="1087" t="b">
        <f>AND('Subsidy Contract Calculation'!F25&gt;0,'Subsidy Contract Calculation'!C25="Federal",Cdlac[[#This Row],[Quantity]]&gt;0)</f>
        <v>0</v>
      </c>
    </row>
    <row r="42" spans="2:20" ht="15" customHeight="1">
      <c r="B42" s="1112" t="str">
        <f>B11</f>
        <v>C. Special Needs Population Benefit</v>
      </c>
      <c r="C42" s="1113"/>
      <c r="D42" s="1113"/>
      <c r="E42" s="1113"/>
      <c r="F42" s="1113"/>
      <c r="G42" s="1113"/>
      <c r="H42" s="1113"/>
      <c r="I42" s="1114"/>
      <c r="L42" s="1087" t="str">
        <f>IFERROR(MIN(4,MATCH(Application!B736,UnitSizes,0)-1),"")</f>
        <v/>
      </c>
      <c r="M42" s="1109">
        <f>Application!G736</f>
        <v>0</v>
      </c>
      <c r="N42" s="1117">
        <f>Application!AC736</f>
        <v>0</v>
      </c>
      <c r="O42" s="1117" t="str">
        <f>IF(Cdlac[[#This Row],[Quantity]]&gt;0,IF(Cdlac[[#This Row],[Federal]],30%,IF($G$36,40%,Cdlac[[#This Row],[iAMI]])),"")</f>
        <v/>
      </c>
      <c r="P42" s="1109" t="str" cm="1">
        <f t="array" ref="P42">IF(Cdlac[[#This Row],[Quantity]]&gt;0,INDEX(TcacRents,$P$18,Cdlac[[#This Row],[Bedrooms]]+1)*Cdlac[[#This Row],[AMI]],"")</f>
        <v/>
      </c>
      <c r="Q42" s="1109" t="str" cm="1">
        <f t="array" ref="Q42">IF(Cdlac[[#This Row],[Quantity]]&gt;0,INDEX(HudFmrs,$P$18,Cdlac[[#This Row],[Bedrooms]]+1),"")</f>
        <v/>
      </c>
      <c r="R42" s="1109" t="str">
        <f>IF(Cdlac[[#This Row],[Quantity]]&gt;0,MAX(0,Cdlac[[#This Row],[Fair Market Rent]]-Cdlac[[#This Row],[Restricted Rent]]),"")</f>
        <v/>
      </c>
      <c r="S42" s="1087" t="str">
        <f>IF(Cdlac[[#This Row],[Quantity]]&gt;0,AND(Application!AK736&lt;&gt;"N/A",Application!AK736&lt;&gt;"")*Cdlac[[#This Row],[Quantity]],"")</f>
        <v/>
      </c>
      <c r="T42" s="1087" t="b">
        <f>AND('Subsidy Contract Calculation'!F26&gt;0,'Subsidy Contract Calculation'!C26="Federal",Cdlac[[#This Row],[Quantity]]&gt;0)</f>
        <v>0</v>
      </c>
    </row>
    <row r="43" spans="2:20" ht="15" customHeight="1">
      <c r="L43" s="1087" t="str">
        <f>IFERROR(MIN(4,MATCH(Application!B737,UnitSizes,0)-1),"")</f>
        <v/>
      </c>
      <c r="M43" s="1109">
        <f>Application!G737</f>
        <v>0</v>
      </c>
      <c r="N43" s="1117">
        <f>Application!AC737</f>
        <v>0</v>
      </c>
      <c r="O43" s="1117" t="str">
        <f>IF(Cdlac[[#This Row],[Quantity]]&gt;0,IF(Cdlac[[#This Row],[Federal]],30%,IF($G$36,40%,Cdlac[[#This Row],[iAMI]])),"")</f>
        <v/>
      </c>
      <c r="P43" s="1109" t="str" cm="1">
        <f t="array" ref="P43">IF(Cdlac[[#This Row],[Quantity]]&gt;0,INDEX(TcacRents,$P$18,Cdlac[[#This Row],[Bedrooms]]+1)*Cdlac[[#This Row],[AMI]],"")</f>
        <v/>
      </c>
      <c r="Q43" s="1109" t="str" cm="1">
        <f t="array" ref="Q43">IF(Cdlac[[#This Row],[Quantity]]&gt;0,INDEX(HudFmrs,$P$18,Cdlac[[#This Row],[Bedrooms]]+1),"")</f>
        <v/>
      </c>
      <c r="R43" s="1109" t="str">
        <f>IF(Cdlac[[#This Row],[Quantity]]&gt;0,MAX(0,Cdlac[[#This Row],[Fair Market Rent]]-Cdlac[[#This Row],[Restricted Rent]]),"")</f>
        <v/>
      </c>
      <c r="S43" s="1087" t="str">
        <f>IF(Cdlac[[#This Row],[Quantity]]&gt;0,AND(Application!AK737&lt;&gt;"N/A",Application!AK737&lt;&gt;"")*Cdlac[[#This Row],[Quantity]],"")</f>
        <v/>
      </c>
      <c r="T43" s="1087" t="b">
        <f>AND('Subsidy Contract Calculation'!F27&gt;0,'Subsidy Contract Calculation'!C27="Federal",Cdlac[[#This Row],[Quantity]]&gt;0)</f>
        <v>0</v>
      </c>
    </row>
    <row r="44" spans="2:20" ht="15" customHeight="1">
      <c r="E44" s="1167" t="s">
        <v>2386</v>
      </c>
      <c r="G44" s="1175">
        <f>S18</f>
        <v>0</v>
      </c>
      <c r="L44" s="1087" t="str">
        <f>IFERROR(MIN(4,MATCH(Application!B738,UnitSizes,0)-1),"")</f>
        <v/>
      </c>
      <c r="M44" s="1109">
        <f>Application!G738</f>
        <v>0</v>
      </c>
      <c r="N44" s="1117">
        <f>Application!AC738</f>
        <v>0</v>
      </c>
      <c r="O44" s="1128" t="str">
        <f>IF(Cdlac[[#This Row],[Quantity]]&gt;0,IF(Cdlac[[#This Row],[Federal]],30%,IF($G$36,40%,Cdlac[[#This Row],[iAMI]])),"")</f>
        <v/>
      </c>
      <c r="P44" s="1109" t="str" cm="1">
        <f t="array" ref="P44">IF(Cdlac[[#This Row],[Quantity]]&gt;0,INDEX(TcacRents,$P$18,Cdlac[[#This Row],[Bedrooms]]+1)*Cdlac[[#This Row],[AMI]],"")</f>
        <v/>
      </c>
      <c r="Q44" s="1109" t="str" cm="1">
        <f t="array" ref="Q44">IF(Cdlac[[#This Row],[Quantity]]&gt;0,INDEX(HudFmrs,$P$18,Cdlac[[#This Row],[Bedrooms]]+1),"")</f>
        <v/>
      </c>
      <c r="R44" s="1109" t="str">
        <f>IF(Cdlac[[#This Row],[Quantity]]&gt;0,MAX(0,Cdlac[[#This Row],[Fair Market Rent]]-Cdlac[[#This Row],[Restricted Rent]]),"")</f>
        <v/>
      </c>
      <c r="S44" s="1087" t="str">
        <f>IF(Cdlac[[#This Row],[Quantity]]&gt;0,AND(Application!AK738&lt;&gt;"N/A",Application!AK738&lt;&gt;"")*Cdlac[[#This Row],[Quantity]],"")</f>
        <v/>
      </c>
      <c r="T44" s="1087" t="b">
        <f>AND('Subsidy Contract Calculation'!F28&gt;0,'Subsidy Contract Calculation'!C28="Federal",Cdlac[[#This Row],[Quantity]]&gt;0)</f>
        <v>0</v>
      </c>
    </row>
    <row r="45" spans="2:20" ht="15" customHeight="1">
      <c r="E45" s="1167" t="s">
        <v>2387</v>
      </c>
      <c r="G45" s="1175">
        <f>ROUNDDOWN(E27*50%,0)</f>
        <v>85</v>
      </c>
    </row>
    <row r="46" spans="2:20" ht="15" customHeight="1">
      <c r="E46" s="1167"/>
      <c r="G46" s="1175"/>
    </row>
    <row r="47" spans="2:20" ht="15" customHeight="1">
      <c r="E47" s="1167" t="s">
        <v>2338</v>
      </c>
      <c r="G47" s="1164">
        <f>MIN(G44:G45)</f>
        <v>0</v>
      </c>
    </row>
    <row r="48" spans="2:20" ht="15" customHeight="1">
      <c r="E48" s="1167" t="s">
        <v>2328</v>
      </c>
      <c r="F48" s="1163" t="s">
        <v>2385</v>
      </c>
      <c r="G48" s="1174">
        <v>10000</v>
      </c>
    </row>
    <row r="49" spans="2:14" ht="15" customHeight="1">
      <c r="E49" s="1168" t="s">
        <v>2368</v>
      </c>
      <c r="F49" s="1089"/>
      <c r="G49" s="1173">
        <f>G47*G48</f>
        <v>0</v>
      </c>
    </row>
    <row r="50" spans="2:14" ht="15" customHeight="1"/>
    <row r="51" spans="2:14" ht="15" customHeight="1">
      <c r="B51" s="1112" t="str">
        <f>B12</f>
        <v>D. Extremely Low Income Benefit</v>
      </c>
      <c r="C51" s="1113"/>
      <c r="D51" s="1113"/>
      <c r="E51" s="1113"/>
      <c r="F51" s="1113"/>
      <c r="G51" s="1113"/>
      <c r="H51" s="1113"/>
      <c r="I51" s="1114"/>
    </row>
    <row r="52" spans="2:14" ht="15" customHeight="1"/>
    <row r="53" spans="2:14" ht="15" customHeight="1">
      <c r="E53" s="1167" t="s">
        <v>2388</v>
      </c>
      <c r="G53" s="1125">
        <f>SUMIFS(Cdlac[Quantity],Cdlac[iAMI],"&lt;=30%")</f>
        <v>37</v>
      </c>
    </row>
    <row r="54" spans="2:14" ht="15" customHeight="1">
      <c r="E54" s="1167" t="s">
        <v>2387</v>
      </c>
      <c r="G54" s="1125">
        <f>ROUNDDOWN(E27*50%,0)</f>
        <v>85</v>
      </c>
    </row>
    <row r="55" spans="2:14" ht="15" customHeight="1">
      <c r="E55" s="1167"/>
      <c r="G55" s="1125"/>
    </row>
    <row r="56" spans="2:14" ht="15" customHeight="1">
      <c r="E56" s="1167" t="s">
        <v>2338</v>
      </c>
      <c r="G56" s="1164">
        <f>MIN(G53:G54)</f>
        <v>37</v>
      </c>
    </row>
    <row r="57" spans="2:14" ht="15" customHeight="1">
      <c r="E57" s="1167" t="s">
        <v>2328</v>
      </c>
      <c r="F57" s="1163" t="s">
        <v>2385</v>
      </c>
      <c r="G57" s="1174">
        <v>20000</v>
      </c>
    </row>
    <row r="58" spans="2:14" ht="15" customHeight="1">
      <c r="E58" s="1168" t="s">
        <v>2367</v>
      </c>
      <c r="F58" s="1089"/>
      <c r="G58" s="1173">
        <f>G56*G57</f>
        <v>740000</v>
      </c>
    </row>
    <row r="59" spans="2:14" ht="15" customHeight="1"/>
    <row r="60" spans="2:14" ht="15" customHeight="1">
      <c r="B60" s="1112" t="str">
        <f>B13</f>
        <v>E. Sustainability Benefit</v>
      </c>
      <c r="C60" s="1113"/>
      <c r="D60" s="1113"/>
      <c r="E60" s="1113"/>
      <c r="F60" s="1113"/>
      <c r="G60" s="1113"/>
      <c r="H60" s="1113"/>
      <c r="I60" s="1114"/>
    </row>
    <row r="61" spans="2:14" ht="15" customHeight="1" thickBot="1"/>
    <row r="62" spans="2:14" ht="15" customHeight="1">
      <c r="E62" s="1132" t="s">
        <v>2341</v>
      </c>
      <c r="G62" s="1164">
        <f>VLOOKUP('Points System'!$H$595,'Points System'!$AO$575:$AP$580,2,FALSE)</f>
        <v>7</v>
      </c>
      <c r="L62" s="1177" t="str">
        <f>'Points System'!H627</f>
        <v>(i)</v>
      </c>
      <c r="M62" s="2137" t="s">
        <v>1575</v>
      </c>
      <c r="N62" s="2138"/>
    </row>
    <row r="63" spans="2:14" ht="15" customHeight="1">
      <c r="E63" s="1132" t="s">
        <v>2328</v>
      </c>
      <c r="F63" s="1163" t="s">
        <v>2385</v>
      </c>
      <c r="G63" s="1122">
        <v>4000</v>
      </c>
      <c r="L63" s="1178" t="str">
        <f>'Points System'!H639</f>
        <v>N/A</v>
      </c>
      <c r="M63" s="2129" t="s">
        <v>2342</v>
      </c>
      <c r="N63" s="2130"/>
    </row>
    <row r="64" spans="2:14" ht="15" customHeight="1">
      <c r="E64" s="1132" t="s">
        <v>2389</v>
      </c>
      <c r="F64" s="1163" t="s">
        <v>2385</v>
      </c>
      <c r="G64" s="1176">
        <f>G27</f>
        <v>201</v>
      </c>
      <c r="L64" s="1178" t="str">
        <f>'Points System'!H674</f>
        <v>(ii)</v>
      </c>
      <c r="M64" s="2129" t="s">
        <v>2343</v>
      </c>
      <c r="N64" s="2130"/>
    </row>
    <row r="65" spans="2:14" ht="15" customHeight="1">
      <c r="E65" s="1168" t="s">
        <v>2347</v>
      </c>
      <c r="F65" s="1089"/>
      <c r="G65" s="1173">
        <f>G62*G63*G64</f>
        <v>5628000</v>
      </c>
      <c r="L65" s="1178" t="str">
        <f>'Points System'!H694</f>
        <v>(i)</v>
      </c>
      <c r="M65" s="2129" t="s">
        <v>2344</v>
      </c>
      <c r="N65" s="2130"/>
    </row>
    <row r="66" spans="2:14" ht="15" customHeight="1">
      <c r="C66" s="1123"/>
      <c r="G66" s="1164"/>
      <c r="L66" s="1179" t="str">
        <f>'Points System'!H708</f>
        <v>N/A</v>
      </c>
      <c r="M66" s="2129" t="s">
        <v>1601</v>
      </c>
      <c r="N66" s="2130"/>
    </row>
    <row r="67" spans="2:14" ht="15" customHeight="1">
      <c r="E67" s="1132" t="s">
        <v>2390</v>
      </c>
      <c r="G67" s="1176">
        <f>COUNTIFS(L62:L69,"(i)")</f>
        <v>2</v>
      </c>
      <c r="L67" s="1178" t="str">
        <f>'Points System'!H720</f>
        <v>N/A</v>
      </c>
      <c r="M67" s="2129" t="s">
        <v>2345</v>
      </c>
      <c r="N67" s="2130"/>
    </row>
    <row r="68" spans="2:14" ht="15" customHeight="1">
      <c r="E68" s="1132" t="s">
        <v>2328</v>
      </c>
      <c r="F68" s="1163" t="s">
        <v>2385</v>
      </c>
      <c r="G68" s="1174">
        <v>4000</v>
      </c>
      <c r="L68" s="1178" t="str">
        <f>'Points System'!H736</f>
        <v>(ii)</v>
      </c>
      <c r="M68" s="2129" t="s">
        <v>2346</v>
      </c>
      <c r="N68" s="2130"/>
    </row>
    <row r="69" spans="2:14" ht="15" customHeight="1" thickBot="1">
      <c r="E69" s="1168" t="s">
        <v>2348</v>
      </c>
      <c r="F69" s="1089"/>
      <c r="G69" s="1173">
        <f>G64*G67*G68</f>
        <v>1608000</v>
      </c>
      <c r="L69" s="1180" t="str">
        <f>'Points System'!H748</f>
        <v>(ii)</v>
      </c>
      <c r="M69" s="2131" t="s">
        <v>1604</v>
      </c>
      <c r="N69" s="2132"/>
    </row>
    <row r="70" spans="2:14" ht="15" customHeight="1"/>
    <row r="71" spans="2:14" ht="15" customHeight="1">
      <c r="C71" s="1126" t="s">
        <v>2350</v>
      </c>
    </row>
    <row r="72" spans="2:14" ht="15" customHeight="1">
      <c r="C72" s="1123" t="s">
        <v>2351</v>
      </c>
      <c r="G72" s="1086"/>
    </row>
    <row r="73" spans="2:14" ht="15" customHeight="1">
      <c r="C73" s="1123" t="s">
        <v>2352</v>
      </c>
      <c r="G73" s="1086"/>
    </row>
    <row r="74" spans="2:14" ht="15" customHeight="1">
      <c r="C74" s="1123" t="s">
        <v>2613</v>
      </c>
      <c r="G74" s="1086" t="s">
        <v>554</v>
      </c>
    </row>
    <row r="75" spans="2:14" ht="15" customHeight="1">
      <c r="C75" s="1123" t="s">
        <v>2614</v>
      </c>
      <c r="G75" s="1086"/>
    </row>
    <row r="76" spans="2:14" ht="15" customHeight="1"/>
    <row r="77" spans="2:14" ht="15" customHeight="1">
      <c r="B77" s="1124"/>
      <c r="C77" s="1123"/>
      <c r="E77" s="1132" t="s">
        <v>2392</v>
      </c>
      <c r="G77" s="1125" t="b">
        <f>COUNTIFS(G72:G75,"Yes")&gt;=1</f>
        <v>1</v>
      </c>
    </row>
    <row r="78" spans="2:14" ht="15" customHeight="1">
      <c r="E78" s="1123"/>
    </row>
    <row r="79" spans="2:14" ht="15" customHeight="1">
      <c r="E79" s="1132" t="s">
        <v>2389</v>
      </c>
      <c r="F79" s="1163" t="s">
        <v>2385</v>
      </c>
      <c r="G79" s="1164">
        <f>G27</f>
        <v>201</v>
      </c>
    </row>
    <row r="80" spans="2:14" ht="15" customHeight="1">
      <c r="E80" s="1132" t="s">
        <v>2328</v>
      </c>
      <c r="F80" s="1163" t="s">
        <v>2385</v>
      </c>
      <c r="G80" s="1174">
        <v>25000</v>
      </c>
    </row>
    <row r="81" spans="2:14" ht="15" customHeight="1">
      <c r="E81" s="1168" t="s">
        <v>2349</v>
      </c>
      <c r="F81" s="1089"/>
      <c r="G81" s="1173">
        <f>G77*G80*G64</f>
        <v>5025000</v>
      </c>
    </row>
    <row r="82" spans="2:14" ht="15" customHeight="1">
      <c r="C82" s="1123"/>
      <c r="E82" s="1123"/>
    </row>
    <row r="83" spans="2:14" ht="15" customHeight="1">
      <c r="E83" s="1168" t="s">
        <v>2326</v>
      </c>
      <c r="G83" s="1173">
        <f>G81+G69+G65</f>
        <v>12261000</v>
      </c>
    </row>
    <row r="84" spans="2:14" ht="15" customHeight="1"/>
    <row r="85" spans="2:14" ht="15" customHeight="1">
      <c r="B85" s="1112" t="str">
        <f>B14</f>
        <v>F. Opportunity Benefit</v>
      </c>
      <c r="C85" s="1113"/>
      <c r="D85" s="1113"/>
      <c r="E85" s="1113"/>
      <c r="F85" s="1113"/>
      <c r="G85" s="1113"/>
      <c r="H85" s="1113"/>
      <c r="I85" s="1114"/>
    </row>
    <row r="86" spans="2:14" ht="15" customHeight="1" thickBot="1"/>
    <row r="87" spans="2:14" ht="15" customHeight="1">
      <c r="C87" s="1123" t="s">
        <v>2371</v>
      </c>
      <c r="G87" s="1086" t="s">
        <v>554</v>
      </c>
      <c r="L87" s="2133" t="s">
        <v>2355</v>
      </c>
      <c r="M87" s="2134"/>
      <c r="N87" s="1181">
        <v>30000</v>
      </c>
    </row>
    <row r="88" spans="2:14" ht="15" customHeight="1">
      <c r="C88" s="1123" t="s">
        <v>2372</v>
      </c>
      <c r="G88" s="1127" t="str">
        <f>IF(Application!D210="Large Family","Yes","No")</f>
        <v>Yes</v>
      </c>
      <c r="L88" s="2125" t="s">
        <v>2319</v>
      </c>
      <c r="M88" s="2126"/>
      <c r="N88" s="1182">
        <v>20000</v>
      </c>
    </row>
    <row r="89" spans="2:14" ht="15" customHeight="1" thickBot="1">
      <c r="C89" s="1123" t="s">
        <v>2353</v>
      </c>
      <c r="G89" s="1086" t="s">
        <v>678</v>
      </c>
      <c r="L89" s="2127" t="s">
        <v>2356</v>
      </c>
      <c r="M89" s="2128"/>
      <c r="N89" s="1183">
        <v>10000</v>
      </c>
    </row>
    <row r="90" spans="2:14" ht="15" customHeight="1">
      <c r="C90" s="1123" t="s">
        <v>2354</v>
      </c>
      <c r="G90" s="1087" t="str">
        <f>Application!T193</f>
        <v>High Resource</v>
      </c>
    </row>
    <row r="91" spans="2:14" ht="15" customHeight="1">
      <c r="C91" s="1123"/>
    </row>
    <row r="92" spans="2:14" ht="15" customHeight="1">
      <c r="E92" s="1132" t="s">
        <v>2392</v>
      </c>
      <c r="G92" s="1125" t="b">
        <f>AND(COUNTIFS(G88:G89,"Yes")&gt;=1,G87="Yes")</f>
        <v>1</v>
      </c>
    </row>
    <row r="93" spans="2:14" ht="15" customHeight="1">
      <c r="E93" s="1132"/>
      <c r="G93" s="1125"/>
    </row>
    <row r="94" spans="2:14" ht="15" customHeight="1">
      <c r="E94" s="1132" t="s">
        <v>2328</v>
      </c>
      <c r="G94" s="1124">
        <f>IFERROR(INDEX(N87:N89,MATCH(LEFT(G90,17),L87:L89,0)),0)</f>
        <v>20000</v>
      </c>
    </row>
    <row r="95" spans="2:14" ht="15" customHeight="1">
      <c r="E95" s="1132" t="str">
        <f>E64</f>
        <v>Bedroom-Adjusted Low-Income Units</v>
      </c>
      <c r="F95" s="1163" t="s">
        <v>2385</v>
      </c>
      <c r="G95" s="1164">
        <f>G27</f>
        <v>201</v>
      </c>
    </row>
    <row r="96" spans="2:14" ht="15" customHeight="1">
      <c r="D96" s="1089"/>
      <c r="E96" s="1168" t="s">
        <v>2327</v>
      </c>
      <c r="F96" s="1089"/>
      <c r="G96" s="1173">
        <f>G95*G94*G92</f>
        <v>4020000</v>
      </c>
    </row>
    <row r="97" spans="2:9" ht="15" customHeight="1"/>
    <row r="98" spans="2:9" ht="15" customHeight="1">
      <c r="B98" s="1112" t="s">
        <v>2340</v>
      </c>
      <c r="C98" s="1113"/>
      <c r="D98" s="1113"/>
      <c r="E98" s="1113"/>
      <c r="F98" s="1113"/>
      <c r="G98" s="1113"/>
      <c r="H98" s="1113"/>
      <c r="I98" s="1114"/>
    </row>
    <row r="99" spans="2:9" ht="15" customHeight="1"/>
    <row r="100" spans="2:9" ht="15" customHeight="1">
      <c r="F100" s="1166" t="s">
        <v>2366</v>
      </c>
      <c r="G100" s="1086"/>
    </row>
    <row r="101" spans="2:9" ht="15" customHeight="1">
      <c r="F101" s="1166"/>
    </row>
    <row r="102" spans="2:9" ht="15" customHeight="1">
      <c r="E102" s="1132" t="s">
        <v>2392</v>
      </c>
      <c r="G102" s="1125" t="b">
        <f>G100="Yes"</f>
        <v>0</v>
      </c>
    </row>
    <row r="103" spans="2:9" ht="15" customHeight="1"/>
    <row r="104" spans="2:9" ht="15" customHeight="1">
      <c r="E104" s="1132" t="str">
        <f>E64</f>
        <v>Bedroom-Adjusted Low-Income Units</v>
      </c>
      <c r="G104" s="1164">
        <f>G27</f>
        <v>201</v>
      </c>
    </row>
    <row r="105" spans="2:9" ht="15" customHeight="1">
      <c r="E105" s="1132" t="s">
        <v>2328</v>
      </c>
      <c r="F105" s="1163" t="s">
        <v>2385</v>
      </c>
      <c r="G105" s="1093">
        <v>20000</v>
      </c>
    </row>
    <row r="106" spans="2:9" ht="15" customHeight="1">
      <c r="E106" s="1168" t="s">
        <v>2357</v>
      </c>
      <c r="F106" s="1089"/>
      <c r="G106" s="1173">
        <f>G102*G105*G104</f>
        <v>0</v>
      </c>
    </row>
    <row r="107" spans="2:9" ht="15" customHeight="1"/>
    <row r="108" spans="2:9" ht="15" customHeight="1">
      <c r="B108" s="1112" t="s">
        <v>2394</v>
      </c>
      <c r="C108" s="1113"/>
      <c r="D108" s="1113"/>
      <c r="E108" s="1113"/>
      <c r="F108" s="1113"/>
      <c r="G108" s="1113"/>
      <c r="H108" s="1113"/>
      <c r="I108" s="1114"/>
    </row>
    <row r="109" spans="2:9" ht="15" customHeight="1"/>
    <row r="110" spans="2:9" ht="15" customHeight="1">
      <c r="E110" s="1132" t="s">
        <v>591</v>
      </c>
      <c r="G110" s="1087" t="str">
        <f>IF(Application!T189="","",Application!T189)</f>
        <v>Los Angeles</v>
      </c>
    </row>
    <row r="111" spans="2:9" ht="15" customHeight="1">
      <c r="E111" s="1132"/>
      <c r="G111" s="1124"/>
    </row>
    <row r="112" spans="2:9" ht="15" customHeight="1">
      <c r="E112" s="1132" t="str">
        <f>"2-Bedroom "&amp;G110&amp;" County Basis Limit"</f>
        <v>2-Bedroom Los Angeles County Basis Limit</v>
      </c>
      <c r="G112" s="1124">
        <f>Application!R957</f>
        <v>608800</v>
      </c>
    </row>
    <row r="113" spans="4:9" ht="15" customHeight="1">
      <c r="E113" s="1132" t="s">
        <v>2393</v>
      </c>
      <c r="G113" s="1124">
        <f>MEDIAN((Application!BR795:BR852))</f>
        <v>489600</v>
      </c>
    </row>
    <row r="114" spans="4:9" ht="15" customHeight="1">
      <c r="D114" s="1089"/>
      <c r="E114" s="1168" t="s">
        <v>2395</v>
      </c>
      <c r="F114" s="1184"/>
      <c r="G114" s="1185">
        <f>((G112-G113)/G113)*0.25</f>
        <v>6.0866013071895424E-2</v>
      </c>
      <c r="H114" s="1085"/>
      <c r="I114" s="1085"/>
    </row>
    <row r="115" spans="4:9" ht="15" customHeight="1">
      <c r="D115" s="1088"/>
      <c r="E115" s="1088"/>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disablePrompts="1"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Basis &amp; Credits</vt:lpstr>
      <vt:lpstr>CalHFA Addendum</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Loren Messeri</cp:lastModifiedBy>
  <cp:lastPrinted>2023-02-03T23:24:21Z</cp:lastPrinted>
  <dcterms:created xsi:type="dcterms:W3CDTF">2007-12-27T18:26:28Z</dcterms:created>
  <dcterms:modified xsi:type="dcterms:W3CDTF">2023-02-06T20:21:01Z</dcterms:modified>
</cp:coreProperties>
</file>