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Z:\2. ACTIVE PROJECTS\LUKE WATKINS - Richland Village\1. CDLAC-CTCAC Folder\0. 2023 Round 1 CDLAC-CTCAC E-App\"/>
    </mc:Choice>
  </mc:AlternateContent>
  <xr:revisionPtr revIDLastSave="0" documentId="13_ncr:1_{1646C6A6-8992-49E8-9AD8-34EF9BF1B680}" xr6:coauthVersionLast="47" xr6:coauthVersionMax="47" xr10:uidLastSave="{00000000-0000-0000-0000-000000000000}"/>
  <bookViews>
    <workbookView xWindow="22932" yWindow="2196" windowWidth="23256" windowHeight="12576" tabRatio="90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10" i="8"/>
  <c r="J11"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C11" i="13"/>
  <c r="C12" i="13" s="1"/>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D8" i="11" s="1"/>
  <c r="B8" i="11"/>
  <c r="B10" i="11"/>
  <c r="B11" i="11"/>
  <c r="B12" i="11" s="1"/>
  <c r="C10" i="11"/>
  <c r="C11" i="11"/>
  <c r="B14" i="11"/>
  <c r="C14" i="11"/>
  <c r="B15" i="11"/>
  <c r="D15" i="11" s="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D46" i="11" s="1"/>
  <c r="C46" i="11"/>
  <c r="B47" i="11"/>
  <c r="C47" i="11"/>
  <c r="D47" i="11" s="1"/>
  <c r="B48" i="11"/>
  <c r="B49" i="11"/>
  <c r="B50" i="11"/>
  <c r="B51" i="11"/>
  <c r="B52" i="11"/>
  <c r="B53" i="11"/>
  <c r="C48" i="11"/>
  <c r="C49" i="11"/>
  <c r="C50" i="11"/>
  <c r="C51" i="11"/>
  <c r="C52" i="11"/>
  <c r="C53" i="11"/>
  <c r="B57" i="11"/>
  <c r="D57" i="11" s="1"/>
  <c r="C57" i="11"/>
  <c r="B58" i="11"/>
  <c r="C58" i="11"/>
  <c r="B59" i="11"/>
  <c r="C59" i="11"/>
  <c r="B60" i="11"/>
  <c r="C60" i="11"/>
  <c r="B61" i="11"/>
  <c r="D61" i="11" s="1"/>
  <c r="C61" i="11"/>
  <c r="B62" i="11"/>
  <c r="C62" i="11"/>
  <c r="D62" i="11" s="1"/>
  <c r="B66" i="11"/>
  <c r="C66" i="11"/>
  <c r="B73" i="11"/>
  <c r="C73" i="11"/>
  <c r="B74" i="11"/>
  <c r="D74" i="11" s="1"/>
  <c r="C74" i="11"/>
  <c r="B75" i="11"/>
  <c r="C75" i="11"/>
  <c r="D75" i="11" s="1"/>
  <c r="B76" i="11"/>
  <c r="C76" i="11"/>
  <c r="B77" i="11"/>
  <c r="C77" i="11"/>
  <c r="B84" i="11"/>
  <c r="C84" i="11"/>
  <c r="B100" i="11"/>
  <c r="C100" i="11"/>
  <c r="A4" i="8"/>
  <c r="D4" i="8"/>
  <c r="I4" i="8"/>
  <c r="J4" i="8" s="1"/>
  <c r="A5" i="8"/>
  <c r="D5" i="8"/>
  <c r="I5" i="8"/>
  <c r="A6" i="8"/>
  <c r="D6" i="8"/>
  <c r="I6" i="8"/>
  <c r="A7" i="8"/>
  <c r="D7" i="8"/>
  <c r="I7" i="8"/>
  <c r="A8" i="8"/>
  <c r="D8" i="8"/>
  <c r="I8" i="8"/>
  <c r="J8" i="8" s="1"/>
  <c r="A9" i="8"/>
  <c r="D9" i="8"/>
  <c r="I9" i="8"/>
  <c r="J9" i="8" s="1"/>
  <c r="A10" i="8"/>
  <c r="D10" i="8"/>
  <c r="I10" i="8"/>
  <c r="A11" i="8"/>
  <c r="D11" i="8"/>
  <c r="I11" i="8"/>
  <c r="A12" i="8"/>
  <c r="D12" i="8"/>
  <c r="I12" i="8"/>
  <c r="J12" i="8" s="1"/>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T63" i="4" s="1"/>
  <c r="T70" i="4"/>
  <c r="H70" i="13"/>
  <c r="T96" i="4"/>
  <c r="H96" i="13" s="1"/>
  <c r="DX596" i="3"/>
  <c r="DX601" i="3"/>
  <c r="DX602" i="3"/>
  <c r="DX603" i="3"/>
  <c r="DX604" i="3"/>
  <c r="DX605"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5" i="3"/>
  <c r="EM607" i="3"/>
  <c r="EM608" i="3"/>
  <c r="EM610" i="3"/>
  <c r="EM611" i="3"/>
  <c r="EM614" i="3"/>
  <c r="EM615" i="3"/>
  <c r="EM616" i="3"/>
  <c r="EM618" i="3"/>
  <c r="EM619" i="3"/>
  <c r="EW599" i="3"/>
  <c r="EW600" i="3"/>
  <c r="EW602" i="3"/>
  <c r="EW603" i="3"/>
  <c r="EW605" i="3"/>
  <c r="EW609" i="3"/>
  <c r="EW610" i="3"/>
  <c r="EW611" i="3"/>
  <c r="EW615" i="3"/>
  <c r="EW616" i="3"/>
  <c r="EW617" i="3"/>
  <c r="ER597" i="3"/>
  <c r="ER598" i="3"/>
  <c r="ER599" i="3"/>
  <c r="ER600" i="3"/>
  <c r="ER602" i="3"/>
  <c r="ER605" i="3"/>
  <c r="ER608" i="3"/>
  <c r="ER609" i="3"/>
  <c r="ER610" i="3"/>
  <c r="ER612" i="3"/>
  <c r="ER613" i="3"/>
  <c r="ER614" i="3"/>
  <c r="ER615" i="3"/>
  <c r="ER616" i="3"/>
  <c r="ER617" i="3"/>
  <c r="ER620" i="3"/>
  <c r="C11" i="4"/>
  <c r="B11" i="4" s="1"/>
  <c r="B26" i="13"/>
  <c r="C38" i="4"/>
  <c r="B38" i="13" s="1"/>
  <c r="C54" i="4"/>
  <c r="B54" i="13" s="1"/>
  <c r="C62" i="4"/>
  <c r="B62" i="13" s="1"/>
  <c r="C77" i="4"/>
  <c r="B77" i="13" s="1"/>
  <c r="C96" i="4"/>
  <c r="B96" i="13" s="1"/>
  <c r="D8" i="4"/>
  <c r="D12" i="4" s="1"/>
  <c r="D11" i="4"/>
  <c r="D26" i="4"/>
  <c r="D38" i="4"/>
  <c r="D42" i="4"/>
  <c r="D54" i="4"/>
  <c r="D62" i="4"/>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63" i="4" s="1"/>
  <c r="L97" i="4" s="1"/>
  <c r="L105" i="4" s="1"/>
  <c r="L11" i="4"/>
  <c r="M8" i="4"/>
  <c r="M12" i="4" s="1"/>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O63" i="4" s="1"/>
  <c r="O97" i="4" s="1"/>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I63" i="13"/>
  <c r="I97" i="13"/>
  <c r="I105" i="13"/>
  <c r="I107" i="13"/>
  <c r="B81" i="13"/>
  <c r="D53" i="11"/>
  <c r="J63" i="13"/>
  <c r="J97" i="13"/>
  <c r="J105" i="13"/>
  <c r="J107" i="13"/>
  <c r="AH715" i="3"/>
  <c r="AH718" i="3"/>
  <c r="I12" i="4"/>
  <c r="G12" i="4"/>
  <c r="D36" i="11"/>
  <c r="K12" i="4"/>
  <c r="D7" i="11"/>
  <c r="O12" i="4"/>
  <c r="D95" i="11"/>
  <c r="D25" i="11"/>
  <c r="D23" i="11"/>
  <c r="D19" i="11"/>
  <c r="D44" i="11"/>
  <c r="D35" i="11"/>
  <c r="D32" i="11"/>
  <c r="D14" i="11"/>
  <c r="D87" i="11"/>
  <c r="R8" i="4"/>
  <c r="R42" i="4"/>
  <c r="D100" i="11"/>
  <c r="D92" i="11"/>
  <c r="D103" i="11"/>
  <c r="AH719" i="3"/>
  <c r="AH717" i="3"/>
  <c r="AH716" i="3"/>
  <c r="AH714" i="3"/>
  <c r="AD199" i="20"/>
  <c r="B42" i="4"/>
  <c r="D91" i="11"/>
  <c r="B62" i="4"/>
  <c r="AD7" i="15"/>
  <c r="K28" i="7"/>
  <c r="O28" i="7"/>
  <c r="I28" i="7"/>
  <c r="W28" i="7"/>
  <c r="S28" i="7"/>
  <c r="Y28" i="7"/>
  <c r="AC28" i="7"/>
  <c r="AG28" i="7"/>
  <c r="M28" i="7"/>
  <c r="G28" i="7"/>
  <c r="AA28" i="7"/>
  <c r="Q28" i="7"/>
  <c r="U28" i="7"/>
  <c r="E12" i="4"/>
  <c r="B96" i="4"/>
  <c r="C12" i="4"/>
  <c r="B12" i="13" s="1"/>
  <c r="D30" i="8"/>
  <c r="D96" i="11"/>
  <c r="AZ835" i="3"/>
  <c r="AK172" i="20"/>
  <c r="AB223" i="20"/>
  <c r="AB239" i="20" s="1"/>
  <c r="AB241" i="20" s="1"/>
  <c r="AB243" i="20" s="1"/>
  <c r="AB249" i="20" s="1"/>
  <c r="AD198" i="20" s="1"/>
  <c r="G58" i="7" l="1"/>
  <c r="K54" i="7"/>
  <c r="I58" i="7"/>
  <c r="S43" i="7"/>
  <c r="AO65" i="20"/>
  <c r="L12" i="4"/>
  <c r="O105" i="4"/>
  <c r="E63" i="4"/>
  <c r="G63" i="4"/>
  <c r="G97" i="4" s="1"/>
  <c r="G105" i="4" s="1"/>
  <c r="Q12" i="4"/>
  <c r="K63" i="4"/>
  <c r="K97" i="4" s="1"/>
  <c r="K105" i="4" s="1"/>
  <c r="H12" i="4"/>
  <c r="D80" i="11"/>
  <c r="S63" i="4"/>
  <c r="E63" i="13" s="1"/>
  <c r="D22" i="11"/>
  <c r="D18" i="11"/>
  <c r="C12" i="11"/>
  <c r="D6" i="11"/>
  <c r="C82" i="11"/>
  <c r="P63" i="4"/>
  <c r="P97" i="4" s="1"/>
  <c r="P105" i="4" s="1"/>
  <c r="M63" i="4"/>
  <c r="M97" i="4" s="1"/>
  <c r="M105" i="4" s="1"/>
  <c r="N63" i="4"/>
  <c r="N97" i="4" s="1"/>
  <c r="N105" i="4" s="1"/>
  <c r="D77" i="11"/>
  <c r="D73" i="11"/>
  <c r="D60" i="11"/>
  <c r="I63" i="4"/>
  <c r="I97" i="4" s="1"/>
  <c r="I105" i="4" s="1"/>
  <c r="J63" i="4"/>
  <c r="J97" i="4" s="1"/>
  <c r="J105" i="4" s="1"/>
  <c r="B11" i="13"/>
  <c r="D76" i="11"/>
  <c r="B43" i="11"/>
  <c r="D28" i="11"/>
  <c r="R26" i="4"/>
  <c r="N157" i="26"/>
  <c r="D84" i="11"/>
  <c r="D52" i="11"/>
  <c r="D51" i="11"/>
  <c r="D10" i="11"/>
  <c r="B9" i="11"/>
  <c r="B13" i="11" s="1"/>
  <c r="G63" i="13"/>
  <c r="G97" i="13" s="1"/>
  <c r="G105" i="13" s="1"/>
  <c r="G107" i="13" s="1"/>
  <c r="D48" i="11"/>
  <c r="D31" i="11"/>
  <c r="D86" i="11"/>
  <c r="D102" i="11"/>
  <c r="C105" i="11"/>
  <c r="C63" i="11"/>
  <c r="D63" i="11" s="1"/>
  <c r="D81" i="11"/>
  <c r="D94" i="11"/>
  <c r="R81" i="4"/>
  <c r="B82" i="11"/>
  <c r="D82" i="11" s="1"/>
  <c r="R96" i="4"/>
  <c r="C97" i="11"/>
  <c r="R77" i="4"/>
  <c r="E97" i="4"/>
  <c r="E105" i="4" s="1"/>
  <c r="R70" i="4"/>
  <c r="T97" i="4"/>
  <c r="H63" i="13"/>
  <c r="H63" i="4"/>
  <c r="H97" i="4" s="1"/>
  <c r="H105" i="4" s="1"/>
  <c r="J12" i="4"/>
  <c r="B104" i="4"/>
  <c r="C71" i="11"/>
  <c r="D21" i="11"/>
  <c r="D16" i="11"/>
  <c r="D97" i="13"/>
  <c r="D105" i="13" s="1"/>
  <c r="F63" i="13"/>
  <c r="F97" i="13" s="1"/>
  <c r="F105" i="13" s="1"/>
  <c r="F107" i="13" s="1"/>
  <c r="D54" i="11"/>
  <c r="B39" i="11"/>
  <c r="D38" i="11"/>
  <c r="D70" i="11"/>
  <c r="D93" i="11"/>
  <c r="D85" i="11"/>
  <c r="D89" i="11"/>
  <c r="D101" i="11"/>
  <c r="AD200" i="20"/>
  <c r="D90" i="11"/>
  <c r="N12" i="4"/>
  <c r="Q63" i="4"/>
  <c r="Q97" i="4" s="1"/>
  <c r="Q105" i="4" s="1"/>
  <c r="F63" i="4"/>
  <c r="F97" i="4" s="1"/>
  <c r="F105" i="4" s="1"/>
  <c r="H54" i="13"/>
  <c r="B78" i="11"/>
  <c r="D50" i="11"/>
  <c r="D20" i="11"/>
  <c r="R54" i="4"/>
  <c r="R62" i="4"/>
  <c r="C39" i="11"/>
  <c r="D88" i="11"/>
  <c r="D104" i="11"/>
  <c r="AB48" i="15"/>
  <c r="R38" i="4"/>
  <c r="C63" i="13"/>
  <c r="C97" i="13" s="1"/>
  <c r="C105" i="13" s="1"/>
  <c r="D24" i="11"/>
  <c r="D12" i="11"/>
  <c r="D58" i="11"/>
  <c r="D11" i="11"/>
  <c r="B77" i="4"/>
  <c r="R12" i="4"/>
  <c r="D63" i="4"/>
  <c r="D97" i="4" s="1"/>
  <c r="D105" i="4" s="1"/>
  <c r="B8" i="4"/>
  <c r="N158" i="26" s="1"/>
  <c r="N164" i="26" s="1"/>
  <c r="E26" i="13"/>
  <c r="D30" i="11"/>
  <c r="D66" i="11"/>
  <c r="D59" i="11"/>
  <c r="D5" i="11"/>
  <c r="B97" i="11"/>
  <c r="C78" i="11"/>
  <c r="C9" i="11"/>
  <c r="B55" i="11"/>
  <c r="B63" i="11"/>
  <c r="B105" i="11"/>
  <c r="C27" i="11"/>
  <c r="D42" i="11"/>
  <c r="D12" i="13"/>
  <c r="D49" i="11"/>
  <c r="B71" i="11"/>
  <c r="B70" i="4"/>
  <c r="C55" i="11"/>
  <c r="B54" i="4"/>
  <c r="C43" i="11"/>
  <c r="D43" i="11" s="1"/>
  <c r="D41" i="11"/>
  <c r="B38" i="4"/>
  <c r="C63" i="4"/>
  <c r="C97" i="4" s="1"/>
  <c r="C105" i="4" s="1"/>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K58" i="7" l="1"/>
  <c r="M54" i="7"/>
  <c r="AS351" i="20"/>
  <c r="AS347" i="20" s="1"/>
  <c r="AK458" i="20" s="1"/>
  <c r="T802" i="20" s="1"/>
  <c r="AF802" i="20" s="1"/>
  <c r="B64" i="11"/>
  <c r="B98" i="11" s="1"/>
  <c r="B106" i="11" s="1"/>
  <c r="AC869" i="3"/>
  <c r="R63" i="4"/>
  <c r="R97" i="4" s="1"/>
  <c r="R105" i="4" s="1"/>
  <c r="S97" i="4"/>
  <c r="E97" i="13" s="1"/>
  <c r="D105" i="11"/>
  <c r="D39" i="11"/>
  <c r="D97" i="11"/>
  <c r="D78" i="11"/>
  <c r="B12" i="4"/>
  <c r="D55" i="11"/>
  <c r="D71" i="11"/>
  <c r="T105" i="4"/>
  <c r="H97" i="13"/>
  <c r="D9" i="11"/>
  <c r="C13" i="11"/>
  <c r="D13" i="11" s="1"/>
  <c r="B63" i="4"/>
  <c r="B63" i="13"/>
  <c r="C64" i="11"/>
  <c r="EC628" i="3"/>
  <c r="T800" i="20"/>
  <c r="AF800" i="20" s="1"/>
  <c r="Y27" i="15"/>
  <c r="AI27" i="15"/>
  <c r="T789" i="20"/>
  <c r="AF789" i="20" s="1"/>
  <c r="AK78" i="20"/>
  <c r="Y23" i="15"/>
  <c r="Y26" i="15" s="1"/>
  <c r="Y28" i="15" s="1"/>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4" i="7"/>
  <c r="D64" i="11"/>
  <c r="S105" i="4"/>
  <c r="S107" i="4" s="1"/>
  <c r="T107" i="4"/>
  <c r="H107" i="13" s="1"/>
  <c r="AD11" i="15" s="1"/>
  <c r="AD23" i="15" s="1"/>
  <c r="AD26" i="15" s="1"/>
  <c r="AD28" i="15" s="1"/>
  <c r="H105" i="13"/>
  <c r="C98" i="11"/>
  <c r="D98" i="11" s="1"/>
  <c r="AB47" i="15"/>
  <c r="AB49" i="15" s="1"/>
  <c r="AB54" i="15" s="1"/>
  <c r="AB55" i="15" s="1"/>
  <c r="N154" i="26"/>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4" i="7"/>
  <c r="E105" i="13"/>
  <c r="AF540" i="20"/>
  <c r="AC455" i="3"/>
  <c r="E107" i="13"/>
  <c r="T11" i="15" s="1"/>
  <c r="T23" i="15" s="1"/>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4" i="7"/>
  <c r="AF806" i="20"/>
  <c r="T26" i="15"/>
  <c r="T28" i="15" s="1"/>
  <c r="T29" i="15" s="1"/>
  <c r="Y64" i="15"/>
  <c r="Y68" i="15" s="1"/>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U54" i="7"/>
  <c r="K5" i="7"/>
  <c r="E47" i="7"/>
  <c r="E60" i="7"/>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E62" i="7" l="1"/>
  <c r="E66" i="7" s="1"/>
  <c r="W54" i="7"/>
  <c r="U58" i="7"/>
  <c r="K11" i="7"/>
  <c r="K37" i="7" s="1"/>
  <c r="K45" i="7" s="1"/>
  <c r="O5" i="7"/>
  <c r="Q4" i="7"/>
  <c r="AD38" i="15"/>
  <c r="AD40" i="15" s="1"/>
  <c r="Y40" i="15"/>
  <c r="M7" i="7"/>
  <c r="M11" i="7" s="1"/>
  <c r="M37" i="7" s="1"/>
  <c r="O6" i="7"/>
  <c r="G62" i="7"/>
  <c r="G66" i="7" s="1"/>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2" i="7"/>
  <c r="I66" i="7" s="1"/>
  <c r="K47" i="7"/>
  <c r="K60" i="7"/>
  <c r="K48" i="7"/>
  <c r="U22" i="7"/>
  <c r="U35" i="7" s="1"/>
  <c r="W15" i="7"/>
  <c r="G83" i="21"/>
  <c r="E13" i="21" s="1"/>
  <c r="E16" i="21" s="1"/>
  <c r="H3" i="21" s="1"/>
  <c r="U9" i="7"/>
  <c r="W8" i="7"/>
  <c r="K66" i="7" l="1"/>
  <c r="AA54" i="7"/>
  <c r="Y58" i="7"/>
  <c r="AB57" i="15"/>
  <c r="U4" i="7"/>
  <c r="S5" i="7"/>
  <c r="P203" i="3"/>
  <c r="M48" i="7"/>
  <c r="M47" i="7"/>
  <c r="M60" i="7"/>
  <c r="O45" i="7"/>
  <c r="O49" i="7"/>
  <c r="K62" i="7"/>
  <c r="Q7" i="7"/>
  <c r="Q11" i="7" s="1"/>
  <c r="Q37" i="7" s="1"/>
  <c r="S6" i="7"/>
  <c r="I70" i="7"/>
  <c r="I72" i="7" s="1"/>
  <c r="W22" i="7"/>
  <c r="W35" i="7" s="1"/>
  <c r="Y15" i="7"/>
  <c r="W9" i="7"/>
  <c r="Y8" i="7"/>
  <c r="AA58" i="7" l="1"/>
  <c r="AC54" i="7"/>
  <c r="AB59" i="15"/>
  <c r="AB76" i="15" s="1"/>
  <c r="AB77" i="15" s="1"/>
  <c r="AB78" i="15" s="1"/>
  <c r="U5" i="7"/>
  <c r="W4" i="7"/>
  <c r="Q49" i="7"/>
  <c r="Q45" i="7"/>
  <c r="M62" i="7"/>
  <c r="M66" i="7" s="1"/>
  <c r="O47" i="7"/>
  <c r="O48" i="7"/>
  <c r="O60" i="7"/>
  <c r="K70" i="7"/>
  <c r="K72" i="7" s="1"/>
  <c r="S7" i="7"/>
  <c r="S11" i="7" s="1"/>
  <c r="S37" i="7" s="1"/>
  <c r="U6" i="7"/>
  <c r="Y22" i="7"/>
  <c r="Y35" i="7" s="1"/>
  <c r="AA15" i="7"/>
  <c r="Y9" i="7"/>
  <c r="AA8" i="7"/>
  <c r="AC58" i="7" l="1"/>
  <c r="AE54" i="7"/>
  <c r="M27" i="3"/>
  <c r="I10" i="21"/>
  <c r="I11" i="21" s="1"/>
  <c r="I16" i="21" s="1"/>
  <c r="H4" i="21" s="1"/>
  <c r="H5" i="21" s="1"/>
  <c r="M70" i="7"/>
  <c r="M72" i="7" s="1"/>
  <c r="W5" i="7"/>
  <c r="Y4" i="7"/>
  <c r="AB80" i="15"/>
  <c r="J81" i="15" s="1"/>
  <c r="U7" i="7"/>
  <c r="U11" i="7" s="1"/>
  <c r="U37" i="7" s="1"/>
  <c r="W6" i="7"/>
  <c r="O62" i="7"/>
  <c r="O66" i="7" s="1"/>
  <c r="Q60" i="7"/>
  <c r="Q48" i="7"/>
  <c r="Q47" i="7"/>
  <c r="S49" i="7"/>
  <c r="S45" i="7"/>
  <c r="AC15" i="7"/>
  <c r="AA22" i="7"/>
  <c r="AA35" i="7" s="1"/>
  <c r="AC8" i="7"/>
  <c r="AA9" i="7"/>
  <c r="AE58" i="7" l="1"/>
  <c r="AG54" i="7"/>
  <c r="AG58" i="7" s="1"/>
  <c r="P204" i="3"/>
  <c r="AA4" i="7"/>
  <c r="Y5" i="7"/>
  <c r="Y6" i="7"/>
  <c r="W7" i="7"/>
  <c r="W11" i="7" s="1"/>
  <c r="W37" i="7" s="1"/>
  <c r="U45" i="7"/>
  <c r="U49" i="7"/>
  <c r="Q62" i="7"/>
  <c r="Q66" i="7" s="1"/>
  <c r="S48" i="7"/>
  <c r="S47" i="7"/>
  <c r="S60" i="7"/>
  <c r="O70" i="7"/>
  <c r="O72" i="7" s="1"/>
  <c r="AE15" i="7"/>
  <c r="AC22" i="7"/>
  <c r="AC35" i="7" s="1"/>
  <c r="AC9" i="7"/>
  <c r="AE8" i="7"/>
  <c r="S66" i="7" l="1"/>
  <c r="AA5" i="7"/>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66" i="7" s="1"/>
  <c r="Y49" i="7"/>
  <c r="Y45" i="7"/>
  <c r="W60" i="7"/>
  <c r="W47" i="7"/>
  <c r="W48" i="7"/>
  <c r="AE5" i="7" l="1"/>
  <c r="AG4" i="7"/>
  <c r="AG5" i="7" s="1"/>
  <c r="AA45" i="7"/>
  <c r="AA49" i="7"/>
  <c r="U70" i="7"/>
  <c r="U72" i="7" s="1"/>
  <c r="W62" i="7"/>
  <c r="W66" i="7" s="1"/>
  <c r="Y47" i="7"/>
  <c r="Y48" i="7"/>
  <c r="Y60" i="7"/>
  <c r="AE6" i="7"/>
  <c r="AC7" i="7"/>
  <c r="AC11" i="7" s="1"/>
  <c r="AC37" i="7" s="1"/>
  <c r="W70" i="7" l="1"/>
  <c r="W72" i="7" s="1"/>
  <c r="AA60" i="7"/>
  <c r="AA66" i="7" s="1"/>
  <c r="AA47" i="7"/>
  <c r="AA48" i="7"/>
  <c r="AC45" i="7"/>
  <c r="AC49" i="7"/>
  <c r="AE7" i="7"/>
  <c r="AE11" i="7" s="1"/>
  <c r="AE37" i="7" s="1"/>
  <c r="AG6" i="7"/>
  <c r="Y62" i="7"/>
  <c r="Y66" i="7" s="1"/>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<sst xmlns="http://schemas.openxmlformats.org/spreadsheetml/2006/main" count="5257" uniqueCount="2792">
  <si>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</si>
  <si>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</si>
  <si>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</si>
  <si>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</si>
  <si>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</si>
  <si>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</si>
  <si>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</si>
  <si>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</si>
  <si>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</si>
  <si>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</si>
  <si>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</si>
  <si>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</si>
  <si>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</si>
  <si>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</si>
  <si>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</si>
  <si>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</si>
  <si>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</si>
  <si>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</si>
  <si>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</si>
  <si>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</si>
  <si>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</si>
  <si>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</si>
  <si>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</si>
  <si>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</si>
  <si>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</si>
  <si>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</si>
  <si>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</si>
  <si>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</si>
  <si>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</si>
  <si>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</si>
  <si>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</si>
  <si>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</si>
  <si>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</si>
  <si>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</si>
  <si>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</si>
  <si>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</si>
  <si>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</si>
  <si>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</si>
  <si>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</si>
  <si>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</si>
  <si>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</si>
  <si>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</si>
  <si>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</si>
  <si>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</si>
  <si>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</si>
  <si>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</si>
  <si>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</si>
  <si>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</si>
  <si>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</si>
  <si>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</si>
  <si>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</si>
  <si>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</si>
  <si>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</si>
  <si>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</si>
  <si>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</si>
  <si>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</si>
  <si>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</si>
  <si>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</si>
  <si>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</si>
  <si>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</si>
  <si>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</si>
  <si>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</si>
  <si>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</si>
  <si>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</si>
  <si>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</si>
  <si>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</si>
  <si>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</si>
  <si>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</si>
  <si>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</si>
  <si>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</si>
  <si>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</si>
  <si>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</si>
  <si>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</si>
  <si>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</si>
  <si>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</si>
  <si>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</si>
  <si>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</si>
  <si>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</si>
  <si>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</si>
  <si>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</si>
  <si>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</si>
  <si>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</si>
  <si>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</si>
  <si>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</si>
  <si>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</si>
  <si>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</si>
  <si>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</si>
  <si>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</si>
  <si>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</si>
  <si>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</si>
  <si>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</si>
  <si>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</si>
  <si>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</si>
  <si>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</si>
  <si>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</si>
  <si>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</si>
  <si>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</si>
  <si>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</si>
  <si>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</si>
  <si>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</si>
  <si>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</si>
  <si>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</si>
  <si>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</si>
  <si>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</si>
  <si>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</si>
  <si>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</si>
  <si>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</si>
  <si>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</si>
  <si>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</si>
  <si>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</si>
  <si>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</si>
  <si>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</si>
  <si>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</si>
  <si>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</si>
  <si>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</si>
  <si>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</si>
  <si>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</si>
  <si>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</si>
  <si>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</si>
  <si>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</si>
  <si>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</si>
  <si>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</si>
  <si>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</si>
  <si>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</si>
  <si>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</si>
  <si>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</si>
  <si>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</si>
  <si>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</si>
  <si>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</si>
  <si>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</si>
  <si>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</si>
  <si>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</si>
  <si>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</si>
  <si>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</si>
  <si>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</si>
  <si>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</si>
  <si>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</si>
  <si>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</si>
  <si>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</si>
  <si>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</si>
  <si>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</si>
  <si>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</si>
  <si>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</si>
  <si>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</si>
  <si>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</si>
  <si>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</si>
  <si>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</si>
  <si>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</si>
  <si>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</si>
  <si>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</si>
  <si>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</si>
  <si>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</si>
  <si>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</si>
  <si>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</si>
  <si>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</si>
  <si>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</si>
  <si>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</si>
  <si>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</si>
  <si>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</si>
  <si>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</si>
  <si>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</si>
  <si>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</si>
  <si>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</si>
  <si>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</si>
  <si>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</si>
  <si>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</si>
  <si>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</si>
  <si>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</si>
  <si>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</si>
  <si>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</si>
  <si>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</si>
  <si>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</si>
  <si>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</si>
  <si>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</si>
  <si>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</si>
  <si>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</si>
  <si>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</si>
  <si>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</si>
  <si>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</si>
  <si>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</si>
  <si>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</si>
  <si>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</si>
  <si>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</si>
  <si>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</si>
  <si>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</si>
  <si>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</si>
  <si>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</si>
  <si>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</si>
  <si>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</si>
  <si>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</si>
  <si>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</si>
  <si>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</si>
  <si>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</si>
  <si>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</si>
  <si>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</si>
  <si>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</si>
  <si>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</si>
  <si>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</si>
  <si>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</si>
  <si>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</si>
  <si>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</si>
  <si>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</si>
  <si>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</si>
  <si>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</si>
  <si>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</si>
  <si>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</si>
  <si>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</si>
  <si>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</si>
  <si>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</si>
  <si>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</si>
  <si>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</si>
  <si>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</si>
  <si>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</si>
  <si>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</si>
  <si>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</si>
  <si>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</si>
  <si>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</si>
  <si>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</si>
  <si>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</si>
  <si>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</si>
  <si>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</si>
  <si>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</si>
  <si>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</si>
  <si>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</si>
  <si>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</si>
  <si>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</si>
  <si>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</si>
  <si>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</si>
  <si>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</si>
  <si>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</si>
  <si>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</si>
  <si>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</si>
  <si>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</si>
  <si>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</si>
  <si>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</si>
  <si>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</si>
  <si>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</si>
  <si>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</si>
  <si>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</si>
  <si>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</si>
  <si>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</si>
  <si>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</si>
  <si>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</si>
  <si>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</si>
  <si>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</si>
  <si>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</si>
  <si>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</si>
  <si>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</si>
  <si>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</si>
  <si>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</si>
  <si>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</si>
  <si>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</si>
  <si>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</si>
  <si>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</si>
  <si>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</si>
  <si>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</si>
  <si>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</si>
  <si>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</si>
  <si>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</si>
  <si>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</si>
  <si>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</si>
  <si>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</si>
  <si>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</si>
  <si>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</si>
  <si>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</si>
  <si>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</si>
  <si>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</si>
  <si>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</si>
  <si>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</si>
  <si>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</si>
  <si>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</si>
  <si>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</si>
  <si>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</si>
  <si>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</si>
  <si>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</si>
  <si>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</si>
  <si>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</si>
  <si>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</si>
  <si>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</si>
  <si>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</si>
  <si>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</si>
  <si>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</si>
  <si>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</si>
  <si>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</si>
  <si>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</si>
  <si>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</si>
  <si>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</si>
  <si>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</si>
  <si>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</si>
  <si>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</si>
  <si>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</si>
  <si>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</si>
  <si>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</si>
  <si>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</si>
  <si>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</si>
  <si>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</si>
  <si>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</si>
  <si>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</si>
  <si>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</si>
  <si>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</si>
  <si>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</si>
  <si>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</si>
  <si>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</si>
  <si>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</si>
  <si>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</si>
  <si>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</si>
  <si>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</si>
  <si>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</si>
  <si>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</si>
  <si>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</si>
  <si>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</si>
  <si>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</si>
  <si>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</si>
  <si>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</si>
  <si>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</si>
  <si>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</si>
  <si>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</si>
  <si>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</si>
  <si>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</si>
  <si>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</si>
  <si>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</si>
  <si>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</si>
  <si>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</si>
  <si>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</si>
  <si>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</si>
  <si>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</si>
  <si>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</si>
  <si>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</si>
  <si>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</si>
  <si>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</si>
  <si>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</si>
  <si>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</si>
  <si>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</si>
  <si>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</si>
  <si>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</si>
  <si>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</si>
  <si>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</si>
  <si>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</si>
  <si>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</si>
  <si>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</si>
  <si>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</si>
  <si>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</si>
  <si>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</si>
  <si>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</si>
  <si>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</si>
  <si>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</si>
  <si>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</si>
  <si>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</si>
  <si>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</si>
  <si>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</si>
  <si>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</si>
  <si>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</si>
  <si>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</si>
  <si>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</si>
  <si>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</si>
  <si>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</si>
  <si>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</si>
  <si>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</si>
  <si>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</si>
  <si>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</si>
  <si>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</si>
  <si>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</si>
  <si>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</si>
  <si>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</si>
  <si>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</si>
  <si>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</si>
  <si>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</si>
  <si>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</si>
  <si>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</si>
  <si>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</si>
  <si>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</si>
  <si>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</si>
  <si>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</si>
  <si>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</si>
  <si>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</si>
  <si>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</si>
  <si>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</si>
  <si>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</si>
  <si>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</si>
  <si>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</si>
  <si>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</si>
  <si>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</si>
  <si>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</si>
  <si>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</si>
  <si>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</si>
  <si>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</si>
  <si>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</si>
  <si>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</si>
  <si>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</si>
  <si>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</si>
  <si>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</si>
  <si>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</si>
  <si>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</si>
  <si>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</si>
  <si>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</si>
  <si>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</si>
  <si>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</si>
  <si>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</si>
  <si>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</si>
  <si>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</si>
  <si>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</si>
  <si>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</si>
  <si>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</si>
  <si>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</si>
  <si>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</si>
  <si>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</si>
  <si>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</si>
  <si>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</si>
  <si>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</si>
  <si>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</si>
  <si>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</si>
  <si>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</si>
  <si>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</si>
  <si>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</si>
  <si>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</si>
  <si>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</si>
  <si>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</si>
  <si>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</si>
  <si>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</si>
  <si>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</si>
  <si>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</si>
  <si>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</si>
  <si>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</si>
  <si>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</si>
  <si>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</si>
  <si>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</si>
  <si>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</si>
  <si>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</si>
  <si>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</si>
  <si>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</si>
  <si>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</si>
  <si>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</si>
  <si>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</si>
  <si>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</si>
  <si>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</si>
  <si>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</si>
  <si>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</si>
  <si>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</si>
  <si>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</si>
  <si>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</si>
  <si>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</si>
  <si>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</si>
  <si>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</si>
  <si>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</si>
  <si>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</si>
  <si>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</si>
  <si>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</si>
  <si>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</si>
  <si>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</si>
  <si>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</si>
  <si>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</si>
  <si>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</si>
  <si>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</si>
  <si>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</si>
  <si>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</si>
  <si>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</si>
  <si>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</si>
  <si>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</si>
  <si>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</si>
  <si>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</si>
  <si>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</si>
  <si>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</si>
  <si>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</si>
  <si>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</si>
  <si>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</si>
  <si>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</si>
  <si>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</si>
  <si>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</si>
  <si>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</si>
  <si>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</si>
  <si>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</si>
  <si>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</si>
  <si>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</si>
  <si>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</si>
  <si>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</si>
  <si>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</si>
  <si>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</si>
  <si>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</si>
  <si>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</si>
  <si>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</si>
  <si>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</si>
  <si>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</si>
  <si>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</si>
  <si>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</si>
  <si>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</si>
  <si>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</si>
  <si>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</si>
  <si>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</si>
  <si>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</si>
  <si>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</si>
  <si>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</si>
  <si>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</si>
  <si>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</si>
  <si>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</si>
  <si>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</si>
  <si>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</si>
  <si>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</si>
  <si>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</si>
  <si>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</si>
  <si>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</si>
  <si>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</si>
  <si>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</si>
  <si>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</si>
  <si>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</si>
  <si>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</si>
  <si>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</si>
  <si>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</si>
  <si>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</si>
  <si>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</si>
  <si>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</si>
  <si>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</si>
  <si>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</si>
  <si>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</si>
  <si>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</si>
  <si>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</si>
  <si>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</si>
  <si>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</si>
  <si>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</si>
  <si>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</si>
  <si>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</si>
  <si>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</si>
  <si>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</si>
  <si>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</si>
  <si>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</si>
  <si>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</si>
  <si>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</si>
  <si>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</si>
  <si>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</si>
  <si>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</si>
  <si>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</si>
  <si>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</si>
  <si>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</si>
  <si>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</si>
  <si>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</si>
  <si>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</si>
  <si>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</si>
  <si>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</si>
  <si>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</si>
  <si>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</si>
  <si>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</si>
  <si>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</si>
  <si>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</si>
  <si>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</si>
  <si>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</si>
  <si>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</si>
  <si>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</si>
  <si>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</si>
  <si>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</si>
  <si>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</si>
  <si>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</si>
  <si>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</si>
  <si>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</si>
  <si>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</si>
  <si>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</si>
  <si>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</si>
  <si>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</si>
  <si>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</si>
  <si>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</si>
  <si>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</si>
  <si>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</si>
  <si>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</si>
  <si>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</si>
  <si>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</si>
  <si>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</si>
  <si>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</si>
  <si>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</si>
  <si>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</si>
  <si>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</si>
  <si>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</si>
  <si>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</si>
  <si>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</si>
  <si>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</si>
  <si>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</si>
  <si>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</si>
  <si>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</si>
  <si>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</si>
  <si>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</si>
  <si>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</si>
  <si>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</si>
  <si>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</si>
  <si>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</si>
  <si>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</si>
  <si>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</si>
  <si>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</si>
  <si>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</si>
  <si>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</si>
  <si>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</si>
  <si>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</si>
  <si>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</si>
  <si>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</si>
  <si>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</si>
  <si>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</si>
  <si>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</si>
  <si>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</si>
  <si>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</si>
  <si>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</si>
  <si>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</si>
  <si>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</si>
  <si>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</si>
  <si>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</si>
  <si>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</si>
  <si>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</si>
  <si>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</si>
  <si>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</si>
  <si>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</si>
  <si>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</si>
  <si>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</si>
  <si>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</si>
  <si>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</si>
  <si>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</si>
  <si>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</si>
  <si>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</si>
  <si>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</si>
  <si>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</si>
  <si>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</si>
  <si>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</si>
  <si>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</si>
  <si>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</si>
  <si>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</si>
  <si>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</si>
  <si>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</si>
  <si>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</si>
  <si>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</si>
  <si>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</si>
  <si>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</si>
  <si>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</si>
  <si>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</si>
  <si>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</si>
  <si>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</si>
  <si>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</si>
  <si>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</si>
  <si>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</si>
  <si>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</si>
  <si>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</si>
  <si>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</si>
  <si>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</si>
  <si>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</si>
  <si>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</si>
  <si>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</si>
  <si>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</si>
  <si>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</si>
  <si>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</si>
  <si>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</si>
  <si>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</si>
  <si>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</si>
  <si>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</si>
  <si>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</si>
  <si>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</si>
  <si>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</si>
  <si>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</si>
  <si>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</si>
  <si>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</si>
  <si>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</si>
  <si>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</si>
  <si>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</si>
  <si>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</si>
  <si>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</si>
  <si>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</si>
  <si>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</si>
  <si>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</si>
  <si>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</si>
  <si>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</si>
  <si>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</si>
  <si>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</si>
  <si>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</si>
  <si>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</si>
  <si>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</si>
  <si>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</si>
  <si>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</si>
  <si>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</si>
  <si>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</si>
  <si>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</si>
  <si>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</si>
  <si>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</si>
  <si>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</si>
  <si>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</si>
  <si>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</si>
  <si>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</si>
  <si>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</si>
  <si>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</si>
  <si>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</si>
  <si>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</si>
  <si>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</si>
  <si>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</si>
  <si>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</si>
  <si>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</si>
  <si>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</si>
  <si>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</si>
  <si>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</si>
  <si>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</si>
  <si>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</si>
  <si>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</si>
  <si>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</si>
  <si>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</si>
  <si>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</si>
  <si>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</si>
  <si>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</si>
  <si>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</si>
  <si>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</si>
  <si>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</si>
  <si>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</si>
  <si>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</si>
  <si>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</si>
  <si>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</si>
  <si>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</si>
  <si>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</si>
  <si>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</si>
  <si>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</si>
  <si>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</si>
  <si>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</si>
  <si>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</si>
  <si>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</si>
  <si>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</si>
  <si>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</si>
  <si>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</si>
  <si>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</si>
  <si>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</si>
  <si>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</si>
  <si>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</si>
  <si>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</si>
  <si>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</si>
  <si>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</si>
  <si>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</si>
  <si>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</si>
  <si>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</si>
  <si>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</si>
  <si>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</si>
  <si>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</si>
  <si>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</si>
  <si>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</si>
  <si>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</si>
  <si>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</si>
  <si>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</si>
  <si>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</si>
  <si>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</si>
  <si>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</si>
  <si>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</si>
  <si>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</si>
  <si>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</si>
  <si>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</si>
  <si>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</si>
  <si>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</si>
  <si>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</si>
  <si>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</si>
  <si>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</si>
  <si>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</si>
  <si>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</si>
  <si>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</si>
  <si>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</si>
  <si>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</si>
  <si>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</si>
  <si>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</si>
  <si>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</si>
  <si>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</si>
  <si>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</si>
  <si>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</si>
  <si>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</si>
  <si>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</si>
  <si>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</si>
  <si>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</si>
  <si>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</si>
  <si>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</si>
  <si>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</si>
  <si>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</si>
  <si>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</si>
  <si>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</si>
  <si>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</si>
  <si>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</si>
  <si>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</si>
  <si>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</si>
  <si>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</si>
  <si>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</si>
  <si>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</si>
  <si>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</si>
  <si>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</si>
  <si>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</si>
  <si>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</si>
  <si>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</si>
  <si>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</si>
  <si>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</si>
  <si>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</si>
  <si>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</si>
  <si>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</si>
  <si>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</si>
  <si>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</si>
  <si>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</si>
  <si>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</si>
  <si>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</si>
  <si>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</si>
  <si>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</si>
  <si>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</si>
  <si>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</si>
  <si>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</si>
  <si>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</si>
  <si>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</si>
  <si>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</si>
  <si>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</si>
  <si>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</si>
  <si>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</si>
  <si>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</si>
  <si>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</si>
  <si>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</si>
  <si>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</si>
  <si>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</si>
  <si>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</si>
  <si>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</si>
  <si>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</si>
  <si>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</si>
  <si>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</si>
  <si>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</si>
  <si>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</si>
  <si>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</si>
  <si>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</si>
  <si>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</si>
  <si>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</si>
  <si>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</si>
  <si>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</si>
  <si>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</si>
  <si>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</si>
  <si>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</si>
  <si>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</si>
  <si>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</si>
  <si>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</si>
  <si>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</si>
  <si>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</si>
  <si>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</si>
  <si>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</si>
  <si>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</si>
  <si>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</si>
  <si>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</si>
  <si>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</si>
  <si>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</si>
  <si>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</si>
  <si>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</si>
  <si>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</si>
  <si>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</si>
  <si>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</si>
  <si>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</si>
  <si>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</si>
  <si>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</si>
  <si>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</si>
  <si>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</si>
  <si>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</si>
  <si>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</si>
  <si>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</si>
  <si>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</si>
  <si>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</si>
  <si>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</si>
  <si>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</si>
  <si>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</si>
  <si>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</si>
  <si>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</si>
  <si>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</si>
  <si>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</si>
  <si>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</si>
  <si>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</si>
  <si>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</si>
  <si>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</si>
  <si>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</si>
  <si>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</si>
  <si>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</si>
  <si>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</si>
  <si>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</si>
  <si>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</si>
  <si>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</si>
  <si>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</si>
  <si>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</si>
  <si>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</si>
  <si>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</si>
  <si>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</si>
  <si>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</si>
  <si>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</si>
  <si>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</si>
  <si>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</si>
  <si>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</si>
  <si>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</si>
  <si>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</si>
  <si>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</si>
  <si>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</si>
  <si>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</si>
  <si>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</si>
  <si>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</si>
  <si>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</si>
  <si>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</si>
  <si>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</si>
  <si>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</si>
  <si>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</si>
  <si>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</si>
  <si>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</si>
  <si>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</si>
  <si>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</si>
  <si>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</si>
  <si>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</si>
  <si>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</si>
  <si>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</si>
  <si>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</si>
  <si>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</si>
  <si>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</si>
  <si>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</si>
  <si>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</si>
  <si>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</si>
  <si>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</si>
  <si>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</si>
  <si>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</si>
  <si>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</si>
  <si>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</si>
  <si>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</si>
  <si>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</si>
  <si>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</si>
  <si>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</si>
  <si>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</si>
  <si>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</si>
  <si>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</si>
  <si>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</si>
  <si>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</si>
  <si>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</si>
  <si>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</si>
  <si>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</si>
  <si>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</si>
  <si>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</si>
  <si>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</si>
  <si>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</si>
  <si>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</si>
  <si>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</si>
  <si>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</si>
  <si>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</si>
  <si>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</si>
  <si>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</si>
  <si>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</si>
  <si>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</si>
  <si>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</si>
  <si>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</si>
  <si>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</si>
  <si>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</si>
  <si>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</si>
  <si>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</si>
  <si>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</si>
  <si>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</si>
  <si>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</si>
  <si>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</si>
  <si>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</si>
  <si>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</si>
  <si>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</si>
  <si>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</si>
  <si>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</si>
  <si>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</si>
  <si>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</si>
  <si>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</si>
  <si>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</si>
  <si>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</si>
  <si>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</si>
  <si>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</si>
  <si>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</si>
  <si>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</si>
  <si>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</si>
  <si>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</si>
  <si>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</si>
  <si>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</si>
  <si>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</si>
  <si>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</si>
  <si>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</si>
  <si>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</si>
  <si>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</si>
  <si>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</si>
  <si>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</si>
  <si>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</si>
  <si>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</si>
  <si>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</si>
  <si>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</si>
  <si>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</si>
  <si>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</si>
  <si>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</si>
  <si>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</si>
  <si>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</si>
  <si>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</si>
  <si>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</si>
  <si>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</si>
  <si>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</si>
  <si>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</si>
  <si>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</si>
  <si>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</si>
  <si>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</si>
  <si>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</si>
  <si>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</si>
  <si>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</si>
  <si>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</si>
  <si>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</si>
  <si>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</si>
  <si>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</si>
  <si>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</si>
  <si>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</si>
  <si>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</si>
  <si>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</si>
  <si>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</si>
  <si>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</si>
  <si>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</si>
  <si>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</si>
  <si>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</si>
  <si>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</si>
  <si>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</si>
  <si>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</si>
  <si>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</si>
  <si>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</si>
  <si>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</si>
  <si>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</si>
  <si>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</si>
  <si>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</si>
  <si>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</si>
  <si>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</si>
  <si>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</si>
  <si>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</si>
  <si>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</si>
  <si>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</si>
  <si>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</si>
  <si>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</si>
  <si>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</si>
  <si>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</si>
  <si>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</si>
  <si>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</si>
  <si>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</si>
  <si>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</si>
  <si>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</si>
  <si>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</si>
  <si>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</si>
  <si>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</si>
  <si>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</si>
  <si>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</si>
  <si>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</si>
  <si>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</si>
  <si>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</si>
  <si>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</si>
  <si>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</si>
  <si>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</si>
  <si>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</si>
  <si>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</si>
  <si>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</si>
  <si>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</si>
  <si>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</si>
  <si>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</si>
  <si>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</si>
  <si>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</si>
  <si>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</si>
  <si>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</si>
  <si>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</si>
  <si>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</si>
  <si>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</si>
  <si>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</si>
  <si>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</si>
  <si>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</si>
  <si>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</si>
  <si>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</si>
  <si>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</si>
  <si>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</si>
  <si>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</si>
  <si>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</si>
  <si>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</si>
  <si>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</si>
  <si>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</si>
  <si>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</si>
  <si>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</si>
  <si>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</si>
  <si>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</si>
  <si>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</si>
  <si>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</si>
  <si>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</si>
  <si>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</si>
  <si>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</si>
  <si>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</si>
  <si>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</si>
  <si>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</si>
  <si>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</si>
  <si>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</si>
  <si>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</si>
  <si>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</si>
  <si>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</si>
  <si>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</si>
  <si>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</si>
  <si>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</si>
  <si>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</si>
  <si>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</si>
  <si>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</si>
  <si>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</si>
  <si>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</si>
  <si>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</si>
  <si>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</si>
  <si>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</si>
  <si>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</si>
  <si>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</si>
  <si>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</si>
  <si>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</si>
  <si>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</si>
  <si>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</si>
  <si>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</si>
  <si>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</si>
  <si>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</si>
  <si>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</si>
  <si>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</si>
  <si>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</si>
  <si>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</si>
  <si>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</si>
  <si>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</si>
  <si>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</si>
  <si>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</si>
  <si>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</si>
  <si>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</si>
  <si>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</si>
  <si>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</si>
  <si>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</si>
  <si>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</si>
  <si>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</si>
  <si>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</si>
  <si>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</si>
  <si>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</si>
  <si>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</si>
  <si>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</si>
  <si>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</si>
  <si>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</si>
  <si>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</si>
  <si>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</si>
  <si>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</si>
  <si>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</si>
  <si>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</si>
  <si>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</si>
  <si>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</si>
  <si>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</si>
  <si>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</si>
  <si>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</si>
  <si>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</si>
  <si>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</si>
  <si>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</si>
  <si>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</si>
  <si>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</si>
  <si>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</si>
  <si>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</si>
  <si>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</si>
  <si>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</si>
  <si>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</si>
  <si>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</si>
  <si>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</si>
  <si>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</si>
  <si>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</si>
  <si>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</si>
  <si>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</si>
  <si>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</si>
  <si>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</si>
  <si>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</si>
  <si>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</si>
  <si>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</si>
  <si>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</si>
  <si>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</si>
  <si>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</si>
  <si>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</si>
  <si>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</si>
  <si>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</si>
  <si>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</si>
  <si>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</si>
  <si>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</si>
  <si>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</si>
  <si>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</si>
  <si>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</si>
  <si>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</si>
  <si>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</si>
  <si>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</si>
  <si>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</si>
  <si>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</si>
  <si>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</si>
  <si>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</si>
  <si>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</si>
  <si>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</si>
  <si>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</si>
  <si>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</si>
  <si>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</si>
  <si>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</si>
  <si>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</si>
  <si>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</si>
  <si>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</si>
  <si>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</si>
  <si>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</si>
  <si>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</si>
  <si>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</si>
  <si>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</si>
  <si>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</si>
  <si>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</si>
  <si>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</si>
  <si>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</si>
  <si>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</si>
  <si>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</si>
  <si>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</si>
  <si>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</si>
  <si>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</si>
  <si>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</si>
  <si>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</si>
  <si>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</si>
  <si>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</si>
  <si>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</si>
  <si>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</si>
  <si>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</si>
  <si>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</si>
  <si>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</si>
  <si>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</si>
  <si>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</si>
  <si>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</si>
  <si>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</si>
  <si>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</si>
  <si>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</si>
  <si>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</si>
  <si>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</si>
  <si>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</si>
  <si>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</si>
  <si>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</si>
  <si>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</si>
  <si>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</si>
  <si>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</si>
  <si>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</si>
  <si>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</si>
  <si>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</si>
  <si>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</si>
  <si>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</si>
  <si>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</si>
  <si>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</si>
  <si>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</si>
  <si>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</si>
  <si>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</si>
  <si>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</si>
  <si>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</si>
  <si>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</si>
  <si>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</si>
  <si>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</si>
  <si>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</si>
  <si>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</si>
  <si>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</si>
  <si>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</si>
  <si>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</si>
  <si>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</si>
  <si>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</si>
  <si>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</si>
  <si>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</si>
  <si>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</si>
  <si>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</si>
  <si>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</si>
  <si>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</si>
  <si>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</si>
  <si>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</si>
  <si>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</si>
  <si>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</si>
  <si>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</si>
  <si>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</si>
  <si>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</si>
  <si>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</si>
  <si>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</si>
  <si>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</si>
  <si>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</si>
  <si>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</si>
  <si>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</si>
  <si>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</si>
  <si>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</si>
  <si>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</si>
  <si>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</si>
  <si>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</si>
  <si>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</si>
  <si>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</si>
  <si>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</si>
  <si>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</si>
  <si>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</si>
  <si>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</si>
  <si>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</si>
  <si>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</si>
  <si>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</si>
  <si>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</si>
  <si>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</si>
  <si>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</si>
  <si>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</si>
  <si>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</si>
  <si>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</si>
  <si>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</si>
  <si>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</si>
  <si>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</si>
  <si>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</si>
  <si>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</si>
  <si>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</si>
  <si>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</si>
  <si>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</si>
  <si>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</si>
  <si>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</si>
  <si>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</si>
  <si>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</si>
  <si>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</si>
  <si>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</si>
  <si>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</si>
  <si>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</si>
  <si>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</si>
  <si>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</si>
  <si>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</si>
  <si>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</si>
  <si>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</si>
  <si>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</si>
  <si>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</si>
  <si>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</si>
  <si>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</si>
  <si>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</si>
  <si>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</si>
  <si>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</si>
  <si>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</si>
  <si>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</si>
  <si>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</si>
  <si>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</si>
  <si>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</si>
  <si>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</si>
  <si>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</si>
  <si>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</si>
  <si>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</si>
  <si>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</si>
  <si>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</si>
  <si>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</si>
  <si>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</si>
  <si>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</si>
  <si>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</si>
  <si>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</si>
  <si>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</si>
  <si>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</si>
  <si>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</si>
  <si>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</si>
  <si>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</si>
  <si>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</si>
  <si>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</si>
  <si>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</si>
  <si>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</si>
  <si>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</si>
  <si>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</si>
  <si>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</si>
  <si>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</si>
  <si>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</si>
  <si>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</si>
  <si>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</si>
  <si>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</si>
  <si>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</si>
  <si>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</si>
  <si>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</si>
  <si>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</si>
  <si>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</si>
  <si>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</si>
  <si>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</si>
  <si>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</si>
  <si>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</si>
  <si>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</si>
  <si>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</si>
  <si>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</si>
  <si>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</si>
  <si>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</si>
  <si>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</si>
  <si>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</si>
  <si>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</si>
  <si>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</si>
  <si>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</si>
  <si>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</si>
  <si>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</si>
  <si>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</si>
  <si>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</si>
  <si>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</si>
  <si>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</si>
  <si>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</si>
  <si>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</si>
  <si>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</si>
  <si>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</si>
  <si>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</si>
  <si>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</si>
  <si>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</si>
  <si>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</si>
  <si>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</si>
  <si>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</si>
  <si>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</si>
  <si>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</si>
  <si>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</si>
  <si>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</si>
  <si>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</si>
  <si>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</si>
  <si>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</si>
  <si>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</si>
  <si>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</si>
  <si>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</si>
  <si>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</si>
  <si>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</si>
  <si>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</si>
  <si>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</si>
  <si>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</si>
  <si>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</si>
  <si>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</si>
  <si>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</si>
  <si>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</si>
  <si>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</si>
  <si>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</si>
  <si>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</si>
  <si>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</si>
  <si>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</si>
  <si>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</si>
  <si>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</si>
  <si>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</si>
  <si>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</si>
  <si>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</si>
  <si>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</si>
  <si>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</si>
  <si>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</si>
  <si>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</si>
  <si>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</si>
  <si>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</si>
  <si>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</si>
  <si>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</si>
  <si>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</si>
  <si>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</si>
  <si>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</si>
  <si>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</si>
  <si>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</si>
  <si>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</si>
  <si>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</si>
  <si>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</si>
  <si>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</si>
  <si>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</si>
  <si>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</si>
  <si>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</si>
  <si>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</si>
  <si>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</si>
  <si>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</si>
  <si>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</si>
  <si>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</si>
  <si>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</si>
  <si>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</si>
  <si>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</si>
  <si>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</si>
  <si>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</si>
  <si>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</si>
  <si>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</si>
  <si>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</si>
  <si>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</si>
  <si>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</si>
  <si>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</si>
  <si>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</si>
  <si>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</si>
  <si>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</si>
  <si>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</si>
  <si>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</si>
  <si>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</si>
  <si>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</si>
  <si>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</si>
  <si>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</si>
  <si>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</si>
  <si>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</si>
  <si>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</si>
  <si>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</si>
  <si>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</si>
  <si>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</si>
  <si>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</si>
  <si>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</si>
  <si>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</si>
  <si>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</si>
  <si>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</si>
  <si>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</si>
  <si>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</si>
  <si>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</si>
  <si>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</si>
  <si>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</si>
  <si>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</si>
  <si>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</si>
  <si>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</si>
  <si>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</si>
  <si>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</si>
  <si>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</si>
  <si>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</si>
  <si>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</si>
  <si>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</si>
  <si>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</si>
  <si>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</si>
  <si>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</si>
  <si>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</si>
  <si>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</si>
  <si>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</si>
  <si>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</si>
  <si>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</si>
  <si>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</si>
  <si>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</si>
  <si>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</si>
  <si>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</si>
  <si>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</si>
  <si>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</si>
  <si>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</si>
  <si>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</si>
  <si>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</si>
  <si>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</si>
  <si>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</si>
  <si>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</si>
  <si>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</si>
  <si>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</si>
  <si>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</si>
  <si>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</si>
  <si>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</si>
  <si>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</si>
  <si>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</si>
  <si>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</si>
  <si>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</si>
  <si>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</si>
  <si>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</si>
  <si>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</si>
  <si>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</si>
  <si>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</si>
  <si>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</si>
  <si>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</si>
  <si>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</si>
  <si>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</si>
  <si>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</si>
  <si>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</si>
  <si>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</si>
  <si>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</si>
  <si>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</si>
  <si>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</si>
  <si>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</si>
  <si>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</si>
  <si>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</si>
  <si>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</si>
  <si>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</si>
  <si>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</si>
  <si>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</si>
  <si>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</si>
  <si>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</si>
  <si>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</si>
  <si>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</si>
  <si>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</si>
  <si>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</si>
  <si>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</si>
  <si>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</si>
  <si>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</si>
  <si>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</si>
  <si>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</si>
  <si>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</si>
  <si>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</si>
  <si>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</si>
  <si>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</si>
  <si>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</si>
  <si>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</si>
  <si>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</si>
  <si>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</si>
  <si>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</si>
  <si>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</si>
  <si>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</si>
  <si>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</si>
  <si>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</si>
  <si>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</si>
  <si>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</si>
  <si>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</si>
  <si>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</si>
  <si>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</si>
  <si>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</si>
  <si>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</si>
  <si>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</si>
  <si>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</si>
  <si>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</si>
  <si>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</si>
  <si>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</si>
  <si>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</si>
  <si>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</si>
  <si>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</si>
  <si>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</si>
  <si>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</si>
  <si>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</si>
  <si>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</si>
  <si>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</si>
  <si>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</si>
  <si>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</si>
  <si>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</si>
  <si>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</si>
  <si>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</si>
  <si>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</si>
  <si>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</si>
  <si>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</si>
  <si>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</si>
  <si>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</si>
  <si>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</si>
  <si>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</si>
  <si>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</si>
  <si>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</si>
  <si>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</si>
  <si>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</si>
  <si>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</si>
  <si>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</si>
  <si>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</si>
  <si>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</si>
  <si>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</si>
  <si>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</si>
  <si>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</si>
  <si>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</si>
  <si>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</si>
  <si>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</si>
  <si>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</si>
  <si>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</si>
  <si>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</si>
  <si>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</si>
  <si>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</si>
  <si>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</si>
  <si>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</si>
  <si>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</si>
  <si>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</si>
  <si>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</si>
  <si>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</si>
  <si>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</si>
  <si>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</si>
  <si>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</si>
  <si>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</si>
  <si>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</si>
  <si>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</si>
  <si>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</si>
  <si>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</si>
  <si>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</si>
  <si>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</si>
  <si>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</si>
  <si>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</si>
  <si>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</si>
  <si>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</si>
  <si>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</si>
  <si>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</si>
  <si>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</si>
  <si>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</si>
  <si>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</si>
  <si>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</si>
  <si>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</si>
  <si>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</si>
  <si>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</si>
  <si>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</si>
  <si>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</si>
  <si>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</si>
  <si>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</si>
  <si>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</si>
  <si>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</si>
  <si>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</si>
  <si>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</si>
  <si>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</si>
  <si>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</si>
  <si>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</si>
  <si>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</si>
  <si>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</si>
  <si>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</si>
  <si>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</si>
  <si>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</si>
  <si>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</si>
  <si>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</si>
  <si>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</si>
  <si>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</si>
  <si>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</si>
  <si>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</si>
  <si>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</si>
  <si>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</si>
  <si>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</si>
  <si>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</si>
  <si>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</si>
  <si>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</si>
  <si>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</si>
  <si>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</si>
  <si>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</si>
  <si>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</si>
  <si>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</si>
  <si>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</si>
  <si>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</si>
  <si>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</si>
  <si>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</si>
  <si>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</si>
  <si>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</si>
  <si>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</si>
  <si>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</si>
  <si>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</si>
  <si>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</si>
  <si>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</si>
  <si>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</si>
  <si>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</si>
  <si>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</si>
  <si>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</si>
  <si>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</si>
  <si>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</si>
  <si>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</si>
  <si>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</si>
  <si>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</si>
  <si>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</si>
  <si>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</si>
  <si>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</si>
  <si>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</si>
  <si>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</si>
  <si>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</si>
  <si>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</si>
  <si>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</si>
  <si>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</si>
  <si>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</si>
  <si>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</si>
  <si>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</si>
  <si>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</si>
  <si>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</si>
  <si>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</si>
  <si>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</si>
  <si>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</si>
  <si>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</si>
  <si>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</si>
  <si>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</si>
  <si>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</si>
  <si>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</si>
  <si>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</si>
  <si>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</si>
  <si>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</si>
  <si>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</si>
  <si>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</si>
  <si>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</si>
  <si>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</si>
  <si>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</si>
  <si>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</si>
  <si>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</si>
  <si>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</si>
  <si>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</si>
  <si>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</si>
  <si>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</si>
  <si>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</si>
  <si>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</si>
  <si>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</si>
  <si>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</si>
  <si>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</si>
  <si>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</si>
  <si>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</si>
  <si>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</si>
  <si>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</si>
  <si>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</si>
  <si>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</si>
  <si>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</si>
  <si>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</si>
  <si>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</si>
  <si>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</si>
  <si>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</si>
  <si>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</si>
  <si>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</si>
  <si>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</si>
  <si>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</si>
  <si>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</si>
  <si>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</si>
  <si>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</si>
  <si>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</si>
  <si>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</si>
  <si>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</si>
  <si>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</si>
  <si>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</si>
  <si>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</si>
  <si>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</si>
  <si>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</si>
  <si>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</si>
  <si>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</si>
  <si>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</si>
  <si>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</si>
  <si>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</si>
  <si>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</si>
  <si>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</si>
  <si>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</si>
  <si>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</si>
  <si>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</si>
  <si>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</si>
  <si>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</si>
  <si>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</si>
  <si>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</si>
  <si>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</si>
  <si>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</si>
  <si>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</si>
  <si>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</si>
  <si>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</si>
  <si>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</si>
  <si>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</si>
  <si>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</si>
  <si>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</si>
  <si>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</si>
  <si>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</si>
  <si>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</si>
  <si>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</si>
  <si>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</si>
  <si>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</si>
  <si>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</si>
  <si>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</si>
  <si>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</si>
  <si>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</si>
  <si>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</si>
  <si>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</si>
  <si>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</si>
  <si>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</si>
  <si>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</si>
  <si>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</si>
  <si>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</si>
  <si>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</si>
  <si>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</si>
  <si>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</si>
  <si>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</si>
  <si>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</si>
  <si>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</si>
  <si>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</si>
  <si>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</si>
  <si>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</si>
  <si>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</si>
  <si>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</si>
  <si>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</si>
  <si>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</si>
  <si>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</si>
  <si>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</si>
  <si>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</si>
  <si>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</si>
  <si>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</si>
  <si>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</si>
  <si>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</si>
  <si>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</si>
  <si>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</si>
  <si>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</si>
  <si>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</si>
  <si>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</si>
  <si>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</si>
  <si>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</si>
  <si>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</si>
  <si>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</si>
  <si>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</si>
  <si>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</si>
  <si>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</si>
  <si>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</si>
  <si>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</si>
  <si>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</si>
  <si>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</si>
  <si>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</si>
  <si>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</si>
  <si>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</si>
  <si>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</si>
  <si>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</si>
  <si>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</si>
  <si>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</si>
  <si>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</si>
  <si>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</si>
  <si>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</si>
  <si>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</si>
  <si>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</si>
  <si>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</si>
  <si>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</si>
  <si>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</si>
  <si>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</si>
  <si>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</si>
  <si>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</si>
  <si>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</si>
  <si>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</si>
  <si>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</si>
  <si>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</si>
  <si>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</si>
  <si>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</si>
  <si>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</si>
  <si>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</si>
  <si>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</si>
  <si>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</si>
  <si>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</si>
  <si>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</si>
  <si>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</si>
  <si>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</si>
  <si>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</si>
  <si>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</si>
  <si>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</si>
  <si>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</si>
  <si>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</si>
  <si>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</si>
  <si>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</si>
  <si>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</si>
  <si>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</si>
  <si>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</si>
  <si>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</si>
  <si>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</si>
  <si>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</si>
  <si>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</si>
  <si>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</si>
  <si>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</si>
  <si>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</si>
  <si>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</si>
  <si>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</si>
  <si>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</si>
  <si>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</si>
  <si>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</si>
  <si>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</si>
  <si>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</si>
  <si>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</si>
  <si>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</si>
  <si>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</si>
  <si>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</si>
  <si>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</si>
  <si>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</si>
  <si>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</si>
  <si>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</si>
  <si>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</si>
  <si>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</si>
  <si>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</si>
  <si>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</si>
  <si>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</si>
  <si>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</si>
  <si>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</si>
  <si>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</si>
  <si>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</si>
  <si>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</si>
  <si>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</si>
  <si>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</si>
  <si>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</si>
  <si>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</si>
  <si>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</si>
  <si>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</si>
  <si>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</si>
  <si>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</si>
  <si>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</si>
  <si>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</si>
  <si>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</si>
  <si>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</si>
  <si>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</si>
  <si>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</si>
  <si>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</si>
  <si>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</si>
  <si>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</si>
  <si>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</si>
  <si>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</si>
  <si>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</si>
  <si>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</si>
  <si>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</si>
  <si>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</si>
  <si>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</si>
  <si>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</si>
  <si>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</si>
  <si>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</si>
  <si>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</si>
  <si>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</si>
  <si>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</si>
  <si>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</si>
  <si>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</si>
  <si>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</si>
  <si>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</si>
  <si>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</si>
  <si>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</si>
  <si>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</si>
  <si>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</si>
  <si>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</si>
  <si>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</si>
  <si>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</si>
  <si>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</si>
  <si>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</si>
  <si>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</si>
  <si>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</si>
  <si>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</si>
  <si>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</si>
  <si>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</si>
  <si>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</si>
  <si>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</si>
  <si>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</si>
  <si>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</si>
  <si>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</si>
  <si>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</si>
  <si>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</si>
  <si>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</si>
  <si>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</si>
  <si>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</si>
  <si>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</si>
  <si>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</si>
  <si>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</si>
  <si>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</si>
  <si>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</si>
  <si>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</si>
  <si>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</si>
  <si>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</si>
  <si>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</si>
  <si>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</si>
  <si>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</si>
  <si>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</si>
  <si>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</si>
  <si>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</si>
  <si>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</si>
  <si>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</si>
  <si>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</si>
  <si>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</si>
  <si>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</si>
  <si>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</si>
  <si>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</si>
  <si>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</si>
  <si>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</si>
  <si>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</si>
  <si>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</si>
  <si>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</si>
  <si>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</si>
  <si>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</si>
  <si>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</si>
  <si>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</si>
  <si>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</si>
  <si>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</si>
  <si>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</si>
  <si>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</si>
  <si>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</si>
  <si>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</si>
  <si>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</si>
  <si>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</si>
  <si>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</si>
  <si>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</si>
  <si>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</si>
  <si>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</si>
  <si>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</si>
  <si>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</si>
  <si>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</si>
  <si>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</si>
  <si>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</si>
  <si>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</si>
  <si>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</si>
  <si>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</si>
  <si>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</si>
  <si>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</si>
  <si>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</si>
  <si>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</si>
  <si>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</si>
  <si>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</si>
  <si>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</si>
  <si>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</si>
  <si>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</si>
  <si>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</si>
  <si>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</si>
  <si>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</si>
  <si>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</si>
  <si>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</si>
  <si>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</si>
  <si>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</si>
  <si>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</si>
  <si>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</si>
  <si>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</si>
  <si>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</si>
  <si>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</si>
  <si>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</si>
  <si>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</si>
  <si>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</si>
  <si>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</si>
  <si>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</si>
  <si>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</si>
  <si>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</si>
  <si>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</si>
  <si>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</si>
  <si>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</si>
  <si>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</si>
  <si>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</si>
  <si>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</si>
  <si>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</si>
  <si>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</si>
  <si>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</si>
  <si>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</si>
  <si>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</si>
  <si>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</si>
  <si>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</si>
  <si>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</si>
  <si>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</si>
  <si>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</si>
  <si>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</si>
  <si>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</si>
  <si>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</si>
  <si>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</si>
  <si>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</si>
  <si>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</si>
  <si>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</si>
  <si>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</si>
  <si>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</si>
  <si>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</si>
  <si>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</si>
  <si>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</si>
  <si>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</si>
  <si>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</si>
  <si>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</si>
  <si>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</si>
  <si>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</si>
  <si>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</si>
  <si>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</si>
  <si>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</si>
  <si>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</si>
  <si>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</si>
  <si>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</si>
  <si>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</si>
  <si>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</si>
  <si>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</si>
  <si>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</si>
  <si>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</si>
  <si>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</si>
  <si>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</si>
  <si>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</si>
  <si>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</si>
  <si>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</si>
  <si>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</si>
  <si>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</si>
  <si>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</si>
  <si>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</si>
  <si>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</si>
  <si>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</si>
  <si>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</si>
  <si>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</si>
  <si>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</si>
  <si>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</si>
  <si>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</si>
  <si>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</si>
  <si>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</si>
  <si>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</si>
  <si>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</si>
  <si>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</si>
  <si>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</si>
  <si>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</si>
  <si>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</si>
  <si>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</si>
  <si>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</si>
  <si>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</si>
  <si>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</si>
  <si>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</si>
  <si>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</si>
  <si>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</si>
  <si>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</si>
  <si>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</si>
  <si>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</si>
  <si>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</si>
  <si>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</si>
  <si>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</si>
  <si>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</si>
  <si>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</si>
  <si>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</si>
  <si>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</si>
  <si>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</si>
  <si>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</si>
  <si>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</si>
  <si>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</si>
  <si>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</si>
  <si>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</si>
  <si>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</si>
  <si>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</si>
  <si>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</si>
  <si>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</si>
  <si>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</si>
  <si>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</si>
  <si>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</si>
  <si>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</si>
  <si>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</si>
  <si>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</si>
  <si>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</si>
  <si>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</si>
  <si>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</si>
  <si>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</si>
  <si>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</si>
  <si>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</si>
  <si>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</si>
  <si>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</si>
  <si>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</si>
  <si>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</si>
  <si>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</si>
  <si>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</si>
  <si>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</si>
  <si>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</si>
  <si>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</si>
  <si>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</si>
  <si>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</si>
  <si>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</si>
  <si>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</si>
  <si>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</si>
  <si>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</si>
  <si>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</si>
  <si>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</si>
  <si>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</si>
  <si>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</si>
  <si>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</si>
  <si>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</si>
  <si>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</si>
  <si>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</si>
  <si>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</si>
  <si>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</si>
  <si>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</si>
  <si>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</si>
  <si>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</si>
  <si>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</si>
  <si>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</si>
  <si>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</si>
  <si>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</si>
  <si>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</si>
  <si>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</si>
  <si>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</si>
  <si>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</si>
  <si>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</si>
  <si>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</si>
  <si>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</si>
  <si>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</si>
  <si>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</si>
  <si>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</si>
  <si>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</si>
  <si>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</si>
  <si>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</si>
  <si>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</si>
  <si>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</si>
  <si>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</si>
  <si>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</si>
  <si>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</si>
  <si>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</si>
  <si>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</si>
  <si>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</si>
  <si>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</si>
  <si>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</si>
  <si>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</si>
  <si>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</si>
  <si>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</si>
  <si>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</si>
  <si>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</si>
  <si>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</si>
  <si>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</si>
  <si>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</si>
  <si>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</si>
  <si>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</si>
  <si>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</si>
  <si>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</si>
  <si>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</si>
  <si>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</si>
  <si>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</si>
  <si>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</si>
  <si>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</si>
  <si>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</si>
  <si>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</si>
  <si>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</si>
  <si>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</si>
  <si>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</si>
  <si>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</si>
  <si>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</si>
  <si>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</si>
  <si>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</si>
  <si>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</si>
  <si>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</si>
  <si>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</si>
  <si>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</si>
  <si>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</si>
  <si>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</si>
  <si>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</si>
  <si>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</si>
  <si>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</si>
  <si>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</si>
  <si>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</si>
  <si>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</si>
  <si>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</si>
  <si>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</si>
  <si>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</si>
  <si>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</si>
  <si>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</si>
  <si>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</si>
  <si>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</si>
  <si>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</si>
  <si>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</si>
  <si>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</si>
  <si>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</si>
  <si>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</si>
  <si>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</si>
  <si>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</si>
  <si>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</si>
  <si>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</si>
  <si>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</si>
  <si>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</si>
  <si>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</si>
  <si>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</si>
  <si>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</si>
  <si>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</si>
  <si>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</si>
  <si>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</si>
  <si>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</si>
  <si>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</si>
  <si>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</si>
  <si>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</si>
  <si>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</si>
  <si>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</si>
  <si>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</si>
  <si>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</si>
  <si>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</si>
  <si>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</si>
  <si>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</si>
  <si>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</si>
  <si>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</si>
  <si>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</si>
  <si>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</si>
  <si>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</si>
  <si>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</si>
  <si>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</si>
  <si>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</si>
  <si>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</si>
  <si>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</si>
  <si>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</si>
  <si>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</si>
  <si>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</si>
  <si>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</si>
  <si>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</si>
  <si>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</si>
  <si>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</si>
  <si>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</si>
  <si>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</si>
  <si>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</si>
  <si>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</si>
  <si>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</si>
  <si>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</si>
  <si>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</si>
  <si>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</si>
  <si>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</si>
  <si>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</si>
  <si>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</si>
  <si>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</si>
  <si>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</si>
  <si>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</si>
  <si>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</si>
  <si>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</si>
  <si>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</si>
  <si>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</si>
  <si>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</si>
  <si>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</si>
  <si>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</si>
  <si>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</si>
  <si>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</si>
  <si>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</si>
  <si>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</si>
  <si>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</si>
  <si>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</si>
  <si>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</si>
  <si>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</si>
  <si>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</si>
  <si>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</si>
  <si>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</si>
  <si>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</si>
  <si>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</si>
  <si>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</si>
  <si>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</si>
  <si>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</si>
  <si>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</si>
  <si>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</si>
  <si>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</si>
  <si>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</si>
  <si>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</si>
  <si>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</si>
  <si>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</si>
  <si>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</si>
  <si>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</si>
  <si>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</si>
  <si>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</si>
  <si>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</si>
  <si>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</si>
  <si>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</si>
  <si>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</si>
  <si>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</si>
  <si>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</si>
  <si>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</si>
  <si>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</si>
  <si>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</si>
  <si>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</si>
  <si>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</si>
  <si>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</si>
  <si>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</si>
  <si>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</si>
  <si>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</si>
  <si>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</si>
  <si>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</si>
  <si>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</si>
  <si>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</si>
  <si>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</si>
  <si>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</si>
  <si>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</si>
  <si>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</si>
  <si>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</si>
  <si>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</si>
  <si>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</si>
  <si>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</si>
  <si>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</si>
  <si>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</si>
  <si>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</si>
  <si>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</si>
  <si>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</si>
  <si>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</si>
  <si>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</si>
  <si>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</si>
  <si>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</si>
  <si>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</si>
  <si>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</si>
  <si>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</si>
  <si>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</si>
  <si>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</si>
  <si>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</si>
  <si>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</si>
  <si>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</si>
  <si>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</si>
  <si>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</si>
  <si>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</si>
  <si>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</si>
  <si>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</si>
  <si>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</si>
  <si>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</si>
  <si>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</si>
  <si>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</si>
  <si>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</si>
  <si>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</si>
  <si>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</si>
  <si>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</si>
  <si>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</si>
  <si>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</si>
  <si>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</si>
  <si>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</si>
  <si>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</si>
  <si>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</si>
  <si>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</si>
  <si>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</si>
  <si>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</si>
  <si>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</si>
  <si>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</si>
  <si>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</si>
  <si>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</si>
  <si>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</si>
  <si>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</si>
  <si>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</si>
  <si>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</si>
  <si>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</si>
  <si>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</si>
  <si>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</si>
  <si>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</si>
  <si>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</si>
  <si>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</si>
  <si>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</si>
  <si>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</si>
  <si>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</si>
  <si>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</si>
  <si>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</si>
  <si>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</si>
  <si>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</si>
  <si>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</si>
  <si>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</si>
  <si>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</si>
  <si>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</si>
  <si>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</si>
  <si>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</si>
  <si>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</si>
  <si>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</si>
  <si>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</si>
  <si>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</si>
  <si>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</si>
  <si>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</si>
  <si>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</si>
  <si>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</si>
  <si>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</si>
  <si>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</si>
  <si>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</si>
  <si>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</si>
  <si>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</si>
  <si>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</si>
  <si>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</si>
  <si>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</si>
  <si>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</si>
  <si>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</si>
  <si>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</si>
  <si>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</si>
  <si>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</si>
  <si>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</si>
  <si>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</si>
  <si>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</si>
  <si>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</si>
  <si>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</si>
  <si>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</si>
  <si>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</si>
  <si>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</si>
  <si>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</si>
  <si>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</si>
  <si>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</si>
  <si>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</si>
  <si>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</si>
  <si>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</si>
  <si>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</si>
  <si>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</si>
  <si>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</si>
  <si>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</si>
  <si>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</si>
  <si>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</si>
  <si>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</si>
  <si>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</si>
  <si>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</si>
  <si>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</si>
  <si>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</si>
  <si>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</si>
  <si>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</si>
  <si>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</si>
  <si>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</si>
  <si>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</si>
  <si>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</si>
  <si>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</si>
  <si>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</si>
  <si>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</si>
  <si>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</si>
  <si>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</si>
  <si>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</si>
  <si>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</si>
  <si>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</si>
  <si>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</si>
  <si>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</si>
  <si>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</si>
  <si>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</si>
  <si>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</si>
  <si>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</si>
  <si>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</si>
  <si>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</si>
  <si>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</si>
  <si>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</si>
  <si>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</si>
  <si>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</si>
  <si>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</si>
  <si>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</si>
  <si>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</si>
  <si>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</si>
  <si>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</si>
  <si>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</si>
  <si>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</si>
  <si>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</si>
  <si>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</si>
  <si>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</si>
  <si>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</si>
  <si>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</si>
  <si>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</si>
  <si>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</si>
  <si>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</si>
  <si>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</si>
  <si>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</si>
  <si>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</si>
  <si>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</si>
  <si>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</si>
  <si>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</si>
  <si>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</si>
  <si>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</si>
  <si>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</si>
  <si>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</si>
  <si>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</si>
  <si>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</si>
  <si>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</si>
  <si>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</si>
  <si>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</si>
  <si>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</si>
  <si>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</si>
  <si>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</si>
  <si>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</si>
  <si>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</si>
  <si>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</si>
  <si>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</si>
  <si>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</si>
  <si>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</si>
  <si>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</si>
  <si>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</si>
  <si>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</si>
  <si>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</si>
  <si>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</si>
  <si>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</si>
  <si>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</si>
  <si>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</si>
  <si>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</si>
  <si>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</si>
  <si>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</si>
  <si>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</si>
  <si>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</si>
  <si>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</si>
  <si>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</si>
  <si>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</si>
  <si>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</si>
  <si>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</si>
  <si>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</si>
  <si>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</si>
  <si>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</si>
  <si>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</si>
  <si>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</si>
  <si>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</si>
  <si>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</si>
  <si>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</si>
  <si>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</si>
  <si>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</si>
  <si>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</si>
  <si>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</si>
  <si>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</si>
  <si>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</si>
  <si>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</si>
  <si>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</si>
  <si>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</si>
  <si>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</si>
  <si>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</si>
  <si>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</si>
  <si>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</si>
  <si>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</si>
  <si>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</si>
  <si>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</si>
  <si>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</si>
  <si>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</si>
  <si>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</si>
  <si>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</si>
  <si>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</si>
  <si>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</si>
  <si>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</si>
  <si>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</si>
  <si>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</si>
  <si>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</si>
  <si>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</si>
  <si>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</si>
  <si>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</si>
  <si>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</si>
  <si>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</si>
  <si>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</si>
  <si>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</si>
  <si>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</si>
  <si>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</si>
  <si>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</si>
  <si>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</si>
  <si>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</si>
  <si>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</si>
  <si>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</si>
  <si>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</si>
  <si>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</si>
  <si>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</si>
  <si>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</si>
  <si>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</si>
  <si>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</si>
  <si>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</si>
  <si>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</si>
  <si>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</si>
  <si>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</si>
  <si>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</si>
  <si>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</si>
  <si>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</si>
  <si>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</si>
  <si>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</si>
  <si>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</si>
  <si>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</si>
  <si>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</si>
  <si>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</si>
  <si>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</si>
  <si>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</si>
  <si>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</si>
  <si>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</si>
  <si>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</si>
  <si>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</si>
  <si>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Richland Village LP</t>
  </si>
  <si>
    <t>Richland Village</t>
  </si>
  <si>
    <t>City of Yuba City</t>
  </si>
  <si>
    <t>Diana Langley</t>
  </si>
  <si>
    <t>1201 Civic Center Boulevard</t>
  </si>
  <si>
    <t>Yuba City</t>
  </si>
  <si>
    <t xml:space="preserve">(530) 822-4602	</t>
  </si>
  <si>
    <t xml:space="preserve">dlangley@yubacity.net		</t>
  </si>
  <si>
    <t>470 Bernard Drive</t>
  </si>
  <si>
    <t xml:space="preserve">53-470-091	</t>
  </si>
  <si>
    <t>Low Resource</t>
  </si>
  <si>
    <t>$500M</t>
  </si>
  <si>
    <t>40%/60%</t>
  </si>
  <si>
    <t>1455 Butte House Road</t>
  </si>
  <si>
    <t>CA</t>
  </si>
  <si>
    <t>Gustavo Becerra</t>
  </si>
  <si>
    <t>(530)671-0220</t>
  </si>
  <si>
    <t>g.becerra@regionalha.org</t>
  </si>
  <si>
    <t xml:space="preserve">SHG Richland LLC /  Richland Village-SCAH, LLC	</t>
  </si>
  <si>
    <t>SHG Richland LLC</t>
  </si>
  <si>
    <t>Administrative GP</t>
  </si>
  <si>
    <t>2745 Portage Bay East</t>
  </si>
  <si>
    <t>Davis</t>
  </si>
  <si>
    <t>Luke Watkins</t>
  </si>
  <si>
    <t>(530)400-2927</t>
  </si>
  <si>
    <t>lukewatkins@sbcglobal.net</t>
  </si>
  <si>
    <t>Sage Housing Group LLC</t>
  </si>
  <si>
    <t>Richland Village-SCAH, LLC</t>
  </si>
  <si>
    <t>Managing GP</t>
  </si>
  <si>
    <t>Sutter Community Affordable Housing</t>
  </si>
  <si>
    <t>Sabelhaus and Strain, LLP</t>
  </si>
  <si>
    <t>1724 10th Street, Ste. 110</t>
  </si>
  <si>
    <t>Stephen A. Strain</t>
  </si>
  <si>
    <t>(916)444-0286</t>
  </si>
  <si>
    <t>sstrain@sabelhauslaw.com</t>
  </si>
  <si>
    <t>Attorney</t>
  </si>
  <si>
    <t>Sutter Community Affordable Housing / Sage Housing Group</t>
  </si>
  <si>
    <t>1455 Butte House Rd / 2745 Portage Bay E</t>
  </si>
  <si>
    <t>Yuba City, CA 95993 / Davis, CA 95616</t>
  </si>
  <si>
    <t>Gustavo Becerra / Luke Watkins</t>
  </si>
  <si>
    <t xml:space="preserve">530-671-0220 / 530-400-2927	</t>
  </si>
  <si>
    <t>g.becerra@regionalha.org / lukewatkins@sbcglobal.net</t>
  </si>
  <si>
    <t>Kuchman Architects PC</t>
  </si>
  <si>
    <t>2203 13th Street</t>
  </si>
  <si>
    <t>Sacramento, CA 95818</t>
  </si>
  <si>
    <t>Philip Harvey</t>
  </si>
  <si>
    <t>(916) 447-3436</t>
  </si>
  <si>
    <t>phil@kuchman.com</t>
  </si>
  <si>
    <t>Sacramento, CA 95811</t>
  </si>
  <si>
    <t>Bernard Rea, CPA</t>
  </si>
  <si>
    <t xml:space="preserve">P.O. Box 4632 </t>
  </si>
  <si>
    <t>Stockton, CA 95204</t>
  </si>
  <si>
    <t>Bernard Rea</t>
  </si>
  <si>
    <t>breaCPA@aol.com</t>
  </si>
  <si>
    <t>Kinetic Valuation Group, Inc.</t>
  </si>
  <si>
    <t>P.O. Box 68</t>
  </si>
  <si>
    <t>Corona Del Mar, CA 92625</t>
  </si>
  <si>
    <t>Amanda Baker</t>
  </si>
  <si>
    <t xml:space="preserve">amanda@kvgteam.com	</t>
  </si>
  <si>
    <t>California Municipal Finance Authority</t>
  </si>
  <si>
    <t>2111 Palomar Airport Road, Ste. 320</t>
  </si>
  <si>
    <t>Carlsbad, CA 92011</t>
  </si>
  <si>
    <t>Ben Barker</t>
  </si>
  <si>
    <t>bbarker@cmfa-ca.com</t>
  </si>
  <si>
    <t>Enterprise Housing Credit Investments</t>
  </si>
  <si>
    <t>11000 Broken Land Parkway, Ste. 700</t>
  </si>
  <si>
    <t>Columbia, MD 21044</t>
  </si>
  <si>
    <t>Philip Porter</t>
  </si>
  <si>
    <t xml:space="preserve">(410) 772-2594	</t>
  </si>
  <si>
    <t>pporter@enterprisecommunity.com</t>
  </si>
  <si>
    <t>M.E. Shay &amp; Co.</t>
  </si>
  <si>
    <t>Mary Ellen Shay</t>
  </si>
  <si>
    <t xml:space="preserve">meshayco@gmail.com	</t>
  </si>
  <si>
    <t>John Stewart Company</t>
  </si>
  <si>
    <t>1796 Tribute Road, Ste. 100</t>
  </si>
  <si>
    <t>Sacramento, CA 95815</t>
  </si>
  <si>
    <t>Tracy Esposito</t>
  </si>
  <si>
    <t>Regional Housing Authority</t>
  </si>
  <si>
    <t>Executive Director</t>
  </si>
  <si>
    <t>Yuba City, CA 95993</t>
  </si>
  <si>
    <t>8/8.22</t>
  </si>
  <si>
    <t>Other (Specify below)</t>
  </si>
  <si>
    <t>Three Story Garden</t>
  </si>
  <si>
    <t>Secured by Fee Interest</t>
  </si>
  <si>
    <t>Family</t>
  </si>
  <si>
    <t>R-3 - Residential Multi Family and (C3) X-5c General Commercial (Combining District)</t>
  </si>
  <si>
    <t>R-3 - Residential Multi Family; 1 unit per 1,500 sq ft. of lot</t>
  </si>
  <si>
    <t xml:space="preserve">R-3 - Residential Multi Family; 80% increase in density due to 100% affordable units																		</t>
  </si>
  <si>
    <t>100% affordable units</t>
  </si>
  <si>
    <t>48 feet</t>
  </si>
  <si>
    <t>1.1:unit</t>
  </si>
  <si>
    <t>Development Plan</t>
  </si>
  <si>
    <t>HCD AHSC HRI &amp; AHD</t>
  </si>
  <si>
    <t>RHA Impact Fee Loan &amp; Land Loan</t>
  </si>
  <si>
    <t>Sutter County</t>
  </si>
  <si>
    <t>Yuba City Unified School District</t>
  </si>
  <si>
    <t>3/9/2042</t>
  </si>
  <si>
    <t>RHA BUILD Loan</t>
  </si>
  <si>
    <t>Other: Payment and Preformance Bonds</t>
  </si>
  <si>
    <t>Other: Lender Inspection Fees, Const. Mgmt &amp; Testing+ Prev Wage Monitoring</t>
  </si>
  <si>
    <t xml:space="preserve">Other: NEPA/Relocation/Energy Consultants + Accounting </t>
  </si>
  <si>
    <t>Office</t>
  </si>
  <si>
    <t>Taxes &amp; Benefits</t>
  </si>
  <si>
    <t>Supplies</t>
  </si>
  <si>
    <t>Provided</t>
  </si>
  <si>
    <t>Not Applicable</t>
  </si>
  <si>
    <t>HCD AHSC HRI</t>
  </si>
  <si>
    <t>Yuba City Unified Schood District</t>
  </si>
  <si>
    <t>RHA -- City Loan</t>
  </si>
  <si>
    <t>RHA Land Acquisition Loan</t>
  </si>
  <si>
    <t>Enterprise Community Capital</t>
  </si>
  <si>
    <t>Fixed</t>
  </si>
  <si>
    <t>Richland Village, LP</t>
  </si>
  <si>
    <t xml:space="preserve">Pacific Western Bank </t>
  </si>
  <si>
    <t>101 S Chestnut Street</t>
  </si>
  <si>
    <t>Gary Hopkins</t>
  </si>
  <si>
    <t>Tax-Exempt Construction Loan</t>
  </si>
  <si>
    <t>Taxable Construction Loan</t>
  </si>
  <si>
    <t>P.O. Box 952054</t>
  </si>
  <si>
    <t>Jennifer Seeger</t>
  </si>
  <si>
    <t xml:space="preserve">AHSC HRI </t>
  </si>
  <si>
    <t>1160 Civic Center Blvd.</t>
  </si>
  <si>
    <t>Steven Smith</t>
  </si>
  <si>
    <t>Deferred Impact Fee Loan</t>
  </si>
  <si>
    <t>750 Palora Avenue</t>
  </si>
  <si>
    <t>Scott Bentley</t>
  </si>
  <si>
    <t>Marco Cruz</t>
  </si>
  <si>
    <t>Subordinate Residual Receipts Loan</t>
  </si>
  <si>
    <t>Seller Carryback Note</t>
  </si>
  <si>
    <t>Subordinate BUILD Funds Loan</t>
  </si>
  <si>
    <t>11000 Broken Land Parkway, Suite 700</t>
  </si>
  <si>
    <t>Columbia, MD</t>
  </si>
  <si>
    <t>LIHTC Investor Equity</t>
  </si>
  <si>
    <t>Costs Deferred to Permanent Phase</t>
  </si>
  <si>
    <t>Pacific Western Bank</t>
  </si>
  <si>
    <t>HCD AHSC AHD Loan</t>
  </si>
  <si>
    <t>RHA-City Loan</t>
  </si>
  <si>
    <t>Energy Credit Equity</t>
  </si>
  <si>
    <t>Tax-Exempt Permanent Loan</t>
  </si>
  <si>
    <t>P.O. Box 950254</t>
  </si>
  <si>
    <t>AHSC AHD Loan</t>
  </si>
  <si>
    <t>1160 Civic Center Boulevard</t>
  </si>
  <si>
    <t>Subordinate Soft Loan</t>
  </si>
  <si>
    <t>Seller Carryback Loan</t>
  </si>
  <si>
    <t>BUILD Funds Loan</t>
  </si>
  <si>
    <t>Air Conditioning</t>
  </si>
  <si>
    <t>HCD AHSC AHD &amp; HRI</t>
  </si>
  <si>
    <t>Impact Fee Deferral Loans</t>
  </si>
  <si>
    <t>Regional Housing Authority Loans</t>
  </si>
  <si>
    <t>Project-based vouchers (PBVs)</t>
  </si>
  <si>
    <t>Regional Housing Authority - HUD project-based vouchers</t>
  </si>
  <si>
    <t>Costs of Issuance</t>
  </si>
  <si>
    <t>Other: Transition Reserve &amp; Investor Operating Reserve</t>
  </si>
  <si>
    <t>Regional Housing Authority (Parent Company of Managing General Partner)</t>
  </si>
  <si>
    <t>HCD - AHSC HRI</t>
  </si>
  <si>
    <t>HCD - AHSC AHD</t>
  </si>
  <si>
    <t>Sutter County Deferred Impact Fee Loan</t>
  </si>
  <si>
    <t>Yuba City Unified School District Deferred Impact Fee Loan</t>
  </si>
  <si>
    <t>Regional Housing Authority City Loan</t>
  </si>
  <si>
    <t>Regional Housing Authority Land Acquisition Loan</t>
  </si>
  <si>
    <t>Regional Housing Authority BUILD Loan</t>
  </si>
  <si>
    <t>1 bedroom</t>
  </si>
  <si>
    <t>2 bedroom</t>
  </si>
  <si>
    <t>3 bedroom</t>
  </si>
  <si>
    <t>HCD AHSC AHD</t>
  </si>
  <si>
    <t>Bond Issuer Monitoring Fee</t>
  </si>
  <si>
    <t>Subordinate Soft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</si>
</sst>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2435</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2436</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2437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2438</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2445</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2446</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662</v>
      </c>
      <c r="F42" s="1260" t="s">
        <v>1307</v>
      </c>
    </row>
    <row r="43" spans="1:38" s="1260" customFormat="1" ht="13.2"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0" t="s">
        <v>2440</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2442</v>
      </c>
      <c r="F140" s="2"/>
      <c r="G140" s="2"/>
      <c r="H140" s="2"/>
    </row>
    <row r="141" spans="4:37">
      <c r="E141" t="s">
        <v>113</v>
      </c>
      <c r="F141" t="s">
        <v>52</v>
      </c>
    </row>
    <row r="142" spans="4:37">
      <c r="E142" t="s">
        <v>114</v>
      </c>
      <c r="F142" t="s">
        <v>475</v>
      </c>
    </row>
    <row r="143" spans="4:37"/>
    <row r="144" spans="4:37">
      <c r="D144" s="2" t="s">
        <v>430</v>
      </c>
      <c r="E144" s="2" t="s">
        <v>2443</v>
      </c>
    </row>
    <row r="145" spans="3:7">
      <c r="E145" s="218" t="s">
        <v>2444</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2"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154" t="s">
        <v>2521</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2569</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6" t="str">
        <f>IF(Application!H18="","",Application!H18)</f>
        <v>Richland Village</v>
      </c>
      <c r="M4" s="2147"/>
      <c r="N4" s="2147"/>
      <c r="O4" s="2147"/>
      <c r="P4" s="2147"/>
      <c r="Q4" s="2147"/>
      <c r="R4" s="2147"/>
      <c r="S4" s="2147"/>
      <c r="T4" s="2147"/>
      <c r="U4" s="2147"/>
      <c r="V4" s="2147"/>
      <c r="W4" s="2147"/>
      <c r="X4" s="2147"/>
      <c r="Y4" s="2147"/>
      <c r="Z4" s="2147"/>
      <c r="AA4" s="2147"/>
      <c r="AB4" s="2147"/>
      <c r="AC4" s="2148"/>
      <c r="AD4" s="1207"/>
      <c r="AE4" s="1207"/>
      <c r="AF4" s="2160" t="s">
        <v>2570</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2571</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6" t="str">
        <f>IF(Application!H16="","",Application!H16)</f>
        <v>Richland Village LP</v>
      </c>
      <c r="M6" s="2147"/>
      <c r="N6" s="2147"/>
      <c r="O6" s="2147"/>
      <c r="P6" s="2147"/>
      <c r="Q6" s="2147"/>
      <c r="R6" s="2147"/>
      <c r="S6" s="2147"/>
      <c r="T6" s="2147"/>
      <c r="U6" s="2147"/>
      <c r="V6" s="2147"/>
      <c r="W6" s="2147"/>
      <c r="X6" s="2147"/>
      <c r="Y6" s="2147"/>
      <c r="Z6" s="2147"/>
      <c r="AA6" s="2147"/>
      <c r="AB6" s="2147"/>
      <c r="AC6" s="2148"/>
      <c r="AD6" s="1207"/>
      <c r="AE6" s="1207"/>
      <c r="AF6" s="2149" t="s">
        <v>2572</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2573</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2574</v>
      </c>
      <c r="AG8" s="2149"/>
      <c r="AH8" s="2149"/>
      <c r="AI8" s="2149"/>
      <c r="AJ8" s="2149"/>
      <c r="AK8" s="2149"/>
      <c r="AL8" s="2149"/>
      <c r="AM8" s="2149"/>
      <c r="AN8" s="2149"/>
      <c r="AO8" s="2149"/>
      <c r="AP8" s="2150" t="s">
        <v>2526</v>
      </c>
      <c r="AQ8" s="2150"/>
      <c r="AR8" s="2150"/>
      <c r="AS8" s="2150"/>
      <c r="AT8" s="2150"/>
      <c r="AU8" s="2150"/>
      <c r="AV8" s="1207"/>
      <c r="AW8" s="1207"/>
      <c r="AX8" s="1207"/>
      <c r="AY8" s="1207"/>
      <c r="AZ8" s="1207"/>
      <c r="BA8" s="1207"/>
      <c r="BB8" s="1207"/>
      <c r="BC8" s="1207"/>
      <c r="BD8" s="1207"/>
      <c r="BE8" s="1208"/>
      <c r="BM8" s="1204" t="s">
        <v>2377</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4.4">
      <c r="A10" s="1206"/>
      <c r="B10" s="1209" t="s">
        <v>1860</v>
      </c>
      <c r="C10" s="1209"/>
      <c r="D10" s="1209"/>
      <c r="E10" s="1209"/>
      <c r="F10" s="1209"/>
      <c r="G10" s="1209"/>
      <c r="H10" s="1209"/>
      <c r="I10" s="1209"/>
      <c r="J10" s="1209"/>
      <c r="K10" s="1209"/>
      <c r="L10" s="1209"/>
      <c r="M10" s="1207"/>
      <c r="N10" s="2177">
        <f>Application!AO623</f>
        <v>6000000</v>
      </c>
      <c r="O10" s="2177"/>
      <c r="P10" s="2177"/>
      <c r="Q10" s="2177"/>
      <c r="R10" s="2177"/>
      <c r="S10" s="2177"/>
      <c r="T10" s="2177"/>
      <c r="U10" s="1207"/>
      <c r="V10" s="1207"/>
      <c r="W10" s="1207"/>
      <c r="X10" s="2163" t="s">
        <v>2576</v>
      </c>
      <c r="Y10" s="2163"/>
      <c r="Z10" s="2163"/>
      <c r="AA10" s="2163"/>
      <c r="AB10" s="2163"/>
      <c r="AC10" s="2163"/>
      <c r="AD10" s="2163"/>
      <c r="AE10" s="2163"/>
      <c r="AF10" s="2163"/>
      <c r="AG10" s="2163"/>
      <c r="AH10" s="2163"/>
      <c r="AI10" s="2163"/>
      <c r="AJ10" s="2163"/>
      <c r="AK10" s="2163"/>
      <c r="AL10" s="2178">
        <f>Application!W471</f>
        <v>0</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2577</v>
      </c>
    </row>
    <row r="11" spans="1:65" ht="14.4">
      <c r="A11" s="1206"/>
      <c r="B11" s="1209" t="s">
        <v>1861</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2578</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2526</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2579</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2580</v>
      </c>
    </row>
    <row r="13" spans="1:65" ht="15" thickBot="1">
      <c r="A13" s="1207"/>
      <c r="B13" s="2166" t="s">
        <v>1862</v>
      </c>
      <c r="C13" s="2167"/>
      <c r="D13" s="2167"/>
      <c r="E13" s="2167"/>
      <c r="F13" s="2167"/>
      <c r="G13" s="2167"/>
      <c r="H13" s="2167"/>
      <c r="I13" s="2167"/>
      <c r="J13" s="2167"/>
      <c r="K13" s="2167"/>
      <c r="L13" s="2167"/>
      <c r="M13" s="2167"/>
      <c r="N13" s="2167"/>
      <c r="O13" s="2167"/>
      <c r="P13" s="2168"/>
      <c r="Q13" s="2169" t="s">
        <v>678</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2" t="s">
        <v>1863</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1" t="s">
        <v>1864</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1865</v>
      </c>
      <c r="C18" s="2185"/>
      <c r="D18" s="2185"/>
      <c r="E18" s="2185"/>
      <c r="F18" s="2185"/>
      <c r="G18" s="2185"/>
      <c r="H18" s="2185"/>
      <c r="I18" s="2186"/>
      <c r="J18" s="2187" t="s">
        <v>1764</v>
      </c>
      <c r="K18" s="2188"/>
      <c r="L18" s="2188"/>
      <c r="M18" s="2188"/>
      <c r="N18" s="2188"/>
      <c r="O18" s="2189"/>
      <c r="P18" s="2187" t="s">
        <v>325</v>
      </c>
      <c r="Q18" s="2188"/>
      <c r="R18" s="2188"/>
      <c r="S18" s="2188"/>
      <c r="T18" s="2188"/>
      <c r="U18" s="2189"/>
      <c r="V18" s="2187" t="s">
        <v>326</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1866</v>
      </c>
      <c r="AU18" s="2188"/>
      <c r="AV18" s="2188"/>
      <c r="AW18" s="2188"/>
      <c r="AX18" s="2188"/>
      <c r="AY18" s="2190"/>
      <c r="AZ18" s="1207"/>
      <c r="BA18" s="1207"/>
      <c r="BB18" s="1207"/>
      <c r="BC18" s="1207"/>
      <c r="BD18" s="1207"/>
      <c r="BE18" s="1213"/>
    </row>
    <row r="19" spans="1:58" ht="14.4">
      <c r="A19" s="1207"/>
      <c r="B19" s="2197">
        <v>0.3</v>
      </c>
      <c r="C19" s="2198"/>
      <c r="D19" s="2198"/>
      <c r="E19" s="2198"/>
      <c r="F19" s="2198"/>
      <c r="G19" s="2198"/>
      <c r="H19" s="2198"/>
      <c r="I19" s="2199"/>
      <c r="J19" s="2191">
        <f>SUM(P19:AS19)</f>
        <v>36</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18</v>
      </c>
      <c r="W19" s="2192"/>
      <c r="X19" s="2192"/>
      <c r="Y19" s="2192"/>
      <c r="Z19" s="2192"/>
      <c r="AA19" s="2193"/>
      <c r="AB19" s="2191" cm="1">
        <f t="array" ref="AB19">SUMPRODUCT((Application!$B$714:$B$738 = 'CalHFA Addendum'!AB$18)*(Application!$AC$714:$AC$738 = 'CalHFA Addendum'!$B19),Application!$G$714:$G$738)</f>
        <v>9</v>
      </c>
      <c r="AC19" s="2192"/>
      <c r="AD19" s="2192"/>
      <c r="AE19" s="2192"/>
      <c r="AF19" s="2192"/>
      <c r="AG19" s="2193"/>
      <c r="AH19" s="2191" cm="1">
        <f t="array" ref="AH19">SUMPRODUCT((Application!$B$714:$B$738 = 'CalHFA Addendum'!AH$18)*(Application!$AC$714:$AC$738 = 'CalHFA Addendum'!$B19),Application!$G$714:$G$738)</f>
        <v>9</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0.20454545454545456</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0</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0</v>
      </c>
      <c r="W20" s="2192"/>
      <c r="X20" s="2192"/>
      <c r="Y20" s="2192"/>
      <c r="Z20" s="2192"/>
      <c r="AA20" s="2193"/>
      <c r="AB20" s="2191" cm="1">
        <f t="array" ref="AB20">SUMPRODUCT((Application!$B$714:$B$738 = 'CalHFA Addendum'!AB$18)*(Application!$AC$714:$AC$738 = 'CalHFA Addendum'!$B20),Application!$G$714:$G$738)</f>
        <v>0</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v>
      </c>
      <c r="AU20" s="2195"/>
      <c r="AV20" s="2195"/>
      <c r="AW20" s="2195"/>
      <c r="AX20" s="2195"/>
      <c r="AY20" s="2196"/>
      <c r="AZ20" s="1207"/>
      <c r="BA20" s="1207"/>
      <c r="BB20" s="1207"/>
      <c r="BC20" s="1207"/>
      <c r="BD20" s="1207"/>
      <c r="BE20" s="1213"/>
    </row>
    <row r="21" spans="1:58" ht="14.4">
      <c r="A21" s="1207"/>
      <c r="B21" s="2197">
        <v>0.5</v>
      </c>
      <c r="C21" s="2198"/>
      <c r="D21" s="2198"/>
      <c r="E21" s="2198"/>
      <c r="F21" s="2198"/>
      <c r="G21" s="2198"/>
      <c r="H21" s="2198"/>
      <c r="I21" s="2199"/>
      <c r="J21" s="2191">
        <f t="shared" si="1"/>
        <v>71</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35</v>
      </c>
      <c r="W21" s="2192"/>
      <c r="X21" s="2192"/>
      <c r="Y21" s="2192"/>
      <c r="Z21" s="2192"/>
      <c r="AA21" s="2193"/>
      <c r="AB21" s="2191" cm="1">
        <f t="array" ref="AB21">SUMPRODUCT((Application!$B$714:$B$738 = 'CalHFA Addendum'!AB$18)*(Application!$AC$714:$AC$738 = 'CalHFA Addendum'!$B21),Application!$G$714:$G$738)</f>
        <v>18</v>
      </c>
      <c r="AC21" s="2192"/>
      <c r="AD21" s="2192"/>
      <c r="AE21" s="2192"/>
      <c r="AF21" s="2192"/>
      <c r="AG21" s="2193"/>
      <c r="AH21" s="2191" cm="1">
        <f t="array" ref="AH21">SUMPRODUCT((Application!$B$714:$B$738 = 'CalHFA Addendum'!AH$18)*(Application!$AC$714:$AC$738 = 'CalHFA Addendum'!$B21),Application!$G$714:$G$738)</f>
        <v>18</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0.40340909090909088</v>
      </c>
      <c r="AU21" s="2195"/>
      <c r="AV21" s="2195"/>
      <c r="AW21" s="2195"/>
      <c r="AX21" s="2195"/>
      <c r="AY21" s="2196"/>
      <c r="AZ21" s="1207"/>
      <c r="BA21" s="1207"/>
      <c r="BB21" s="1207"/>
      <c r="BC21" s="1207"/>
      <c r="BD21" s="1207"/>
      <c r="BE21" s="1213"/>
    </row>
    <row r="22" spans="1:58" ht="14.4">
      <c r="A22" s="1207"/>
      <c r="B22" s="2197">
        <v>0.6</v>
      </c>
      <c r="C22" s="2198"/>
      <c r="D22" s="2198"/>
      <c r="E22" s="2198"/>
      <c r="F22" s="2198"/>
      <c r="G22" s="2198"/>
      <c r="H22" s="2198"/>
      <c r="I22" s="2199"/>
      <c r="J22" s="2191">
        <f t="shared" si="1"/>
        <v>68</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34</v>
      </c>
      <c r="W22" s="2192"/>
      <c r="X22" s="2192"/>
      <c r="Y22" s="2192"/>
      <c r="Z22" s="2192"/>
      <c r="AA22" s="2193"/>
      <c r="AB22" s="2191" cm="1">
        <f t="array" ref="AB22">SUMPRODUCT((Application!$B$714:$B$738 = 'CalHFA Addendum'!AB$18)*(Application!$AC$714:$AC$738 = 'CalHFA Addendum'!$B22),Application!$G$714:$G$738)</f>
        <v>17</v>
      </c>
      <c r="AC22" s="2192"/>
      <c r="AD22" s="2192"/>
      <c r="AE22" s="2192"/>
      <c r="AF22" s="2192"/>
      <c r="AG22" s="2193"/>
      <c r="AH22" s="2191" cm="1">
        <f t="array" ref="AH22">SUMPRODUCT((Application!$B$714:$B$738 = 'CalHFA Addendum'!AH$18)*(Application!$AC$714:$AC$738 = 'CalHFA Addendum'!$B22),Application!$G$714:$G$738)</f>
        <v>17</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0.38636363636363635</v>
      </c>
      <c r="AU22" s="2195"/>
      <c r="AV22" s="2195"/>
      <c r="AW22" s="2195"/>
      <c r="AX22" s="2195"/>
      <c r="AY22" s="2196"/>
      <c r="AZ22" s="1207"/>
      <c r="BA22" s="1207"/>
      <c r="BB22" s="1207"/>
      <c r="BC22" s="1207"/>
      <c r="BD22" s="1207"/>
      <c r="BE22" s="1213"/>
    </row>
    <row r="23" spans="1:58" ht="14.4">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4.4">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4.4">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4.4">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4.4">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ht="15" thickBot="1">
      <c r="A28" s="1207"/>
      <c r="B28" s="2200" t="s">
        <v>1867</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1</v>
      </c>
      <c r="W28" s="2204"/>
      <c r="X28" s="2204"/>
      <c r="Y28" s="2204"/>
      <c r="Z28" s="2204"/>
      <c r="AA28" s="2205"/>
      <c r="AB28" s="2203">
        <f>_xlfn.IFNA(VLOOKUP(AB$18,Application!$J$758:$S$761,6,FALSE), 0)</f>
        <v>0</v>
      </c>
      <c r="AC28" s="2204"/>
      <c r="AD28" s="2204"/>
      <c r="AE28" s="2204"/>
      <c r="AF28" s="2204"/>
      <c r="AG28" s="2205"/>
      <c r="AH28" s="2203">
        <f>_xlfn.IFNA(VLOOKUP(AH$18,Application!$J$758:$S$761,6,FALSE), 0)</f>
        <v>0</v>
      </c>
      <c r="AI28" s="2204"/>
      <c r="AJ28" s="2204"/>
      <c r="AK28" s="2204"/>
      <c r="AL28" s="2204"/>
      <c r="AM28" s="2205"/>
      <c r="AN28" s="2203">
        <f>_xlfn.IFNA(VLOOKUP(AN$18,Application!$J$758:$S$761,6,FALSE), 0)</f>
        <v>0</v>
      </c>
      <c r="AO28" s="2204"/>
      <c r="AP28" s="2204"/>
      <c r="AQ28" s="2204"/>
      <c r="AR28" s="2204"/>
      <c r="AS28" s="2205"/>
      <c r="AT28" s="2206">
        <f t="shared" si="0"/>
        <v>5.681818181818182E-3</v>
      </c>
      <c r="AU28" s="2207"/>
      <c r="AV28" s="2207"/>
      <c r="AW28" s="2207"/>
      <c r="AX28" s="2207"/>
      <c r="AY28" s="2208"/>
      <c r="AZ28" s="1207"/>
      <c r="BA28" s="1207"/>
      <c r="BB28" s="1207"/>
      <c r="BC28" s="1207"/>
      <c r="BD28" s="1207"/>
      <c r="BE28" s="1213"/>
    </row>
    <row r="29" spans="1:58" ht="15" thickBot="1">
      <c r="A29" s="1207"/>
      <c r="B29" s="2231" t="s">
        <v>1764</v>
      </c>
      <c r="C29" s="2214"/>
      <c r="D29" s="2214"/>
      <c r="E29" s="2214"/>
      <c r="F29" s="2214"/>
      <c r="G29" s="2214"/>
      <c r="H29" s="2214"/>
      <c r="I29" s="2215"/>
      <c r="J29" s="2213">
        <f>SUM(J19:O28)</f>
        <v>176</v>
      </c>
      <c r="K29" s="2214"/>
      <c r="L29" s="2214"/>
      <c r="M29" s="2214"/>
      <c r="N29" s="2214"/>
      <c r="O29" s="2215"/>
      <c r="P29" s="2213">
        <f>SUM(P19:U28)</f>
        <v>0</v>
      </c>
      <c r="Q29" s="2214"/>
      <c r="R29" s="2214"/>
      <c r="S29" s="2214"/>
      <c r="T29" s="2214"/>
      <c r="U29" s="2215"/>
      <c r="V29" s="2213">
        <f>SUM(V19:AA28)</f>
        <v>88</v>
      </c>
      <c r="W29" s="2214"/>
      <c r="X29" s="2214"/>
      <c r="Y29" s="2214"/>
      <c r="Z29" s="2214"/>
      <c r="AA29" s="2215"/>
      <c r="AB29" s="2213">
        <f>SUM(AB19:AG28)</f>
        <v>44</v>
      </c>
      <c r="AC29" s="2214"/>
      <c r="AD29" s="2214"/>
      <c r="AE29" s="2214"/>
      <c r="AF29" s="2214"/>
      <c r="AG29" s="2215"/>
      <c r="AH29" s="2213">
        <f>SUM(AH19:AM28)</f>
        <v>44</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9" t="s">
        <v>1868</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4.4">
      <c r="A32" s="1207"/>
      <c r="B32" s="2222" t="s">
        <v>2582</v>
      </c>
      <c r="C32" s="2223"/>
      <c r="D32" s="2223"/>
      <c r="E32" s="2223"/>
      <c r="F32" s="2223"/>
      <c r="G32" s="2223"/>
      <c r="H32" s="2223"/>
      <c r="I32" s="2223"/>
      <c r="J32" s="2225" t="s">
        <v>2583</v>
      </c>
      <c r="K32" s="2226"/>
      <c r="L32" s="2226"/>
      <c r="M32" s="2226"/>
      <c r="N32" s="2225" t="s">
        <v>1869</v>
      </c>
      <c r="O32" s="2226"/>
      <c r="P32" s="2226"/>
      <c r="Q32" s="2226"/>
      <c r="R32" s="2227" t="s">
        <v>1870</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1871</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1872</v>
      </c>
      <c r="AP35" s="2211"/>
      <c r="AQ35" s="2211"/>
      <c r="AR35" s="2211"/>
      <c r="AS35" s="2211"/>
      <c r="AT35" s="2211"/>
      <c r="AU35" s="2211" t="s">
        <v>1873</v>
      </c>
      <c r="AV35" s="2211"/>
      <c r="AW35" s="2211"/>
      <c r="AX35" s="2211"/>
      <c r="AY35" s="2211"/>
      <c r="AZ35" s="2212"/>
      <c r="BA35" s="1214"/>
      <c r="BB35" s="1207"/>
      <c r="BC35" s="1207"/>
      <c r="BD35" s="1207"/>
      <c r="BE35" s="1213"/>
      <c r="BF35" s="1205"/>
    </row>
    <row r="36" spans="1:58" ht="15.75" customHeight="1">
      <c r="A36" s="1207"/>
      <c r="B36" s="2232" t="s">
        <v>1874</v>
      </c>
      <c r="C36" s="2233"/>
      <c r="D36" s="2233"/>
      <c r="E36" s="2233"/>
      <c r="F36" s="2233"/>
      <c r="G36" s="2233"/>
      <c r="H36" s="2233"/>
      <c r="I36" s="2233"/>
      <c r="J36" s="2234" t="s">
        <v>1875</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0.22727272727272727</v>
      </c>
      <c r="AV36" s="2237"/>
      <c r="AW36" s="2237"/>
      <c r="AX36" s="2237"/>
      <c r="AY36" s="2237"/>
      <c r="AZ36" s="2238"/>
      <c r="BA36" s="1207"/>
      <c r="BB36" s="1207"/>
      <c r="BC36" s="1207"/>
      <c r="BD36" s="1207"/>
      <c r="BE36" s="1213"/>
      <c r="BF36" s="1205"/>
    </row>
    <row r="37" spans="1:58" ht="15.75" customHeight="1">
      <c r="A37" s="1207"/>
      <c r="B37" s="2232" t="s">
        <v>2584</v>
      </c>
      <c r="C37" s="2233"/>
      <c r="D37" s="2233"/>
      <c r="E37" s="2233"/>
      <c r="F37" s="2233"/>
      <c r="G37" s="2233"/>
      <c r="H37" s="2233"/>
      <c r="I37" s="2233"/>
      <c r="J37" s="2234" t="s">
        <v>1876</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5.6818181818181816E-2</v>
      </c>
      <c r="AV37" s="2237"/>
      <c r="AW37" s="2237"/>
      <c r="AX37" s="2237"/>
      <c r="AY37" s="2237"/>
      <c r="AZ37" s="2238"/>
      <c r="BA37" s="1207"/>
      <c r="BB37" s="1207"/>
      <c r="BC37" s="1207"/>
      <c r="BD37" s="1207"/>
      <c r="BE37" s="1213"/>
      <c r="BF37" s="1205"/>
    </row>
    <row r="38" spans="1:58" ht="15.75" customHeight="1">
      <c r="A38" s="1207"/>
      <c r="B38" s="2232" t="s">
        <v>2522</v>
      </c>
      <c r="C38" s="2233"/>
      <c r="D38" s="2233"/>
      <c r="E38" s="2233"/>
      <c r="F38" s="2233"/>
      <c r="G38" s="2233"/>
      <c r="H38" s="2233"/>
      <c r="I38" s="2233"/>
      <c r="J38" s="2234" t="s">
        <v>1877</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1878</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1878</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1879</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1879</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1880</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1881</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1882</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1883</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301</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1884</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1885</v>
      </c>
      <c r="C51" s="2248"/>
      <c r="D51" s="2248"/>
      <c r="E51" s="2248"/>
      <c r="F51" s="2248"/>
      <c r="G51" s="2248"/>
      <c r="H51" s="2248"/>
      <c r="I51" s="2248"/>
      <c r="J51" s="2248" t="s">
        <v>2586</v>
      </c>
      <c r="K51" s="2248"/>
      <c r="L51" s="2248"/>
      <c r="M51" s="2248"/>
      <c r="N51" s="2248"/>
      <c r="O51" s="2248"/>
      <c r="P51" s="2248"/>
      <c r="Q51" s="2248"/>
      <c r="R51" s="2229" t="s">
        <v>2587</v>
      </c>
      <c r="S51" s="2229"/>
      <c r="T51" s="2229"/>
      <c r="U51" s="2229"/>
      <c r="V51" s="2229"/>
      <c r="W51" s="2229"/>
      <c r="X51" s="2229"/>
      <c r="Y51" s="2229"/>
      <c r="Z51" s="2229" t="s">
        <v>1886</v>
      </c>
      <c r="AA51" s="2229"/>
      <c r="AB51" s="2229"/>
      <c r="AC51" s="2229"/>
      <c r="AD51" s="2229"/>
      <c r="AE51" s="2229"/>
      <c r="AF51" s="2229"/>
      <c r="AG51" s="2229"/>
      <c r="AH51" s="2229" t="s">
        <v>1887</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2260</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2261</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1764</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1885</v>
      </c>
      <c r="C59" s="2257"/>
      <c r="D59" s="2257"/>
      <c r="E59" s="2257"/>
      <c r="F59" s="2257"/>
      <c r="G59" s="2257"/>
      <c r="H59" s="2257"/>
      <c r="I59" s="2258"/>
      <c r="J59" s="2182" t="s">
        <v>2588</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1889</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1890</v>
      </c>
      <c r="AD68" s="2297"/>
      <c r="AE68" s="2297"/>
      <c r="AF68" s="2297"/>
      <c r="AG68" s="2297"/>
      <c r="AH68" s="2297"/>
      <c r="AI68" s="2297"/>
      <c r="AJ68" s="2297"/>
      <c r="AK68" s="2297"/>
      <c r="AL68" s="2297"/>
      <c r="AM68" s="2297"/>
      <c r="AN68" s="2297"/>
      <c r="AO68" s="2297"/>
      <c r="AP68" s="2297"/>
      <c r="AQ68" s="2297"/>
      <c r="AR68" s="2297"/>
      <c r="AS68" s="2297"/>
      <c r="AT68" s="2297"/>
      <c r="AU68" s="2297"/>
      <c r="AV68" s="2271" t="s">
        <v>678</v>
      </c>
      <c r="AW68" s="2272"/>
      <c r="AX68" s="2272"/>
      <c r="AY68" s="2272"/>
      <c r="AZ68" s="2272"/>
      <c r="BA68" s="2272"/>
      <c r="BB68" s="2272"/>
      <c r="BC68" s="2273"/>
      <c r="BD68" s="1207"/>
      <c r="BE68" s="1213"/>
      <c r="BM68" s="1218" t="s">
        <v>2589</v>
      </c>
    </row>
    <row r="69" spans="1:65" ht="15.75" customHeight="1" thickTop="1" thickBot="1">
      <c r="A69" s="1207"/>
      <c r="B69" s="2274" t="s">
        <v>1891</v>
      </c>
      <c r="C69" s="2275"/>
      <c r="D69" s="2275"/>
      <c r="E69" s="2275"/>
      <c r="F69" s="2275"/>
      <c r="G69" s="2275"/>
      <c r="H69" s="2275"/>
      <c r="I69" s="2275"/>
      <c r="J69" s="2275"/>
      <c r="K69" s="2275"/>
      <c r="L69" s="2275"/>
      <c r="M69" s="2275"/>
      <c r="N69" s="2275"/>
      <c r="O69" s="2276" t="s">
        <v>1892</v>
      </c>
      <c r="P69" s="2277"/>
      <c r="Q69" s="2277"/>
      <c r="R69" s="2277"/>
      <c r="S69" s="2277"/>
      <c r="T69" s="2277"/>
      <c r="U69" s="2277"/>
      <c r="V69" s="2277"/>
      <c r="W69" s="2277"/>
      <c r="X69" s="2277"/>
      <c r="Y69" s="2277"/>
      <c r="Z69" s="2277"/>
      <c r="AA69" s="2278"/>
      <c r="AB69" s="1207"/>
      <c r="AC69" s="2279" t="s">
        <v>1893</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554</v>
      </c>
    </row>
    <row r="70" spans="1:65" ht="15.75" customHeight="1">
      <c r="A70" s="1207"/>
      <c r="B70" s="2232" t="s">
        <v>2590</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1894</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678</v>
      </c>
    </row>
    <row r="71" spans="1:65" ht="15.75" customHeight="1" thickBot="1">
      <c r="A71" s="1207"/>
      <c r="B71" s="2232" t="s">
        <v>2591</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1895</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2592</v>
      </c>
    </row>
    <row r="72" spans="1:65" ht="15.75" customHeight="1">
      <c r="A72" s="1207"/>
      <c r="B72" s="2232" t="s">
        <v>2593</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2594</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2595</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2262</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2245</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2596</v>
      </c>
      <c r="AK79" s="2315"/>
      <c r="AL79" s="2315"/>
      <c r="AM79" s="2315"/>
      <c r="AN79" s="2315"/>
      <c r="AO79" s="2315"/>
      <c r="AP79" s="2315"/>
      <c r="AQ79" s="2315"/>
      <c r="AR79" s="2315"/>
      <c r="AS79" s="2315"/>
      <c r="AT79" s="2315"/>
      <c r="AU79" s="2315"/>
      <c r="AV79" s="2315"/>
      <c r="AW79" s="2315"/>
      <c r="AX79" s="2315"/>
      <c r="AY79" s="2318" t="s">
        <v>554</v>
      </c>
      <c r="AZ79" s="2318"/>
      <c r="BA79" s="2318"/>
      <c r="BB79" s="2319"/>
      <c r="BC79" s="1207"/>
      <c r="BD79" s="1207"/>
      <c r="BE79" s="1213"/>
    </row>
    <row r="80" spans="1:65" ht="15.75" customHeight="1">
      <c r="A80" s="1207"/>
      <c r="B80" s="2247"/>
      <c r="C80" s="2248"/>
      <c r="D80" s="2248"/>
      <c r="E80" s="2248"/>
      <c r="F80" s="2248"/>
      <c r="G80" s="2248"/>
      <c r="H80" s="2248"/>
      <c r="I80" s="2248" t="s">
        <v>1897</v>
      </c>
      <c r="J80" s="2248"/>
      <c r="K80" s="2248"/>
      <c r="L80" s="2248"/>
      <c r="M80" s="2248"/>
      <c r="N80" s="2248"/>
      <c r="O80" s="2248" t="s">
        <v>1898</v>
      </c>
      <c r="P80" s="2248"/>
      <c r="Q80" s="2248"/>
      <c r="R80" s="2248"/>
      <c r="S80" s="2248"/>
      <c r="T80" s="2248"/>
      <c r="U80" s="2248"/>
      <c r="V80" s="2322" t="s">
        <v>2263</v>
      </c>
      <c r="W80" s="2322"/>
      <c r="X80" s="2322"/>
      <c r="Y80" s="2322"/>
      <c r="Z80" s="2322"/>
      <c r="AA80" s="2322"/>
      <c r="AB80" s="2227" t="s">
        <v>1899</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2246</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2247</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2597</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1900</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1902</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2598</v>
      </c>
      <c r="AK88" s="2315"/>
      <c r="AL88" s="2315"/>
      <c r="AM88" s="2315"/>
      <c r="AN88" s="2315"/>
      <c r="AO88" s="2315"/>
      <c r="AP88" s="2315"/>
      <c r="AQ88" s="2315"/>
      <c r="AR88" s="2315"/>
      <c r="AS88" s="2315"/>
      <c r="AT88" s="2315"/>
      <c r="AU88" s="2315"/>
      <c r="AV88" s="2315"/>
      <c r="AW88" s="2315"/>
      <c r="AX88" s="2315"/>
      <c r="AY88" s="2318" t="s">
        <v>554</v>
      </c>
      <c r="AZ88" s="2318"/>
      <c r="BA88" s="2318"/>
      <c r="BB88" s="2319"/>
      <c r="BC88" s="1207"/>
      <c r="BD88" s="1207"/>
      <c r="BE88" s="1213"/>
    </row>
    <row r="89" spans="1:57" ht="16.5" customHeight="1">
      <c r="A89" s="1207"/>
      <c r="B89" s="2247"/>
      <c r="C89" s="2248"/>
      <c r="D89" s="2248"/>
      <c r="E89" s="2248"/>
      <c r="F89" s="2248"/>
      <c r="G89" s="2248"/>
      <c r="H89" s="2248"/>
      <c r="I89" s="2248" t="s">
        <v>1897</v>
      </c>
      <c r="J89" s="2248"/>
      <c r="K89" s="2248"/>
      <c r="L89" s="2248"/>
      <c r="M89" s="2248"/>
      <c r="N89" s="2248"/>
      <c r="O89" s="2248" t="s">
        <v>1898</v>
      </c>
      <c r="P89" s="2248"/>
      <c r="Q89" s="2248"/>
      <c r="R89" s="2248"/>
      <c r="S89" s="2248"/>
      <c r="T89" s="2248"/>
      <c r="U89" s="2248"/>
      <c r="V89" s="2322" t="s">
        <v>2263</v>
      </c>
      <c r="W89" s="2322"/>
      <c r="X89" s="2322"/>
      <c r="Y89" s="2322"/>
      <c r="Z89" s="2322"/>
      <c r="AA89" s="2322"/>
      <c r="AB89" s="2227" t="s">
        <v>1899</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2246</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2247</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2264</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1900</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2248</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1754</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2249</v>
      </c>
      <c r="J98" s="2248"/>
      <c r="K98" s="2248"/>
      <c r="L98" s="2248"/>
      <c r="M98" s="2248"/>
      <c r="N98" s="2248"/>
      <c r="O98" s="2345" t="s">
        <v>2250</v>
      </c>
      <c r="P98" s="2345"/>
      <c r="Q98" s="2345"/>
      <c r="R98" s="2345"/>
      <c r="S98" s="2345"/>
      <c r="T98" s="2345"/>
      <c r="U98" s="2346"/>
      <c r="V98" s="1207"/>
      <c r="W98" s="1207"/>
      <c r="X98" s="2300" t="s">
        <v>2262</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2251</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2252</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1905</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1898</v>
      </c>
      <c r="J105" s="2338"/>
      <c r="K105" s="2338"/>
      <c r="L105" s="2338"/>
      <c r="M105" s="2338"/>
      <c r="N105" s="2338"/>
      <c r="O105" s="2338"/>
      <c r="P105" s="2338" t="s">
        <v>2263</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2251</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2252</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1906</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554</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1907</v>
      </c>
      <c r="C111" s="2354"/>
      <c r="D111" s="2354"/>
      <c r="E111" s="2354"/>
      <c r="F111" s="2354"/>
      <c r="G111" s="2354"/>
      <c r="H111" s="2354"/>
      <c r="I111" s="2354"/>
      <c r="J111" s="2354"/>
      <c r="K111" s="2354"/>
      <c r="L111" s="2354"/>
      <c r="M111" s="2354"/>
      <c r="N111" s="2354"/>
      <c r="O111" s="2354"/>
      <c r="P111" s="2354"/>
      <c r="Q111" s="2354"/>
      <c r="R111" s="2355" t="s">
        <v>2265</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251</v>
      </c>
      <c r="BD111" s="1207"/>
      <c r="BE111" s="1213"/>
    </row>
    <row r="112" spans="1:57" ht="15.75" customHeight="1">
      <c r="A112" s="1207"/>
      <c r="B112" s="2357" t="s">
        <v>2266</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1909</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2268</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1898</v>
      </c>
      <c r="J126" s="2338"/>
      <c r="K126" s="2338"/>
      <c r="L126" s="2338"/>
      <c r="M126" s="2338"/>
      <c r="N126" s="2338"/>
      <c r="O126" s="2338"/>
      <c r="P126" s="2338" t="s">
        <v>2269</v>
      </c>
      <c r="Q126" s="2338"/>
      <c r="R126" s="2338"/>
      <c r="S126" s="2338"/>
      <c r="T126" s="2338"/>
      <c r="U126" s="2339"/>
      <c r="V126" s="1207"/>
      <c r="W126" s="1207"/>
      <c r="X126" s="2336"/>
      <c r="Y126" s="2337"/>
      <c r="Z126" s="2337"/>
      <c r="AA126" s="2337"/>
      <c r="AB126" s="2337"/>
      <c r="AC126" s="2337"/>
      <c r="AD126" s="2337"/>
      <c r="AE126" s="2338" t="s">
        <v>1898</v>
      </c>
      <c r="AF126" s="2338"/>
      <c r="AG126" s="2338"/>
      <c r="AH126" s="2338"/>
      <c r="AI126" s="2338"/>
      <c r="AJ126" s="2338"/>
      <c r="AK126" s="2338"/>
      <c r="AL126" s="2338" t="s">
        <v>2263</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2251</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2251</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2252</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2253</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1910</v>
      </c>
      <c r="D132" s="2337"/>
      <c r="E132" s="2337"/>
      <c r="F132" s="2337"/>
      <c r="G132" s="2337"/>
      <c r="H132" s="2337"/>
      <c r="I132" s="2337"/>
      <c r="J132" s="2337"/>
      <c r="K132" s="2337"/>
      <c r="L132" s="2337"/>
      <c r="M132" s="2337"/>
      <c r="N132" s="2337"/>
      <c r="O132" s="2337"/>
      <c r="P132" s="2337"/>
      <c r="Q132" s="2337" t="s">
        <v>1911</v>
      </c>
      <c r="R132" s="2337"/>
      <c r="S132" s="2337"/>
      <c r="T132" s="2227" t="s">
        <v>2254</v>
      </c>
      <c r="U132" s="2227"/>
      <c r="V132" s="2227"/>
      <c r="W132" s="2227"/>
      <c r="X132" s="2227"/>
      <c r="Y132" s="2227"/>
      <c r="Z132" s="2227"/>
      <c r="AA132" s="2227"/>
      <c r="AB132" s="2337" t="s">
        <v>1912</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1913</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1914</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1915</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1883</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170</v>
      </c>
      <c r="D137" s="2364"/>
      <c r="E137" s="2364"/>
      <c r="F137" s="2371" t="s">
        <v>1916</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170</v>
      </c>
      <c r="D138" s="2364"/>
      <c r="E138" s="2364"/>
      <c r="F138" s="2371" t="s">
        <v>1916</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170</v>
      </c>
      <c r="D139" s="2373"/>
      <c r="E139" s="2373"/>
      <c r="F139" s="2374" t="s">
        <v>1916</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1917</v>
      </c>
      <c r="D141" s="2297"/>
      <c r="E141" s="2297"/>
      <c r="F141" s="2297"/>
      <c r="G141" s="2297"/>
      <c r="H141" s="2297"/>
      <c r="I141" s="2297"/>
      <c r="J141" s="2297"/>
      <c r="K141" s="2297"/>
      <c r="L141" s="2297"/>
      <c r="M141" s="2297"/>
      <c r="N141" s="2333"/>
      <c r="O141" s="1207"/>
      <c r="P141" s="2351" t="s">
        <v>1918</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1919</v>
      </c>
      <c r="D142" s="2337"/>
      <c r="E142" s="2337"/>
      <c r="F142" s="2337"/>
      <c r="G142" s="2337"/>
      <c r="H142" s="2337"/>
      <c r="I142" s="2337" t="s">
        <v>1920</v>
      </c>
      <c r="J142" s="2337"/>
      <c r="K142" s="2337"/>
      <c r="L142" s="2337"/>
      <c r="M142" s="2337"/>
      <c r="N142" s="2368"/>
      <c r="O142" s="1207"/>
      <c r="P142" s="2300" t="s">
        <v>2262</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2599</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1910</v>
      </c>
      <c r="D153" s="2297"/>
      <c r="E153" s="2297"/>
      <c r="F153" s="2297"/>
      <c r="G153" s="2297"/>
      <c r="H153" s="2297"/>
      <c r="I153" s="2297"/>
      <c r="J153" s="2297"/>
      <c r="K153" s="2297"/>
      <c r="L153" s="2297"/>
      <c r="M153" s="2297"/>
      <c r="N153" s="2297" t="s">
        <v>1921</v>
      </c>
      <c r="O153" s="2297"/>
      <c r="P153" s="2297"/>
      <c r="Q153" s="2297"/>
      <c r="R153" s="2297"/>
      <c r="S153" s="2297"/>
      <c r="T153" s="2297"/>
      <c r="U153" s="2220" t="s">
        <v>1910</v>
      </c>
      <c r="V153" s="2220"/>
      <c r="W153" s="2220"/>
      <c r="X153" s="2220"/>
      <c r="Y153" s="2220"/>
      <c r="Z153" s="2220"/>
      <c r="AA153" s="2220"/>
      <c r="AB153" s="2220"/>
      <c r="AC153" s="2220"/>
      <c r="AD153" s="2220"/>
      <c r="AE153" s="2221"/>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2600</v>
      </c>
      <c r="D154" s="2382"/>
      <c r="E154" s="2382"/>
      <c r="F154" s="2382"/>
      <c r="G154" s="2382"/>
      <c r="H154" s="2382"/>
      <c r="I154" s="2382"/>
      <c r="J154" s="2382"/>
      <c r="K154" s="2382"/>
      <c r="L154" s="2382"/>
      <c r="M154" s="2382"/>
      <c r="N154" s="2383">
        <f>'Sources and Uses Budget'!B105</f>
        <v>76250000</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2602</v>
      </c>
      <c r="D155" s="2382"/>
      <c r="E155" s="2382"/>
      <c r="F155" s="2382"/>
      <c r="G155" s="2382"/>
      <c r="H155" s="2382"/>
      <c r="I155" s="2382"/>
      <c r="J155" s="2382"/>
      <c r="K155" s="2382"/>
      <c r="L155" s="2382"/>
      <c r="M155" s="2382"/>
      <c r="N155" s="2383">
        <f>N154/J29</f>
        <v>433238.63636363635</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2603</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2270</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2604</v>
      </c>
      <c r="D157" s="2382"/>
      <c r="E157" s="2382"/>
      <c r="F157" s="2382"/>
      <c r="G157" s="2382"/>
      <c r="H157" s="2382"/>
      <c r="I157" s="2382"/>
      <c r="J157" s="2382"/>
      <c r="K157" s="2382"/>
      <c r="L157" s="2382"/>
      <c r="M157" s="2382"/>
      <c r="N157" s="2397">
        <f>SUM('Sources and Uses Budget'!B85:B86)</f>
        <v>4827523</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2606</v>
      </c>
      <c r="D158" s="2382"/>
      <c r="E158" s="2382"/>
      <c r="F158" s="2382"/>
      <c r="G158" s="2382"/>
      <c r="H158" s="2382"/>
      <c r="I158" s="2382"/>
      <c r="J158" s="2382"/>
      <c r="K158" s="2382"/>
      <c r="L158" s="2382"/>
      <c r="M158" s="2382"/>
      <c r="N158" s="2397">
        <f>'Sources and Uses Budget'!B8</f>
        <v>2320000</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2607</v>
      </c>
      <c r="AI158" s="2399"/>
      <c r="AJ158" s="2399"/>
      <c r="AK158" s="2399"/>
      <c r="AL158" s="2399"/>
      <c r="AM158" s="2399"/>
      <c r="AN158" s="2399"/>
      <c r="AO158" s="2399"/>
      <c r="AP158" s="2399"/>
      <c r="AQ158" s="2399"/>
      <c r="AR158" s="2400"/>
      <c r="AS158" s="2404" t="s">
        <v>2608</v>
      </c>
      <c r="AT158" s="2405"/>
      <c r="AU158" s="2405"/>
      <c r="AV158" s="2405"/>
      <c r="AW158" s="2405"/>
      <c r="AX158" s="2406"/>
      <c r="AY158" s="2405" t="s">
        <v>2609</v>
      </c>
      <c r="AZ158" s="2405"/>
      <c r="BA158" s="2405"/>
      <c r="BB158" s="2405"/>
      <c r="BC158" s="2405"/>
      <c r="BD158" s="2410"/>
      <c r="BE158" s="1213"/>
    </row>
    <row r="159" spans="1:57" ht="15.75" customHeight="1">
      <c r="A159" s="1207"/>
      <c r="B159" s="1207"/>
      <c r="C159" s="2381" t="s">
        <v>2610</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2611</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2271</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301</v>
      </c>
      <c r="D161" s="2365"/>
      <c r="E161" s="2417" t="s">
        <v>1916</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2272</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301</v>
      </c>
      <c r="D162" s="2251"/>
      <c r="E162" s="2417" t="s">
        <v>1916</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2273</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301</v>
      </c>
      <c r="D163" s="2424"/>
      <c r="E163" s="2425" t="s">
        <v>1916</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2274</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1924</v>
      </c>
      <c r="D164" s="2420"/>
      <c r="E164" s="2420"/>
      <c r="F164" s="2420"/>
      <c r="G164" s="2420"/>
      <c r="H164" s="2420"/>
      <c r="I164" s="2420"/>
      <c r="J164" s="2420"/>
      <c r="K164" s="2420"/>
      <c r="L164" s="2420"/>
      <c r="M164" s="2420"/>
      <c r="N164" s="2421">
        <f>SUM(N156:T163)</f>
        <v>7147523</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2275</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2612</v>
      </c>
      <c r="D165" s="2446"/>
      <c r="E165" s="2446"/>
      <c r="F165" s="2446"/>
      <c r="G165" s="2446"/>
      <c r="H165" s="2446"/>
      <c r="I165" s="2446"/>
      <c r="J165" s="2446"/>
      <c r="K165" s="2446"/>
      <c r="L165" s="2446"/>
      <c r="M165" s="2446"/>
      <c r="N165" s="2447">
        <f>(N154-N164)/J29</f>
        <v>392627.71022727271</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2276</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1925</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1926</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1927</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1928</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1930</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2613</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1931</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1932</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1933</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444</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1934</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1935</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2" zoomScaleNormal="100" zoomScaleSheetLayoutView="100" workbookViewId="0">
      <selection activeCell="AH71" sqref="AH7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497" t="s">
        <v>1445</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320</v>
      </c>
      <c r="C5" s="436" t="s">
        <v>123</v>
      </c>
      <c r="F5" s="436"/>
    </row>
    <row r="6" spans="1:40" ht="12.9" customHeight="1">
      <c r="A6" s="436"/>
      <c r="C6" s="434" t="s">
        <v>1385</v>
      </c>
    </row>
    <row r="7" spans="1:40" ht="12.9"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NON-DDA/
NON-QCT Building(s)</v>
      </c>
      <c r="U7" s="2499"/>
      <c r="V7" s="2499"/>
      <c r="W7" s="2499"/>
      <c r="X7" s="2499"/>
      <c r="Y7" s="2499" t="str">
        <f>IF(T25=100%," ",'Sources and Basis Breakdown'!G2)</f>
        <v xml:space="preserve"> </v>
      </c>
      <c r="Z7" s="2499"/>
      <c r="AA7" s="2499"/>
      <c r="AB7" s="2499"/>
      <c r="AC7" s="2499"/>
      <c r="AD7" s="2499" t="str">
        <f xml:space="preserve"> IF(T25=100%, 'Sources and Basis Breakdown'!J2,'Sources and Basis Breakdown'!I2)</f>
        <v>30% PVC for Acquisition
NON-DDA/
NON-QCT Building(s)</v>
      </c>
      <c r="AE7" s="2499"/>
      <c r="AF7" s="2499"/>
      <c r="AG7" s="2499"/>
      <c r="AH7" s="2499"/>
      <c r="AI7" s="2499" t="str">
        <f>IF(T25=100%," ",'Sources and Basis Breakdown'!J2)</f>
        <v xml:space="preserve"> </v>
      </c>
      <c r="AJ7" s="2499"/>
      <c r="AK7" s="2499"/>
      <c r="AL7" s="2499"/>
      <c r="AM7" s="2499"/>
    </row>
    <row r="8" spans="1:40" ht="12.9"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 customHeight="1">
      <c r="B11" s="2478" t="s">
        <v>376</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70367685</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 customHeight="1">
      <c r="B12" s="2493" t="s">
        <v>506</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 customHeight="1">
      <c r="B13" s="468"/>
      <c r="C13" s="2495" t="s">
        <v>507</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 customHeight="1">
      <c r="B14" s="468"/>
      <c r="C14" s="2495" t="s">
        <v>508</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 customHeight="1">
      <c r="B15" s="468"/>
      <c r="C15" s="2495" t="s">
        <v>509</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 customHeight="1">
      <c r="B16" s="468"/>
      <c r="C16" s="2495" t="s">
        <v>830</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 customHeight="1">
      <c r="B17" s="468"/>
      <c r="C17" s="2495" t="s">
        <v>510</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 customHeight="1">
      <c r="A18"/>
      <c r="B18" s="1203"/>
      <c r="C18" s="1665" t="s">
        <v>1000</v>
      </c>
      <c r="D18" s="1665"/>
      <c r="E18" s="1665"/>
      <c r="F18" s="1665"/>
      <c r="G18" s="1665"/>
      <c r="H18" s="1665"/>
      <c r="I18" s="1665"/>
      <c r="J18" s="1665"/>
      <c r="K18" s="1665"/>
      <c r="L18" s="1665"/>
      <c r="M18" s="1665"/>
      <c r="N18" s="1665"/>
      <c r="O18" s="1665"/>
      <c r="P18" s="1665"/>
      <c r="Q18" s="1665"/>
      <c r="R18" s="1665"/>
      <c r="S18" s="1666"/>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 customHeight="1">
      <c r="B19" s="1203"/>
      <c r="C19" s="1665" t="s">
        <v>1000</v>
      </c>
      <c r="D19" s="1665"/>
      <c r="E19" s="1665"/>
      <c r="F19" s="1665"/>
      <c r="G19" s="1665"/>
      <c r="H19" s="1665"/>
      <c r="I19" s="1665"/>
      <c r="J19" s="1665"/>
      <c r="K19" s="1665"/>
      <c r="L19" s="1665"/>
      <c r="M19" s="1665"/>
      <c r="N19" s="1665"/>
      <c r="O19" s="1665"/>
      <c r="P19" s="1665"/>
      <c r="Q19" s="1665"/>
      <c r="R19" s="1665"/>
      <c r="S19" s="1666"/>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 customHeight="1">
      <c r="B20" s="2478" t="s">
        <v>511</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 customHeight="1">
      <c r="B21" s="2478" t="s">
        <v>1421</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 customHeight="1">
      <c r="B22" s="2478" t="s">
        <v>512</v>
      </c>
      <c r="C22" s="2479"/>
      <c r="D22" s="2479"/>
      <c r="E22" s="2479"/>
      <c r="F22" s="2479"/>
      <c r="G22" s="2479"/>
      <c r="H22" s="2479"/>
      <c r="I22" s="2479"/>
      <c r="J22" s="2479"/>
      <c r="K22" s="2479"/>
      <c r="L22" s="2479"/>
      <c r="M22" s="2479"/>
      <c r="N22" s="2479"/>
      <c r="O22" s="2479"/>
      <c r="P22" s="2479"/>
      <c r="Q22" s="2479"/>
      <c r="R22" s="2479"/>
      <c r="S22" s="2480"/>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 customHeight="1">
      <c r="B23" s="2478" t="s">
        <v>513</v>
      </c>
      <c r="C23" s="2479"/>
      <c r="D23" s="2479"/>
      <c r="E23" s="2479"/>
      <c r="F23" s="2479"/>
      <c r="G23" s="2479"/>
      <c r="H23" s="2479"/>
      <c r="I23" s="2479"/>
      <c r="J23" s="2479"/>
      <c r="K23" s="2479"/>
      <c r="L23" s="2479"/>
      <c r="M23" s="2479"/>
      <c r="N23" s="2479"/>
      <c r="O23" s="2479"/>
      <c r="P23" s="2479"/>
      <c r="Q23" s="2479"/>
      <c r="R23" s="2479"/>
      <c r="S23" s="2480"/>
      <c r="T23" s="2471">
        <f>T11+T22</f>
        <v>70367685</v>
      </c>
      <c r="U23" s="2472"/>
      <c r="V23" s="2472"/>
      <c r="W23" s="2472"/>
      <c r="X23" s="2472"/>
      <c r="Y23" s="2471">
        <f>Y11+Y22</f>
        <v>0</v>
      </c>
      <c r="Z23" s="2472"/>
      <c r="AA23" s="2472"/>
      <c r="AB23" s="2472"/>
      <c r="AC23" s="2472"/>
      <c r="AD23" s="2471">
        <f>AD11+AD22</f>
        <v>0</v>
      </c>
      <c r="AE23" s="2472"/>
      <c r="AF23" s="2472"/>
      <c r="AG23" s="2472"/>
      <c r="AH23" s="2472"/>
      <c r="AI23" s="2471">
        <f>AI11+AI22</f>
        <v>0</v>
      </c>
      <c r="AJ23" s="2472"/>
      <c r="AK23" s="2472"/>
      <c r="AL23" s="2472"/>
      <c r="AM23" s="2472"/>
    </row>
    <row r="24" spans="1:40" ht="12.9" customHeight="1">
      <c r="B24" s="2478" t="s">
        <v>1001</v>
      </c>
      <c r="C24" s="2479"/>
      <c r="D24" s="2479"/>
      <c r="E24" s="2479"/>
      <c r="F24" s="2479"/>
      <c r="G24" s="2479"/>
      <c r="H24" s="2479"/>
      <c r="I24" s="2479"/>
      <c r="J24" s="2479"/>
      <c r="K24" s="2479"/>
      <c r="L24" s="2479"/>
      <c r="M24" s="2479"/>
      <c r="N24" s="2479"/>
      <c r="O24" s="2479"/>
      <c r="P24" s="2479"/>
      <c r="Q24" s="2479"/>
      <c r="R24" s="2479"/>
      <c r="S24" s="2480"/>
      <c r="T24" s="2473">
        <f>Application!AJ1018</f>
        <v>164535193</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 customHeight="1">
      <c r="B25" s="2482" t="s">
        <v>1422</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 customHeight="1">
      <c r="B26" s="2478" t="s">
        <v>514</v>
      </c>
      <c r="C26" s="2479"/>
      <c r="D26" s="2479"/>
      <c r="E26" s="2479"/>
      <c r="F26" s="2479"/>
      <c r="G26" s="2479"/>
      <c r="H26" s="2479"/>
      <c r="I26" s="2479"/>
      <c r="J26" s="2479"/>
      <c r="K26" s="2479"/>
      <c r="L26" s="2479"/>
      <c r="M26" s="2479"/>
      <c r="N26" s="2479"/>
      <c r="O26" s="2479"/>
      <c r="P26" s="2479"/>
      <c r="Q26" s="2479"/>
      <c r="R26" s="2479"/>
      <c r="S26" s="2480"/>
      <c r="T26" s="2471">
        <f>T23*T25</f>
        <v>70367685</v>
      </c>
      <c r="U26" s="2472"/>
      <c r="V26" s="2472"/>
      <c r="W26" s="2472"/>
      <c r="X26" s="2472"/>
      <c r="Y26" s="2471">
        <f>Y23*Y25</f>
        <v>0</v>
      </c>
      <c r="Z26" s="2472"/>
      <c r="AA26" s="2472"/>
      <c r="AB26" s="2472"/>
      <c r="AC26" s="2472"/>
      <c r="AD26" s="2471">
        <f>AD23*AD25</f>
        <v>0</v>
      </c>
      <c r="AE26" s="2472"/>
      <c r="AF26" s="2472"/>
      <c r="AG26" s="2472"/>
      <c r="AH26" s="2472"/>
      <c r="AI26" s="2471">
        <f>AI23*AI25</f>
        <v>0</v>
      </c>
      <c r="AJ26" s="2472"/>
      <c r="AK26" s="2472"/>
      <c r="AL26" s="2472"/>
      <c r="AM26" s="2472"/>
    </row>
    <row r="27" spans="1:40" ht="12.9" customHeight="1">
      <c r="A27" s="442"/>
      <c r="B27" s="2485" t="s">
        <v>427</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 customHeight="1">
      <c r="A28" s="436"/>
      <c r="B28" s="2478" t="s">
        <v>515</v>
      </c>
      <c r="C28" s="2479"/>
      <c r="D28" s="2479"/>
      <c r="E28" s="2479"/>
      <c r="F28" s="2479"/>
      <c r="G28" s="2479"/>
      <c r="H28" s="2479"/>
      <c r="I28" s="2479"/>
      <c r="J28" s="2479"/>
      <c r="K28" s="2479"/>
      <c r="L28" s="2479"/>
      <c r="M28" s="2479"/>
      <c r="N28" s="2479"/>
      <c r="O28" s="2479"/>
      <c r="P28" s="2479"/>
      <c r="Q28" s="2479"/>
      <c r="R28" s="2479"/>
      <c r="S28" s="2480"/>
      <c r="T28" s="2471">
        <f>IF(ISERROR((T26*T27)),0,(T26*T27))</f>
        <v>70367685</v>
      </c>
      <c r="U28" s="2472"/>
      <c r="V28" s="2472"/>
      <c r="W28" s="2472"/>
      <c r="X28" s="2472"/>
      <c r="Y28" s="2471">
        <f>IF(ISERROR((Y26*Y27)),0,(Y26*Y27))</f>
        <v>0</v>
      </c>
      <c r="Z28" s="2472"/>
      <c r="AA28" s="2472"/>
      <c r="AB28" s="2472"/>
      <c r="AC28" s="2472"/>
      <c r="AD28" s="2471">
        <f>IF(ISERROR((AD26*AD27)),0,(AD26*AD27))</f>
        <v>0</v>
      </c>
      <c r="AE28" s="2472"/>
      <c r="AF28" s="2472"/>
      <c r="AG28" s="2472"/>
      <c r="AH28" s="2472"/>
      <c r="AI28" s="2471">
        <f>IF(ISERROR((AI26*AI27)),0,(AI26*AI27))</f>
        <v>0</v>
      </c>
      <c r="AJ28" s="2472"/>
      <c r="AK28" s="2472"/>
      <c r="AL28" s="2472"/>
      <c r="AM28" s="2472"/>
    </row>
    <row r="29" spans="1:40" ht="12.9" customHeight="1">
      <c r="B29" s="2478" t="s">
        <v>532</v>
      </c>
      <c r="C29" s="2479"/>
      <c r="D29" s="2479"/>
      <c r="E29" s="2479"/>
      <c r="F29" s="2479"/>
      <c r="G29" s="2479"/>
      <c r="H29" s="2479"/>
      <c r="I29" s="2479"/>
      <c r="J29" s="2479"/>
      <c r="K29" s="2479"/>
      <c r="L29" s="2479"/>
      <c r="M29" s="2479"/>
      <c r="N29" s="2479"/>
      <c r="O29" s="2479"/>
      <c r="P29" s="2479"/>
      <c r="Q29" s="2479"/>
      <c r="R29" s="2479"/>
      <c r="S29" s="2480"/>
      <c r="T29" s="2473">
        <f>T28+Y28+AD28+AI28</f>
        <v>70367685</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 customHeight="1">
      <c r="B30" s="2481" t="s">
        <v>1424</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 customHeight="1">
      <c r="B31" s="2481" t="s">
        <v>1423</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585</v>
      </c>
      <c r="C34" s="436" t="s">
        <v>577</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1293</v>
      </c>
      <c r="Z35" s="2499"/>
      <c r="AA35" s="2499"/>
      <c r="AB35" s="2499"/>
      <c r="AC35" s="2499"/>
      <c r="AD35" s="2522" t="s">
        <v>370</v>
      </c>
      <c r="AE35" s="2522"/>
      <c r="AF35" s="2522"/>
      <c r="AG35" s="2522"/>
      <c r="AH35" s="2522"/>
    </row>
    <row r="36" spans="1:76" ht="12.9" customHeight="1">
      <c r="B36" s="439"/>
      <c r="X36" s="444"/>
      <c r="Y36" s="2499"/>
      <c r="Z36" s="2499"/>
      <c r="AA36" s="2499"/>
      <c r="AB36" s="2499"/>
      <c r="AC36" s="2499"/>
      <c r="AD36" s="2522"/>
      <c r="AE36" s="2522"/>
      <c r="AF36" s="2522"/>
      <c r="AG36" s="2522"/>
      <c r="AH36" s="2522"/>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 customHeight="1">
      <c r="A38" s="436"/>
      <c r="B38" s="2478" t="s">
        <v>515</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70367685</v>
      </c>
      <c r="Z38" s="2472"/>
      <c r="AA38" s="2472"/>
      <c r="AB38" s="2472"/>
      <c r="AC38" s="2472"/>
      <c r="AD38" s="2472">
        <f>IF(T24&gt;=(T23+Y23+AD23+AI23),AD28+AI28,0)</f>
        <v>0</v>
      </c>
      <c r="AE38" s="2472"/>
      <c r="AF38" s="2472"/>
      <c r="AG38" s="2472"/>
      <c r="AH38" s="2472"/>
    </row>
    <row r="39" spans="1:76" ht="12.9" customHeight="1">
      <c r="B39" s="2478" t="s">
        <v>1952</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 customHeight="1">
      <c r="A40" s="436"/>
      <c r="B40" s="2478" t="s">
        <v>651</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2814707</v>
      </c>
      <c r="Z40" s="2472"/>
      <c r="AA40" s="2472"/>
      <c r="AB40" s="2472"/>
      <c r="AC40" s="2472"/>
      <c r="AD40" s="2471">
        <f>ROUND(AD38*AD39,0)</f>
        <v>0</v>
      </c>
      <c r="AE40" s="2472"/>
      <c r="AF40" s="2472"/>
      <c r="AG40" s="2472"/>
      <c r="AH40" s="2472"/>
    </row>
    <row r="41" spans="1:76" ht="12.9" customHeight="1">
      <c r="B41" s="2478" t="s">
        <v>652</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2814707</v>
      </c>
      <c r="Z41" s="2474"/>
      <c r="AA41" s="2474"/>
      <c r="AB41" s="2474"/>
      <c r="AC41" s="2474"/>
      <c r="AD41" s="2474"/>
      <c r="AE41" s="2474"/>
      <c r="AF41" s="2474"/>
      <c r="AG41" s="2474"/>
      <c r="AH41" s="2471"/>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76" t="s">
        <v>1435</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 customHeight="1" thickTop="1"/>
    <row r="46" spans="1:76" ht="12.9" customHeight="1">
      <c r="A46" s="436" t="s">
        <v>595</v>
      </c>
      <c r="C46" s="436" t="s">
        <v>283</v>
      </c>
    </row>
    <row r="47" spans="1:76" ht="12.9" customHeight="1">
      <c r="D47" s="436" t="s">
        <v>284</v>
      </c>
      <c r="AB47" s="2488">
        <f>'Sources and Uses Budget'!B105-MAX(IF('Sources and Uses Budget'!B15="",0,'Sources and Uses Budget'!B15),IF(Application!AG393="",0,Application!AG393))</f>
        <v>76250000</v>
      </c>
      <c r="AC47" s="2489"/>
      <c r="AD47" s="2489"/>
      <c r="AE47" s="2489"/>
      <c r="AF47" s="2490"/>
    </row>
    <row r="48" spans="1:76" ht="12.9" customHeight="1">
      <c r="D48" s="436" t="s">
        <v>21</v>
      </c>
      <c r="AB48" s="2488">
        <f>Application!AO635-MAX(IF('Sources and Uses Budget'!B15="",0,'Sources and Uses Budget'!B15),IF(Application!AG393="",0,Application!AG393))</f>
        <v>34592330</v>
      </c>
      <c r="AC48" s="2489"/>
      <c r="AD48" s="2489"/>
      <c r="AE48" s="2489"/>
      <c r="AF48" s="2490"/>
    </row>
    <row r="49" spans="1:76" ht="12.9" customHeight="1">
      <c r="D49" s="436" t="s">
        <v>92</v>
      </c>
      <c r="AB49" s="2488">
        <f>AB47-AB48</f>
        <v>41657670</v>
      </c>
      <c r="AC49" s="2489"/>
      <c r="AD49" s="2489"/>
      <c r="AE49" s="2489"/>
      <c r="AF49" s="2490"/>
    </row>
    <row r="50" spans="1:76" ht="12.9" customHeight="1">
      <c r="D50" s="436" t="s">
        <v>690</v>
      </c>
      <c r="AA50" s="447"/>
      <c r="AB50" s="2515">
        <v>0.88</v>
      </c>
      <c r="AC50" s="2516"/>
      <c r="AD50" s="2516"/>
      <c r="AE50" s="2516"/>
      <c r="AF50" s="2517"/>
    </row>
    <row r="51" spans="1:76" s="449" customFormat="1" ht="12.9" customHeight="1">
      <c r="A51" s="434"/>
      <c r="B51" s="434"/>
      <c r="C51" s="434"/>
      <c r="D51" s="434"/>
      <c r="E51" s="2518" t="s">
        <v>2113</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333</v>
      </c>
      <c r="AB54" s="2488">
        <f>ROUND(IF(ISERROR((AB49/AB50)),0,(AB49/AB50)),0)</f>
        <v>47338261</v>
      </c>
      <c r="AC54" s="2489"/>
      <c r="AD54" s="2489"/>
      <c r="AE54" s="2489"/>
      <c r="AF54" s="2490"/>
    </row>
    <row r="55" spans="1:76" ht="12.9" customHeight="1">
      <c r="D55" s="436" t="s">
        <v>334</v>
      </c>
      <c r="AB55" s="2488">
        <f>(AB54/10)</f>
        <v>4733826.0999999996</v>
      </c>
      <c r="AC55" s="2489"/>
      <c r="AD55" s="2489"/>
      <c r="AE55" s="2489"/>
      <c r="AF55" s="2490"/>
    </row>
    <row r="56" spans="1:76" ht="12.9" customHeight="1">
      <c r="D56" s="436" t="s">
        <v>768</v>
      </c>
      <c r="AB56" s="2519">
        <f>(IF((Y41&lt;AB55),Y41,AB55))</f>
        <v>2814707</v>
      </c>
      <c r="AC56" s="2520"/>
      <c r="AD56" s="2520"/>
      <c r="AE56" s="2520"/>
      <c r="AF56" s="2521"/>
    </row>
    <row r="57" spans="1:76" ht="12.9" customHeight="1">
      <c r="D57" s="436" t="s">
        <v>767</v>
      </c>
      <c r="AB57" s="2488">
        <f>ROUND((10*AB56*AB50),0)</f>
        <v>24769422</v>
      </c>
      <c r="AC57" s="2489"/>
      <c r="AD57" s="2489"/>
      <c r="AE57" s="2489"/>
      <c r="AF57" s="2490"/>
    </row>
    <row r="58" spans="1:76" ht="12.9" customHeight="1">
      <c r="D58" s="436"/>
      <c r="AB58" s="455"/>
      <c r="AC58" s="455"/>
      <c r="AD58" s="455"/>
      <c r="AE58" s="455"/>
      <c r="AF58" s="455"/>
    </row>
    <row r="59" spans="1:76" ht="12.9" customHeight="1">
      <c r="D59" s="436" t="s">
        <v>766</v>
      </c>
      <c r="AB59" s="2511">
        <f>AB49-AB57</f>
        <v>16888248</v>
      </c>
      <c r="AC59" s="2511"/>
      <c r="AD59" s="2511"/>
      <c r="AE59" s="2511"/>
      <c r="AF59" s="2511"/>
    </row>
    <row r="60" spans="1:76" ht="12.9" customHeight="1">
      <c r="D60" s="436"/>
      <c r="AB60" s="455"/>
      <c r="AC60" s="455"/>
      <c r="AD60" s="455"/>
      <c r="AE60" s="455"/>
      <c r="AF60" s="455"/>
    </row>
    <row r="61" spans="1:76" s="218" customFormat="1" ht="12.9"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 customHeight="1" thickTop="1"/>
    <row r="63" spans="1:76" ht="12.9" customHeight="1">
      <c r="A63" s="436" t="s">
        <v>598</v>
      </c>
      <c r="C63" s="219" t="s">
        <v>1405</v>
      </c>
      <c r="Y63" s="2512" t="s">
        <v>1024</v>
      </c>
      <c r="Z63" s="2512"/>
      <c r="AA63" s="2512"/>
      <c r="AB63" s="2512"/>
      <c r="AC63" s="2512"/>
      <c r="AD63" s="2512" t="s">
        <v>370</v>
      </c>
      <c r="AE63" s="2512"/>
      <c r="AF63" s="2512"/>
      <c r="AG63" s="2512"/>
      <c r="AH63" s="2512"/>
    </row>
    <row r="64" spans="1:76" ht="12.9"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70367685</v>
      </c>
      <c r="Z64" s="2513"/>
      <c r="AA64" s="2513"/>
      <c r="AB64" s="2513"/>
      <c r="AC64" s="2514"/>
      <c r="AD64" s="2473">
        <f>IF(AND(OR(Application!D210="At-Risk",Application!D210="At-Risk and Special Needs"),Application!M357="yes"),AD28+AI28,0)</f>
        <v>0</v>
      </c>
      <c r="AE64" s="2513"/>
      <c r="AF64" s="2513"/>
      <c r="AG64" s="2513"/>
      <c r="AH64" s="2514"/>
    </row>
    <row r="65" spans="1:36" ht="12.9"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 customHeight="1">
      <c r="C68" s="436"/>
      <c r="D68" s="219" t="s">
        <v>1407</v>
      </c>
      <c r="Y68" s="2472">
        <f>ROUND(Y64*Y67,0)</f>
        <v>21110306</v>
      </c>
      <c r="Z68" s="2530"/>
      <c r="AA68" s="2530"/>
      <c r="AB68" s="2530"/>
      <c r="AC68" s="2530"/>
      <c r="AD68" s="2472">
        <f>ROUND(AD64*AD67,0)</f>
        <v>0</v>
      </c>
      <c r="AE68" s="2530"/>
      <c r="AF68" s="2530"/>
      <c r="AG68" s="2530"/>
      <c r="AH68" s="2530"/>
    </row>
    <row r="69" spans="1:36" ht="12.9" customHeight="1">
      <c r="C69" s="436"/>
      <c r="E69" s="436"/>
      <c r="AB69" s="454"/>
      <c r="AC69" s="454"/>
      <c r="AD69" s="454"/>
      <c r="AE69" s="454"/>
      <c r="AF69" s="454"/>
    </row>
    <row r="70" spans="1:36" ht="12.9" customHeight="1">
      <c r="A70" s="436" t="s">
        <v>599</v>
      </c>
      <c r="C70" s="219" t="s">
        <v>285</v>
      </c>
    </row>
    <row r="71" spans="1:36" ht="12.9" customHeight="1">
      <c r="A71" s="436"/>
      <c r="C71" s="436"/>
      <c r="D71" s="219" t="s">
        <v>1408</v>
      </c>
      <c r="AB71" s="2515">
        <v>0.80000010421000001</v>
      </c>
      <c r="AC71" s="2516"/>
      <c r="AD71" s="2516"/>
      <c r="AE71" s="2516"/>
      <c r="AF71" s="2517"/>
    </row>
    <row r="72" spans="1:36" ht="12.9" customHeight="1">
      <c r="A72" s="436"/>
      <c r="C72" s="436"/>
      <c r="D72" s="436"/>
      <c r="E72" s="2531" t="s">
        <v>1409</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1410</v>
      </c>
      <c r="AB76" s="2524">
        <f>ROUND(IF(ISERROR((AB59/AB71)),0,(AB59/AB71)),0)</f>
        <v>21110307</v>
      </c>
      <c r="AC76" s="2524"/>
      <c r="AD76" s="2524"/>
      <c r="AE76" s="2524"/>
      <c r="AF76" s="2524"/>
    </row>
    <row r="77" spans="1:36" ht="12.9" customHeight="1">
      <c r="C77" s="436"/>
      <c r="D77" s="219" t="s">
        <v>1411</v>
      </c>
      <c r="AB77" s="2525">
        <f>IF((Y68+AD68&lt;AB76),Y68+AD68,AB76)</f>
        <v>21110306</v>
      </c>
      <c r="AC77" s="2526"/>
      <c r="AD77" s="2526"/>
      <c r="AE77" s="2526"/>
      <c r="AF77" s="2527"/>
    </row>
    <row r="78" spans="1:36" ht="12.9" customHeight="1">
      <c r="C78" s="436"/>
      <c r="D78" s="219" t="s">
        <v>1412</v>
      </c>
      <c r="AB78" s="2528">
        <f>AB77*AB71</f>
        <v>16888246.99990499</v>
      </c>
      <c r="AC78" s="2528"/>
      <c r="AD78" s="2528"/>
      <c r="AE78" s="2528"/>
      <c r="AF78" s="2528"/>
    </row>
    <row r="79" spans="1:36" ht="12.9" customHeight="1">
      <c r="C79" s="436"/>
      <c r="D79" s="436"/>
      <c r="AB79" s="457"/>
      <c r="AC79" s="457"/>
      <c r="AD79" s="457"/>
      <c r="AE79" s="457"/>
      <c r="AF79" s="457"/>
    </row>
    <row r="80" spans="1:36" ht="12.9" customHeight="1">
      <c r="D80" s="436" t="s">
        <v>766</v>
      </c>
      <c r="AB80" s="2511">
        <f>AB49-(AB57+AB78)</f>
        <v>1.000095009803772</v>
      </c>
      <c r="AC80" s="2511"/>
      <c r="AD80" s="2511"/>
      <c r="AE80" s="2511"/>
      <c r="AF80" s="2511"/>
    </row>
    <row r="81" spans="1:78" ht="12.9" customHeight="1">
      <c r="F81" s="557"/>
      <c r="J81" s="557" t="str">
        <f>IF(AB80&gt;0,"FUNDING GAP MUST NOT EXCEED ZERO","")</f>
        <v>FUNDING GAP MUST NOT EXCEED ZERO</v>
      </c>
    </row>
    <row r="82" spans="1:78" ht="12.9" customHeight="1">
      <c r="D82" s="558"/>
    </row>
    <row r="83" spans="1:78" ht="12.9"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 customHeight="1" thickTop="1"/>
    <row r="85" spans="1:78" ht="12.9" customHeight="1">
      <c r="A85" s="436"/>
      <c r="C85" s="219"/>
    </row>
    <row r="86" spans="1:78" ht="12.9" customHeight="1">
      <c r="D86" s="219"/>
      <c r="AB86" s="2477"/>
      <c r="AC86" s="2477"/>
      <c r="AD86" s="2477"/>
      <c r="AE86" s="2477"/>
      <c r="AF86" s="2477"/>
    </row>
    <row r="87" spans="1:78" ht="12.9"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F13" sqref="F13"/>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82.8">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10</v>
      </c>
      <c r="C4" s="1131" t="s">
        <v>386</v>
      </c>
      <c r="D4" s="460">
        <f>Application!O714</f>
        <v>345</v>
      </c>
      <c r="E4" s="461"/>
      <c r="F4" s="1132">
        <v>1111</v>
      </c>
      <c r="G4" s="460">
        <f>F4*B4</f>
        <v>11110</v>
      </c>
      <c r="H4" s="461"/>
      <c r="I4" s="460">
        <f>IF(F4=0," ",(F4-D4))</f>
        <v>766</v>
      </c>
      <c r="J4" s="460">
        <f>IF(F4=0," ",(I4*B4))</f>
        <v>7660</v>
      </c>
      <c r="K4" s="218"/>
      <c r="L4" s="328"/>
    </row>
    <row r="5" spans="1:12">
      <c r="A5" s="460" t="str">
        <f>Application!B715</f>
        <v>1 Bedroom</v>
      </c>
      <c r="B5" s="1130">
        <f>Application!G715</f>
        <v>8</v>
      </c>
      <c r="C5" s="1131"/>
      <c r="D5" s="460">
        <f>Application!O715</f>
        <v>345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35</v>
      </c>
      <c r="C6" s="1131"/>
      <c r="D6" s="460">
        <f>Application!O716</f>
        <v>638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34</v>
      </c>
      <c r="C7" s="1131"/>
      <c r="D7" s="460">
        <f>Application!O717</f>
        <v>784</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t="s">
        <v>386</v>
      </c>
      <c r="D8" s="460">
        <f>Application!O718</f>
        <v>396</v>
      </c>
      <c r="E8" s="461"/>
      <c r="F8" s="1132">
        <v>1416</v>
      </c>
      <c r="G8" s="460">
        <f t="shared" si="0"/>
        <v>7080</v>
      </c>
      <c r="H8" s="461"/>
      <c r="I8" s="460">
        <f t="shared" si="1"/>
        <v>1020</v>
      </c>
      <c r="J8" s="460">
        <f t="shared" si="2"/>
        <v>5100</v>
      </c>
      <c r="K8" s="218"/>
      <c r="L8" s="328"/>
    </row>
    <row r="9" spans="1:12">
      <c r="A9" s="460" t="str">
        <f>Application!B719</f>
        <v>2 Bedrooms</v>
      </c>
      <c r="B9" s="1130">
        <f>Application!G719</f>
        <v>4</v>
      </c>
      <c r="C9" s="1131"/>
      <c r="D9" s="460">
        <f>Application!O719</f>
        <v>396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18</v>
      </c>
      <c r="C10" s="1131"/>
      <c r="D10" s="460">
        <f>Application!O720</f>
        <v>747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17</v>
      </c>
      <c r="C11" s="1131"/>
      <c r="D11" s="460">
        <f>Application!O721</f>
        <v>923</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t="s">
        <v>386</v>
      </c>
      <c r="D12" s="460">
        <f>Application!O722</f>
        <v>444</v>
      </c>
      <c r="E12" s="461"/>
      <c r="F12" s="1132">
        <v>2013</v>
      </c>
      <c r="G12" s="460">
        <f t="shared" si="0"/>
        <v>10065</v>
      </c>
      <c r="H12" s="461"/>
      <c r="I12" s="460">
        <f t="shared" si="1"/>
        <v>1569</v>
      </c>
      <c r="J12" s="460">
        <f t="shared" si="2"/>
        <v>7845</v>
      </c>
      <c r="K12" s="218"/>
      <c r="L12" s="328"/>
    </row>
    <row r="13" spans="1:12">
      <c r="A13" s="460" t="str">
        <f>Application!B723</f>
        <v>3 Bedrooms</v>
      </c>
      <c r="B13" s="1130">
        <f>Application!G723</f>
        <v>4</v>
      </c>
      <c r="C13" s="1131"/>
      <c r="D13" s="460">
        <f>Application!O723</f>
        <v>444</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18</v>
      </c>
      <c r="C14" s="1131"/>
      <c r="D14" s="460">
        <f>Application!O724</f>
        <v>850</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17</v>
      </c>
      <c r="C15" s="1131"/>
      <c r="D15" s="460">
        <f>Application!O725</f>
        <v>1052</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125077</v>
      </c>
      <c r="E30" s="461"/>
      <c r="F30" s="461"/>
      <c r="G30" s="464">
        <f>SUM(G4:G28)*12</f>
        <v>339060</v>
      </c>
      <c r="H30" s="465"/>
      <c r="I30" s="463"/>
      <c r="J30" s="464">
        <f>SUM(J4:J28)*12</f>
        <v>247260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A63" sqref="AA63"/>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2518</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1500924</v>
      </c>
      <c r="G4" s="235">
        <f>E4*$C$4</f>
        <v>1538447.0999999999</v>
      </c>
      <c r="I4" s="235">
        <f>G4*$C$4</f>
        <v>1576908.2774999996</v>
      </c>
      <c r="K4" s="235">
        <f>I4*$C$4</f>
        <v>1616330.9844374994</v>
      </c>
      <c r="M4" s="235">
        <f>K4*$C$4</f>
        <v>1656739.2590484368</v>
      </c>
      <c r="O4" s="235">
        <f>M4*$C$4</f>
        <v>1698157.7405246475</v>
      </c>
      <c r="Q4" s="235">
        <f>O4*$C$4</f>
        <v>1740611.6840377636</v>
      </c>
      <c r="S4" s="235">
        <f>Q4*$C$4</f>
        <v>1784126.9761387075</v>
      </c>
      <c r="U4" s="235">
        <f>S4*$C$4</f>
        <v>1828730.1505421749</v>
      </c>
      <c r="W4" s="235">
        <f>U4*$C$4</f>
        <v>1874448.4043057291</v>
      </c>
      <c r="Y4" s="235">
        <f>W4*$C$4</f>
        <v>1921309.6144133722</v>
      </c>
      <c r="AA4" s="235">
        <f>Y4*$C$4</f>
        <v>1969342.3547737063</v>
      </c>
      <c r="AC4" s="235">
        <f>AA4*$C$4</f>
        <v>2018575.9136430488</v>
      </c>
      <c r="AE4" s="235">
        <f>AC4*$C$4</f>
        <v>2069040.311484125</v>
      </c>
      <c r="AG4" s="235">
        <f>AE4*$C$4</f>
        <v>2120766.3192712278</v>
      </c>
    </row>
    <row r="5" spans="1:34" s="225" customFormat="1" ht="13.8">
      <c r="B5" s="225" t="s">
        <v>866</v>
      </c>
      <c r="C5" s="254">
        <f>IF(Application!$D$210="Special Needs",0.1,0.05)</f>
        <v>0.05</v>
      </c>
      <c r="E5" s="237">
        <f>-E4*$C$5</f>
        <v>-75046.2</v>
      </c>
      <c r="F5" s="237"/>
      <c r="G5" s="237">
        <f>-G4*$C$5</f>
        <v>-76922.354999999996</v>
      </c>
      <c r="H5" s="237"/>
      <c r="I5" s="237">
        <f>-I4*$C$5</f>
        <v>-78845.413874999984</v>
      </c>
      <c r="J5" s="237"/>
      <c r="K5" s="237">
        <f>-K4*$C$5</f>
        <v>-80816.549221874971</v>
      </c>
      <c r="L5" s="237"/>
      <c r="M5" s="237">
        <f>-M4*$C$5</f>
        <v>-82836.962952421847</v>
      </c>
      <c r="N5" s="237"/>
      <c r="O5" s="237">
        <f>-O4*$C$5</f>
        <v>-84907.887026232376</v>
      </c>
      <c r="P5" s="237"/>
      <c r="Q5" s="237">
        <f>-Q4*$C$5</f>
        <v>-87030.584201888181</v>
      </c>
      <c r="R5" s="237"/>
      <c r="S5" s="237">
        <f>-S4*$C$5</f>
        <v>-89206.348806935377</v>
      </c>
      <c r="T5" s="237"/>
      <c r="U5" s="237">
        <f>-U4*$C$5</f>
        <v>-91436.507527108755</v>
      </c>
      <c r="V5" s="237"/>
      <c r="W5" s="237">
        <f>-W4*$C$5</f>
        <v>-93722.42021528646</v>
      </c>
      <c r="X5" s="237"/>
      <c r="Y5" s="237">
        <f>-Y4*$C$5</f>
        <v>-96065.480720668624</v>
      </c>
      <c r="Z5" s="237"/>
      <c r="AA5" s="237">
        <f>-AA4*$C$5</f>
        <v>-98467.117738685323</v>
      </c>
      <c r="AB5" s="237"/>
      <c r="AC5" s="237">
        <f>-AC4*$C$5</f>
        <v>-100928.79568215244</v>
      </c>
      <c r="AD5" s="237"/>
      <c r="AE5" s="237">
        <f>-AE4*$C$5</f>
        <v>-103452.01557420625</v>
      </c>
      <c r="AF5" s="237"/>
      <c r="AG5" s="237">
        <f>-AG4*$C$5</f>
        <v>-106038.3159635614</v>
      </c>
    </row>
    <row r="6" spans="1:34" s="225" customFormat="1" ht="13.8">
      <c r="A6" s="225" t="s">
        <v>864</v>
      </c>
      <c r="C6" s="253">
        <v>1.0249999999999999</v>
      </c>
      <c r="E6" s="238">
        <f>Application!Z793</f>
        <v>247260</v>
      </c>
      <c r="F6" s="238"/>
      <c r="G6" s="238">
        <f>E6*$C$6</f>
        <v>253441.49999999997</v>
      </c>
      <c r="H6" s="238"/>
      <c r="I6" s="238">
        <f>G6*$C$6</f>
        <v>259777.53749999995</v>
      </c>
      <c r="J6" s="238"/>
      <c r="K6" s="238">
        <f>I6*$C$6</f>
        <v>266271.9759374999</v>
      </c>
      <c r="L6" s="238"/>
      <c r="M6" s="238">
        <f>K6*$C$6</f>
        <v>272928.77533593739</v>
      </c>
      <c r="N6" s="238"/>
      <c r="O6" s="238">
        <f>M6*$C$6</f>
        <v>279751.99471933581</v>
      </c>
      <c r="P6" s="238"/>
      <c r="Q6" s="238">
        <f>O6*$C$6</f>
        <v>286745.79458731919</v>
      </c>
      <c r="R6" s="238"/>
      <c r="S6" s="238">
        <f>Q6*$C$6</f>
        <v>293914.43945200217</v>
      </c>
      <c r="T6" s="238"/>
      <c r="U6" s="238">
        <f>S6*$C$6</f>
        <v>301262.30043830222</v>
      </c>
      <c r="V6" s="238"/>
      <c r="W6" s="238">
        <f>U6*$C$6</f>
        <v>308793.85794925975</v>
      </c>
      <c r="X6" s="238"/>
      <c r="Y6" s="238">
        <f>W6*$C$6</f>
        <v>316513.70439799124</v>
      </c>
      <c r="Z6" s="238"/>
      <c r="AA6" s="238">
        <f>Y6*$C$6</f>
        <v>324426.547007941</v>
      </c>
      <c r="AB6" s="238"/>
      <c r="AC6" s="238">
        <f>AA6*$C$6</f>
        <v>332537.21068313951</v>
      </c>
      <c r="AD6" s="238"/>
      <c r="AE6" s="238">
        <f>AC6*$C$6</f>
        <v>340850.64095021796</v>
      </c>
      <c r="AF6" s="238"/>
      <c r="AG6" s="238">
        <f>AE6*$C$6</f>
        <v>349371.90697397338</v>
      </c>
    </row>
    <row r="7" spans="1:34" s="225" customFormat="1" ht="13.8">
      <c r="B7" s="225" t="s">
        <v>866</v>
      </c>
      <c r="C7" s="254">
        <f>IF(Application!$D$210="Special Needs",0.1,0.05)</f>
        <v>0.05</v>
      </c>
      <c r="E7" s="237">
        <f>-E6*$C$7</f>
        <v>-12363</v>
      </c>
      <c r="F7" s="237"/>
      <c r="G7" s="237">
        <f>-G6*$C$7</f>
        <v>-12672.074999999999</v>
      </c>
      <c r="H7" s="237"/>
      <c r="I7" s="237">
        <f>-I6*$C$7</f>
        <v>-12988.876874999998</v>
      </c>
      <c r="J7" s="237"/>
      <c r="K7" s="237">
        <f>-K6*$C$7</f>
        <v>-13313.598796874996</v>
      </c>
      <c r="L7" s="237"/>
      <c r="M7" s="237">
        <f>-M6*$C$7</f>
        <v>-13646.438766796869</v>
      </c>
      <c r="N7" s="237"/>
      <c r="O7" s="237">
        <f>-O6*$C$7</f>
        <v>-13987.599735966791</v>
      </c>
      <c r="P7" s="237"/>
      <c r="Q7" s="237">
        <f>-Q6*$C$7</f>
        <v>-14337.289729365961</v>
      </c>
      <c r="R7" s="237"/>
      <c r="S7" s="237">
        <f>-S6*$C$7</f>
        <v>-14695.721972600109</v>
      </c>
      <c r="T7" s="237"/>
      <c r="U7" s="237">
        <f>-U6*$C$7</f>
        <v>-15063.115021915111</v>
      </c>
      <c r="V7" s="237"/>
      <c r="W7" s="237">
        <f>-W6*$C$7</f>
        <v>-15439.692897462988</v>
      </c>
      <c r="X7" s="237"/>
      <c r="Y7" s="237">
        <f>-Y6*$C$7</f>
        <v>-15825.685219899562</v>
      </c>
      <c r="Z7" s="237"/>
      <c r="AA7" s="237">
        <f>-AA6*$C$7</f>
        <v>-16221.32735039705</v>
      </c>
      <c r="AB7" s="237"/>
      <c r="AC7" s="237">
        <f>-AC6*$C$7</f>
        <v>-16626.860534156975</v>
      </c>
      <c r="AD7" s="237"/>
      <c r="AE7" s="237">
        <f>-AE6*$C$7</f>
        <v>-17042.5320475109</v>
      </c>
      <c r="AF7" s="237"/>
      <c r="AG7" s="237">
        <f>-AG6*$C$7</f>
        <v>-17468.595348698669</v>
      </c>
    </row>
    <row r="8" spans="1:34" s="225" customFormat="1" ht="13.8">
      <c r="A8" s="225" t="s">
        <v>289</v>
      </c>
      <c r="C8" s="253">
        <v>1.0249999999999999</v>
      </c>
      <c r="E8" s="238">
        <f>Application!Z801</f>
        <v>27456</v>
      </c>
      <c r="F8" s="238"/>
      <c r="G8" s="238">
        <f>E8*$C$8</f>
        <v>28142.399999999998</v>
      </c>
      <c r="H8" s="238"/>
      <c r="I8" s="238">
        <f>G8*$C$8</f>
        <v>28845.959999999995</v>
      </c>
      <c r="J8" s="238"/>
      <c r="K8" s="238">
        <f>I8*$C$8</f>
        <v>29567.108999999993</v>
      </c>
      <c r="L8" s="238"/>
      <c r="M8" s="238">
        <f>K8*$C$8</f>
        <v>30306.286724999991</v>
      </c>
      <c r="N8" s="238"/>
      <c r="O8" s="238">
        <f>M8*$C$8</f>
        <v>31063.94389312499</v>
      </c>
      <c r="P8" s="238"/>
      <c r="Q8" s="238">
        <f>O8*$C$8</f>
        <v>31840.54249045311</v>
      </c>
      <c r="R8" s="238"/>
      <c r="S8" s="238">
        <f>Q8*$C$8</f>
        <v>32636.556052714433</v>
      </c>
      <c r="T8" s="238"/>
      <c r="U8" s="238">
        <f>S8*$C$8</f>
        <v>33452.469954032291</v>
      </c>
      <c r="V8" s="238"/>
      <c r="W8" s="238">
        <f>U8*$C$8</f>
        <v>34288.781702883098</v>
      </c>
      <c r="X8" s="238"/>
      <c r="Y8" s="238">
        <f>W8*$C$8</f>
        <v>35146.001245455169</v>
      </c>
      <c r="Z8" s="238"/>
      <c r="AA8" s="238">
        <f>Y8*$C$8</f>
        <v>36024.651276591547</v>
      </c>
      <c r="AB8" s="238"/>
      <c r="AC8" s="238">
        <f>AA8*$C$8</f>
        <v>36925.267558506333</v>
      </c>
      <c r="AD8" s="238"/>
      <c r="AE8" s="238">
        <f>AC8*$C$8</f>
        <v>37848.399247468988</v>
      </c>
      <c r="AF8" s="238"/>
      <c r="AG8" s="238">
        <f>AE8*$C$8</f>
        <v>38794.60922865571</v>
      </c>
    </row>
    <row r="9" spans="1:34" s="225" customFormat="1" ht="13.8">
      <c r="B9" s="225" t="s">
        <v>866</v>
      </c>
      <c r="C9" s="254">
        <f>IF(Application!$D$210="Special Needs",0.1,0.05)</f>
        <v>0.05</v>
      </c>
      <c r="E9" s="237">
        <f>-E8*$C$9</f>
        <v>-1372.8000000000002</v>
      </c>
      <c r="F9" s="237"/>
      <c r="G9" s="237">
        <f>-G8*$C$9</f>
        <v>-1407.12</v>
      </c>
      <c r="H9" s="237"/>
      <c r="I9" s="237">
        <f>-I8*$C$9</f>
        <v>-1442.2979999999998</v>
      </c>
      <c r="J9" s="237"/>
      <c r="K9" s="237">
        <f>-K8*$C$9</f>
        <v>-1478.3554499999998</v>
      </c>
      <c r="L9" s="237"/>
      <c r="M9" s="237">
        <f>-M8*$C$9</f>
        <v>-1515.3143362499995</v>
      </c>
      <c r="N9" s="237"/>
      <c r="O9" s="237">
        <f>-O8*$C$9</f>
        <v>-1553.1971946562496</v>
      </c>
      <c r="P9" s="237"/>
      <c r="Q9" s="237">
        <f>-Q8*$C$9</f>
        <v>-1592.0271245226556</v>
      </c>
      <c r="R9" s="237"/>
      <c r="S9" s="237">
        <f>-S8*$C$9</f>
        <v>-1631.8278026357218</v>
      </c>
      <c r="T9" s="237"/>
      <c r="U9" s="237">
        <f>-U8*$C$9</f>
        <v>-1672.6234977016147</v>
      </c>
      <c r="V9" s="237"/>
      <c r="W9" s="237">
        <f>-W8*$C$9</f>
        <v>-1714.4390851441549</v>
      </c>
      <c r="X9" s="237"/>
      <c r="Y9" s="237">
        <f>-Y8*$C$9</f>
        <v>-1757.3000622727586</v>
      </c>
      <c r="Z9" s="237"/>
      <c r="AA9" s="237">
        <f>-AA8*$C$9</f>
        <v>-1801.2325638295774</v>
      </c>
      <c r="AB9" s="237"/>
      <c r="AC9" s="237">
        <f>-AC8*$C$9</f>
        <v>-1846.2633779253167</v>
      </c>
      <c r="AD9" s="237"/>
      <c r="AE9" s="237">
        <f>-AE8*$C$9</f>
        <v>-1892.4199623734494</v>
      </c>
      <c r="AF9" s="237"/>
      <c r="AG9" s="237">
        <f>-AG8*$C$9</f>
        <v>-1939.7304614327857</v>
      </c>
    </row>
    <row r="10" spans="1:34" s="225" customFormat="1" ht="13.8">
      <c r="A10" s="1196" t="s">
        <v>2523</v>
      </c>
      <c r="B10" s="1196"/>
      <c r="C10" s="254">
        <v>2.5000000000000001E-2</v>
      </c>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1686858</v>
      </c>
      <c r="G11" s="239">
        <f>SUM(G4:G10)</f>
        <v>1729029.4499999997</v>
      </c>
      <c r="I11" s="239">
        <f>SUM(I4:I10)</f>
        <v>1772255.1862499993</v>
      </c>
      <c r="K11" s="239">
        <f>SUM(K4:K10)</f>
        <v>1816561.5659062495</v>
      </c>
      <c r="M11" s="239">
        <f>SUM(M4:M10)</f>
        <v>1861975.6050539056</v>
      </c>
      <c r="O11" s="239">
        <f>SUM(O4:O10)</f>
        <v>1908524.9951802527</v>
      </c>
      <c r="Q11" s="239">
        <f>SUM(Q4:Q10)</f>
        <v>1956238.1200597594</v>
      </c>
      <c r="S11" s="239">
        <f>SUM(S4:S10)</f>
        <v>2005144.0730612527</v>
      </c>
      <c r="U11" s="239">
        <f>SUM(U4:U10)</f>
        <v>2055272.6748877836</v>
      </c>
      <c r="W11" s="239">
        <f>SUM(W4:W10)</f>
        <v>2106654.4917599782</v>
      </c>
      <c r="Y11" s="239">
        <f>SUM(Y4:Y10)</f>
        <v>2159320.8540539779</v>
      </c>
      <c r="AA11" s="239">
        <f>SUM(AA4:AA10)</f>
        <v>2213303.875405327</v>
      </c>
      <c r="AC11" s="239">
        <f>SUM(AC4:AC10)</f>
        <v>2268636.4722904596</v>
      </c>
      <c r="AE11" s="239">
        <f>SUM(AE4:AE10)</f>
        <v>2325352.384097721</v>
      </c>
      <c r="AG11" s="239">
        <f>SUM(AG4:AG10)</f>
        <v>2383486.1937001641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115176</v>
      </c>
      <c r="G15" s="235">
        <f>E15*$C$14</f>
        <v>119207.15999999999</v>
      </c>
      <c r="I15" s="235">
        <f>G15*$C$14</f>
        <v>123379.41059999997</v>
      </c>
      <c r="K15" s="235">
        <f>I15*$C$14</f>
        <v>127697.68997099996</v>
      </c>
      <c r="M15" s="235">
        <f>K15*$C$14</f>
        <v>132167.10911998493</v>
      </c>
      <c r="O15" s="235">
        <f>M15*$C$14</f>
        <v>136792.95793918439</v>
      </c>
      <c r="Q15" s="235">
        <f>O15*$C$14</f>
        <v>141580.71146705584</v>
      </c>
      <c r="S15" s="235">
        <f>Q15*$C$14</f>
        <v>146536.03636840277</v>
      </c>
      <c r="U15" s="235">
        <f>S15*$C$14</f>
        <v>151664.79764129684</v>
      </c>
      <c r="W15" s="235">
        <f>U15*$C$14</f>
        <v>156973.06555874221</v>
      </c>
      <c r="Y15" s="235">
        <f>W15*$C$14</f>
        <v>162467.12285329818</v>
      </c>
      <c r="AA15" s="235">
        <f>Y15*$C$14</f>
        <v>168153.4721531636</v>
      </c>
      <c r="AC15" s="235">
        <f>AA15*$C$14</f>
        <v>174038.84367852431</v>
      </c>
      <c r="AE15" s="235">
        <f>AC15*$C$14</f>
        <v>180130.20320727266</v>
      </c>
      <c r="AG15" s="235">
        <f>AE15*$C$14</f>
        <v>186434.76031952718</v>
      </c>
    </row>
    <row r="16" spans="1:34" s="225" customFormat="1" ht="13.8">
      <c r="A16" s="225" t="s">
        <v>345</v>
      </c>
      <c r="C16" s="249"/>
      <c r="E16" s="238">
        <f>Application!W833</f>
        <v>116160</v>
      </c>
      <c r="F16" s="238"/>
      <c r="G16" s="238">
        <f t="shared" ref="G16:AG21" si="0">E16*$C$14</f>
        <v>120225.59999999999</v>
      </c>
      <c r="H16" s="238"/>
      <c r="I16" s="238">
        <f t="shared" si="0"/>
        <v>124433.49599999998</v>
      </c>
      <c r="J16" s="238"/>
      <c r="K16" s="238">
        <f t="shared" si="0"/>
        <v>128788.66835999997</v>
      </c>
      <c r="L16" s="238"/>
      <c r="M16" s="238">
        <f t="shared" si="0"/>
        <v>133296.27175259995</v>
      </c>
      <c r="N16" s="238"/>
      <c r="O16" s="238">
        <f t="shared" si="0"/>
        <v>137961.64126394092</v>
      </c>
      <c r="P16" s="238"/>
      <c r="Q16" s="238">
        <f t="shared" si="0"/>
        <v>142790.29870817886</v>
      </c>
      <c r="R16" s="238"/>
      <c r="S16" s="238">
        <f t="shared" si="0"/>
        <v>147787.9591629651</v>
      </c>
      <c r="T16" s="238"/>
      <c r="U16" s="238">
        <f t="shared" si="0"/>
        <v>152960.53773366887</v>
      </c>
      <c r="V16" s="238"/>
      <c r="W16" s="238">
        <f t="shared" si="0"/>
        <v>158314.15655434725</v>
      </c>
      <c r="X16" s="238"/>
      <c r="Y16" s="238">
        <f t="shared" si="0"/>
        <v>163855.15203374939</v>
      </c>
      <c r="Z16" s="238"/>
      <c r="AA16" s="238">
        <f t="shared" si="0"/>
        <v>169590.08235493061</v>
      </c>
      <c r="AB16" s="238"/>
      <c r="AC16" s="238">
        <f t="shared" si="0"/>
        <v>175525.73523735316</v>
      </c>
      <c r="AD16" s="238"/>
      <c r="AE16" s="238">
        <f t="shared" si="0"/>
        <v>181669.13597066051</v>
      </c>
      <c r="AF16" s="238"/>
      <c r="AG16" s="238">
        <f t="shared" si="0"/>
        <v>188027.5557296336</v>
      </c>
    </row>
    <row r="17" spans="1:33" s="225" customFormat="1" ht="13.8">
      <c r="A17" s="225" t="s">
        <v>570</v>
      </c>
      <c r="C17" s="249"/>
      <c r="E17" s="238">
        <f>Application!W839</f>
        <v>156000</v>
      </c>
      <c r="F17" s="238"/>
      <c r="G17" s="238">
        <f t="shared" si="0"/>
        <v>161460</v>
      </c>
      <c r="H17" s="238"/>
      <c r="I17" s="238">
        <f t="shared" si="0"/>
        <v>167111.09999999998</v>
      </c>
      <c r="J17" s="238"/>
      <c r="K17" s="238">
        <f t="shared" si="0"/>
        <v>172959.98849999995</v>
      </c>
      <c r="L17" s="238"/>
      <c r="M17" s="238">
        <f t="shared" si="0"/>
        <v>179013.58809749995</v>
      </c>
      <c r="N17" s="238"/>
      <c r="O17" s="238">
        <f t="shared" si="0"/>
        <v>185279.06368091243</v>
      </c>
      <c r="P17" s="238"/>
      <c r="Q17" s="238">
        <f t="shared" si="0"/>
        <v>191763.83090974434</v>
      </c>
      <c r="R17" s="238"/>
      <c r="S17" s="238">
        <f t="shared" si="0"/>
        <v>198475.56499158539</v>
      </c>
      <c r="T17" s="238"/>
      <c r="U17" s="238">
        <f t="shared" si="0"/>
        <v>205422.20976629085</v>
      </c>
      <c r="V17" s="238"/>
      <c r="W17" s="238">
        <f t="shared" si="0"/>
        <v>212611.987108111</v>
      </c>
      <c r="X17" s="238"/>
      <c r="Y17" s="238">
        <f t="shared" si="0"/>
        <v>220053.40665689486</v>
      </c>
      <c r="Z17" s="238"/>
      <c r="AA17" s="238">
        <f t="shared" si="0"/>
        <v>227755.27588988616</v>
      </c>
      <c r="AB17" s="238"/>
      <c r="AC17" s="238">
        <f t="shared" si="0"/>
        <v>235726.71054603218</v>
      </c>
      <c r="AD17" s="238"/>
      <c r="AE17" s="238">
        <f t="shared" si="0"/>
        <v>243977.14541514328</v>
      </c>
      <c r="AF17" s="238"/>
      <c r="AG17" s="238">
        <f t="shared" si="0"/>
        <v>252516.34550467329</v>
      </c>
    </row>
    <row r="18" spans="1:33" s="225" customFormat="1" ht="13.8">
      <c r="A18" s="225" t="s">
        <v>870</v>
      </c>
      <c r="C18" s="249"/>
      <c r="E18" s="238">
        <f>Application!W846</f>
        <v>236000</v>
      </c>
      <c r="F18" s="238"/>
      <c r="G18" s="238">
        <f t="shared" si="0"/>
        <v>244259.99999999997</v>
      </c>
      <c r="H18" s="238"/>
      <c r="I18" s="238">
        <f t="shared" si="0"/>
        <v>252809.09999999995</v>
      </c>
      <c r="J18" s="238"/>
      <c r="K18" s="238">
        <f t="shared" si="0"/>
        <v>261657.41849999991</v>
      </c>
      <c r="L18" s="238"/>
      <c r="M18" s="238">
        <f t="shared" si="0"/>
        <v>270815.42814749992</v>
      </c>
      <c r="N18" s="238"/>
      <c r="O18" s="238">
        <f t="shared" si="0"/>
        <v>280293.96813266241</v>
      </c>
      <c r="P18" s="238"/>
      <c r="Q18" s="238">
        <f t="shared" si="0"/>
        <v>290104.25701730559</v>
      </c>
      <c r="R18" s="238"/>
      <c r="S18" s="238">
        <f t="shared" si="0"/>
        <v>300257.90601291123</v>
      </c>
      <c r="T18" s="238"/>
      <c r="U18" s="238">
        <f t="shared" si="0"/>
        <v>310766.9327233631</v>
      </c>
      <c r="V18" s="238"/>
      <c r="W18" s="238">
        <f t="shared" si="0"/>
        <v>321643.77536868077</v>
      </c>
      <c r="X18" s="238"/>
      <c r="Y18" s="238">
        <f t="shared" si="0"/>
        <v>332901.30750658456</v>
      </c>
      <c r="Z18" s="238"/>
      <c r="AA18" s="238">
        <f t="shared" si="0"/>
        <v>344552.85326931498</v>
      </c>
      <c r="AB18" s="238"/>
      <c r="AC18" s="238">
        <f t="shared" si="0"/>
        <v>356612.20313374099</v>
      </c>
      <c r="AD18" s="238"/>
      <c r="AE18" s="238">
        <f t="shared" si="0"/>
        <v>369093.63024342188</v>
      </c>
      <c r="AF18" s="238"/>
      <c r="AG18" s="238">
        <f t="shared" si="0"/>
        <v>382011.9073019416</v>
      </c>
    </row>
    <row r="19" spans="1:33" s="225" customFormat="1" ht="13.8">
      <c r="A19" s="225" t="s">
        <v>156</v>
      </c>
      <c r="C19" s="249"/>
      <c r="E19" s="238">
        <f>Application!W847</f>
        <v>83700</v>
      </c>
      <c r="F19" s="238"/>
      <c r="G19" s="238">
        <f t="shared" si="0"/>
        <v>86629.5</v>
      </c>
      <c r="H19" s="238"/>
      <c r="I19" s="238">
        <f t="shared" si="0"/>
        <v>89661.532499999987</v>
      </c>
      <c r="J19" s="238"/>
      <c r="K19" s="238">
        <f t="shared" si="0"/>
        <v>92799.686137499986</v>
      </c>
      <c r="L19" s="238"/>
      <c r="M19" s="238">
        <f t="shared" si="0"/>
        <v>96047.675152312484</v>
      </c>
      <c r="N19" s="238"/>
      <c r="O19" s="238">
        <f t="shared" si="0"/>
        <v>99409.343782643409</v>
      </c>
      <c r="P19" s="238"/>
      <c r="Q19" s="238">
        <f t="shared" si="0"/>
        <v>102888.67081503592</v>
      </c>
      <c r="R19" s="238"/>
      <c r="S19" s="238">
        <f t="shared" si="0"/>
        <v>106489.77429356216</v>
      </c>
      <c r="T19" s="238"/>
      <c r="U19" s="238">
        <f t="shared" si="0"/>
        <v>110216.91639383683</v>
      </c>
      <c r="V19" s="238"/>
      <c r="W19" s="238">
        <f t="shared" si="0"/>
        <v>114074.50846762111</v>
      </c>
      <c r="X19" s="238"/>
      <c r="Y19" s="238">
        <f t="shared" si="0"/>
        <v>118067.11626398785</v>
      </c>
      <c r="Z19" s="238"/>
      <c r="AA19" s="238">
        <f t="shared" si="0"/>
        <v>122199.46533322742</v>
      </c>
      <c r="AB19" s="238"/>
      <c r="AC19" s="238">
        <f t="shared" si="0"/>
        <v>126476.44661989037</v>
      </c>
      <c r="AD19" s="238"/>
      <c r="AE19" s="238">
        <f t="shared" si="0"/>
        <v>130903.12225158652</v>
      </c>
      <c r="AF19" s="238"/>
      <c r="AG19" s="238">
        <f t="shared" si="0"/>
        <v>135484.73153039205</v>
      </c>
    </row>
    <row r="20" spans="1:33" s="225" customFormat="1" ht="13.8">
      <c r="A20" s="225" t="s">
        <v>391</v>
      </c>
      <c r="C20" s="249"/>
      <c r="E20" s="238">
        <f>Application!W856</f>
        <v>194400</v>
      </c>
      <c r="F20" s="238"/>
      <c r="G20" s="238">
        <f t="shared" si="0"/>
        <v>201203.99999999997</v>
      </c>
      <c r="H20" s="238"/>
      <c r="I20" s="238">
        <f t="shared" si="0"/>
        <v>208246.13999999996</v>
      </c>
      <c r="J20" s="238"/>
      <c r="K20" s="238">
        <f t="shared" si="0"/>
        <v>215534.75489999994</v>
      </c>
      <c r="L20" s="238"/>
      <c r="M20" s="238">
        <f t="shared" si="0"/>
        <v>223078.47132149994</v>
      </c>
      <c r="N20" s="238"/>
      <c r="O20" s="238">
        <f t="shared" si="0"/>
        <v>230886.21781775242</v>
      </c>
      <c r="P20" s="238"/>
      <c r="Q20" s="238">
        <f t="shared" si="0"/>
        <v>238967.23544137375</v>
      </c>
      <c r="R20" s="238"/>
      <c r="S20" s="238">
        <f t="shared" si="0"/>
        <v>247331.0886818218</v>
      </c>
      <c r="T20" s="238"/>
      <c r="U20" s="238">
        <f t="shared" si="0"/>
        <v>255987.67678568553</v>
      </c>
      <c r="V20" s="238"/>
      <c r="W20" s="238">
        <f t="shared" si="0"/>
        <v>264947.24547318451</v>
      </c>
      <c r="X20" s="238"/>
      <c r="Y20" s="238">
        <f t="shared" si="0"/>
        <v>274220.39906474593</v>
      </c>
      <c r="Z20" s="238"/>
      <c r="AA20" s="238">
        <f t="shared" si="0"/>
        <v>283818.11303201201</v>
      </c>
      <c r="AB20" s="238"/>
      <c r="AC20" s="238">
        <f t="shared" si="0"/>
        <v>293751.74698813242</v>
      </c>
      <c r="AD20" s="238"/>
      <c r="AE20" s="238">
        <f t="shared" si="0"/>
        <v>304033.05813271704</v>
      </c>
      <c r="AF20" s="238"/>
      <c r="AG20" s="238">
        <f t="shared" si="0"/>
        <v>314674.21516736213</v>
      </c>
    </row>
    <row r="21" spans="1:33" s="225" customFormat="1" ht="13.8">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871</v>
      </c>
      <c r="C22" s="249"/>
      <c r="E22" s="239">
        <f>SUM(E15:E21)</f>
        <v>901436</v>
      </c>
      <c r="G22" s="239">
        <f>SUM(G15:G21)</f>
        <v>932986.26</v>
      </c>
      <c r="I22" s="239">
        <f>SUM(I15:I21)</f>
        <v>965640.77909999993</v>
      </c>
      <c r="K22" s="239">
        <f>SUM(K15:K21)</f>
        <v>999438.20636849967</v>
      </c>
      <c r="M22" s="239">
        <f>SUM(M15:M21)</f>
        <v>1034418.5435913971</v>
      </c>
      <c r="O22" s="239">
        <f>SUM(O15:O21)</f>
        <v>1070623.192617096</v>
      </c>
      <c r="Q22" s="239">
        <f>SUM(Q15:Q21)</f>
        <v>1108095.0043586942</v>
      </c>
      <c r="S22" s="239">
        <f>SUM(S15:S21)</f>
        <v>1146878.3295112483</v>
      </c>
      <c r="U22" s="239">
        <f>SUM(U15:U21)</f>
        <v>1187019.0710441419</v>
      </c>
      <c r="W22" s="239">
        <f>SUM(W15:W21)</f>
        <v>1228564.7385306871</v>
      </c>
      <c r="Y22" s="239">
        <f>SUM(Y15:Y21)</f>
        <v>1271564.5043792608</v>
      </c>
      <c r="AA22" s="239">
        <f>SUM(AA15:AA21)</f>
        <v>1316069.2620325349</v>
      </c>
      <c r="AC22" s="239">
        <f>SUM(AC15:AC21)</f>
        <v>1362131.6862036735</v>
      </c>
      <c r="AE22" s="239">
        <f>SUM(AE15:AE21)</f>
        <v>1409806.2952208016</v>
      </c>
      <c r="AG22" s="239">
        <f>SUM(AG15:AG21)</f>
        <v>1459149.5155535298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3.8">
      <c r="A28" s="225" t="s">
        <v>874</v>
      </c>
      <c r="C28" s="253"/>
      <c r="E28" s="238">
        <f>Application!AC873</f>
        <v>88000</v>
      </c>
      <c r="F28" s="238"/>
      <c r="G28" s="238">
        <f>$E$28</f>
        <v>88000</v>
      </c>
      <c r="H28" s="238"/>
      <c r="I28" s="238">
        <f>$E$28</f>
        <v>88000</v>
      </c>
      <c r="J28" s="238"/>
      <c r="K28" s="238">
        <f>$E$28</f>
        <v>88000</v>
      </c>
      <c r="L28" s="238"/>
      <c r="M28" s="238">
        <f>$E$28</f>
        <v>88000</v>
      </c>
      <c r="N28" s="238"/>
      <c r="O28" s="238">
        <f>$E$28</f>
        <v>88000</v>
      </c>
      <c r="P28" s="238"/>
      <c r="Q28" s="238">
        <f>$E$28</f>
        <v>88000</v>
      </c>
      <c r="R28" s="238"/>
      <c r="S28" s="238">
        <f>$E$28</f>
        <v>88000</v>
      </c>
      <c r="T28" s="238"/>
      <c r="U28" s="238">
        <f>$E$28</f>
        <v>88000</v>
      </c>
      <c r="V28" s="238"/>
      <c r="W28" s="238">
        <f>$E$28</f>
        <v>88000</v>
      </c>
      <c r="X28" s="238"/>
      <c r="Y28" s="238">
        <f>$E$28</f>
        <v>88000</v>
      </c>
      <c r="Z28" s="238"/>
      <c r="AA28" s="238">
        <f>$E$28</f>
        <v>88000</v>
      </c>
      <c r="AB28" s="238"/>
      <c r="AC28" s="238">
        <f>$E$28</f>
        <v>88000</v>
      </c>
      <c r="AD28" s="238"/>
      <c r="AE28" s="238">
        <f>$E$28</f>
        <v>88000</v>
      </c>
      <c r="AF28" s="238"/>
      <c r="AG28" s="238">
        <f>$E$28</f>
        <v>88000</v>
      </c>
    </row>
    <row r="29" spans="1:33" s="225" customFormat="1" ht="13.8">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872</v>
      </c>
      <c r="C30" s="253">
        <v>1.02</v>
      </c>
      <c r="E30" s="238">
        <f>Application!AC875</f>
        <v>55440</v>
      </c>
      <c r="F30" s="238"/>
      <c r="G30" s="238">
        <f>E30*$C$30</f>
        <v>56548.800000000003</v>
      </c>
      <c r="H30" s="238"/>
      <c r="I30" s="238">
        <f>G30*$C$30</f>
        <v>57679.776000000005</v>
      </c>
      <c r="J30" s="238"/>
      <c r="K30" s="238">
        <f>I30*$C$30</f>
        <v>58833.371520000008</v>
      </c>
      <c r="L30" s="238"/>
      <c r="M30" s="238">
        <f>K30*$C$30</f>
        <v>60010.038950400012</v>
      </c>
      <c r="N30" s="238"/>
      <c r="O30" s="238">
        <f>M30*$C$30</f>
        <v>61210.239729408015</v>
      </c>
      <c r="P30" s="238"/>
      <c r="Q30" s="238">
        <f>O30*$C$30</f>
        <v>62434.444523996179</v>
      </c>
      <c r="R30" s="238"/>
      <c r="S30" s="238">
        <f>Q30*$C$30</f>
        <v>63683.133414476106</v>
      </c>
      <c r="T30" s="238"/>
      <c r="U30" s="238">
        <f>S30*$C$30</f>
        <v>64956.796082765628</v>
      </c>
      <c r="V30" s="238"/>
      <c r="W30" s="238">
        <f>U30*$C$30</f>
        <v>66255.932004420945</v>
      </c>
      <c r="X30" s="238"/>
      <c r="Y30" s="238">
        <f>W30*$C$30</f>
        <v>67581.050644509363</v>
      </c>
      <c r="Z30" s="238"/>
      <c r="AA30" s="238">
        <f>Y30*$C$30</f>
        <v>68932.671657399551</v>
      </c>
      <c r="AB30" s="238"/>
      <c r="AC30" s="238">
        <f>AA30*$C$30</f>
        <v>70311.325090547543</v>
      </c>
      <c r="AD30" s="238"/>
      <c r="AE30" s="238">
        <f>AC30*$C$30</f>
        <v>71717.55159235849</v>
      </c>
      <c r="AF30" s="238"/>
      <c r="AG30" s="238">
        <f>AE30*$C$30</f>
        <v>73151.902624205657</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1070076</v>
      </c>
      <c r="G35" s="239">
        <f>SUM(G22:G33)</f>
        <v>1103617.06</v>
      </c>
      <c r="I35" s="239">
        <f>SUM(I22:I33)</f>
        <v>1138315.4251000001</v>
      </c>
      <c r="K35" s="239">
        <f>SUM(K22:K33)</f>
        <v>1174211.2683384996</v>
      </c>
      <c r="M35" s="239">
        <f>SUM(M22:M33)</f>
        <v>1211346.162157547</v>
      </c>
      <c r="O35" s="239">
        <f>SUM(O22:O33)</f>
        <v>1249763.1272488052</v>
      </c>
      <c r="Q35" s="239">
        <f>SUM(Q22:Q33)</f>
        <v>1289506.6831065721</v>
      </c>
      <c r="S35" s="239">
        <f>SUM(S22:S33)</f>
        <v>1330622.9003474421</v>
      </c>
      <c r="U35" s="239">
        <f>SUM(U22:U33)</f>
        <v>1373159.4548583853</v>
      </c>
      <c r="W35" s="239">
        <f>SUM(W22:W33)</f>
        <v>1417165.6838371875</v>
      </c>
      <c r="Y35" s="239">
        <f>SUM(Y22:Y33)</f>
        <v>1462692.6437914222</v>
      </c>
      <c r="AA35" s="239">
        <f>SUM(AA22:AA33)</f>
        <v>1509793.1705644545</v>
      </c>
      <c r="AC35" s="239">
        <f>SUM(AC22:AC33)</f>
        <v>1558521.9414593494</v>
      </c>
      <c r="AE35" s="239">
        <f>SUM(AE22:AE33)</f>
        <v>1608935.5395340677</v>
      </c>
      <c r="AG35" s="239">
        <f>SUM(AG22:AG33)</f>
        <v>1661092.5201438752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616782</v>
      </c>
      <c r="G37" s="239">
        <f>G11-G35</f>
        <v>625412.38999999966</v>
      </c>
      <c r="I37" s="239">
        <f>I11-I35</f>
        <v>633939.76114999922</v>
      </c>
      <c r="K37" s="239">
        <f>K11-K35</f>
        <v>642350.29756774986</v>
      </c>
      <c r="M37" s="239">
        <f>M11-M35</f>
        <v>650629.44289635867</v>
      </c>
      <c r="O37" s="239">
        <f>O11-O35</f>
        <v>658761.86793144746</v>
      </c>
      <c r="Q37" s="239">
        <f>Q11-Q35</f>
        <v>666731.43695318722</v>
      </c>
      <c r="S37" s="239">
        <f>S11-S35</f>
        <v>674521.17271381058</v>
      </c>
      <c r="U37" s="239">
        <f>U11-U35</f>
        <v>682113.22002939833</v>
      </c>
      <c r="W37" s="239">
        <f>W11-W35</f>
        <v>689488.80792279076</v>
      </c>
      <c r="Y37" s="239">
        <f>Y11-Y35</f>
        <v>696628.21026255563</v>
      </c>
      <c r="AA37" s="239">
        <f>AA11-AA35</f>
        <v>703510.70484087244</v>
      </c>
      <c r="AC37" s="239">
        <f>AC11-AC35</f>
        <v>710114.5308311102</v>
      </c>
      <c r="AE37" s="239">
        <f>AE11-AE35</f>
        <v>716416.84456365323</v>
      </c>
      <c r="AG37" s="239">
        <f>AG11-AG35</f>
        <v>722393.67355628894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Pacific Western Bank</v>
      </c>
      <c r="B40" s="242"/>
      <c r="C40" s="236"/>
      <c r="E40" s="238">
        <f>Application!AF623</f>
        <v>448010</v>
      </c>
      <c r="F40" s="238"/>
      <c r="G40" s="238">
        <f>$E$40</f>
        <v>448010</v>
      </c>
      <c r="H40" s="238"/>
      <c r="I40" s="238">
        <f>$E$40</f>
        <v>448010</v>
      </c>
      <c r="J40" s="238"/>
      <c r="K40" s="238">
        <f>$E$40</f>
        <v>448010</v>
      </c>
      <c r="L40" s="238"/>
      <c r="M40" s="238">
        <f>$E$40</f>
        <v>448010</v>
      </c>
      <c r="N40" s="238"/>
      <c r="O40" s="238">
        <f>$E$40</f>
        <v>448010</v>
      </c>
      <c r="P40" s="238"/>
      <c r="Q40" s="238">
        <f>$E$40</f>
        <v>448010</v>
      </c>
      <c r="R40" s="238"/>
      <c r="S40" s="238">
        <f>$E$40</f>
        <v>448010</v>
      </c>
      <c r="T40" s="238"/>
      <c r="U40" s="238">
        <f>$E$40</f>
        <v>448010</v>
      </c>
      <c r="V40" s="238"/>
      <c r="W40" s="238">
        <f>$E$40</f>
        <v>448010</v>
      </c>
      <c r="X40" s="238"/>
      <c r="Y40" s="238">
        <f>$E$40</f>
        <v>448010</v>
      </c>
      <c r="Z40" s="238"/>
      <c r="AA40" s="238">
        <f>$E$40</f>
        <v>448010</v>
      </c>
      <c r="AB40" s="238"/>
      <c r="AC40" s="238">
        <f>$E$40</f>
        <v>448010</v>
      </c>
      <c r="AD40" s="238"/>
      <c r="AE40" s="238">
        <f>$E$40</f>
        <v>448010</v>
      </c>
      <c r="AF40" s="238"/>
      <c r="AG40" s="238">
        <f>$E$40</f>
        <v>448010</v>
      </c>
    </row>
    <row r="41" spans="1:33" s="225" customFormat="1" ht="13.8">
      <c r="A41" s="241" t="s">
        <v>2789</v>
      </c>
      <c r="B41" s="242"/>
      <c r="C41" s="236"/>
      <c r="E41" s="238">
        <v>73185</v>
      </c>
      <c r="F41" s="238"/>
      <c r="G41" s="238">
        <f>$E$41</f>
        <v>73185</v>
      </c>
      <c r="H41" s="238"/>
      <c r="I41" s="238">
        <f>$E$41</f>
        <v>73185</v>
      </c>
      <c r="J41" s="238"/>
      <c r="K41" s="238">
        <f>$E$41</f>
        <v>73185</v>
      </c>
      <c r="L41" s="238"/>
      <c r="M41" s="238">
        <f>$E$41</f>
        <v>73185</v>
      </c>
      <c r="N41" s="238"/>
      <c r="O41" s="238">
        <f>$E$41</f>
        <v>73185</v>
      </c>
      <c r="P41" s="238"/>
      <c r="Q41" s="238">
        <f>$E$41</f>
        <v>73185</v>
      </c>
      <c r="R41" s="238"/>
      <c r="S41" s="238">
        <f>$E$41</f>
        <v>73185</v>
      </c>
      <c r="T41" s="238"/>
      <c r="U41" s="238">
        <f>$E$41</f>
        <v>73185</v>
      </c>
      <c r="V41" s="238"/>
      <c r="W41" s="238">
        <f>$E$41</f>
        <v>73185</v>
      </c>
      <c r="X41" s="238"/>
      <c r="Y41" s="238">
        <f>$E$41</f>
        <v>73185</v>
      </c>
      <c r="Z41" s="238"/>
      <c r="AA41" s="238">
        <f>$E$41</f>
        <v>73185</v>
      </c>
      <c r="AB41" s="238"/>
      <c r="AC41" s="238">
        <f>$E$41</f>
        <v>73185</v>
      </c>
      <c r="AD41" s="238"/>
      <c r="AE41" s="238">
        <f>$E$41</f>
        <v>73185</v>
      </c>
      <c r="AF41" s="238"/>
      <c r="AG41" s="238">
        <f>$E$41</f>
        <v>73185</v>
      </c>
    </row>
    <row r="42" spans="1:33" s="225" customFormat="1" ht="13.8">
      <c r="A42" s="241" t="s">
        <v>2790</v>
      </c>
      <c r="B42" s="242"/>
      <c r="C42" s="236"/>
      <c r="E42" s="248">
        <v>4000</v>
      </c>
      <c r="F42" s="238"/>
      <c r="G42" s="248">
        <f>$E$42</f>
        <v>4000</v>
      </c>
      <c r="H42" s="238"/>
      <c r="I42" s="248">
        <f>$E$42</f>
        <v>4000</v>
      </c>
      <c r="J42" s="238"/>
      <c r="K42" s="248">
        <f>$E$42</f>
        <v>4000</v>
      </c>
      <c r="L42" s="238"/>
      <c r="M42" s="248">
        <f>$E$42</f>
        <v>4000</v>
      </c>
      <c r="N42" s="238"/>
      <c r="O42" s="248">
        <f>$E$42</f>
        <v>4000</v>
      </c>
      <c r="P42" s="238"/>
      <c r="Q42" s="248">
        <f>$E$42</f>
        <v>4000</v>
      </c>
      <c r="R42" s="238"/>
      <c r="S42" s="248">
        <f>$E$42</f>
        <v>4000</v>
      </c>
      <c r="T42" s="238"/>
      <c r="U42" s="248">
        <f>$E$42</f>
        <v>4000</v>
      </c>
      <c r="V42" s="238"/>
      <c r="W42" s="248">
        <f>$E$42</f>
        <v>4000</v>
      </c>
      <c r="X42" s="238"/>
      <c r="Y42" s="248">
        <f>$E$42</f>
        <v>4000</v>
      </c>
      <c r="Z42" s="238"/>
      <c r="AA42" s="248">
        <f>$E$42</f>
        <v>4000</v>
      </c>
      <c r="AB42" s="238"/>
      <c r="AC42" s="248">
        <f>$E$42</f>
        <v>4000</v>
      </c>
      <c r="AD42" s="238"/>
      <c r="AE42" s="248">
        <f>$E$42</f>
        <v>4000</v>
      </c>
      <c r="AF42" s="238"/>
      <c r="AG42" s="248">
        <f>$E$42</f>
        <v>4000</v>
      </c>
    </row>
    <row r="43" spans="1:33" s="239" customFormat="1" ht="13.8">
      <c r="A43" s="239" t="s">
        <v>876</v>
      </c>
      <c r="C43" s="240"/>
      <c r="E43" s="239">
        <f>SUM(E40:E42)</f>
        <v>525195</v>
      </c>
      <c r="G43" s="239">
        <f>SUM(G40:G42)</f>
        <v>525195</v>
      </c>
      <c r="I43" s="239">
        <f>SUM(I40:I42)</f>
        <v>525195</v>
      </c>
      <c r="K43" s="239">
        <f>SUM(K40:K42)</f>
        <v>525195</v>
      </c>
      <c r="M43" s="239">
        <f>SUM(M40:M42)</f>
        <v>525195</v>
      </c>
      <c r="O43" s="239">
        <f>SUM(O40:O42)</f>
        <v>525195</v>
      </c>
      <c r="Q43" s="239">
        <f>SUM(Q40:Q42)</f>
        <v>525195</v>
      </c>
      <c r="S43" s="239">
        <f>SUM(S40:S42)</f>
        <v>525195</v>
      </c>
      <c r="U43" s="239">
        <f>SUM(U40:U42)</f>
        <v>525195</v>
      </c>
      <c r="W43" s="239">
        <f>SUM(W40:W42)</f>
        <v>525195</v>
      </c>
      <c r="Y43" s="239">
        <f>SUM(Y40:Y42)</f>
        <v>525195</v>
      </c>
      <c r="AA43" s="239">
        <f>SUM(AA40:AA42)</f>
        <v>525195</v>
      </c>
      <c r="AC43" s="239">
        <f>SUM(AC40:AC42)</f>
        <v>525195</v>
      </c>
      <c r="AE43" s="239">
        <f>SUM(AE40:AE42)</f>
        <v>525195</v>
      </c>
      <c r="AG43" s="239">
        <f>SUM(AG40:AG42)</f>
        <v>525195</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91587</v>
      </c>
      <c r="G45" s="239">
        <f>G37-G43</f>
        <v>100217.38999999966</v>
      </c>
      <c r="I45" s="239">
        <f>I37-I43</f>
        <v>108744.76114999922</v>
      </c>
      <c r="K45" s="239">
        <f>K37-K43</f>
        <v>117155.29756774986</v>
      </c>
      <c r="M45" s="239">
        <f>M37-M43</f>
        <v>125434.44289635867</v>
      </c>
      <c r="O45" s="239">
        <f>O37-O43</f>
        <v>133566.86793144746</v>
      </c>
      <c r="Q45" s="239">
        <f>Q37-Q43</f>
        <v>141536.43695318722</v>
      </c>
      <c r="S45" s="239">
        <f>S37-S43</f>
        <v>149326.17271381058</v>
      </c>
      <c r="U45" s="239">
        <f>U37-U43</f>
        <v>156918.22002939833</v>
      </c>
      <c r="W45" s="239">
        <f>W37-W43</f>
        <v>164293.80792279076</v>
      </c>
      <c r="Y45" s="239">
        <f>Y37-Y43</f>
        <v>171433.21026255563</v>
      </c>
      <c r="AA45" s="239">
        <f>AA37-AA43</f>
        <v>178315.70484087244</v>
      </c>
      <c r="AC45" s="239">
        <f>AC37-AC43</f>
        <v>184919.5308311102</v>
      </c>
      <c r="AE45" s="239">
        <f>AE37-AE43</f>
        <v>191221.84456365323</v>
      </c>
      <c r="AG45" s="239">
        <f>AG37-AG43</f>
        <v>197198.67355628894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5.1579712103804826E-2</v>
      </c>
      <c r="G47" s="243">
        <f>G45/(G4+G6+G8)</f>
        <v>5.5063562104161787E-2</v>
      </c>
      <c r="I47" s="243">
        <f>I45/(I4+I6+I8)</f>
        <v>5.829156201319554E-2</v>
      </c>
      <c r="K47" s="243">
        <f>K45/(K4+K6+K8)</f>
        <v>6.1268241483375251E-2</v>
      </c>
      <c r="M47" s="243">
        <f>M45/(M4+M6+M8)</f>
        <v>6.3998003211267043E-2</v>
      </c>
      <c r="O47" s="243">
        <f>O45/(O4+O6+O8)</f>
        <v>6.6485125872239856E-2</v>
      </c>
      <c r="Q47" s="243">
        <f>Q45/(Q4+Q6+Q8)</f>
        <v>6.8733766982017705E-2</v>
      </c>
      <c r="S47" s="243">
        <f>S45/(S4+S6+S8)</f>
        <v>7.0747965686845951E-2</v>
      </c>
      <c r="U47" s="243">
        <f>U45/(U4+U6+U8)</f>
        <v>7.2531645484007437E-2</v>
      </c>
      <c r="W47" s="243">
        <f>W45/(W4+W6+W8)</f>
        <v>7.4088616874358387E-2</v>
      </c>
      <c r="Y47" s="243">
        <f>Y45/(Y4+Y6+Y8)</f>
        <v>7.5422579948536309E-2</v>
      </c>
      <c r="AA47" s="243">
        <f>AA45/(AA4+AA6+AA8)</f>
        <v>7.653712690843513E-2</v>
      </c>
      <c r="AC47" s="243">
        <f>AC45/(AC4+AC6+AC8)</f>
        <v>7.7435744525517228E-2</v>
      </c>
      <c r="AE47" s="243">
        <f>AE45/(AE4+AE6+AE8)</f>
        <v>7.8121816537478572E-2</v>
      </c>
      <c r="AG47" s="243">
        <f>AG45/(AG4+AG6+AG8)</f>
        <v>7.859862598475835E-2</v>
      </c>
    </row>
    <row r="48" spans="1:33" s="243" customFormat="1" ht="13.8">
      <c r="A48" s="243" t="s">
        <v>880</v>
      </c>
      <c r="C48" s="236"/>
      <c r="E48" s="243">
        <f>E45/E43</f>
        <v>0.17438665638477138</v>
      </c>
      <c r="G48" s="243">
        <f>G45/G43</f>
        <v>0.19081939089290581</v>
      </c>
      <c r="I48" s="243">
        <f>I45/I43</f>
        <v>0.20705597187711083</v>
      </c>
      <c r="K48" s="243">
        <f>K45/K43</f>
        <v>0.22307009314207077</v>
      </c>
      <c r="M48" s="243">
        <f>M45/M43</f>
        <v>0.23883403858825517</v>
      </c>
      <c r="O48" s="243">
        <f>O45/O43</f>
        <v>0.25431862057225879</v>
      </c>
      <c r="Q48" s="243">
        <f>Q45/Q43</f>
        <v>0.26949311580115426</v>
      </c>
      <c r="S48" s="243">
        <f>S45/S43</f>
        <v>0.28432519866680106</v>
      </c>
      <c r="U48" s="243">
        <f>U45/U43</f>
        <v>0.29878087192261604</v>
      </c>
      <c r="W48" s="243">
        <f>W45/W43</f>
        <v>0.31282439460160655</v>
      </c>
      <c r="Y48" s="243">
        <f>Y45/Y43</f>
        <v>0.32641820707081298</v>
      </c>
      <c r="AA48" s="243">
        <f>AA45/AA43</f>
        <v>0.33952285311336255</v>
      </c>
      <c r="AC48" s="243">
        <f>AC45/AC43</f>
        <v>0.35209689892537094</v>
      </c>
      <c r="AE48" s="243">
        <f>AE45/AE43</f>
        <v>0.36409684891069644</v>
      </c>
      <c r="AG48" s="243">
        <f>AG45/AG43</f>
        <v>0.37547705815228427</v>
      </c>
    </row>
    <row r="49" spans="1:35" s="244" customFormat="1" ht="13.8">
      <c r="A49" s="244" t="s">
        <v>878</v>
      </c>
      <c r="C49" s="245"/>
      <c r="E49" s="244">
        <f>E37/E43</f>
        <v>1.1743866563847714</v>
      </c>
      <c r="G49" s="244">
        <f>G37/G43</f>
        <v>1.1908193908929059</v>
      </c>
      <c r="I49" s="244">
        <f>I37/I43</f>
        <v>1.2070559718771108</v>
      </c>
      <c r="K49" s="244">
        <f>K37/K43</f>
        <v>1.2230700931420708</v>
      </c>
      <c r="M49" s="244">
        <f>M37/M43</f>
        <v>1.2388340385882552</v>
      </c>
      <c r="O49" s="244">
        <f>O37/O43</f>
        <v>1.2543186205722587</v>
      </c>
      <c r="Q49" s="244">
        <f>Q37/Q43</f>
        <v>1.2694931158011542</v>
      </c>
      <c r="S49" s="244">
        <f>S37/S43</f>
        <v>1.2843251986668009</v>
      </c>
      <c r="U49" s="244">
        <f>U37/U43</f>
        <v>1.2987808719226162</v>
      </c>
      <c r="W49" s="244">
        <f>W37/W43</f>
        <v>1.3128243946016065</v>
      </c>
      <c r="Y49" s="244">
        <f>Y37/Y43</f>
        <v>1.326418207070813</v>
      </c>
      <c r="AA49" s="244">
        <f>AA37/AA43</f>
        <v>1.3395228531133625</v>
      </c>
      <c r="AC49" s="244">
        <f>AC37/AC43</f>
        <v>1.352096898925371</v>
      </c>
      <c r="AE49" s="244">
        <f>AE37/AE43</f>
        <v>1.3640968489106964</v>
      </c>
      <c r="AG49" s="244">
        <f>AG37/AG43</f>
        <v>1.3754770581522842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1327</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5000</v>
      </c>
      <c r="F58" s="997"/>
      <c r="G58" s="997">
        <f>SUM(G53:G57)</f>
        <v>5150</v>
      </c>
      <c r="H58" s="997"/>
      <c r="I58" s="997">
        <f>SUM(I53:I57)</f>
        <v>5304.5</v>
      </c>
      <c r="J58" s="997"/>
      <c r="K58" s="997">
        <f>SUM(K53:K57)</f>
        <v>5463.6350000000002</v>
      </c>
      <c r="L58" s="997"/>
      <c r="M58" s="997">
        <f>SUM(M53:M57)</f>
        <v>5627.5440500000004</v>
      </c>
      <c r="N58" s="997"/>
      <c r="O58" s="997">
        <f>SUM(O53:O57)</f>
        <v>5796.3703715000001</v>
      </c>
      <c r="P58" s="997"/>
      <c r="Q58" s="997">
        <f>SUM(Q53:Q57)</f>
        <v>5970.2614826449999</v>
      </c>
      <c r="R58" s="997"/>
      <c r="S58" s="997">
        <f>SUM(S53:S57)</f>
        <v>6149.3693271243501</v>
      </c>
      <c r="T58" s="997"/>
      <c r="U58" s="997">
        <f>SUM(U53:U57)</f>
        <v>6333.8504069380806</v>
      </c>
      <c r="V58" s="997"/>
      <c r="W58" s="997">
        <f>SUM(W53:W57)</f>
        <v>6523.865919146223</v>
      </c>
      <c r="X58" s="997"/>
      <c r="Y58" s="997">
        <f>SUM(Y53:Y57)</f>
        <v>6719.5818967206096</v>
      </c>
      <c r="Z58" s="997"/>
      <c r="AA58" s="997">
        <f>SUM(AA53:AA57)</f>
        <v>6921.1693536222283</v>
      </c>
      <c r="AB58" s="997"/>
      <c r="AC58" s="997">
        <f>SUM(AC53:AC57)</f>
        <v>7128.8044342308949</v>
      </c>
      <c r="AD58" s="997"/>
      <c r="AE58" s="997">
        <f>SUM(AE53:AE57)</f>
        <v>7342.6685672578224</v>
      </c>
      <c r="AF58" s="997"/>
      <c r="AG58" s="997">
        <f>SUM(AG53:AG57)</f>
        <v>7562.9486242755574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86587</v>
      </c>
      <c r="G60" s="999">
        <f>G45-G58</f>
        <v>95067.389999999665</v>
      </c>
      <c r="I60" s="999">
        <f>I45-I58</f>
        <v>103440.26114999922</v>
      </c>
      <c r="K60" s="999">
        <f>K45-K58</f>
        <v>111691.66256774987</v>
      </c>
      <c r="M60" s="999">
        <f>M45-M58</f>
        <v>119806.89884635867</v>
      </c>
      <c r="O60" s="999">
        <f>O45-O58</f>
        <v>127770.49755994746</v>
      </c>
      <c r="Q60" s="999">
        <f>Q45-Q58</f>
        <v>135566.17547054222</v>
      </c>
      <c r="S60" s="999">
        <f>S45-S58</f>
        <v>143176.80338668622</v>
      </c>
      <c r="U60" s="999">
        <f>U45-U58</f>
        <v>150584.36962246025</v>
      </c>
      <c r="W60" s="999">
        <f>W45-W58</f>
        <v>157769.94200364454</v>
      </c>
      <c r="Y60" s="999">
        <f>Y45-Y58</f>
        <v>164713.62836583503</v>
      </c>
      <c r="AA60" s="999">
        <f>AA45-AA58</f>
        <v>171394.53548725022</v>
      </c>
      <c r="AC60" s="999">
        <f>AC45-AC58</f>
        <v>177790.7263968793</v>
      </c>
      <c r="AE60" s="999">
        <f>AE45-AE58</f>
        <v>183879.17599639541</v>
      </c>
      <c r="AG60" s="999">
        <f>AG45-AG58</f>
        <v>189635.72493201337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86587</v>
      </c>
      <c r="G62" s="999">
        <f>G60*$C$62</f>
        <v>95067.389999999665</v>
      </c>
      <c r="I62" s="999">
        <f>I60*$C$62</f>
        <v>103440.26114999922</v>
      </c>
      <c r="K62" s="999">
        <f>K60*$C$62</f>
        <v>111691.66256774987</v>
      </c>
      <c r="M62" s="999">
        <f>M60*$C$62</f>
        <v>119806.89884635867</v>
      </c>
      <c r="O62" s="999">
        <f>O60*$C$62</f>
        <v>127770.49755994746</v>
      </c>
      <c r="Q62" s="999">
        <f>Q60*$C$62</f>
        <v>135566.17547054222</v>
      </c>
      <c r="S62" s="999">
        <f>S60*$C$62</f>
        <v>143176.80338668622</v>
      </c>
      <c r="U62" s="999">
        <f>U60*$C$62</f>
        <v>150584.36962246025</v>
      </c>
      <c r="W62" s="999">
        <f>W60*$C$62</f>
        <v>157769.94200364454</v>
      </c>
      <c r="Y62" s="999">
        <f>Y60*$C$62</f>
        <v>164713.62836583503</v>
      </c>
      <c r="AA62" s="999">
        <v>22347</v>
      </c>
      <c r="AC62" s="999">
        <v>0</v>
      </c>
      <c r="AE62" s="999">
        <v>0</v>
      </c>
      <c r="AG62" s="999">
        <v>0</v>
      </c>
    </row>
    <row r="63" spans="1:35" s="999" customFormat="1">
      <c r="A63" s="2535" t="s">
        <v>1327</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2791</v>
      </c>
      <c r="B66" s="1001"/>
      <c r="C66" s="1000"/>
      <c r="E66" s="1001">
        <f>($E60-$E62)*$C$65</f>
        <v>0</v>
      </c>
      <c r="G66" s="1001">
        <f>($G60-$G62)*$C$65</f>
        <v>0</v>
      </c>
      <c r="I66" s="1001">
        <f>($I60-$I62)*$C$65</f>
        <v>0</v>
      </c>
      <c r="K66" s="1001">
        <f>($K60-$K62)*$C$65</f>
        <v>0</v>
      </c>
      <c r="M66" s="1001">
        <f>($M60-$M62)*$C$65</f>
        <v>0</v>
      </c>
      <c r="O66" s="1001">
        <f>($O60-$O62)*$C$65</f>
        <v>0</v>
      </c>
      <c r="Q66" s="1001">
        <f>($Q60-$Q62)*$C$65</f>
        <v>0</v>
      </c>
      <c r="S66" s="1001">
        <f>($S60-$S62)*$C$65</f>
        <v>0</v>
      </c>
      <c r="U66" s="1001">
        <f>($U60-$U62)*$C$65</f>
        <v>0</v>
      </c>
      <c r="W66" s="1001">
        <f>($W60-$W62)*$C$65</f>
        <v>0</v>
      </c>
      <c r="Y66" s="1001">
        <f>($Y60-$Y62)*$C$65</f>
        <v>0</v>
      </c>
      <c r="AA66" s="1001">
        <f>($AA60-$AA62)*$C$65</f>
        <v>74523.767743625111</v>
      </c>
      <c r="AC66" s="1001">
        <f>($AC60-$AC62)*$C$65</f>
        <v>88895.363198439649</v>
      </c>
      <c r="AE66" s="1001">
        <f>($AE60-$AE62)*$C$65</f>
        <v>91939.587998197705</v>
      </c>
      <c r="AG66" s="1001">
        <f>($AG60-$AG62)*$C$65</f>
        <v>94817.862466006685</v>
      </c>
    </row>
    <row r="67" spans="1:35" s="997" customFormat="1">
      <c r="A67" s="1002"/>
      <c r="B67" s="1002"/>
      <c r="C67" s="1007"/>
      <c r="E67" s="1001"/>
      <c r="G67" s="997">
        <v>0</v>
      </c>
      <c r="I67" s="997">
        <v>0</v>
      </c>
      <c r="K67" s="997">
        <v>0</v>
      </c>
      <c r="M67" s="997">
        <v>0</v>
      </c>
      <c r="O67" s="997">
        <v>0</v>
      </c>
      <c r="Q67" s="997">
        <v>0</v>
      </c>
      <c r="S67" s="997">
        <v>0</v>
      </c>
      <c r="U67" s="997">
        <v>0</v>
      </c>
      <c r="W67" s="997">
        <v>0</v>
      </c>
      <c r="Y67" s="997">
        <v>0</v>
      </c>
      <c r="AA67" s="997">
        <v>0</v>
      </c>
      <c r="AC67" s="997">
        <v>0</v>
      </c>
      <c r="AE67" s="997">
        <v>0</v>
      </c>
      <c r="A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74523.767743625111</v>
      </c>
      <c r="AC70" s="997">
        <f>SUM(AC66:AC69)</f>
        <v>88895.363198439649</v>
      </c>
      <c r="AE70" s="997">
        <f>SUM(AE66:AE69)</f>
        <v>91939.587998197705</v>
      </c>
      <c r="AG70" s="997">
        <f>SUM(AG66:AG69)</f>
        <v>94817.862466006685</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74523.767743625111</v>
      </c>
      <c r="AC72" s="999">
        <f>AC60-AC62-AC70</f>
        <v>88895.363198439649</v>
      </c>
      <c r="AE72" s="999">
        <f>AE60-AE62-AE70</f>
        <v>91939.587998197705</v>
      </c>
      <c r="AG72" s="999">
        <f>AG60-AG62-AG70</f>
        <v>94817.862466006685</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3" t="s">
        <v>1982</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1011</v>
      </c>
    </row>
    <row r="2" spans="1:1" ht="15.6">
      <c r="A2" s="338"/>
    </row>
    <row r="3" spans="1:1" ht="15.6">
      <c r="A3" s="339" t="s">
        <v>1006</v>
      </c>
    </row>
    <row r="4" spans="1:1" ht="15.6">
      <c r="A4" s="339" t="s">
        <v>1007</v>
      </c>
    </row>
    <row r="5" spans="1:1" ht="15.6">
      <c r="A5" s="339" t="s">
        <v>1008</v>
      </c>
    </row>
    <row r="6" spans="1:1" ht="15.6">
      <c r="A6" s="339" t="s">
        <v>1010</v>
      </c>
    </row>
    <row r="7" spans="1:1" ht="15.6">
      <c r="A7" s="339" t="s">
        <v>1009</v>
      </c>
    </row>
    <row r="8" spans="1:1" ht="15.6">
      <c r="A8" s="375" t="s">
        <v>1085</v>
      </c>
    </row>
    <row r="9" spans="1:1" ht="15.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2320000</v>
      </c>
      <c r="C5" s="286">
        <f>'Sources and Uses Budget'!$C4</f>
        <v>2320000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2320000</v>
      </c>
      <c r="C9" s="290">
        <f>SUM(C5:C8)</f>
        <v>2320000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2320000</v>
      </c>
      <c r="C13" s="290">
        <f>SUM(C9+C12)</f>
        <v>2320000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338122</v>
      </c>
      <c r="C28" s="286">
        <f>'Sources and Uses Budget'!$C$27</f>
        <v>338122</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5656243</v>
      </c>
      <c r="C30" s="286">
        <f>'Sources and Uses Budget'!$C29</f>
        <v>5656243</v>
      </c>
      <c r="D30" s="290">
        <f t="shared" si="0"/>
        <v>0</v>
      </c>
      <c r="E30" s="288"/>
      <c r="F30" s="287"/>
      <c r="G30" s="384"/>
    </row>
    <row r="31" spans="1:7" s="381" customFormat="1">
      <c r="A31" s="145" t="s">
        <v>608</v>
      </c>
      <c r="B31" s="286">
        <f>'Sources and Uses Budget'!$C30</f>
        <v>41384531</v>
      </c>
      <c r="C31" s="286">
        <f>'Sources and Uses Budget'!$C30</f>
        <v>41384531</v>
      </c>
      <c r="D31" s="290">
        <f t="shared" si="0"/>
        <v>0</v>
      </c>
      <c r="E31" s="288"/>
      <c r="F31" s="287"/>
      <c r="G31" s="384"/>
    </row>
    <row r="32" spans="1:7" s="381" customFormat="1">
      <c r="A32" s="145" t="s">
        <v>609</v>
      </c>
      <c r="B32" s="286">
        <f>'Sources and Uses Budget'!$C31</f>
        <v>1560000</v>
      </c>
      <c r="C32" s="286">
        <f>'Sources and Uses Budget'!$C31</f>
        <v>1560000</v>
      </c>
      <c r="D32" s="290">
        <f t="shared" si="0"/>
        <v>0</v>
      </c>
      <c r="E32" s="288"/>
      <c r="F32" s="287"/>
      <c r="G32" s="384"/>
    </row>
    <row r="33" spans="1:7" s="381" customFormat="1">
      <c r="A33" s="145" t="s">
        <v>138</v>
      </c>
      <c r="B33" s="286">
        <f>'Sources and Uses Budget'!$C32</f>
        <v>1243750</v>
      </c>
      <c r="C33" s="286">
        <f>'Sources and Uses Budget'!$C32</f>
        <v>1243750</v>
      </c>
      <c r="D33" s="290">
        <f t="shared" si="0"/>
        <v>0</v>
      </c>
      <c r="E33" s="288"/>
      <c r="F33" s="287"/>
      <c r="G33" s="384"/>
    </row>
    <row r="34" spans="1:7" s="381" customFormat="1">
      <c r="A34" s="145" t="s">
        <v>139</v>
      </c>
      <c r="B34" s="286">
        <f>'Sources and Uses Budget'!$C33</f>
        <v>1243750</v>
      </c>
      <c r="C34" s="286">
        <f>'Sources and Uses Budget'!$C33</f>
        <v>1243750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783563</v>
      </c>
      <c r="C36" s="286">
        <f>'Sources and Uses Budget'!$C35</f>
        <v>783563</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Payment and Preformance Bonds</v>
      </c>
      <c r="B38" s="286">
        <f>'Sources and Uses Budget'!$C37</f>
        <v>365663</v>
      </c>
      <c r="C38" s="286">
        <f>'Sources and Uses Budget'!$C37</f>
        <v>365663</v>
      </c>
      <c r="D38" s="290">
        <f t="shared" si="0"/>
        <v>0</v>
      </c>
      <c r="E38" s="288"/>
      <c r="F38" s="287"/>
      <c r="G38" s="384"/>
    </row>
    <row r="39" spans="1:7" s="381" customFormat="1">
      <c r="A39" s="291" t="s">
        <v>144</v>
      </c>
      <c r="B39" s="290">
        <f>SUM(B30:B38)</f>
        <v>52237500</v>
      </c>
      <c r="C39" s="290">
        <f>SUM(C30:C38)</f>
        <v>52237500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600000</v>
      </c>
      <c r="C41" s="286">
        <f>'Sources and Uses Budget'!$C40</f>
        <v>600000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c r="A43" s="291" t="s">
        <v>148</v>
      </c>
      <c r="B43" s="290">
        <f>SUM(B41:B42)</f>
        <v>800000</v>
      </c>
      <c r="C43" s="290">
        <f>SUM(C41:C42)</f>
        <v>800000</v>
      </c>
      <c r="D43" s="290">
        <f t="shared" si="0"/>
        <v>0</v>
      </c>
      <c r="E43" s="288"/>
      <c r="F43" s="287"/>
      <c r="G43" s="384"/>
    </row>
    <row r="44" spans="1:7" s="381" customFormat="1">
      <c r="A44" s="291" t="s">
        <v>149</v>
      </c>
      <c r="B44" s="286">
        <f>'Sources and Uses Budget'!$C43</f>
        <v>165000</v>
      </c>
      <c r="C44" s="286">
        <f>'Sources and Uses Budget'!$C43</f>
        <v>165000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5670000</v>
      </c>
      <c r="C46" s="286">
        <f>'Sources and Uses Budget'!$C45</f>
        <v>5670000</v>
      </c>
      <c r="D46" s="290">
        <f t="shared" si="0"/>
        <v>0</v>
      </c>
      <c r="E46" s="288"/>
      <c r="F46" s="287"/>
      <c r="G46" s="384"/>
    </row>
    <row r="47" spans="1:7" s="381" customFormat="1">
      <c r="A47" s="145" t="s">
        <v>152</v>
      </c>
      <c r="B47" s="286">
        <f>'Sources and Uses Budget'!$C46</f>
        <v>580000</v>
      </c>
      <c r="C47" s="286">
        <f>'Sources and Uses Budget'!$C46</f>
        <v>580000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16579</v>
      </c>
      <c r="C49" s="286">
        <f>'Sources and Uses Budget'!$C48</f>
        <v>16579</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220000</v>
      </c>
      <c r="C51" s="286">
        <f>'Sources and Uses Budget'!$C50</f>
        <v>220000</v>
      </c>
      <c r="D51" s="290">
        <f t="shared" si="0"/>
        <v>0</v>
      </c>
      <c r="E51" s="288"/>
      <c r="F51" s="287"/>
      <c r="G51" s="384"/>
    </row>
    <row r="52" spans="1:7" s="381" customFormat="1">
      <c r="A52" s="304" t="s">
        <v>155</v>
      </c>
      <c r="B52" s="286">
        <f>'Sources and Uses Budget'!$C51</f>
        <v>25000</v>
      </c>
      <c r="C52" s="286">
        <f>'Sources and Uses Budget'!$C51</f>
        <v>25000</v>
      </c>
      <c r="D52" s="290">
        <f t="shared" si="0"/>
        <v>0</v>
      </c>
      <c r="E52" s="288"/>
      <c r="F52" s="287"/>
      <c r="G52" s="384"/>
    </row>
    <row r="53" spans="1:7" s="381" customFormat="1">
      <c r="A53" s="145" t="s">
        <v>156</v>
      </c>
      <c r="B53" s="286">
        <f>'Sources and Uses Budget'!$C52</f>
        <v>400000</v>
      </c>
      <c r="C53" s="286">
        <f>'Sources and Uses Budget'!$C52</f>
        <v>400000</v>
      </c>
      <c r="D53" s="290">
        <f t="shared" si="0"/>
        <v>0</v>
      </c>
      <c r="E53" s="288"/>
      <c r="F53" s="287"/>
      <c r="G53" s="384"/>
    </row>
    <row r="54" spans="1:7" s="381" customFormat="1" ht="22.8">
      <c r="A54" s="155" t="str">
        <f>'Sources and Uses Budget'!A53</f>
        <v>Other: Lender Inspection Fees, Const. Mgmt &amp; Testing+ Prev Wage Monitoring</v>
      </c>
      <c r="B54" s="286">
        <f>'Sources and Uses Budget'!$C53</f>
        <v>260000</v>
      </c>
      <c r="C54" s="286">
        <f>'Sources and Uses Budget'!$C53</f>
        <v>260000</v>
      </c>
      <c r="D54" s="290">
        <f t="shared" si="0"/>
        <v>0</v>
      </c>
      <c r="E54" s="288"/>
      <c r="F54" s="287"/>
      <c r="G54" s="384"/>
    </row>
    <row r="55" spans="1:7" s="382" customFormat="1">
      <c r="A55" s="291" t="s">
        <v>158</v>
      </c>
      <c r="B55" s="293">
        <f>SUM(B46:B54)</f>
        <v>7171579</v>
      </c>
      <c r="C55" s="293">
        <f>SUM(C46:C54)</f>
        <v>7171579</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75000</v>
      </c>
      <c r="C59" s="286">
        <f>'Sources and Uses Budget'!$C58</f>
        <v>75000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Costs of Issuance</v>
      </c>
      <c r="B62" s="286">
        <f>'Sources and Uses Budget'!$C61</f>
        <v>121019</v>
      </c>
      <c r="C62" s="286">
        <f>'Sources and Uses Budget'!$C61</f>
        <v>121019</v>
      </c>
      <c r="D62" s="290">
        <f t="shared" si="0"/>
        <v>0</v>
      </c>
      <c r="E62" s="288"/>
      <c r="F62" s="287"/>
      <c r="G62" s="384"/>
    </row>
    <row r="63" spans="1:7" s="381" customFormat="1" ht="13.65" customHeight="1">
      <c r="A63" s="291" t="s">
        <v>302</v>
      </c>
      <c r="B63" s="290">
        <f>SUM(B57:B62)</f>
        <v>196019</v>
      </c>
      <c r="C63" s="290">
        <f>SUM(C57:C62)</f>
        <v>196019</v>
      </c>
      <c r="D63" s="290">
        <f t="shared" si="0"/>
        <v>0</v>
      </c>
      <c r="E63" s="288"/>
      <c r="F63" s="287"/>
      <c r="G63" s="384"/>
    </row>
    <row r="64" spans="1:7" s="381" customFormat="1">
      <c r="A64" s="294" t="s">
        <v>303</v>
      </c>
      <c r="B64" s="290">
        <f>SUM(B9+B12+B14+B15+B17+B26+B28+B39+B43+B44+B55+B63)</f>
        <v>63228220</v>
      </c>
      <c r="C64" s="290">
        <f>SUM(C9+C12+C14+C15+C17+C26+C28+C39+C43+C44+C55+C63)</f>
        <v>63228220</v>
      </c>
      <c r="D64" s="290">
        <f t="shared" si="0"/>
        <v>0</v>
      </c>
      <c r="E64" s="288"/>
      <c r="F64" s="287"/>
      <c r="G64" s="384"/>
    </row>
    <row r="65" spans="1:7" s="381" customFormat="1" ht="22.8">
      <c r="A65" s="141" t="s">
        <v>1825</v>
      </c>
      <c r="B65" s="284"/>
      <c r="C65" s="284"/>
      <c r="D65" s="284"/>
      <c r="E65" s="303"/>
      <c r="F65" s="284"/>
      <c r="G65" s="384"/>
    </row>
    <row r="66" spans="1:7" s="381" customFormat="1">
      <c r="A66" s="145" t="s">
        <v>171</v>
      </c>
      <c r="B66" s="286">
        <f>'Sources and Uses Budget'!$C65</f>
        <v>175000</v>
      </c>
      <c r="C66" s="286">
        <f>'Sources and Uses Budget'!$C65</f>
        <v>175000</v>
      </c>
      <c r="D66" s="290">
        <f t="shared" si="0"/>
        <v>0</v>
      </c>
      <c r="E66" s="288"/>
      <c r="F66" s="287"/>
      <c r="G66" s="384"/>
    </row>
    <row r="67" spans="1:7" s="381" customFormat="1" ht="22.8">
      <c r="A67" s="304" t="s">
        <v>1822</v>
      </c>
      <c r="B67" s="286">
        <f>'Sources and Uses Budget'!$C66</f>
        <v>120000</v>
      </c>
      <c r="C67" s="286">
        <f>'Sources and Uses Budget'!$C66</f>
        <v>120000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295000</v>
      </c>
      <c r="C71" s="290">
        <f>SUM(C66:C70)</f>
        <v>295000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401000</v>
      </c>
      <c r="C76" s="286">
        <f>'Sources and Uses Budget'!$C75</f>
        <v>401000</v>
      </c>
      <c r="D76" s="290">
        <f t="shared" si="0"/>
        <v>0</v>
      </c>
      <c r="E76" s="288"/>
      <c r="F76" s="287"/>
      <c r="G76" s="384"/>
    </row>
    <row r="77" spans="1:7" s="381" customFormat="1">
      <c r="A77" s="292" t="s">
        <v>34</v>
      </c>
      <c r="B77" s="286">
        <f>'Sources and Uses Budget'!$C76</f>
        <v>452000</v>
      </c>
      <c r="C77" s="286">
        <f>'Sources and Uses Budget'!$C76</f>
        <v>452000</v>
      </c>
      <c r="D77" s="290">
        <f t="shared" si="0"/>
        <v>0</v>
      </c>
      <c r="E77" s="288"/>
      <c r="F77" s="287"/>
      <c r="G77" s="384"/>
    </row>
    <row r="78" spans="1:7" s="381" customFormat="1">
      <c r="A78" s="291" t="s">
        <v>615</v>
      </c>
      <c r="B78" s="290">
        <f>SUM(B73:B77)</f>
        <v>853000</v>
      </c>
      <c r="C78" s="290">
        <f>SUM(C73:C77)</f>
        <v>853000</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2611875</v>
      </c>
      <c r="C80" s="286">
        <f>'Sources and Uses Budget'!$C79</f>
        <v>2611875</v>
      </c>
      <c r="D80" s="290">
        <f t="shared" si="1"/>
        <v>0</v>
      </c>
      <c r="E80" s="288"/>
      <c r="F80" s="287"/>
      <c r="G80" s="384"/>
    </row>
    <row r="81" spans="1:7" s="381" customFormat="1">
      <c r="A81" s="545" t="s">
        <v>58</v>
      </c>
      <c r="B81" s="286">
        <f>'Sources and Uses Budget'!$C80</f>
        <v>474222</v>
      </c>
      <c r="C81" s="286">
        <f>'Sources and Uses Budget'!$C80</f>
        <v>474222</v>
      </c>
      <c r="D81" s="290">
        <f>C81-B81</f>
        <v>0</v>
      </c>
      <c r="E81" s="288"/>
      <c r="F81" s="287"/>
      <c r="G81" s="384"/>
    </row>
    <row r="82" spans="1:7" s="381" customFormat="1">
      <c r="A82" s="291" t="s">
        <v>1352</v>
      </c>
      <c r="B82" s="290">
        <f>SUM(B80:B81)</f>
        <v>3086097</v>
      </c>
      <c r="C82" s="290">
        <f>SUM(C80:C81)</f>
        <v>3086097</v>
      </c>
      <c r="D82" s="290">
        <f t="shared" si="1"/>
        <v>0</v>
      </c>
      <c r="E82" s="288"/>
      <c r="F82" s="287"/>
      <c r="G82" s="384"/>
    </row>
    <row r="83" spans="1:7" s="381" customFormat="1">
      <c r="A83" s="284" t="s">
        <v>789</v>
      </c>
      <c r="B83" s="284"/>
      <c r="C83" s="284"/>
      <c r="D83" s="284"/>
      <c r="E83" s="303"/>
      <c r="F83" s="284"/>
      <c r="G83" s="384"/>
    </row>
    <row r="84" spans="1:7" s="381" customFormat="1" ht="13.65" customHeight="1">
      <c r="A84" s="289" t="s">
        <v>790</v>
      </c>
      <c r="B84" s="286">
        <f>'Sources and Uses Budget'!$C83</f>
        <v>132160</v>
      </c>
      <c r="C84" s="286">
        <f>'Sources and Uses Budget'!$C83</f>
        <v>132160</v>
      </c>
      <c r="D84" s="290">
        <f t="shared" si="1"/>
        <v>0</v>
      </c>
      <c r="E84" s="288"/>
      <c r="F84" s="287"/>
      <c r="G84" s="384"/>
    </row>
    <row r="85" spans="1:7" s="381" customFormat="1">
      <c r="A85" s="289" t="s">
        <v>791</v>
      </c>
      <c r="B85" s="286">
        <f>'Sources and Uses Budget'!$C84</f>
        <v>86000</v>
      </c>
      <c r="C85" s="286">
        <f>'Sources and Uses Budget'!$C84</f>
        <v>86000</v>
      </c>
      <c r="D85" s="290">
        <f t="shared" si="1"/>
        <v>0</v>
      </c>
      <c r="E85" s="288"/>
      <c r="F85" s="287"/>
      <c r="G85" s="384"/>
    </row>
    <row r="86" spans="1:7" s="381" customFormat="1">
      <c r="A86" s="289" t="s">
        <v>792</v>
      </c>
      <c r="B86" s="286">
        <f>'Sources and Uses Budget'!$C85</f>
        <v>4570553</v>
      </c>
      <c r="C86" s="286">
        <f>'Sources and Uses Budget'!$C85</f>
        <v>4570553</v>
      </c>
      <c r="D86" s="290">
        <f t="shared" si="1"/>
        <v>0</v>
      </c>
      <c r="E86" s="288"/>
      <c r="F86" s="287"/>
      <c r="G86" s="384"/>
    </row>
    <row r="87" spans="1:7" s="381" customFormat="1">
      <c r="A87" s="289" t="s">
        <v>793</v>
      </c>
      <c r="B87" s="286">
        <f>'Sources and Uses Budget'!$C86</f>
        <v>256970</v>
      </c>
      <c r="C87" s="286">
        <f>'Sources and Uses Budget'!$C86</f>
        <v>256970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100000</v>
      </c>
      <c r="C89" s="286">
        <f>'Sources and Uses Budget'!$C88</f>
        <v>100000</v>
      </c>
      <c r="D89" s="290">
        <f t="shared" si="1"/>
        <v>0</v>
      </c>
      <c r="E89" s="288"/>
      <c r="F89" s="287"/>
      <c r="G89" s="384"/>
    </row>
    <row r="90" spans="1:7" s="381" customFormat="1">
      <c r="A90" s="289" t="s">
        <v>796</v>
      </c>
      <c r="B90" s="286">
        <f>'Sources and Uses Budget'!$C89</f>
        <v>85000</v>
      </c>
      <c r="C90" s="286">
        <f>'Sources and Uses Budget'!$C89</f>
        <v>85000</v>
      </c>
      <c r="D90" s="290">
        <f t="shared" si="1"/>
        <v>0</v>
      </c>
      <c r="E90" s="288"/>
      <c r="F90" s="287"/>
      <c r="G90" s="384"/>
    </row>
    <row r="91" spans="1:7" s="381" customFormat="1">
      <c r="A91" s="289" t="s">
        <v>797</v>
      </c>
      <c r="B91" s="286">
        <f>'Sources and Uses Budget'!$C90</f>
        <v>12000</v>
      </c>
      <c r="C91" s="286">
        <f>'Sources and Uses Budget'!$C90</f>
        <v>12000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25000</v>
      </c>
      <c r="C93" s="286">
        <f>'Sources and Uses Budget'!$C92</f>
        <v>25000</v>
      </c>
      <c r="D93" s="290">
        <f t="shared" si="1"/>
        <v>0</v>
      </c>
      <c r="E93" s="288"/>
      <c r="F93" s="287"/>
      <c r="G93" s="384"/>
    </row>
    <row r="94" spans="1:7" s="381" customFormat="1">
      <c r="A94" s="292" t="s">
        <v>34</v>
      </c>
      <c r="B94" s="286">
        <f>'Sources and Uses Budget'!$C93</f>
        <v>20000</v>
      </c>
      <c r="C94" s="286">
        <f>'Sources and Uses Budget'!$C93</f>
        <v>20000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5287683</v>
      </c>
      <c r="C97" s="290">
        <f>SUM(C84:C96)</f>
        <v>5287683</v>
      </c>
      <c r="D97" s="290">
        <f t="shared" si="1"/>
        <v>0</v>
      </c>
      <c r="E97" s="288"/>
      <c r="F97" s="287"/>
      <c r="G97" s="384"/>
    </row>
    <row r="98" spans="1:7" s="381" customFormat="1">
      <c r="A98" s="291" t="s">
        <v>799</v>
      </c>
      <c r="B98" s="290">
        <f>SUM(B64+B71+B78+B82+B97)</f>
        <v>72750000</v>
      </c>
      <c r="C98" s="290">
        <f>SUM(C64+C71+C78+C82+C97)</f>
        <v>72750000</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3500000</v>
      </c>
      <c r="C100" s="286">
        <f>'Sources and Uses Budget'!$C99</f>
        <v>3500000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3500000</v>
      </c>
      <c r="C105" s="290">
        <f>SUM(C100:C104)</f>
        <v>3500000</v>
      </c>
      <c r="D105" s="290">
        <f t="shared" si="1"/>
        <v>0</v>
      </c>
      <c r="E105" s="288"/>
      <c r="F105" s="287"/>
      <c r="G105" s="384"/>
    </row>
    <row r="106" spans="1:7" s="381" customFormat="1">
      <c r="A106" s="291" t="s">
        <v>804</v>
      </c>
      <c r="B106" s="293">
        <f>SUM(B98+B105)</f>
        <v>76250000</v>
      </c>
      <c r="C106" s="293">
        <f>SUM(C98+C105)</f>
        <v>76250000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308</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2"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4">
      <c r="A17" s="176"/>
      <c r="B17" s="469" t="s">
        <v>308</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308</v>
      </c>
      <c r="D21" s="1284" t="s">
        <v>1189</v>
      </c>
      <c r="E21" s="1284"/>
      <c r="F21" s="1284"/>
    </row>
    <row r="22" spans="1:6" ht="14.4">
      <c r="A22" s="176"/>
      <c r="B22" s="176"/>
      <c r="D22" s="35"/>
    </row>
    <row r="23" spans="1:6" ht="14.4">
      <c r="A23" s="176"/>
      <c r="B23" s="469" t="s">
        <v>308</v>
      </c>
      <c r="D23" s="1260" t="s">
        <v>1190</v>
      </c>
      <c r="E23" s="1260"/>
      <c r="F23" s="1260"/>
    </row>
    <row r="24" spans="1:6" ht="14.4">
      <c r="A24" s="176"/>
      <c r="B24" s="176"/>
      <c r="D24" s="1260"/>
      <c r="E24" s="1260"/>
      <c r="F24" s="1260"/>
    </row>
    <row r="25" spans="1:6"/>
    <row r="26" spans="1:6" ht="14.4">
      <c r="A26" s="176"/>
      <c r="B26" s="469" t="s">
        <v>308</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1192</v>
      </c>
      <c r="E32" s="1260"/>
      <c r="F32" s="1260"/>
    </row>
    <row r="33" spans="1:6">
      <c r="D33" s="1260"/>
      <c r="E33" s="1260"/>
      <c r="F33" s="1260"/>
    </row>
    <row r="34" spans="1:6" ht="14.4">
      <c r="A34" s="176"/>
      <c r="B34" s="176"/>
      <c r="D34" s="220"/>
    </row>
    <row r="35" spans="1:6" ht="14.4" customHeight="1">
      <c r="A35" s="176"/>
      <c r="B35" s="469" t="s">
        <v>308</v>
      </c>
      <c r="D35" s="1260" t="s">
        <v>1193</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308</v>
      </c>
      <c r="D39" s="1260" t="s">
        <v>1194</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308</v>
      </c>
      <c r="D45" s="1260" t="s">
        <v>1195</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4" customHeight="1">
      <c r="A50" s="176"/>
      <c r="B50" s="469" t="s">
        <v>308</v>
      </c>
      <c r="D50" s="1260" t="s">
        <v>1196</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308</v>
      </c>
      <c r="C54" s="386"/>
      <c r="D54" s="1260" t="s">
        <v>1197</v>
      </c>
      <c r="E54" s="1260"/>
      <c r="F54" s="1260"/>
      <c r="G54" s="3"/>
    </row>
    <row r="55" spans="1:7" ht="14.4">
      <c r="A55" s="176"/>
      <c r="B55" s="176"/>
      <c r="C55" s="386"/>
      <c r="D55" s="1260"/>
      <c r="E55" s="1260"/>
      <c r="F55" s="1260"/>
      <c r="G55" s="3"/>
    </row>
    <row r="56" spans="1:7">
      <c r="D56" s="220"/>
    </row>
    <row r="57" spans="1:7" ht="14.4">
      <c r="A57" s="176"/>
      <c r="B57" s="469" t="s">
        <v>308</v>
      </c>
      <c r="D57" s="1260" t="s">
        <v>1198</v>
      </c>
      <c r="E57" s="1260"/>
      <c r="F57" s="1260"/>
    </row>
    <row r="58" spans="1:7">
      <c r="D58" s="1260"/>
      <c r="E58" s="1260"/>
      <c r="F58" s="1260"/>
    </row>
    <row r="59" spans="1:7">
      <c r="D59" s="1260"/>
      <c r="E59" s="1260"/>
      <c r="F59" s="1260"/>
    </row>
    <row r="60" spans="1:7">
      <c r="D60" s="3"/>
    </row>
    <row r="61" spans="1:7" ht="14.4">
      <c r="A61" s="176"/>
      <c r="B61" s="469" t="s">
        <v>308</v>
      </c>
      <c r="D61" s="1260" t="s">
        <v>1199</v>
      </c>
      <c r="E61" s="1260"/>
      <c r="F61" s="1260"/>
    </row>
    <row r="62" spans="1:7">
      <c r="D62" s="1260"/>
      <c r="E62" s="1260"/>
      <c r="F62" s="1260"/>
    </row>
    <row r="63" spans="1:7"/>
    <row r="64" spans="1:7" ht="14.4">
      <c r="A64" s="176"/>
      <c r="B64" s="469" t="s">
        <v>308</v>
      </c>
      <c r="D64" s="1260" t="s">
        <v>1200</v>
      </c>
      <c r="E64" s="1260"/>
      <c r="F64" s="1260"/>
    </row>
    <row r="65" spans="1:7">
      <c r="D65" s="1260"/>
      <c r="E65" s="1260"/>
      <c r="F65" s="1260"/>
    </row>
    <row r="66" spans="1:7">
      <c r="D66" s="1260"/>
      <c r="E66" s="1260"/>
      <c r="F66" s="1260"/>
    </row>
    <row r="67" spans="1:7">
      <c r="D67"/>
    </row>
    <row r="68" spans="1:7" ht="14.4">
      <c r="A68" s="176"/>
      <c r="B68" s="469" t="s">
        <v>308</v>
      </c>
      <c r="D68" s="1260" t="s">
        <v>1201</v>
      </c>
      <c r="E68" s="1260"/>
      <c r="F68" s="1260"/>
    </row>
    <row r="69" spans="1:7">
      <c r="D69" s="1260"/>
      <c r="E69" s="1260"/>
      <c r="F69" s="1260"/>
    </row>
    <row r="70" spans="1:7" ht="14.4">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4">
      <c r="A76" s="176"/>
      <c r="B76" s="469" t="s">
        <v>308</v>
      </c>
      <c r="D76" s="1260" t="s">
        <v>1207</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4" customHeight="1">
      <c r="A83" s="176"/>
      <c r="B83" s="469" t="s">
        <v>308</v>
      </c>
      <c r="D83" s="1263" t="s">
        <v>1306</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308</v>
      </c>
      <c r="D97" s="1260" t="s">
        <v>1208</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308</v>
      </c>
      <c r="C106" s="179"/>
      <c r="D106" s="1301" t="s">
        <v>1209</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308</v>
      </c>
      <c r="C114"/>
      <c r="D114" s="1302" t="s">
        <v>1210</v>
      </c>
      <c r="E114" s="1302"/>
      <c r="F114" s="1302"/>
      <c r="G114"/>
    </row>
    <row r="115" spans="1:7" ht="14.4">
      <c r="A115" s="176"/>
      <c r="B115" s="176"/>
      <c r="C115"/>
      <c r="D115" s="1302"/>
      <c r="E115" s="1302"/>
      <c r="F115" s="1302"/>
      <c r="G115"/>
    </row>
    <row r="116" spans="1:7"/>
    <row r="117" spans="1:7" ht="14.4">
      <c r="A117" s="176"/>
      <c r="B117" s="469" t="s">
        <v>308</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308</v>
      </c>
      <c r="D123" s="1260" t="s">
        <v>1212</v>
      </c>
      <c r="E123" s="1260"/>
      <c r="F123" s="1260"/>
    </row>
    <row r="124" spans="1:7" s="197" customFormat="1" ht="13.65" customHeight="1">
      <c r="A124" s="195"/>
      <c r="B124" s="195"/>
      <c r="C124" s="195"/>
      <c r="D124" s="1260"/>
      <c r="E124" s="1260"/>
      <c r="F124" s="1260"/>
      <c r="G124" s="196"/>
    </row>
    <row r="125" spans="1:7" ht="13.65" customHeight="1">
      <c r="D125" s="1260"/>
      <c r="E125" s="1260"/>
      <c r="F125" s="1260"/>
    </row>
    <row r="126" spans="1:7" ht="13.65" customHeight="1">
      <c r="D126" s="1260"/>
      <c r="E126" s="1260"/>
      <c r="F126" s="1260"/>
    </row>
    <row r="127" spans="1:7" ht="13.65" customHeight="1">
      <c r="D127" s="1260"/>
      <c r="E127" s="1260"/>
      <c r="F127" s="1260"/>
    </row>
    <row r="128" spans="1:7" ht="13.65" customHeight="1">
      <c r="A128" s="256"/>
      <c r="B128" s="256"/>
      <c r="D128" s="1260"/>
      <c r="E128" s="1260"/>
      <c r="F128" s="1260"/>
    </row>
    <row r="129" spans="2:6" ht="13.65" customHeight="1">
      <c r="D129" s="1260"/>
      <c r="E129" s="1260"/>
      <c r="F129" s="1260"/>
    </row>
    <row r="130" spans="2:6" ht="13.65" customHeight="1">
      <c r="D130" s="1260"/>
      <c r="E130" s="1260"/>
      <c r="F130" s="1260"/>
    </row>
    <row r="131" spans="2:6" ht="13.65" customHeight="1">
      <c r="D131" s="1260"/>
      <c r="E131" s="1260"/>
      <c r="F131" s="1260"/>
    </row>
    <row r="132" spans="2:6" ht="13.65" customHeight="1">
      <c r="D132" s="1260"/>
      <c r="E132" s="1260"/>
      <c r="F132" s="1260"/>
    </row>
    <row r="133" spans="2:6" ht="13.65" customHeight="1">
      <c r="D133" s="1260"/>
      <c r="E133" s="1260"/>
      <c r="F133" s="1260"/>
    </row>
    <row r="134" spans="2:6" ht="13.65" customHeight="1">
      <c r="D134" s="1260"/>
      <c r="E134" s="1260"/>
      <c r="F134" s="1260"/>
    </row>
    <row r="135" spans="2:6" ht="13.65" customHeight="1">
      <c r="D135" s="218"/>
      <c r="E135" s="35"/>
      <c r="F135" s="35"/>
    </row>
    <row r="136" spans="2:6" ht="13.65" customHeight="1">
      <c r="B136" s="469" t="s">
        <v>308</v>
      </c>
      <c r="D136" s="1260" t="s">
        <v>1320</v>
      </c>
      <c r="E136" s="1260"/>
      <c r="F136" s="1260"/>
    </row>
    <row r="137" spans="2:6" ht="13.65" customHeight="1">
      <c r="D137" s="1260"/>
      <c r="E137" s="1260"/>
      <c r="F137" s="1260"/>
    </row>
    <row r="138" spans="2:6" ht="13.65" customHeight="1">
      <c r="D138" s="1260"/>
      <c r="E138" s="1260"/>
      <c r="F138" s="1260"/>
    </row>
    <row r="139" spans="2:6" ht="13.65" customHeight="1">
      <c r="D139" s="1260"/>
      <c r="E139" s="1260"/>
      <c r="F139" s="1260"/>
    </row>
    <row r="140" spans="2:6" ht="13.65" customHeight="1">
      <c r="D140" s="1260"/>
      <c r="E140" s="1260"/>
      <c r="F140" s="1260"/>
    </row>
    <row r="141" spans="2:6" ht="13.65" customHeight="1">
      <c r="D141" s="1260"/>
      <c r="E141" s="1260"/>
      <c r="F141" s="1260"/>
    </row>
    <row r="142" spans="2:6" ht="13.65" customHeight="1">
      <c r="D142" s="1260"/>
      <c r="E142" s="1260"/>
      <c r="F142" s="1260"/>
    </row>
    <row r="143" spans="2:6" ht="13.65" customHeight="1">
      <c r="D143" s="1260"/>
      <c r="E143" s="1260"/>
      <c r="F143" s="1260"/>
    </row>
    <row r="144" spans="2:6" ht="13.65" customHeight="1">
      <c r="D144" s="1260"/>
      <c r="E144" s="1260"/>
      <c r="F144" s="1260"/>
    </row>
    <row r="145" spans="1:7" ht="13.65" customHeight="1">
      <c r="D145" s="1260"/>
      <c r="E145" s="1260"/>
      <c r="F145" s="1260"/>
    </row>
    <row r="146" spans="1:7" ht="13.65" customHeight="1">
      <c r="D146" s="1260"/>
      <c r="E146" s="1260"/>
      <c r="F146" s="1260"/>
    </row>
    <row r="147" spans="1:7" ht="13.65" customHeight="1">
      <c r="D147" s="1260"/>
      <c r="E147" s="1260"/>
      <c r="F147" s="1260"/>
    </row>
    <row r="148" spans="1:7" ht="13.65" customHeight="1">
      <c r="D148" s="1260"/>
      <c r="E148" s="1260"/>
      <c r="F148" s="1260"/>
    </row>
    <row r="149" spans="1:7" ht="13.65" customHeight="1">
      <c r="D149" s="1260"/>
      <c r="E149" s="1260"/>
      <c r="F149" s="1260"/>
    </row>
    <row r="150" spans="1:7" ht="13.65" customHeight="1">
      <c r="D150" s="1260"/>
      <c r="E150" s="1260"/>
      <c r="F150" s="1260"/>
    </row>
    <row r="151" spans="1:7" ht="13.65" customHeight="1">
      <c r="D151" s="1260"/>
      <c r="E151" s="1260"/>
      <c r="F151" s="1260"/>
    </row>
    <row r="152" spans="1:7" ht="13.65" customHeight="1">
      <c r="D152" s="1260"/>
      <c r="E152" s="1260"/>
      <c r="F152" s="1260"/>
    </row>
    <row r="153" spans="1:7" ht="13.65" customHeight="1">
      <c r="D153" s="1260"/>
      <c r="E153" s="1260"/>
      <c r="F153" s="1260"/>
    </row>
    <row r="154" spans="1:7" ht="13.65" customHeight="1">
      <c r="D154" s="1260"/>
      <c r="E154" s="1260"/>
      <c r="F154" s="1260"/>
    </row>
    <row r="155" spans="1:7" ht="13.65" customHeight="1">
      <c r="D155" s="218"/>
      <c r="E155" s="35"/>
      <c r="F155" s="35"/>
    </row>
    <row r="156" spans="1:7" ht="13.65" customHeight="1">
      <c r="A156" s="256"/>
      <c r="B156" s="469" t="s">
        <v>308</v>
      </c>
      <c r="C156" s="218"/>
      <c r="D156" s="1263" t="s">
        <v>1213</v>
      </c>
      <c r="E156" s="1263"/>
      <c r="F156" s="1263"/>
      <c r="G156" s="218"/>
    </row>
    <row r="157" spans="1:7" ht="13.65" customHeight="1">
      <c r="A157" s="256"/>
      <c r="B157" s="256"/>
      <c r="C157" s="218"/>
      <c r="D157" s="1263"/>
      <c r="E157" s="1263"/>
      <c r="F157" s="1263"/>
      <c r="G157" s="218"/>
    </row>
    <row r="158" spans="1:7" ht="13.65" customHeight="1">
      <c r="A158" s="256"/>
      <c r="B158" s="256"/>
      <c r="C158" s="218"/>
      <c r="D158" s="218"/>
      <c r="E158" s="218"/>
      <c r="F158" s="218"/>
      <c r="G158" s="218"/>
    </row>
    <row r="159" spans="1:7" ht="13.65" customHeight="1">
      <c r="A159" s="256"/>
      <c r="B159" s="469" t="s">
        <v>308</v>
      </c>
      <c r="C159" s="218"/>
      <c r="D159" s="1263" t="s">
        <v>1214</v>
      </c>
      <c r="E159" s="1263"/>
      <c r="F159" s="1263"/>
      <c r="G159" s="218"/>
    </row>
    <row r="160" spans="1:7" ht="13.65" customHeight="1">
      <c r="A160" s="256"/>
      <c r="B160" s="256"/>
      <c r="C160" s="218"/>
      <c r="D160" s="1263"/>
      <c r="E160" s="1263"/>
      <c r="F160" s="1263"/>
      <c r="G160" s="218"/>
    </row>
    <row r="161" spans="1:7" ht="13.65" customHeight="1">
      <c r="A161" s="256"/>
      <c r="B161" s="256"/>
      <c r="C161" s="218"/>
      <c r="D161" s="1263"/>
      <c r="E161" s="1263"/>
      <c r="F161" s="1263"/>
      <c r="G161" s="218"/>
    </row>
    <row r="162" spans="1:7" ht="13.65" customHeight="1">
      <c r="A162" s="256"/>
      <c r="B162" s="256"/>
      <c r="C162" s="218"/>
      <c r="D162" s="1263"/>
      <c r="E162" s="1263"/>
      <c r="F162" s="1263"/>
      <c r="G162" s="218"/>
    </row>
    <row r="163" spans="1:7" ht="13.65" customHeight="1">
      <c r="D163" s="35"/>
      <c r="E163" s="35"/>
      <c r="F163" s="35"/>
    </row>
    <row r="164" spans="1:7" ht="13.65" customHeight="1">
      <c r="B164" s="469" t="s">
        <v>308</v>
      </c>
      <c r="D164" s="1297" t="s">
        <v>1215</v>
      </c>
      <c r="E164" s="1297"/>
      <c r="F164" s="1297"/>
    </row>
    <row r="165" spans="1:7" ht="13.65" customHeight="1">
      <c r="D165" s="1297"/>
      <c r="E165" s="1297"/>
      <c r="F165" s="1297"/>
    </row>
    <row r="166" spans="1:7" ht="13.65" customHeight="1">
      <c r="D166" s="1297"/>
      <c r="E166" s="1297"/>
      <c r="F166" s="1297"/>
    </row>
    <row r="167" spans="1:7" ht="13.65"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2"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4">
      <c r="A178" s="176"/>
      <c r="B178" s="469" t="s">
        <v>308</v>
      </c>
      <c r="D178" s="1275" t="s">
        <v>1217</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4">
      <c r="A186" s="176"/>
      <c r="B186" s="469" t="s">
        <v>308</v>
      </c>
      <c r="C186" s="386"/>
      <c r="D186" s="1260" t="s">
        <v>1216</v>
      </c>
      <c r="E186" s="1260"/>
      <c r="F186" s="1260"/>
      <c r="G186" s="3"/>
    </row>
    <row r="187" spans="1:7" ht="14.4"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209</v>
      </c>
      <c r="E193" s="1279"/>
      <c r="F193" s="1279"/>
    </row>
    <row r="194" spans="1:6">
      <c r="A194" s="172"/>
      <c r="B194" s="172"/>
      <c r="C194" s="172"/>
      <c r="D194" s="1280" t="s">
        <v>1240</v>
      </c>
      <c r="E194" s="1286"/>
      <c r="F194" s="1286"/>
    </row>
    <row r="195" spans="1:6" ht="12" customHeight="1">
      <c r="A195" s="13"/>
      <c r="B195" s="13"/>
      <c r="C195" s="13"/>
    </row>
    <row r="196" spans="1:6" ht="13.2" customHeight="1">
      <c r="A196" s="13"/>
      <c r="C196" s="13"/>
      <c r="D196" s="1279" t="s">
        <v>555</v>
      </c>
      <c r="E196" s="1279"/>
      <c r="F196" s="1279"/>
    </row>
    <row r="197" spans="1:6" ht="14.4">
      <c r="A197" s="176"/>
      <c r="B197" s="469" t="s">
        <v>308</v>
      </c>
      <c r="D197" s="1260" t="s">
        <v>1234</v>
      </c>
      <c r="E197" s="1260"/>
      <c r="F197" s="1260"/>
    </row>
    <row r="198" spans="1:6" ht="14.4">
      <c r="A198" s="176"/>
      <c r="B198" s="176"/>
      <c r="D198" s="1260"/>
      <c r="E198" s="1260"/>
      <c r="F198" s="1260"/>
    </row>
    <row r="199" spans="1:6"/>
    <row r="200" spans="1:6" ht="14.4">
      <c r="A200" s="176"/>
      <c r="B200" s="469" t="s">
        <v>308</v>
      </c>
      <c r="D200" s="1260" t="s">
        <v>1235</v>
      </c>
      <c r="E200" s="1260"/>
      <c r="F200" s="1260"/>
    </row>
    <row r="201" spans="1:6" ht="14.4">
      <c r="A201" s="176"/>
      <c r="B201" s="176"/>
      <c r="D201" s="1260"/>
      <c r="E201" s="1260"/>
      <c r="F201" s="1260"/>
    </row>
    <row r="202" spans="1:6" ht="14.4">
      <c r="A202" s="176"/>
      <c r="B202" s="176"/>
      <c r="D202" s="1260"/>
      <c r="E202" s="1260"/>
      <c r="F202" s="1260"/>
    </row>
    <row r="203" spans="1:6" ht="5.0999999999999996" customHeight="1">
      <c r="A203" s="176"/>
      <c r="B203" s="176"/>
      <c r="D203" s="35"/>
      <c r="E203" s="35"/>
      <c r="F203" s="35"/>
    </row>
    <row r="204" spans="1:6" ht="14.4">
      <c r="A204" s="176"/>
      <c r="B204" s="176"/>
      <c r="D204" s="1260" t="s">
        <v>1236</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308</v>
      </c>
      <c r="D210" s="1260" t="s">
        <v>1237</v>
      </c>
      <c r="E210" s="1260"/>
      <c r="F210" s="1260"/>
    </row>
    <row r="211" spans="1:7" ht="14.4">
      <c r="A211" s="176"/>
      <c r="B211" s="176"/>
      <c r="D211" s="1260"/>
      <c r="E211" s="1260"/>
      <c r="F211" s="1260"/>
    </row>
    <row r="212" spans="1:7" ht="14.4">
      <c r="A212" s="176"/>
      <c r="B212" s="176"/>
      <c r="D212" s="1278" t="s">
        <v>927</v>
      </c>
      <c r="E212" s="1278"/>
      <c r="F212" s="1278"/>
    </row>
    <row r="213" spans="1:7" ht="14.4">
      <c r="A213" s="176"/>
      <c r="B213" s="176"/>
      <c r="D213" s="35"/>
      <c r="E213" s="35"/>
      <c r="F213" s="35"/>
    </row>
    <row r="214" spans="1:7" ht="14.4" customHeight="1">
      <c r="A214" s="176"/>
      <c r="B214" s="469" t="s">
        <v>308</v>
      </c>
      <c r="D214" s="1260" t="s">
        <v>1239</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308</v>
      </c>
      <c r="D220" s="1260" t="s">
        <v>1238</v>
      </c>
      <c r="E220" s="1260"/>
      <c r="F220" s="1260"/>
    </row>
    <row r="221" spans="1:7" ht="14.4">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ht="14.4">
      <c r="A228" s="176"/>
      <c r="B228" s="469" t="s">
        <v>308</v>
      </c>
      <c r="D228" s="1309" t="s">
        <v>1242</v>
      </c>
      <c r="E228" s="1309"/>
      <c r="F228" s="1309"/>
    </row>
    <row r="229" spans="1:6" ht="14.4">
      <c r="A229" s="176"/>
      <c r="B229" s="176"/>
      <c r="D229" s="1309"/>
      <c r="E229" s="1309"/>
      <c r="F229" s="1309"/>
    </row>
    <row r="230" spans="1:6">
      <c r="D230" s="35"/>
      <c r="E230" s="35"/>
      <c r="F230" s="35"/>
    </row>
    <row r="231" spans="1:6" ht="14.4" customHeight="1">
      <c r="A231" s="176"/>
      <c r="B231" s="469" t="s">
        <v>308</v>
      </c>
      <c r="D231" s="1260" t="s">
        <v>1243</v>
      </c>
      <c r="E231" s="1260"/>
      <c r="F231" s="1260"/>
    </row>
    <row r="232" spans="1:6">
      <c r="D232" s="1260"/>
      <c r="E232" s="1260"/>
      <c r="F232" s="1260"/>
    </row>
    <row r="233" spans="1:6">
      <c r="D233" s="1286" t="s">
        <v>918</v>
      </c>
      <c r="E233" s="1286"/>
      <c r="F233" s="1286"/>
    </row>
    <row r="234" spans="1:6">
      <c r="D234" s="35"/>
      <c r="E234" s="35"/>
      <c r="F234" s="35"/>
    </row>
    <row r="235" spans="1:6" ht="14.4" customHeight="1">
      <c r="A235" s="176"/>
      <c r="B235" s="469" t="s">
        <v>308</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308</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ht="14.4">
      <c r="A253" s="176"/>
      <c r="B253" s="469" t="s">
        <v>308</v>
      </c>
      <c r="D253" s="1260" t="s">
        <v>1248</v>
      </c>
      <c r="E253" s="1260"/>
      <c r="F253" s="1260"/>
    </row>
    <row r="254" spans="1:7" ht="14.4">
      <c r="A254" s="176"/>
      <c r="B254" s="176"/>
      <c r="D254" s="1260"/>
      <c r="E254" s="1260"/>
      <c r="F254" s="1260"/>
    </row>
    <row r="255" spans="1:7">
      <c r="D255" s="35"/>
      <c r="E255" s="35"/>
      <c r="F255" s="35"/>
    </row>
    <row r="256" spans="1:7" ht="14.4">
      <c r="A256" s="176"/>
      <c r="B256" s="469" t="s">
        <v>308</v>
      </c>
      <c r="D256" s="1260" t="s">
        <v>1249</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308</v>
      </c>
      <c r="D260" s="1260" t="s">
        <v>1250</v>
      </c>
      <c r="E260" s="1260"/>
      <c r="F260" s="1260"/>
    </row>
    <row r="261" spans="1:7" ht="14.4">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308</v>
      </c>
      <c r="D268" s="1280" t="s">
        <v>1252</v>
      </c>
      <c r="E268" s="1280"/>
      <c r="F268" s="1280"/>
    </row>
    <row r="269" spans="1:7" ht="14.4">
      <c r="A269" s="176"/>
      <c r="B269" s="176"/>
      <c r="D269" s="342"/>
      <c r="E269" s="343"/>
      <c r="F269" s="343"/>
    </row>
    <row r="270" spans="1:7" ht="13.2" customHeight="1">
      <c r="B270" s="469" t="s">
        <v>308</v>
      </c>
      <c r="D270" s="1310" t="s">
        <v>1253</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308</v>
      </c>
      <c r="D276" s="1310" t="s">
        <v>1254</v>
      </c>
      <c r="E276" s="1310"/>
      <c r="F276" s="1310"/>
    </row>
    <row r="277" spans="1:6">
      <c r="D277" s="1310"/>
      <c r="E277" s="1310"/>
      <c r="F277" s="1310"/>
    </row>
    <row r="278" spans="1:6" ht="14.4">
      <c r="A278" s="176"/>
      <c r="B278" s="176"/>
      <c r="D278" s="342"/>
      <c r="E278" s="343"/>
      <c r="F278" s="343"/>
    </row>
    <row r="279" spans="1:6">
      <c r="B279" s="469" t="s">
        <v>308</v>
      </c>
      <c r="D279" s="1280" t="s">
        <v>1255</v>
      </c>
      <c r="E279" s="1280"/>
      <c r="F279" s="1280"/>
    </row>
    <row r="280" spans="1:6">
      <c r="E280" s="35"/>
      <c r="F280" s="35"/>
    </row>
    <row r="281" spans="1:6" ht="14.4">
      <c r="A281" s="176"/>
      <c r="B281" s="469" t="s">
        <v>308</v>
      </c>
      <c r="D281" s="1260" t="s">
        <v>1256</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308</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308</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1019</v>
      </c>
      <c r="E314" s="1306"/>
      <c r="F314" s="1306"/>
      <c r="G314"/>
    </row>
    <row r="315" spans="1:7" ht="13.8" thickTop="1">
      <c r="D315" s="1307" t="s">
        <v>1259</v>
      </c>
      <c r="E315" s="1307"/>
      <c r="F315" s="1307"/>
      <c r="G315"/>
    </row>
    <row r="316" spans="1:7">
      <c r="A316" s="218"/>
      <c r="B316" s="218"/>
      <c r="C316" s="218"/>
      <c r="D316" s="220"/>
      <c r="E316" s="220"/>
      <c r="F316" s="35"/>
      <c r="G316"/>
    </row>
    <row r="317" spans="1:7" ht="14.4">
      <c r="A317" s="176"/>
      <c r="B317" s="469" t="s">
        <v>308</v>
      </c>
      <c r="C317" s="218"/>
      <c r="D317" s="1308" t="s">
        <v>1260</v>
      </c>
      <c r="E317" s="1308"/>
      <c r="F317" s="1308"/>
      <c r="G317"/>
    </row>
    <row r="318" spans="1:7">
      <c r="A318" s="218"/>
      <c r="B318" s="218"/>
      <c r="C318" s="218"/>
      <c r="D318" s="220"/>
      <c r="E318" s="220"/>
      <c r="F318" s="35"/>
      <c r="G318"/>
    </row>
    <row r="319" spans="1:7">
      <c r="A319" s="218"/>
      <c r="B319" s="469" t="s">
        <v>308</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308</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308</v>
      </c>
      <c r="C367" s="218"/>
      <c r="D367" s="1263" t="s">
        <v>1266</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308</v>
      </c>
      <c r="C373" s="179"/>
      <c r="D373" s="1260" t="s">
        <v>1267</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65" customHeight="1">
      <c r="D403" s="1260"/>
      <c r="E403" s="1260"/>
      <c r="F403" s="1260"/>
    </row>
    <row r="404" spans="1:7">
      <c r="D404" s="35"/>
      <c r="E404" s="35"/>
      <c r="F404" s="35"/>
    </row>
    <row r="405" spans="1:7" ht="14.4">
      <c r="A405" s="176"/>
      <c r="B405" s="469" t="s">
        <v>308</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308</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308</v>
      </c>
      <c r="C416" s="176"/>
      <c r="D416" s="1260" t="s">
        <v>1271</v>
      </c>
      <c r="E416" s="1260"/>
      <c r="F416" s="1260"/>
      <c r="G416"/>
    </row>
    <row r="417" spans="1:7">
      <c r="D417" s="1260"/>
      <c r="E417" s="1260"/>
      <c r="F417" s="1260"/>
      <c r="G417"/>
    </row>
    <row r="418" spans="1:7">
      <c r="D418" s="35"/>
      <c r="E418" s="35"/>
      <c r="F418" s="35"/>
      <c r="G418"/>
    </row>
    <row r="419" spans="1:7" ht="14.4">
      <c r="B419" s="469" t="s">
        <v>308</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4">
      <c r="A445" s="176"/>
      <c r="B445" s="176"/>
      <c r="D445" s="1308" t="s">
        <v>1275</v>
      </c>
      <c r="E445" s="1308"/>
      <c r="F445" s="1308"/>
    </row>
    <row r="446" spans="1:7" ht="14.4">
      <c r="A446" s="176"/>
      <c r="B446" s="176"/>
      <c r="D446" s="482"/>
      <c r="E446" s="3"/>
      <c r="F446" s="3"/>
    </row>
    <row r="447" spans="1:7" ht="14.4">
      <c r="A447" s="176"/>
      <c r="B447" s="469" t="s">
        <v>308</v>
      </c>
      <c r="D447" s="1263" t="s">
        <v>1276</v>
      </c>
      <c r="E447" s="1263"/>
      <c r="F447" s="1263"/>
    </row>
    <row r="448" spans="1:7" ht="14.4">
      <c r="A448" s="176"/>
      <c r="B448" s="176"/>
      <c r="D448" s="1263"/>
      <c r="E448" s="1263"/>
      <c r="F448" s="1263"/>
    </row>
    <row r="449" spans="1:7" ht="14.4">
      <c r="A449" s="176"/>
      <c r="B449" s="176"/>
      <c r="D449" s="118"/>
      <c r="E449" s="3"/>
      <c r="F449" s="3"/>
    </row>
    <row r="450" spans="1:7">
      <c r="B450" s="469" t="s">
        <v>308</v>
      </c>
      <c r="D450" s="1297" t="s">
        <v>1277</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308</v>
      </c>
      <c r="D455" s="1260" t="s">
        <v>1278</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308</v>
      </c>
      <c r="D459" s="1280" t="s">
        <v>1279</v>
      </c>
      <c r="E459" s="1280"/>
      <c r="F459" s="1280"/>
      <c r="G459"/>
    </row>
    <row r="460" spans="1:7" ht="14.4">
      <c r="A460" s="176"/>
      <c r="B460" s="176"/>
      <c r="D460" s="118"/>
      <c r="E460" s="3"/>
      <c r="F460" s="3"/>
      <c r="G460"/>
    </row>
    <row r="461" spans="1:7" ht="14.4">
      <c r="A461" s="176"/>
      <c r="B461" s="469" t="s">
        <v>308</v>
      </c>
      <c r="D461" s="1260" t="s">
        <v>1280</v>
      </c>
      <c r="E461" s="1260"/>
      <c r="F461" s="1260"/>
      <c r="G461"/>
    </row>
    <row r="462" spans="1:7" ht="14.4">
      <c r="A462" s="176"/>
      <c r="D462" s="1260"/>
      <c r="E462" s="1260"/>
      <c r="F462" s="1260"/>
      <c r="G462"/>
    </row>
    <row r="463" spans="1:7">
      <c r="A463" s="13"/>
      <c r="B463" s="13"/>
      <c r="D463" s="482"/>
      <c r="E463" s="3"/>
      <c r="F463" s="3"/>
      <c r="G463"/>
    </row>
    <row r="464" spans="1:7">
      <c r="A464" s="13"/>
      <c r="B464" s="469" t="s">
        <v>308</v>
      </c>
      <c r="D464" s="1280" t="s">
        <v>1281</v>
      </c>
      <c r="E464" s="1280"/>
      <c r="F464" s="1280"/>
      <c r="G464"/>
    </row>
    <row r="465" spans="1:7" ht="14.4">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2"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 customHeight="1">
      <c r="A475" s="176"/>
      <c r="B475" s="469" t="s">
        <v>308</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 customHeight="1">
      <c r="A481" s="176"/>
      <c r="B481" s="469" t="s">
        <v>308</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 customHeight="1">
      <c r="A485" s="175"/>
      <c r="B485" s="175"/>
      <c r="C485" s="175"/>
      <c r="D485" s="220"/>
      <c r="F485" s="35"/>
    </row>
    <row r="486" spans="1:6" ht="14.4" customHeight="1">
      <c r="A486" s="176"/>
      <c r="B486" s="469" t="s">
        <v>308</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 customHeight="1">
      <c r="A490" s="176"/>
      <c r="B490" s="469" t="s">
        <v>308</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308</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 customHeight="1">
      <c r="A506" s="176"/>
      <c r="B506" s="469" t="s">
        <v>308</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2" customHeight="1">
      <c r="A519" s="176"/>
      <c r="B519" s="469" t="s">
        <v>308</v>
      </c>
      <c r="C519" s="179"/>
      <c r="D519" s="1280" t="s">
        <v>913</v>
      </c>
      <c r="E519" s="1280"/>
      <c r="F519" s="1280"/>
      <c r="G519"/>
    </row>
    <row r="520" spans="1:7" ht="13.2" customHeight="1">
      <c r="A520" s="179"/>
      <c r="B520" s="179"/>
      <c r="C520" s="179"/>
      <c r="D520" s="118"/>
      <c r="E520"/>
      <c r="F520"/>
      <c r="G520"/>
    </row>
    <row r="521" spans="1:7" ht="14.4">
      <c r="A521" s="176"/>
      <c r="B521" s="469" t="s">
        <v>308</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308</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308</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308</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308</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308</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308</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308</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4">
      <c r="A546" s="176"/>
      <c r="B546" s="176"/>
      <c r="C546" s="179"/>
      <c r="E546" s="35"/>
      <c r="F546" s="35"/>
    </row>
    <row r="547" spans="1:7" ht="14.4">
      <c r="A547" s="176"/>
      <c r="B547" s="469" t="s">
        <v>308</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308</v>
      </c>
      <c r="C552" s="179"/>
      <c r="D552" s="1260" t="s">
        <v>1186</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c r="A560" s="175"/>
      <c r="B560" s="175"/>
      <c r="C560" s="175"/>
      <c r="D560" s="1297" t="s">
        <v>1135</v>
      </c>
      <c r="E560" s="1297"/>
      <c r="F560" s="1297"/>
    </row>
    <row r="561" spans="1:6">
      <c r="A561"/>
      <c r="B561"/>
      <c r="C561" s="175"/>
      <c r="D561" s="255"/>
    </row>
    <row r="562" spans="1:6">
      <c r="A562" s="175"/>
      <c r="B562" s="469" t="s">
        <v>308</v>
      </c>
      <c r="D562" s="1297" t="s">
        <v>919</v>
      </c>
      <c r="E562" s="1297"/>
      <c r="F562" s="1297"/>
    </row>
    <row r="563" spans="1:6">
      <c r="A563" s="13"/>
      <c r="B563" s="13"/>
      <c r="D563" s="218"/>
    </row>
    <row r="564" spans="1:6">
      <c r="A564" s="13"/>
      <c r="B564" s="469" t="s">
        <v>308</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308</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308</v>
      </c>
      <c r="D573" s="1297" t="s">
        <v>1138</v>
      </c>
      <c r="E573" s="1297"/>
      <c r="F573" s="1297"/>
    </row>
    <row r="574" spans="1:6">
      <c r="A574" s="13"/>
      <c r="B574" s="13"/>
      <c r="D574" s="1297"/>
      <c r="E574" s="1297"/>
      <c r="F574" s="1297"/>
    </row>
    <row r="575" spans="1:6">
      <c r="A575" s="13"/>
      <c r="B575" s="13"/>
      <c r="D575" s="255"/>
    </row>
    <row r="576" spans="1:6">
      <c r="A576" s="13"/>
      <c r="B576" s="469" t="s">
        <v>308</v>
      </c>
      <c r="D576" s="1297" t="s">
        <v>1139</v>
      </c>
      <c r="E576" s="1297"/>
      <c r="F576" s="1297"/>
    </row>
    <row r="577" spans="1:7">
      <c r="A577" s="13"/>
      <c r="B577" s="13"/>
      <c r="D577" s="1297"/>
      <c r="E577" s="1297"/>
      <c r="F577" s="1297"/>
    </row>
    <row r="578" spans="1:7">
      <c r="A578" s="13"/>
      <c r="B578" s="13"/>
      <c r="D578" s="255"/>
    </row>
    <row r="579" spans="1:7" ht="14.4">
      <c r="A579" s="176"/>
      <c r="B579" s="469" t="s">
        <v>308</v>
      </c>
      <c r="D579" s="1297" t="s">
        <v>914</v>
      </c>
      <c r="E579" s="1297"/>
      <c r="F579" s="1297"/>
    </row>
    <row r="580" spans="1:7" ht="14.4">
      <c r="A580" s="176"/>
      <c r="B580" s="176"/>
      <c r="D580" s="255"/>
    </row>
    <row r="581" spans="1:7" ht="14.4">
      <c r="A581" s="176"/>
      <c r="B581" s="469" t="s">
        <v>308</v>
      </c>
      <c r="D581" s="1297" t="s">
        <v>1140</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4">
      <c r="A593" s="176"/>
      <c r="B593" s="469" t="s">
        <v>308</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308</v>
      </c>
      <c r="D603" s="1274" t="s">
        <v>433</v>
      </c>
      <c r="E603" s="1274"/>
      <c r="F603" s="1274"/>
    </row>
    <row r="604" spans="1:7">
      <c r="C604" s="180"/>
      <c r="E604"/>
    </row>
    <row r="605" spans="1:7">
      <c r="A605" s="13"/>
      <c r="B605" s="469" t="s">
        <v>308</v>
      </c>
      <c r="D605" s="1277" t="s">
        <v>1225</v>
      </c>
      <c r="E605" s="1277"/>
      <c r="F605" s="1277"/>
    </row>
    <row r="606" spans="1:7">
      <c r="D606" s="1277"/>
      <c r="E606" s="1277"/>
      <c r="F606" s="1277"/>
    </row>
    <row r="607" spans="1:7">
      <c r="D607"/>
    </row>
    <row r="608" spans="1:7">
      <c r="B608" s="469" t="s">
        <v>308</v>
      </c>
      <c r="D608" s="1277" t="s">
        <v>1226</v>
      </c>
      <c r="E608" s="1277"/>
      <c r="F608" s="1277"/>
    </row>
    <row r="609" spans="1:7">
      <c r="C609" s="180"/>
      <c r="D609" s="1277"/>
      <c r="E609" s="1277"/>
      <c r="F609" s="1277"/>
    </row>
    <row r="610" spans="1:7">
      <c r="C610" s="180"/>
    </row>
    <row r="611" spans="1:7">
      <c r="B611" s="469" t="s">
        <v>308</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4">
      <c r="A618" s="176"/>
      <c r="B618" s="469" t="s">
        <v>308</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308</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308</v>
      </c>
      <c r="C628" s="179"/>
      <c r="D628" s="1275" t="s">
        <v>1231</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 customHeight="1">
      <c r="A640" s="176"/>
      <c r="B640" s="469" t="s">
        <v>308</v>
      </c>
      <c r="C640" s="179"/>
      <c r="D640" s="1260" t="s">
        <v>1284</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308</v>
      </c>
      <c r="C646" s="179"/>
      <c r="D646" s="1294" t="s">
        <v>1134</v>
      </c>
      <c r="E646" s="1294"/>
      <c r="F646" s="1294"/>
    </row>
    <row r="647" spans="1:11" ht="14.4">
      <c r="A647" s="176"/>
      <c r="B647" s="176"/>
      <c r="C647" s="179"/>
      <c r="D647" s="1293" t="s">
        <v>1285</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4">
      <c r="A660" s="176"/>
      <c r="B660" s="469" t="s">
        <v>308</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308</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308</v>
      </c>
      <c r="C669" s="175"/>
      <c r="D669" s="1280" t="s">
        <v>954</v>
      </c>
      <c r="E669" s="1280"/>
      <c r="F669" s="1280"/>
      <c r="H669" s="181"/>
      <c r="I669" s="181"/>
      <c r="J669" s="181"/>
      <c r="K669" s="181"/>
    </row>
    <row r="670" spans="1:11" ht="14.4">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4">
      <c r="A673" s="176"/>
      <c r="B673" s="469" t="s">
        <v>308</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308</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308</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308</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308</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308</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308</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308</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308</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308</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4">
      <c r="A759" s="176"/>
      <c r="B759" s="469" t="s">
        <v>308</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4">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3.2"/>
    <row r="5" spans="1:10" ht="12.75" customHeight="1">
      <c r="A5" s="1315" t="s">
        <v>2447</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19" t="s">
        <v>2140</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251</v>
      </c>
      <c r="B19" s="448"/>
      <c r="C19" s="448"/>
      <c r="D19" s="448"/>
      <c r="E19" s="448"/>
      <c r="F19" s="448"/>
      <c r="G19" s="448"/>
      <c r="H19" s="448"/>
      <c r="I19" s="448"/>
      <c r="J19" s="448"/>
    </row>
    <row r="20" spans="1:10" ht="13.2">
      <c r="A20" s="1318" t="s">
        <v>1332</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1333</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1332</v>
      </c>
    </row>
    <row r="62" spans="1:10" ht="13.2"/>
    <row r="63" spans="1:10" ht="13.2"/>
    <row r="64" spans="1:10" ht="13.2"/>
    <row r="65" spans="1:9" ht="13.2"/>
    <row r="66" spans="1:9" ht="13.2"/>
    <row r="67" spans="1:9" ht="13.2"/>
    <row r="68" spans="1:9" ht="13.2"/>
    <row r="69" spans="1:9" ht="13.2"/>
    <row r="70" spans="1:9" ht="13.2"/>
    <row r="71" spans="1:9" ht="13.2"/>
    <row r="72" spans="1:9" ht="13.2">
      <c r="A72" s="1316" t="s">
        <v>2136</v>
      </c>
      <c r="B72" s="1316"/>
      <c r="C72" s="1316"/>
      <c r="D72" s="1316"/>
      <c r="E72" s="1316"/>
      <c r="F72" s="1316"/>
      <c r="G72" s="1316"/>
      <c r="H72" s="1316"/>
      <c r="I72" s="1316"/>
    </row>
    <row r="73" spans="1:9" ht="13.2">
      <c r="A73" s="1267" t="s">
        <v>2445</v>
      </c>
      <c r="B73" s="1267"/>
      <c r="C73" s="1267"/>
      <c r="D73" s="1267"/>
      <c r="E73" s="1267"/>
    </row>
    <row r="74" spans="1:9" ht="13.2">
      <c r="A74" s="1267" t="s">
        <v>2446</v>
      </c>
      <c r="B74" s="1267"/>
      <c r="C74" s="1267"/>
      <c r="D74" s="1267"/>
      <c r="E74" s="1267"/>
    </row>
    <row r="75" spans="1:9" ht="13.2">
      <c r="A75" s="1267" t="s">
        <v>2137</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81" zoomScaleNormal="100" zoomScaleSheetLayoutView="100" workbookViewId="0">
      <selection activeCell="B698" sqref="B698"/>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20" t="s">
        <v>2615</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6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4">
      <c r="A15" s="519"/>
      <c r="B15" s="520" t="s">
        <v>2729</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4">
      <c r="A20" s="519"/>
      <c r="B20" s="520" t="s">
        <v>2729</v>
      </c>
      <c r="D20" s="1275" t="s">
        <v>2305</v>
      </c>
      <c r="E20" s="1275"/>
      <c r="F20" s="1275"/>
      <c r="I20" s="436" t="s">
        <v>2149</v>
      </c>
    </row>
    <row r="21" spans="1:9" ht="14.4">
      <c r="A21" s="519"/>
      <c r="D21" s="1275"/>
      <c r="E21" s="1275"/>
      <c r="F21" s="1275"/>
    </row>
    <row r="22" spans="1:9" ht="14.4">
      <c r="A22" s="519"/>
      <c r="D22" s="424"/>
      <c r="E22" s="96" t="s">
        <v>2301</v>
      </c>
      <c r="F22" s="424"/>
    </row>
    <row r="23" spans="1:9" ht="14.4">
      <c r="A23" s="519"/>
      <c r="B23" s="519"/>
      <c r="D23" s="481"/>
    </row>
    <row r="24" spans="1:9" ht="14.4">
      <c r="A24" s="519"/>
      <c r="B24" s="520" t="s">
        <v>2730</v>
      </c>
      <c r="D24" s="1275" t="s">
        <v>1190</v>
      </c>
      <c r="E24" s="1275"/>
      <c r="F24" s="1275"/>
      <c r="I24" s="436" t="s">
        <v>2149</v>
      </c>
    </row>
    <row r="25" spans="1:9" ht="14.4">
      <c r="A25" s="519"/>
      <c r="B25" s="519"/>
      <c r="D25" s="1275"/>
      <c r="E25" s="1275"/>
      <c r="F25" s="1275"/>
    </row>
    <row r="26" spans="1:9"/>
    <row r="27" spans="1:9" ht="14.4">
      <c r="A27" s="519"/>
      <c r="B27" s="520" t="s">
        <v>2729</v>
      </c>
      <c r="D27" s="1275" t="s">
        <v>2448</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2729</v>
      </c>
      <c r="D33" s="1275" t="s">
        <v>2449</v>
      </c>
      <c r="E33" s="1275"/>
      <c r="F33" s="1275"/>
      <c r="I33" s="436" t="s">
        <v>2148</v>
      </c>
    </row>
    <row r="34" spans="1:9">
      <c r="D34" s="1275"/>
      <c r="E34" s="1275"/>
      <c r="F34" s="1275"/>
    </row>
    <row r="35" spans="1:9" ht="14.4">
      <c r="A35" s="519"/>
      <c r="B35" s="519"/>
      <c r="D35" s="482"/>
    </row>
    <row r="36" spans="1:9" ht="14.4" customHeight="1">
      <c r="A36" s="519"/>
      <c r="B36" s="520" t="s">
        <v>2729</v>
      </c>
      <c r="D36" s="1275" t="s">
        <v>1357</v>
      </c>
      <c r="E36" s="1275"/>
      <c r="F36" s="1275"/>
      <c r="I36" s="436" t="s">
        <v>2219</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2730</v>
      </c>
      <c r="D41" s="1275" t="s">
        <v>1194</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2729</v>
      </c>
      <c r="D47" s="1275" t="s">
        <v>1195</v>
      </c>
      <c r="E47" s="1275"/>
      <c r="F47" s="1275"/>
      <c r="I47" s="436" t="s">
        <v>2219</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4" customHeight="1">
      <c r="A52" s="519"/>
      <c r="B52" s="520" t="s">
        <v>2730</v>
      </c>
      <c r="D52" s="1275" t="s">
        <v>1196</v>
      </c>
      <c r="E52" s="1275"/>
      <c r="F52" s="1275"/>
      <c r="I52" s="436" t="s">
        <v>2219</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2729</v>
      </c>
      <c r="D56" s="1334" t="s">
        <v>1197</v>
      </c>
      <c r="E56" s="1334"/>
      <c r="F56" s="1334"/>
    </row>
    <row r="57" spans="1:9" ht="14.4">
      <c r="A57" s="519"/>
      <c r="B57" s="519"/>
      <c r="D57" s="1334"/>
      <c r="E57" s="1334"/>
      <c r="F57" s="1334"/>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2730</v>
      </c>
      <c r="D61" s="1275" t="s">
        <v>1198</v>
      </c>
      <c r="E61" s="1275"/>
      <c r="F61" s="1275"/>
      <c r="I61" s="436" t="s">
        <v>2150</v>
      </c>
    </row>
    <row r="62" spans="1:9">
      <c r="D62" s="1275"/>
      <c r="E62" s="1275"/>
      <c r="F62" s="1275"/>
    </row>
    <row r="63" spans="1:9">
      <c r="D63" s="1275"/>
      <c r="E63" s="1275"/>
      <c r="F63" s="1275"/>
    </row>
    <row r="64" spans="1:9"/>
    <row r="65" spans="1:9" ht="14.4">
      <c r="A65" s="519"/>
      <c r="B65" s="520" t="s">
        <v>2730</v>
      </c>
      <c r="D65" s="1275" t="s">
        <v>1199</v>
      </c>
      <c r="E65" s="1275"/>
      <c r="F65" s="1275"/>
      <c r="I65" s="436" t="s">
        <v>2151</v>
      </c>
    </row>
    <row r="66" spans="1:9">
      <c r="D66" s="1275"/>
      <c r="E66" s="1275"/>
      <c r="F66" s="1275"/>
    </row>
    <row r="67" spans="1:9"/>
    <row r="68" spans="1:9" ht="14.4">
      <c r="A68" s="519"/>
      <c r="B68" s="520" t="s">
        <v>2729</v>
      </c>
      <c r="D68" s="1275" t="s">
        <v>1200</v>
      </c>
      <c r="E68" s="1275"/>
      <c r="F68" s="1275"/>
    </row>
    <row r="69" spans="1:9">
      <c r="D69" s="1275"/>
      <c r="E69" s="1275"/>
      <c r="F69" s="1275"/>
      <c r="I69" s="436" t="s">
        <v>2152</v>
      </c>
    </row>
    <row r="70" spans="1:9">
      <c r="D70" s="1275"/>
      <c r="E70" s="1275"/>
      <c r="F70" s="1275"/>
    </row>
    <row r="71" spans="1:9"/>
    <row r="72" spans="1:9" ht="14.4">
      <c r="A72" s="519"/>
      <c r="B72" s="520" t="s">
        <v>2730</v>
      </c>
      <c r="D72" s="1275" t="s">
        <v>1201</v>
      </c>
      <c r="E72" s="1275"/>
      <c r="F72" s="1275"/>
      <c r="I72" s="436" t="s">
        <v>2152</v>
      </c>
    </row>
    <row r="73" spans="1:9">
      <c r="D73" s="1275"/>
      <c r="E73" s="1275"/>
      <c r="F73" s="1275"/>
    </row>
    <row r="74" spans="1:9" ht="14.4">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65" customHeight="1">
      <c r="A80" s="519"/>
      <c r="B80" s="520" t="s">
        <v>2729</v>
      </c>
      <c r="D80" s="1275" t="s">
        <v>1401</v>
      </c>
      <c r="E80" s="1275"/>
      <c r="F80" s="1275"/>
      <c r="I80" s="436" t="s">
        <v>2153</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2729</v>
      </c>
      <c r="D89" s="1275" t="s">
        <v>2004</v>
      </c>
      <c r="E89" s="1275"/>
      <c r="F89" s="1275"/>
      <c r="I89" s="436" t="s">
        <v>2154</v>
      </c>
    </row>
    <row r="90" spans="1:9" ht="14.4">
      <c r="A90" s="519"/>
      <c r="B90" s="519"/>
      <c r="D90" s="1275"/>
      <c r="E90" s="1275"/>
      <c r="F90" s="1275"/>
    </row>
    <row r="91" spans="1:9" ht="14.4">
      <c r="A91" s="519"/>
      <c r="B91" s="519"/>
      <c r="D91" s="480"/>
      <c r="E91" s="480"/>
      <c r="F91" s="480"/>
    </row>
    <row r="92" spans="1:9" ht="14.4">
      <c r="A92" s="519"/>
      <c r="B92" s="520" t="s">
        <v>2729</v>
      </c>
      <c r="D92" s="1275" t="s">
        <v>2007</v>
      </c>
      <c r="E92" s="1275"/>
      <c r="F92" s="1275"/>
      <c r="I92" s="436" t="s">
        <v>2155</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2729</v>
      </c>
      <c r="D96" s="1275" t="s">
        <v>2006</v>
      </c>
      <c r="E96" s="1275"/>
      <c r="F96" s="1275"/>
      <c r="I96" s="436" t="s">
        <v>2200</v>
      </c>
    </row>
    <row r="97" spans="1:9" s="1024" customFormat="1" ht="14.4">
      <c r="A97" s="1022"/>
      <c r="B97" s="1022"/>
      <c r="C97" s="1023"/>
      <c r="D97" s="1275"/>
      <c r="E97" s="1275"/>
      <c r="F97" s="1275"/>
      <c r="I97" s="1063"/>
    </row>
    <row r="98" spans="1:9" ht="14.4">
      <c r="A98" s="519"/>
      <c r="B98" s="519"/>
      <c r="D98" s="424"/>
      <c r="E98" s="336" t="s">
        <v>2306</v>
      </c>
      <c r="F98" s="480"/>
    </row>
    <row r="99" spans="1:9" ht="14.4">
      <c r="A99" s="519"/>
      <c r="B99" s="519"/>
      <c r="D99" s="417"/>
      <c r="E99" s="417"/>
      <c r="F99" s="417"/>
    </row>
    <row r="100" spans="1:9" ht="14.4">
      <c r="A100" s="519"/>
      <c r="B100" s="520" t="s">
        <v>2730</v>
      </c>
      <c r="D100" s="1275" t="s">
        <v>2005</v>
      </c>
      <c r="E100" s="1275"/>
      <c r="F100" s="1275"/>
      <c r="I100" s="436" t="s">
        <v>2156</v>
      </c>
    </row>
    <row r="101" spans="1:9" ht="14.4">
      <c r="A101" s="519"/>
      <c r="B101" s="519"/>
      <c r="D101" s="1275"/>
      <c r="E101" s="1275"/>
      <c r="F101" s="1275"/>
    </row>
    <row r="102" spans="1:9" ht="14.4">
      <c r="A102" s="519"/>
      <c r="B102" s="519"/>
      <c r="D102" s="480"/>
      <c r="E102" s="480"/>
      <c r="F102" s="480"/>
    </row>
    <row r="103" spans="1:9" ht="14.4" customHeight="1">
      <c r="A103" s="519"/>
      <c r="B103" s="520" t="s">
        <v>2730</v>
      </c>
      <c r="D103" s="1275" t="s">
        <v>1337</v>
      </c>
      <c r="E103" s="1275"/>
      <c r="F103" s="1275"/>
      <c r="I103" s="436" t="s">
        <v>2157</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2730</v>
      </c>
      <c r="D119" s="1302" t="s">
        <v>1208</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2730</v>
      </c>
      <c r="C128" s="434"/>
      <c r="D128" s="1302" t="s">
        <v>2450</v>
      </c>
      <c r="E128" s="1302"/>
      <c r="F128" s="1302"/>
      <c r="I128" s="436" t="s">
        <v>2158</v>
      </c>
    </row>
    <row r="129" spans="1:9" ht="14.4">
      <c r="A129" s="519"/>
      <c r="B129" s="519"/>
      <c r="C129" s="434"/>
      <c r="D129" s="1302"/>
      <c r="E129" s="1302"/>
      <c r="F129" s="1302"/>
    </row>
    <row r="130" spans="1:9"/>
    <row r="131" spans="1:9" ht="14.4">
      <c r="A131" s="519"/>
      <c r="B131" s="520" t="s">
        <v>2730</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2729</v>
      </c>
      <c r="D137" s="1275" t="s">
        <v>1212</v>
      </c>
      <c r="E137" s="1275"/>
      <c r="F137" s="1275"/>
      <c r="I137" s="436" t="s">
        <v>2159</v>
      </c>
    </row>
    <row r="138" spans="1:9" s="449" customFormat="1" ht="13.65" customHeight="1">
      <c r="A138" s="523"/>
      <c r="B138" s="523"/>
      <c r="C138" s="523"/>
      <c r="D138" s="1275"/>
      <c r="E138" s="1275"/>
      <c r="F138" s="1275"/>
      <c r="I138" s="1064"/>
    </row>
    <row r="139" spans="1:9" ht="13.65" customHeight="1">
      <c r="D139" s="1275"/>
      <c r="E139" s="1275"/>
      <c r="F139" s="1275"/>
    </row>
    <row r="140" spans="1:9" ht="13.65" customHeight="1">
      <c r="D140" s="1275"/>
      <c r="E140" s="1275"/>
      <c r="F140" s="1275"/>
    </row>
    <row r="141" spans="1:9" ht="13.65" customHeight="1">
      <c r="D141" s="1275"/>
      <c r="E141" s="1275"/>
      <c r="F141" s="1275"/>
    </row>
    <row r="142" spans="1:9" ht="13.65" customHeight="1">
      <c r="A142" s="524"/>
      <c r="B142" s="524"/>
      <c r="D142" s="1275"/>
      <c r="E142" s="1275"/>
      <c r="F142" s="1275"/>
    </row>
    <row r="143" spans="1:9" ht="13.65" customHeight="1">
      <c r="D143" s="1275"/>
      <c r="E143" s="1275"/>
      <c r="F143" s="1275"/>
    </row>
    <row r="144" spans="1:9" ht="13.65" customHeight="1">
      <c r="D144" s="1275"/>
      <c r="E144" s="1275"/>
      <c r="F144" s="1275"/>
    </row>
    <row r="145" spans="2:9" ht="13.65" customHeight="1">
      <c r="D145" s="1275"/>
      <c r="E145" s="1275"/>
      <c r="F145" s="1275"/>
    </row>
    <row r="146" spans="2:9" ht="13.65" customHeight="1">
      <c r="D146" s="1275"/>
      <c r="E146" s="1275"/>
      <c r="F146" s="1275"/>
    </row>
    <row r="147" spans="2:9" ht="13.65" customHeight="1">
      <c r="D147" s="1275"/>
      <c r="E147" s="1275"/>
      <c r="F147" s="1275"/>
    </row>
    <row r="148" spans="2:9" ht="13.65" customHeight="1">
      <c r="D148" s="1275"/>
      <c r="E148" s="1275"/>
      <c r="F148" s="1275"/>
    </row>
    <row r="149" spans="2:9" ht="13.65" customHeight="1">
      <c r="D149" s="1275"/>
      <c r="E149" s="1275"/>
      <c r="F149" s="1275"/>
    </row>
    <row r="150" spans="2:9" ht="13.65" customHeight="1">
      <c r="D150" s="511"/>
      <c r="E150" s="481"/>
      <c r="F150" s="481"/>
    </row>
    <row r="151" spans="2:9" ht="13.65" customHeight="1">
      <c r="B151" s="520" t="s">
        <v>2730</v>
      </c>
      <c r="D151" s="1275" t="s">
        <v>1320</v>
      </c>
      <c r="E151" s="1275"/>
      <c r="F151" s="1275"/>
      <c r="I151" s="436" t="s">
        <v>2160</v>
      </c>
    </row>
    <row r="152" spans="2:9" ht="13.65" customHeight="1">
      <c r="D152" s="1275"/>
      <c r="E152" s="1275"/>
      <c r="F152" s="1275"/>
    </row>
    <row r="153" spans="2:9" ht="13.65" customHeight="1">
      <c r="D153" s="1275"/>
      <c r="E153" s="1275"/>
      <c r="F153" s="1275"/>
    </row>
    <row r="154" spans="2:9" ht="13.65" customHeight="1">
      <c r="D154" s="1275"/>
      <c r="E154" s="1275"/>
      <c r="F154" s="1275"/>
    </row>
    <row r="155" spans="2:9" ht="13.65" customHeight="1">
      <c r="D155" s="1275"/>
      <c r="E155" s="1275"/>
      <c r="F155" s="1275"/>
    </row>
    <row r="156" spans="2:9" ht="13.65" customHeight="1">
      <c r="D156" s="1275"/>
      <c r="E156" s="1275"/>
      <c r="F156" s="1275"/>
    </row>
    <row r="157" spans="2:9" ht="13.65" customHeight="1">
      <c r="D157" s="1275"/>
      <c r="E157" s="1275"/>
      <c r="F157" s="1275"/>
    </row>
    <row r="158" spans="2:9" ht="13.65" customHeight="1">
      <c r="D158" s="1275"/>
      <c r="E158" s="1275"/>
      <c r="F158" s="1275"/>
    </row>
    <row r="159" spans="2:9" ht="13.65" customHeight="1">
      <c r="D159" s="1275"/>
      <c r="E159" s="1275"/>
      <c r="F159" s="1275"/>
    </row>
    <row r="160" spans="2:9" ht="13.65" customHeight="1">
      <c r="D160" s="1275"/>
      <c r="E160" s="1275"/>
      <c r="F160" s="1275"/>
    </row>
    <row r="161" spans="1:9" ht="13.65" customHeight="1">
      <c r="D161" s="1275"/>
      <c r="E161" s="1275"/>
      <c r="F161" s="1275"/>
    </row>
    <row r="162" spans="1:9" ht="13.65" customHeight="1">
      <c r="D162" s="1275"/>
      <c r="E162" s="1275"/>
      <c r="F162" s="1275"/>
    </row>
    <row r="163" spans="1:9" ht="13.65" customHeight="1">
      <c r="D163" s="1275"/>
      <c r="E163" s="1275"/>
      <c r="F163" s="1275"/>
    </row>
    <row r="164" spans="1:9" ht="13.65" customHeight="1">
      <c r="D164" s="1275"/>
      <c r="E164" s="1275"/>
      <c r="F164" s="1275"/>
    </row>
    <row r="165" spans="1:9" ht="13.65" customHeight="1">
      <c r="D165" s="1275"/>
      <c r="E165" s="1275"/>
      <c r="F165" s="1275"/>
    </row>
    <row r="166" spans="1:9" ht="13.65" customHeight="1">
      <c r="D166" s="1275"/>
      <c r="E166" s="1275"/>
      <c r="F166" s="1275"/>
    </row>
    <row r="167" spans="1:9" ht="13.65" customHeight="1">
      <c r="D167" s="1275"/>
      <c r="E167" s="1275"/>
      <c r="F167" s="1275"/>
    </row>
    <row r="168" spans="1:9" ht="13.65" customHeight="1">
      <c r="D168" s="1275"/>
      <c r="E168" s="1275"/>
      <c r="F168" s="1275"/>
    </row>
    <row r="169" spans="1:9" ht="13.65" customHeight="1">
      <c r="D169" s="1335" t="s">
        <v>2475</v>
      </c>
      <c r="E169" s="1335"/>
      <c r="F169" s="1335"/>
      <c r="G169" s="542"/>
    </row>
    <row r="170" spans="1:9" ht="13.65" customHeight="1">
      <c r="D170" s="1308"/>
      <c r="E170" s="1308"/>
      <c r="F170" s="1308"/>
      <c r="G170" s="1308"/>
    </row>
    <row r="171" spans="1:9" ht="14.4" customHeight="1">
      <c r="A171" s="524"/>
      <c r="B171" s="520" t="s">
        <v>2730</v>
      </c>
      <c r="C171" s="511"/>
      <c r="D171" s="1263" t="s">
        <v>1367</v>
      </c>
      <c r="E171" s="1263"/>
      <c r="F171" s="1263"/>
      <c r="G171" s="511"/>
      <c r="I171" s="436" t="s">
        <v>2155</v>
      </c>
    </row>
    <row r="172" spans="1:9" ht="14.4" customHeight="1">
      <c r="A172" s="524"/>
      <c r="B172" s="524"/>
      <c r="C172" s="511"/>
      <c r="D172" s="1263"/>
      <c r="E172" s="1263"/>
      <c r="F172" s="1263"/>
      <c r="G172" s="511"/>
    </row>
    <row r="173" spans="1:9" ht="13.65" customHeight="1">
      <c r="A173" s="524"/>
      <c r="B173" s="524"/>
      <c r="C173" s="511"/>
      <c r="D173" s="1263"/>
      <c r="E173" s="1263"/>
      <c r="F173" s="1263"/>
      <c r="G173" s="511"/>
    </row>
    <row r="174" spans="1:9" ht="13.65" customHeight="1">
      <c r="A174" s="524"/>
      <c r="B174" s="524"/>
      <c r="C174" s="511"/>
      <c r="D174" s="511"/>
      <c r="E174" s="511"/>
      <c r="F174" s="511"/>
      <c r="G174" s="511"/>
    </row>
    <row r="175" spans="1:9" ht="13.65" customHeight="1">
      <c r="A175" s="524"/>
      <c r="B175" s="520" t="s">
        <v>2730</v>
      </c>
      <c r="C175" s="511"/>
      <c r="D175" s="1263" t="s">
        <v>1214</v>
      </c>
      <c r="E175" s="1263"/>
      <c r="F175" s="1263"/>
      <c r="G175" s="511"/>
      <c r="I175" s="436" t="s">
        <v>2161</v>
      </c>
    </row>
    <row r="176" spans="1:9" ht="13.65" customHeight="1">
      <c r="A176" s="524"/>
      <c r="B176" s="524"/>
      <c r="C176" s="511"/>
      <c r="D176" s="1263"/>
      <c r="E176" s="1263"/>
      <c r="F176" s="1263"/>
      <c r="G176" s="511"/>
    </row>
    <row r="177" spans="1:9" ht="13.65" customHeight="1">
      <c r="A177" s="524"/>
      <c r="B177" s="524"/>
      <c r="C177" s="511"/>
      <c r="D177" s="1263"/>
      <c r="E177" s="1263"/>
      <c r="F177" s="1263"/>
      <c r="G177" s="511"/>
    </row>
    <row r="178" spans="1:9" ht="13.65" customHeight="1">
      <c r="A178" s="524"/>
      <c r="B178" s="524"/>
      <c r="C178" s="511"/>
      <c r="D178" s="1263"/>
      <c r="E178" s="1263"/>
      <c r="F178" s="1263"/>
      <c r="G178" s="511"/>
    </row>
    <row r="179" spans="1:9" ht="13.65" customHeight="1">
      <c r="D179" s="481"/>
      <c r="E179" s="481"/>
      <c r="F179" s="481"/>
    </row>
    <row r="180" spans="1:9" ht="13.65" customHeight="1">
      <c r="B180" s="520" t="s">
        <v>2730</v>
      </c>
      <c r="D180" s="1297" t="s">
        <v>2451</v>
      </c>
      <c r="E180" s="1297"/>
      <c r="F180" s="1297"/>
      <c r="I180" s="436" t="s">
        <v>2162</v>
      </c>
    </row>
    <row r="181" spans="1:9" ht="13.65" customHeight="1">
      <c r="D181" s="1297"/>
      <c r="E181" s="1297"/>
      <c r="F181" s="1297"/>
    </row>
    <row r="182" spans="1:9" ht="13.65" customHeight="1">
      <c r="D182" s="1297"/>
      <c r="E182" s="1297"/>
      <c r="F182" s="1297"/>
    </row>
    <row r="183" spans="1:9" ht="13.65" customHeight="1">
      <c r="A183" s="525"/>
      <c r="B183" s="525"/>
      <c r="E183" s="481"/>
      <c r="F183" s="481"/>
    </row>
    <row r="184" spans="1:9">
      <c r="A184" s="1281" t="s">
        <v>2452</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6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2729</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2730</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2730</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2730</v>
      </c>
      <c r="D207" s="418" t="s">
        <v>2277</v>
      </c>
      <c r="E207" s="417"/>
      <c r="F207" s="417"/>
      <c r="I207" s="436" t="s">
        <v>2214</v>
      </c>
    </row>
    <row r="208" spans="1:9" ht="14.4">
      <c r="A208" s="519"/>
      <c r="B208" s="519"/>
      <c r="D208" s="1280" t="s">
        <v>2284</v>
      </c>
      <c r="E208" s="1280"/>
      <c r="F208" s="1280"/>
    </row>
    <row r="209" spans="1:9">
      <c r="D209" s="417"/>
      <c r="E209" s="1331" t="s">
        <v>2310</v>
      </c>
      <c r="F209" s="1331"/>
    </row>
    <row r="210" spans="1:9">
      <c r="D210" s="482"/>
    </row>
    <row r="211" spans="1:9">
      <c r="B211" s="520" t="s">
        <v>2730</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4">
      <c r="A215" s="519"/>
      <c r="B215" s="520" t="s">
        <v>2730</v>
      </c>
      <c r="D215" s="1275" t="s">
        <v>1359</v>
      </c>
      <c r="E215" s="1275"/>
      <c r="F215" s="1275"/>
    </row>
    <row r="216" spans="1:9" ht="14.4"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1240</v>
      </c>
      <c r="E223" s="1304"/>
      <c r="F223" s="1304"/>
    </row>
    <row r="224" spans="1:9" ht="12" customHeight="1">
      <c r="A224" s="525"/>
      <c r="B224" s="525"/>
      <c r="C224" s="525"/>
    </row>
    <row r="225" spans="1:9" ht="13.65" customHeight="1">
      <c r="A225" s="525"/>
      <c r="C225" s="525"/>
      <c r="D225" s="1273" t="s">
        <v>555</v>
      </c>
      <c r="E225" s="1273"/>
      <c r="F225" s="1273"/>
      <c r="I225" s="436" t="s">
        <v>2163</v>
      </c>
    </row>
    <row r="226" spans="1:9" ht="14.4">
      <c r="A226" s="519"/>
      <c r="B226" s="520" t="s">
        <v>2729</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2729</v>
      </c>
      <c r="D231" s="1275" t="s">
        <v>2016</v>
      </c>
      <c r="E231" s="1275"/>
      <c r="F231" s="1275"/>
      <c r="I231" s="436" t="s">
        <v>2164</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1236</v>
      </c>
      <c r="E237" s="1275"/>
      <c r="F237" s="1275"/>
      <c r="I237" s="436" t="s">
        <v>2163</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2730</v>
      </c>
      <c r="D243" s="1275" t="s">
        <v>2453</v>
      </c>
      <c r="E243" s="1275"/>
      <c r="F243" s="1275"/>
      <c r="I243" s="436" t="s">
        <v>2202</v>
      </c>
    </row>
    <row r="244" spans="1:9" ht="14.4">
      <c r="A244" s="519"/>
      <c r="B244" s="519"/>
      <c r="D244" s="1275"/>
      <c r="E244" s="1275"/>
      <c r="F244" s="1275"/>
    </row>
    <row r="245" spans="1:9" ht="14.4">
      <c r="A245" s="519"/>
      <c r="B245" s="519"/>
      <c r="D245" s="1275"/>
      <c r="E245" s="1275"/>
      <c r="F245" s="1275"/>
    </row>
    <row r="246" spans="1:9" ht="14.4">
      <c r="A246" s="519"/>
      <c r="B246" s="519"/>
      <c r="E246" s="1080" t="s">
        <v>2278</v>
      </c>
    </row>
    <row r="247" spans="1:9" ht="14.4">
      <c r="A247" s="519"/>
      <c r="B247" s="519"/>
      <c r="D247" s="481"/>
      <c r="E247" s="481"/>
      <c r="F247" s="481"/>
    </row>
    <row r="248" spans="1:9" ht="14.4" customHeight="1">
      <c r="A248" s="519"/>
      <c r="B248" s="520" t="s">
        <v>2730</v>
      </c>
      <c r="D248" s="1275" t="s">
        <v>2454</v>
      </c>
      <c r="E248" s="1275"/>
      <c r="F248" s="1275"/>
      <c r="I248" s="436" t="s">
        <v>2220</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2729</v>
      </c>
      <c r="D254" s="424" t="s">
        <v>2455</v>
      </c>
      <c r="E254" s="480"/>
      <c r="F254" s="480"/>
      <c r="I254" s="436" t="s">
        <v>2201</v>
      </c>
    </row>
    <row r="255" spans="1:9" ht="14.4">
      <c r="A255" s="519"/>
      <c r="B255" s="519"/>
      <c r="E255" s="1080" t="s">
        <v>2279</v>
      </c>
    </row>
    <row r="256" spans="1:9">
      <c r="D256" s="481"/>
      <c r="E256" s="481"/>
      <c r="F256" s="481"/>
    </row>
    <row r="257" spans="1:9" ht="14.4">
      <c r="A257" s="519"/>
      <c r="B257" s="520" t="s">
        <v>2729</v>
      </c>
      <c r="D257" s="1275" t="s">
        <v>1238</v>
      </c>
      <c r="E257" s="1275"/>
      <c r="F257" s="1275"/>
    </row>
    <row r="258" spans="1:9" ht="14.4">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270</v>
      </c>
      <c r="E264" s="1273"/>
      <c r="F264" s="1273"/>
      <c r="I264" s="436" t="s">
        <v>2203</v>
      </c>
    </row>
    <row r="265" spans="1:9" ht="14.4" customHeight="1">
      <c r="A265" s="519"/>
      <c r="B265" s="520" t="s">
        <v>2729</v>
      </c>
      <c r="D265" s="1275" t="s">
        <v>1339</v>
      </c>
      <c r="E265" s="1275"/>
      <c r="F265" s="1275"/>
    </row>
    <row r="266" spans="1:9">
      <c r="D266" s="1275"/>
      <c r="E266" s="1275"/>
      <c r="F266" s="1275"/>
    </row>
    <row r="267" spans="1:9">
      <c r="E267" s="1080" t="s">
        <v>2280</v>
      </c>
    </row>
    <row r="268" spans="1:9">
      <c r="D268" s="481"/>
      <c r="E268" s="481"/>
      <c r="F268" s="481"/>
    </row>
    <row r="269" spans="1:9" ht="14.4" customHeight="1">
      <c r="A269" s="519"/>
      <c r="B269" s="520" t="s">
        <v>2730</v>
      </c>
      <c r="D269" s="1275" t="s">
        <v>2456</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2730</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1247</v>
      </c>
      <c r="E286" s="1328"/>
      <c r="F286" s="1328"/>
    </row>
    <row r="287" spans="1:9">
      <c r="E287" s="481"/>
      <c r="F287" s="481"/>
    </row>
    <row r="288" spans="1:9" ht="14.4">
      <c r="A288" s="519"/>
      <c r="B288" s="520" t="s">
        <v>2730</v>
      </c>
      <c r="D288" s="1275" t="s">
        <v>1248</v>
      </c>
      <c r="E288" s="1275"/>
      <c r="F288" s="1275"/>
      <c r="I288" s="436" t="s">
        <v>2165</v>
      </c>
    </row>
    <row r="289" spans="1:9" ht="14.4">
      <c r="A289" s="519"/>
      <c r="B289" s="519"/>
      <c r="D289" s="1275"/>
      <c r="E289" s="1275"/>
      <c r="F289" s="1275"/>
    </row>
    <row r="290" spans="1:9">
      <c r="D290" s="481"/>
      <c r="E290" s="481"/>
      <c r="F290" s="481"/>
    </row>
    <row r="291" spans="1:9" ht="14.4">
      <c r="A291" s="519"/>
      <c r="B291" s="520" t="s">
        <v>2730</v>
      </c>
      <c r="D291" s="1275" t="s">
        <v>1249</v>
      </c>
      <c r="E291" s="1275"/>
      <c r="F291" s="1275"/>
      <c r="I291" s="436" t="s">
        <v>2165</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2730</v>
      </c>
      <c r="D295" s="1275" t="s">
        <v>1250</v>
      </c>
      <c r="E295" s="1275"/>
      <c r="F295" s="1275"/>
      <c r="I295" s="436" t="s">
        <v>2165</v>
      </c>
    </row>
    <row r="296" spans="1:9" ht="14.4">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2730</v>
      </c>
      <c r="D303" s="1304" t="s">
        <v>1252</v>
      </c>
      <c r="E303" s="1304"/>
      <c r="F303" s="1304"/>
      <c r="I303" s="436" t="s">
        <v>2166</v>
      </c>
    </row>
    <row r="304" spans="1:9" ht="14.4">
      <c r="A304" s="519"/>
      <c r="B304" s="519"/>
      <c r="D304" s="529"/>
      <c r="E304" s="530"/>
      <c r="F304" s="530"/>
    </row>
    <row r="305" spans="1:9" ht="13.65" customHeight="1">
      <c r="B305" s="520" t="s">
        <v>2730</v>
      </c>
      <c r="D305" s="1325" t="s">
        <v>1363</v>
      </c>
      <c r="E305" s="1325"/>
      <c r="F305" s="1325"/>
      <c r="I305" s="436" t="s">
        <v>2166</v>
      </c>
    </row>
    <row r="306" spans="1:9" ht="14.4">
      <c r="A306" s="519"/>
      <c r="B306" s="519"/>
      <c r="D306" s="1325"/>
      <c r="E306" s="1325"/>
      <c r="F306" s="1325"/>
    </row>
    <row r="307" spans="1:9" ht="14.4">
      <c r="A307" s="519"/>
      <c r="B307" s="519"/>
      <c r="D307" s="1325"/>
      <c r="E307" s="1325"/>
      <c r="F307" s="1325"/>
    </row>
    <row r="308" spans="1:9" ht="14.4">
      <c r="A308" s="519"/>
      <c r="B308" s="519"/>
      <c r="D308" s="1325"/>
      <c r="E308" s="1325"/>
      <c r="F308" s="1325"/>
    </row>
    <row r="309" spans="1:9" ht="14.4">
      <c r="A309" s="519"/>
      <c r="B309" s="519"/>
      <c r="D309" s="1325"/>
      <c r="E309" s="1325"/>
      <c r="F309" s="1325"/>
    </row>
    <row r="310" spans="1:9" ht="14.4">
      <c r="A310" s="519"/>
      <c r="B310" s="519"/>
      <c r="D310" s="529"/>
      <c r="E310" s="530"/>
      <c r="F310" s="530"/>
    </row>
    <row r="311" spans="1:9" ht="13.65" customHeight="1">
      <c r="B311" s="520" t="s">
        <v>2730</v>
      </c>
      <c r="D311" s="1325" t="s">
        <v>1254</v>
      </c>
      <c r="E311" s="1325"/>
      <c r="F311" s="1325"/>
      <c r="I311" s="436" t="s">
        <v>2166</v>
      </c>
    </row>
    <row r="312" spans="1:9">
      <c r="D312" s="1325"/>
      <c r="E312" s="1325"/>
      <c r="F312" s="1325"/>
    </row>
    <row r="313" spans="1:9" ht="14.4">
      <c r="A313" s="519"/>
      <c r="B313" s="519"/>
      <c r="D313" s="529"/>
      <c r="E313" s="530"/>
      <c r="F313" s="530"/>
    </row>
    <row r="314" spans="1:9">
      <c r="B314" s="520" t="s">
        <v>2730</v>
      </c>
      <c r="D314" s="1304" t="s">
        <v>1255</v>
      </c>
      <c r="E314" s="1304"/>
      <c r="F314" s="1304"/>
      <c r="I314" s="436" t="s">
        <v>2152</v>
      </c>
    </row>
    <row r="315" spans="1:9">
      <c r="E315" s="481"/>
      <c r="F315" s="481"/>
    </row>
    <row r="316" spans="1:9" ht="14.4">
      <c r="A316" s="519"/>
      <c r="B316" s="520" t="s">
        <v>2730</v>
      </c>
      <c r="D316" s="1275" t="s">
        <v>2476</v>
      </c>
      <c r="E316" s="1275"/>
      <c r="F316" s="1275"/>
      <c r="I316" s="436" t="s">
        <v>2167</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2730</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2730</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6" t="s">
        <v>1019</v>
      </c>
      <c r="E349" s="1336"/>
      <c r="F349" s="1336"/>
      <c r="G349" s="1069"/>
      <c r="H349" s="1069"/>
      <c r="I349" s="1070"/>
    </row>
    <row r="350" spans="1:9" ht="13.8" thickTop="1">
      <c r="D350" s="1326" t="s">
        <v>1259</v>
      </c>
      <c r="E350" s="1326"/>
      <c r="F350" s="1326"/>
    </row>
    <row r="351" spans="1:9">
      <c r="D351" s="481"/>
      <c r="E351" s="481"/>
      <c r="F351" s="481"/>
    </row>
    <row r="352" spans="1:9">
      <c r="A352" s="511"/>
      <c r="B352" s="511"/>
      <c r="C352" s="511"/>
      <c r="D352" s="482"/>
      <c r="E352" s="482"/>
      <c r="F352" s="481"/>
      <c r="I352" s="436" t="s">
        <v>2168</v>
      </c>
    </row>
    <row r="353" spans="1:9" ht="14.4">
      <c r="A353" s="519"/>
      <c r="B353" s="520" t="s">
        <v>2730</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4">
      <c r="A358" s="519"/>
      <c r="B358" s="520" t="s">
        <v>2730</v>
      </c>
      <c r="C358" s="511"/>
      <c r="D358" s="1308" t="s">
        <v>2457</v>
      </c>
      <c r="E358" s="1308"/>
      <c r="F358" s="1308"/>
      <c r="I358" s="434"/>
    </row>
    <row r="359" spans="1:9">
      <c r="A359" s="511"/>
      <c r="B359" s="511"/>
      <c r="C359" s="511"/>
      <c r="D359" s="482"/>
      <c r="E359" s="482"/>
      <c r="F359" s="481"/>
    </row>
    <row r="360" spans="1:9">
      <c r="A360" s="511"/>
      <c r="B360" s="520" t="s">
        <v>2730</v>
      </c>
      <c r="C360" s="511"/>
      <c r="D360" s="1263" t="s">
        <v>2458</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2730</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2730</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2730</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6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2730</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 customHeight="1">
      <c r="A421" s="519"/>
      <c r="B421" s="520" t="s">
        <v>2730</v>
      </c>
      <c r="D421" s="1263" t="s">
        <v>2205</v>
      </c>
      <c r="E421" s="1263"/>
      <c r="F421" s="1263"/>
    </row>
    <row r="422" spans="1:6" ht="14.4" customHeight="1">
      <c r="A422" s="519"/>
      <c r="D422" s="1263"/>
      <c r="E422" s="1263"/>
      <c r="F422" s="1263"/>
    </row>
    <row r="423" spans="1:6" ht="14.4" customHeight="1">
      <c r="A423" s="519"/>
      <c r="D423" s="1263"/>
      <c r="E423" s="1263"/>
      <c r="F423" s="1263"/>
    </row>
    <row r="424" spans="1:6" ht="14.4" customHeight="1">
      <c r="A424" s="519"/>
      <c r="D424" s="1263"/>
      <c r="E424" s="1263"/>
      <c r="F424" s="1263"/>
    </row>
    <row r="425" spans="1:6" ht="14.4" customHeight="1">
      <c r="A425" s="519"/>
      <c r="D425" s="1263"/>
      <c r="E425" s="1263"/>
      <c r="F425" s="1263"/>
    </row>
    <row r="426" spans="1:6" ht="14.4" customHeight="1">
      <c r="A426" s="519"/>
      <c r="D426" s="417"/>
      <c r="E426" s="417"/>
      <c r="F426" s="417"/>
    </row>
    <row r="427" spans="1:6" ht="13.65" customHeight="1">
      <c r="A427" s="519"/>
      <c r="B427" s="520" t="s">
        <v>2730</v>
      </c>
      <c r="C427" s="511"/>
      <c r="D427" s="1263" t="s">
        <v>1388</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327" t="s">
        <v>2477</v>
      </c>
      <c r="E431" s="1263"/>
      <c r="F431" s="1263"/>
    </row>
    <row r="432" spans="1:6">
      <c r="D432" s="481"/>
      <c r="E432" s="481"/>
      <c r="F432" s="481"/>
    </row>
    <row r="433" spans="1:6" ht="14.4">
      <c r="A433" s="519"/>
      <c r="B433" s="520" t="s">
        <v>2730</v>
      </c>
      <c r="C433" s="522"/>
      <c r="D433" s="1275" t="s">
        <v>2459</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65" customHeight="1">
      <c r="D463" s="1275"/>
      <c r="E463" s="1275"/>
      <c r="F463" s="1275"/>
    </row>
    <row r="464" spans="1:6">
      <c r="D464" s="481"/>
      <c r="E464" s="481"/>
      <c r="F464" s="481"/>
    </row>
    <row r="465" spans="1:6" ht="14.4">
      <c r="A465" s="519"/>
      <c r="B465" s="520" t="s">
        <v>2730</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4">
      <c r="B469" s="520" t="s">
        <v>2730</v>
      </c>
      <c r="C469" s="519"/>
      <c r="D469" s="1275" t="s">
        <v>1340</v>
      </c>
      <c r="E469" s="1275"/>
      <c r="F469" s="1275"/>
    </row>
    <row r="470" spans="1:6">
      <c r="D470" s="1275"/>
      <c r="E470" s="1275"/>
      <c r="F470" s="1275"/>
    </row>
    <row r="471" spans="1:6">
      <c r="D471" s="481"/>
      <c r="E471" s="481"/>
      <c r="F471" s="481"/>
    </row>
    <row r="472" spans="1:6" ht="14.4">
      <c r="B472" s="520" t="s">
        <v>2730</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2730</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2730</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2730</v>
      </c>
      <c r="C484" s="434"/>
      <c r="D484" s="1275"/>
      <c r="E484" s="1275"/>
      <c r="F484" s="1275"/>
    </row>
    <row r="485" spans="1:9">
      <c r="A485" s="434"/>
      <c r="C485" s="434"/>
      <c r="D485" s="1275"/>
      <c r="E485" s="1275"/>
      <c r="F485" s="1275"/>
    </row>
    <row r="486" spans="1:9">
      <c r="A486" s="434"/>
      <c r="B486" s="520" t="s">
        <v>2730</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2730</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4">
      <c r="A497" s="519"/>
      <c r="B497" s="519"/>
      <c r="D497" s="1308" t="s">
        <v>1275</v>
      </c>
      <c r="E497" s="1308"/>
      <c r="F497" s="1308"/>
    </row>
    <row r="498" spans="1:9" ht="14.4">
      <c r="A498" s="519"/>
      <c r="B498" s="519"/>
      <c r="D498" s="482"/>
    </row>
    <row r="499" spans="1:9" ht="14.4">
      <c r="A499" s="519"/>
      <c r="B499" s="520" t="s">
        <v>2730</v>
      </c>
      <c r="D499" s="1263" t="s">
        <v>1276</v>
      </c>
      <c r="E499" s="1263"/>
      <c r="F499" s="1263"/>
      <c r="I499" s="436" t="s">
        <v>2169</v>
      </c>
    </row>
    <row r="500" spans="1:9" ht="14.4">
      <c r="A500" s="519"/>
      <c r="B500" s="519"/>
      <c r="D500" s="1263"/>
      <c r="E500" s="1263"/>
      <c r="F500" s="1263"/>
    </row>
    <row r="501" spans="1:9" ht="14.4">
      <c r="A501" s="519"/>
      <c r="B501" s="519"/>
      <c r="D501" s="481"/>
    </row>
    <row r="502" spans="1:9" ht="12.75" customHeight="1">
      <c r="B502" s="520" t="s">
        <v>2729</v>
      </c>
      <c r="D502" s="1297" t="s">
        <v>1432</v>
      </c>
      <c r="E502" s="1297"/>
      <c r="F502" s="1297"/>
      <c r="I502" s="436" t="s">
        <v>2170</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2729</v>
      </c>
      <c r="D507" s="1304" t="s">
        <v>1279</v>
      </c>
      <c r="E507" s="1304"/>
      <c r="F507" s="1304"/>
      <c r="I507" s="436" t="s">
        <v>2171</v>
      </c>
    </row>
    <row r="508" spans="1:9" ht="14.4">
      <c r="A508" s="519"/>
      <c r="B508" s="519"/>
      <c r="D508" s="481"/>
    </row>
    <row r="509" spans="1:9" ht="14.4">
      <c r="A509" s="519"/>
      <c r="B509" s="520" t="s">
        <v>2730</v>
      </c>
      <c r="D509" s="1275" t="s">
        <v>1280</v>
      </c>
      <c r="E509" s="1275"/>
      <c r="F509" s="1275"/>
      <c r="I509" s="436" t="s">
        <v>2171</v>
      </c>
    </row>
    <row r="510" spans="1:9" ht="14.4">
      <c r="A510" s="519"/>
      <c r="D510" s="1275"/>
      <c r="E510" s="1275"/>
      <c r="F510" s="1275"/>
    </row>
    <row r="511" spans="1:9">
      <c r="A511" s="525"/>
      <c r="B511" s="525"/>
      <c r="D511" s="482"/>
    </row>
    <row r="512" spans="1:9">
      <c r="A512" s="525"/>
      <c r="B512" s="520" t="s">
        <v>2730</v>
      </c>
      <c r="D512" s="1304" t="s">
        <v>1281</v>
      </c>
      <c r="E512" s="1304"/>
      <c r="F512" s="1304"/>
      <c r="I512" s="436" t="s">
        <v>2224</v>
      </c>
    </row>
    <row r="513" spans="1:9" ht="14.4">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65" customHeight="1">
      <c r="A520" s="518"/>
      <c r="B520" s="520" t="s">
        <v>2729</v>
      </c>
      <c r="C520" s="518"/>
      <c r="D520" s="1263" t="s">
        <v>2460</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2729</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2730</v>
      </c>
      <c r="C529" s="518"/>
      <c r="D529" s="1275" t="s">
        <v>2462</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65" customHeight="1">
      <c r="A541" s="519"/>
      <c r="B541" s="520" t="s">
        <v>2729</v>
      </c>
      <c r="C541" s="522"/>
      <c r="D541" s="1304" t="s">
        <v>913</v>
      </c>
      <c r="E541" s="1304"/>
      <c r="F541" s="1304"/>
      <c r="I541" s="436" t="s">
        <v>2222</v>
      </c>
    </row>
    <row r="542" spans="1:9" ht="13.65" customHeight="1">
      <c r="A542" s="522"/>
      <c r="B542" s="522"/>
      <c r="C542" s="522"/>
      <c r="D542" s="481"/>
    </row>
    <row r="543" spans="1:9" ht="14.4">
      <c r="A543" s="519"/>
      <c r="B543" s="520" t="s">
        <v>2729</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4">
      <c r="A546" s="519"/>
      <c r="B546" s="520" t="s">
        <v>2729</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4">
      <c r="A549" s="519"/>
      <c r="B549" s="520" t="s">
        <v>2729</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4">
      <c r="A552" s="519"/>
      <c r="B552" s="520" t="s">
        <v>2729</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2730</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4">
      <c r="A559" s="519"/>
      <c r="B559" s="520" t="s">
        <v>2730</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4">
      <c r="A562" s="519"/>
      <c r="B562" s="520" t="s">
        <v>2729</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4">
      <c r="A565" s="519"/>
      <c r="B565" s="519"/>
      <c r="C565" s="522"/>
      <c r="E565" s="481"/>
      <c r="F565" s="481"/>
    </row>
    <row r="566" spans="1:9" ht="14.4">
      <c r="A566" s="519"/>
      <c r="B566" s="520" t="s">
        <v>2729</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2729</v>
      </c>
      <c r="C571" s="522"/>
      <c r="D571" s="1275" t="s">
        <v>2463</v>
      </c>
      <c r="E571" s="1275"/>
      <c r="F571" s="1275"/>
      <c r="I571" s="436" t="s">
        <v>2176</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2729</v>
      </c>
      <c r="D581" s="1297" t="s">
        <v>919</v>
      </c>
      <c r="E581" s="1297"/>
      <c r="F581" s="1297"/>
    </row>
    <row r="582" spans="1:9">
      <c r="A582" s="525"/>
      <c r="B582" s="525"/>
      <c r="D582" s="511"/>
    </row>
    <row r="583" spans="1:9">
      <c r="A583" s="525"/>
      <c r="B583" s="520" t="s">
        <v>2729</v>
      </c>
      <c r="D583" s="1297" t="s">
        <v>2464</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2730</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2729</v>
      </c>
      <c r="D592" s="1297" t="s">
        <v>2465</v>
      </c>
      <c r="E592" s="1297"/>
      <c r="F592" s="1297"/>
    </row>
    <row r="593" spans="1:9">
      <c r="A593" s="525"/>
      <c r="B593" s="525"/>
      <c r="D593" s="1297"/>
      <c r="E593" s="1297"/>
      <c r="F593" s="1297"/>
    </row>
    <row r="594" spans="1:9">
      <c r="A594" s="525"/>
      <c r="B594" s="525"/>
      <c r="D594" s="534"/>
    </row>
    <row r="595" spans="1:9">
      <c r="A595" s="525"/>
      <c r="B595" s="520" t="s">
        <v>2730</v>
      </c>
      <c r="D595" s="1297" t="s">
        <v>1139</v>
      </c>
      <c r="E595" s="1297"/>
      <c r="F595" s="1297"/>
      <c r="I595" s="436" t="s">
        <v>2226</v>
      </c>
    </row>
    <row r="596" spans="1:9">
      <c r="A596" s="525"/>
      <c r="B596" s="525"/>
      <c r="D596" s="1297"/>
      <c r="E596" s="1297"/>
      <c r="F596" s="1297"/>
    </row>
    <row r="597" spans="1:9" ht="14.4">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2729</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2729</v>
      </c>
      <c r="D613" s="1277" t="s">
        <v>1225</v>
      </c>
      <c r="E613" s="1277"/>
      <c r="F613" s="1277"/>
      <c r="I613" s="436" t="s">
        <v>2227</v>
      </c>
    </row>
    <row r="614" spans="1:9">
      <c r="D614" s="1277"/>
      <c r="E614" s="1277"/>
      <c r="F614" s="1277"/>
    </row>
    <row r="615" spans="1:9"/>
    <row r="616" spans="1:9">
      <c r="B616" s="520" t="s">
        <v>2729</v>
      </c>
      <c r="D616" s="1277" t="s">
        <v>1226</v>
      </c>
      <c r="E616" s="1277"/>
      <c r="F616" s="1277"/>
      <c r="I616" s="436" t="s">
        <v>2180</v>
      </c>
    </row>
    <row r="617" spans="1:9">
      <c r="C617" s="535"/>
      <c r="D617" s="1277"/>
      <c r="E617" s="1277"/>
      <c r="F617" s="1277"/>
    </row>
    <row r="618" spans="1:9">
      <c r="C618" s="535"/>
    </row>
    <row r="619" spans="1:9">
      <c r="B619" s="520" t="s">
        <v>2730</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2729</v>
      </c>
      <c r="D626" s="1337" t="s">
        <v>2466</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4">
      <c r="A633" s="519"/>
      <c r="B633" s="520" t="s">
        <v>2730</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4">
      <c r="A636" s="519"/>
      <c r="B636" s="520" t="s">
        <v>2730</v>
      </c>
      <c r="C636" s="522"/>
      <c r="D636" s="1275" t="s">
        <v>1372</v>
      </c>
      <c r="E636" s="1275"/>
      <c r="F636" s="1275"/>
      <c r="I636" s="436" t="s">
        <v>2181</v>
      </c>
    </row>
    <row r="637" spans="1:9" ht="14.4">
      <c r="A637" s="519"/>
      <c r="B637" s="519"/>
      <c r="C637" s="522"/>
      <c r="D637" s="1275"/>
      <c r="E637" s="1275"/>
      <c r="F637" s="1275"/>
    </row>
    <row r="638" spans="1:9" ht="14.4">
      <c r="A638" s="519"/>
      <c r="B638" s="519"/>
      <c r="C638" s="522"/>
      <c r="D638" s="1275"/>
      <c r="E638" s="1275"/>
      <c r="F638" s="1275"/>
    </row>
    <row r="639" spans="1:9">
      <c r="A639" s="522"/>
      <c r="B639" s="520" t="s">
        <v>2730</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2729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 customHeight="1">
      <c r="A650" s="519"/>
      <c r="B650" s="519"/>
      <c r="C650" s="522"/>
      <c r="D650" s="417"/>
      <c r="E650" s="417"/>
      <c r="F650" s="417"/>
    </row>
    <row r="651" spans="1:9" ht="12.75" customHeight="1">
      <c r="A651" s="518"/>
      <c r="B651" s="520" t="s">
        <v>2729</v>
      </c>
      <c r="C651" s="522"/>
      <c r="D651" s="1275" t="s">
        <v>1448</v>
      </c>
      <c r="E651" s="1275"/>
      <c r="F651" s="1275"/>
      <c r="I651" s="436" t="s">
        <v>2233</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2729</v>
      </c>
      <c r="C657" s="522"/>
      <c r="D657" s="1275" t="s">
        <v>1447</v>
      </c>
      <c r="E657" s="1275"/>
      <c r="F657" s="1275"/>
      <c r="I657" s="436" t="s">
        <v>2233</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308</v>
      </c>
      <c r="C662" s="522"/>
      <c r="D662" s="1275" t="s">
        <v>2467</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4">
      <c r="A678" s="519"/>
      <c r="B678" s="520" t="s">
        <v>2729</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2730</v>
      </c>
      <c r="C683" s="518"/>
      <c r="D683" s="1275" t="s">
        <v>2468</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4">
      <c r="A687" s="519"/>
      <c r="B687" s="520" t="s">
        <v>2729</v>
      </c>
      <c r="C687" s="518"/>
      <c r="D687" s="1304" t="s">
        <v>954</v>
      </c>
      <c r="E687" s="1304"/>
      <c r="F687" s="1304"/>
      <c r="H687" s="536"/>
      <c r="I687" s="1065"/>
      <c r="J687" s="536"/>
      <c r="K687" s="536"/>
    </row>
    <row r="688" spans="1:11" ht="14.4">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2729</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2729</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2730</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2730</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2730</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2730</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2730</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2730</v>
      </c>
      <c r="C730" s="518"/>
      <c r="D730" s="1275" t="s">
        <v>2469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2478</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6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2729</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2730</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2730</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2730</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2730</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2729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2730</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2730</v>
      </c>
      <c r="C780" s="1026"/>
      <c r="D780" s="1293" t="s">
        <v>2020</v>
      </c>
      <c r="E780" s="1293"/>
      <c r="F780" s="1293"/>
      <c r="G780" s="1025"/>
      <c r="I780" s="1065" t="s">
        <v>2234</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2730</v>
      </c>
      <c r="C784" s="1026"/>
      <c r="D784" s="1293" t="s">
        <v>2021</v>
      </c>
      <c r="E784" s="1293"/>
      <c r="F784" s="1293"/>
      <c r="G784" s="1025"/>
      <c r="I784" s="1065" t="s">
        <v>2234</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2065</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2730</v>
      </c>
      <c r="C794" s="1026"/>
      <c r="D794" s="1293" t="s">
        <v>2022</v>
      </c>
      <c r="E794" s="1293"/>
      <c r="F794" s="1293"/>
      <c r="G794" s="1025"/>
      <c r="I794" s="1065" t="s">
        <v>2234</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2730</v>
      </c>
      <c r="C801" s="1026"/>
      <c r="D801" s="1293" t="s">
        <v>2023</v>
      </c>
      <c r="E801" s="1293"/>
      <c r="F801" s="1293"/>
      <c r="G801" s="1025"/>
      <c r="I801" s="1065" t="s">
        <v>2234</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2730</v>
      </c>
      <c r="C808" s="1026"/>
      <c r="D808" s="1301" t="s">
        <v>2024</v>
      </c>
      <c r="E808" s="1301"/>
      <c r="F808" s="1301"/>
      <c r="G808" s="1025"/>
      <c r="I808" s="1065" t="s">
        <v>2234</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2729</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9" t="s">
        <v>2479</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2729</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2730</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2470</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2730</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2730</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2729</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2729</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2730</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2470</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2730</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2730</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2729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2729</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2729</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2730</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2730</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2730</v>
      </c>
      <c r="C916" s="1026"/>
      <c r="D916" s="1280" t="s">
        <v>2471</v>
      </c>
      <c r="E916" s="1280"/>
      <c r="F916" s="1280"/>
      <c r="G916" s="1025"/>
    </row>
    <row r="917" spans="1:9" ht="12.75" customHeight="1">
      <c r="A917" s="1026"/>
      <c r="B917" s="1026"/>
      <c r="C917" s="1026"/>
      <c r="D917" s="118"/>
      <c r="E917" s="1025"/>
      <c r="F917" s="1025"/>
      <c r="G917" s="1025"/>
    </row>
    <row r="918" spans="1:9" ht="12.75" customHeight="1">
      <c r="A918" s="1026"/>
      <c r="B918" s="520" t="s">
        <v>2730</v>
      </c>
      <c r="C918" s="1026"/>
      <c r="D918" s="1280" t="s">
        <v>2472</v>
      </c>
      <c r="E918" s="1280"/>
      <c r="F918" s="1280"/>
      <c r="G918" s="1025"/>
    </row>
    <row r="919" spans="1:9" ht="12.75" customHeight="1">
      <c r="A919" s="175"/>
      <c r="B919" s="175"/>
      <c r="C919" s="175"/>
      <c r="D919" s="2"/>
      <c r="E919" s="3"/>
      <c r="F919" s="1025"/>
      <c r="G919" s="1025"/>
    </row>
    <row r="920" spans="1:9" ht="12.75" customHeight="1">
      <c r="A920" s="1034"/>
      <c r="B920" s="520" t="s">
        <v>2729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2730</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2730</v>
      </c>
      <c r="C938" s="175"/>
      <c r="D938" s="1263" t="s">
        <v>2566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2730</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2730</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2730</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2730</v>
      </c>
      <c r="C959" s="386"/>
      <c r="D959" s="1260" t="s">
        <v>2473</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2729</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2730</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2730</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2730</v>
      </c>
      <c r="C996" s="386"/>
      <c r="D996" s="1280" t="s">
        <v>2052</v>
      </c>
      <c r="E996" s="1280"/>
      <c r="F996" s="1280"/>
      <c r="G996"/>
    </row>
    <row r="997" spans="1:7" ht="12.75" customHeight="1">
      <c r="A997" s="386"/>
      <c r="B997" s="386"/>
      <c r="C997" s="386"/>
      <c r="D997" s="3"/>
      <c r="E997" s="3"/>
      <c r="F997" s="3"/>
      <c r="G997"/>
    </row>
    <row r="998" spans="1:7" ht="12.75" customHeight="1">
      <c r="A998" s="176"/>
      <c r="B998" s="520" t="s">
        <v>2730</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2729</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2729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2730</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2730</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2730</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2730</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2729</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1431</v>
      </c>
      <c r="E1026" s="1289"/>
      <c r="F1026" s="1289"/>
      <c r="G1026" s="3"/>
    </row>
    <row r="1027" spans="1:9" ht="12.75" customHeight="1">
      <c r="A1027" s="118"/>
      <c r="B1027" s="520" t="s">
        <v>2729</v>
      </c>
      <c r="D1027" s="1274" t="s">
        <v>1430</v>
      </c>
      <c r="E1027" s="1274"/>
      <c r="F1027" s="1274"/>
      <c r="G1027" s="3"/>
    </row>
    <row r="1028" spans="1:9" ht="12.75" customHeight="1">
      <c r="A1028" s="118"/>
      <c r="B1028" s="434"/>
      <c r="D1028" s="1274" t="s">
        <v>2073</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2730</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2730</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2730</v>
      </c>
      <c r="C1048" s="434"/>
      <c r="D1048" s="434" t="s">
        <v>2075</v>
      </c>
      <c r="I1048" s="436" t="s">
        <v>2190</v>
      </c>
    </row>
    <row r="1049" spans="1:9">
      <c r="A1049" s="434"/>
      <c r="B1049" s="434"/>
      <c r="C1049" s="434"/>
    </row>
    <row r="1050" spans="1:9">
      <c r="A1050" s="434"/>
      <c r="B1050" s="520" t="s">
        <v>2729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2729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2730</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2730</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2730</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2730</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2624</v>
      </c>
      <c r="E1085" s="1260"/>
      <c r="F1085" s="1260"/>
    </row>
    <row r="1086" spans="1:9">
      <c r="A1086" s="434"/>
      <c r="B1086" s="434"/>
      <c r="C1086" s="434"/>
      <c r="D1086" s="562"/>
    </row>
    <row r="1087" spans="1:9">
      <c r="A1087" s="434"/>
      <c r="B1087" s="520" t="s">
        <v>2730</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2730</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2730</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2730</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2729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68" zoomScaleNormal="100" zoomScaleSheetLayoutView="80" workbookViewId="0">
      <selection activeCell="AO633" sqref="AO633:AS633"/>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 customHeight="1">
      <c r="A9" s="1300" t="s">
        <v>2480</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 customHeight="1">
      <c r="A10" s="1300" t="s">
        <v>2614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 customHeight="1">
      <c r="A12" s="1550" t="s">
        <v>2622</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 customHeight="1">
      <c r="A13" s="1270" t="s">
        <v>2481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2482</v>
      </c>
      <c r="C16" s="4"/>
      <c r="D16" s="4"/>
      <c r="E16" s="4"/>
      <c r="F16" s="4"/>
      <c r="G16" s="4"/>
      <c r="H16" s="1535" t="s">
        <v>2625</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 customHeight="1"/>
    <row r="18" spans="1:52" ht="12.9" customHeight="1">
      <c r="A18" s="57" t="s">
        <v>102</v>
      </c>
      <c r="C18" s="4"/>
      <c r="D18" s="4"/>
      <c r="E18" s="4"/>
      <c r="F18" s="4"/>
      <c r="G18" s="4"/>
      <c r="H18" s="1435" t="s">
        <v>2626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 customHeight="1"/>
    <row r="20" spans="1:52" ht="12.9" customHeight="1">
      <c r="A20" s="1545" t="s">
        <v>901</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937"/>
      <c r="AN20" s="937"/>
      <c r="AO20" s="937"/>
      <c r="AP20" s="937"/>
      <c r="AQ20" s="937"/>
      <c r="AR20" s="937"/>
      <c r="AS20" s="937"/>
      <c r="AT20" s="937"/>
      <c r="AU20" s="937"/>
      <c r="AV20" s="937"/>
      <c r="AW20" s="937"/>
      <c r="AX20" s="937"/>
      <c r="AY20" s="937"/>
    </row>
    <row r="21" spans="1:52" ht="12.9" customHeight="1">
      <c r="A21" s="1553" t="s">
        <v>1066</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52">
        <f>'Basis &amp; Credits'!AB56</f>
        <v>2814707</v>
      </c>
      <c r="N26" s="1552"/>
      <c r="O26" s="1552"/>
      <c r="P26" s="1552"/>
      <c r="Q26" s="1552"/>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93">
        <f>'Basis &amp; Credits'!AB77</f>
        <v>21110306</v>
      </c>
      <c r="N27" s="1493"/>
      <c r="O27" s="1493"/>
      <c r="P27" s="1493"/>
      <c r="Q27" s="1493"/>
      <c r="R27" s="3" t="s">
        <v>1425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1437</v>
      </c>
      <c r="C33" s="554"/>
      <c r="D33" s="554"/>
      <c r="E33" s="554"/>
      <c r="F33" s="554"/>
      <c r="G33" s="554"/>
      <c r="H33" s="554"/>
      <c r="I33" s="554"/>
      <c r="J33" s="554"/>
      <c r="K33" s="554"/>
      <c r="L33" s="554"/>
      <c r="M33" s="554"/>
      <c r="N33" s="554"/>
      <c r="O33" s="1373" t="s">
        <v>678</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1442</v>
      </c>
      <c r="AZ37" s="20"/>
    </row>
    <row r="38" spans="1:52" ht="12.9" customHeight="1">
      <c r="A38" s="3" t="s">
        <v>1443</v>
      </c>
      <c r="AZ38" s="20"/>
    </row>
    <row r="39" spans="1:52" ht="12.9" customHeight="1">
      <c r="AZ39" s="20"/>
    </row>
    <row r="40" spans="1:52" ht="12.9"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181</v>
      </c>
      <c r="G122" s="1542"/>
      <c r="H122" s="1542"/>
      <c r="I122" s="3" t="s">
        <v>182</v>
      </c>
      <c r="L122" s="1542"/>
      <c r="M122" s="1542"/>
      <c r="N122" s="1542"/>
      <c r="O122" s="1558" t="s">
        <v>1426</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65"/>
      <c r="D124" s="1465"/>
      <c r="E124" s="1465"/>
      <c r="F124" s="1465"/>
      <c r="G124" s="1465"/>
      <c r="H124" s="1465"/>
      <c r="I124" s="1465"/>
      <c r="J124" s="1465"/>
      <c r="K124" s="1465"/>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542"/>
      <c r="Z126" s="1542"/>
      <c r="AA126" s="1542"/>
      <c r="AB126" s="1542"/>
      <c r="AC126" s="1542"/>
      <c r="AD126" s="1542"/>
      <c r="AE126" s="1542"/>
      <c r="AF126" s="1542"/>
      <c r="AG126" s="1542"/>
      <c r="AH126" s="1542"/>
      <c r="AI126" s="1542"/>
      <c r="AJ126" s="1542"/>
      <c r="AK126" s="1542"/>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542"/>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542"/>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35" t="s">
        <v>2627</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 customHeight="1">
      <c r="D154" s="325" t="s">
        <v>442</v>
      </c>
      <c r="O154" s="1463" t="s">
        <v>2628</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 customHeight="1">
      <c r="D155" s="8" t="s">
        <v>444</v>
      </c>
      <c r="F155" s="8"/>
      <c r="G155" s="8"/>
      <c r="H155" s="8"/>
      <c r="I155" s="8"/>
      <c r="J155" s="8"/>
      <c r="K155" s="8"/>
      <c r="L155" s="8"/>
      <c r="M155" s="8"/>
      <c r="N155" s="8"/>
      <c r="O155" s="1555" t="s">
        <v>443</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 customHeight="1">
      <c r="D156" t="s">
        <v>314</v>
      </c>
      <c r="O156" s="1435" t="s">
        <v>2629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2.9" customHeight="1">
      <c r="D157" t="s">
        <v>315</v>
      </c>
      <c r="O157" s="1435" t="s">
        <v>2630</v>
      </c>
      <c r="P157" s="1533"/>
      <c r="Q157" s="1533"/>
      <c r="R157" s="1533"/>
      <c r="S157" s="1533"/>
      <c r="T157" s="1533"/>
      <c r="U157" s="1533"/>
      <c r="V157" s="1533"/>
      <c r="W157" s="1533"/>
      <c r="X157" s="1533"/>
      <c r="Y157" s="8"/>
      <c r="Z157" s="8"/>
      <c r="AA157" s="8"/>
      <c r="AB157" s="8"/>
      <c r="AC157" s="8"/>
      <c r="AD157" s="8"/>
      <c r="AE157" s="8"/>
      <c r="AF157" s="8"/>
      <c r="BN157" s="23" t="s">
        <v>645</v>
      </c>
      <c r="BT157" t="s">
        <v>485</v>
      </c>
    </row>
    <row r="158" spans="1:72" ht="12.9" customHeight="1">
      <c r="D158" t="s">
        <v>316</v>
      </c>
      <c r="O158" s="1556">
        <v>95993</v>
      </c>
      <c r="P158" s="1556"/>
      <c r="Q158" s="1556"/>
      <c r="R158" s="1556"/>
      <c r="S158" s="9"/>
      <c r="T158" s="9"/>
      <c r="U158" s="9"/>
      <c r="V158" s="9"/>
      <c r="W158" s="9"/>
      <c r="X158" s="9"/>
      <c r="Y158" s="9"/>
      <c r="Z158" s="9"/>
      <c r="AA158" s="9"/>
      <c r="AB158" s="9"/>
      <c r="AC158" s="9"/>
      <c r="AD158" s="9"/>
      <c r="AE158" s="9"/>
      <c r="AF158" s="9"/>
      <c r="BN158" s="23" t="s">
        <v>646</v>
      </c>
      <c r="BT158" t="s">
        <v>486</v>
      </c>
    </row>
    <row r="159" spans="1:72" ht="12.9" customHeight="1">
      <c r="D159" t="s">
        <v>317</v>
      </c>
      <c r="O159" s="1537" t="s">
        <v>2631</v>
      </c>
      <c r="P159" s="1466"/>
      <c r="Q159" s="1466"/>
      <c r="R159" s="1466"/>
      <c r="S159" s="1466"/>
      <c r="T159" s="1466"/>
      <c r="V159" s="97" t="s">
        <v>272</v>
      </c>
      <c r="W159" s="1557"/>
      <c r="X159" s="1557"/>
      <c r="Y159" s="10"/>
      <c r="Z159" s="10"/>
      <c r="AA159" s="10"/>
      <c r="AB159" s="10"/>
      <c r="AC159" s="10"/>
      <c r="AD159" s="10"/>
      <c r="AE159" s="10"/>
      <c r="AF159" s="10"/>
      <c r="BN159" s="23" t="s">
        <v>340</v>
      </c>
      <c r="BT159" t="s">
        <v>487</v>
      </c>
    </row>
    <row r="160" spans="1:72" ht="12.9" customHeight="1">
      <c r="D160" t="s">
        <v>318</v>
      </c>
      <c r="O160" s="1466"/>
      <c r="P160" s="1466"/>
      <c r="Q160" s="1466"/>
      <c r="R160" s="1466"/>
      <c r="S160" s="1466"/>
      <c r="T160" s="1466"/>
      <c r="U160" s="10"/>
      <c r="V160" s="10"/>
      <c r="W160" s="10"/>
      <c r="X160" s="10"/>
      <c r="Y160" s="10"/>
      <c r="Z160" s="10"/>
      <c r="AA160" s="10"/>
      <c r="AB160" s="10"/>
      <c r="AC160" s="10"/>
      <c r="AD160" s="10"/>
      <c r="AE160" s="10"/>
      <c r="AF160" s="10"/>
      <c r="BN160" s="23" t="s">
        <v>669</v>
      </c>
      <c r="BT160" t="s">
        <v>488</v>
      </c>
    </row>
    <row r="161" spans="1:72" ht="12.9" customHeight="1">
      <c r="D161" t="s">
        <v>319</v>
      </c>
      <c r="O161" s="1467" t="s">
        <v>2632</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468" t="s">
        <v>1387</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682</v>
      </c>
      <c r="BT169" t="s">
        <v>497</v>
      </c>
    </row>
    <row r="170" spans="1:72" ht="12.9"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212</v>
      </c>
      <c r="BT171" t="s">
        <v>499</v>
      </c>
    </row>
    <row r="172" spans="1:72" ht="12.9" customHeight="1">
      <c r="A172" s="2" t="s">
        <v>320</v>
      </c>
      <c r="C172" s="2" t="s">
        <v>321</v>
      </c>
      <c r="BN172" s="23" t="s">
        <v>214</v>
      </c>
      <c r="BT172" t="s">
        <v>500</v>
      </c>
    </row>
    <row r="173" spans="1:72" ht="12.9" customHeight="1">
      <c r="C173" s="24"/>
      <c r="D173" t="s">
        <v>322</v>
      </c>
      <c r="J173" s="1554" t="s">
        <v>372</v>
      </c>
      <c r="K173" s="1554"/>
      <c r="L173" s="1554"/>
      <c r="M173" s="1554"/>
      <c r="N173" s="1554"/>
      <c r="O173" s="1554"/>
      <c r="P173" s="1554"/>
      <c r="Q173" s="1554"/>
      <c r="R173" s="1554"/>
      <c r="S173" s="1554"/>
      <c r="U173" s="25"/>
      <c r="X173" s="25"/>
      <c r="BN173" s="23" t="s">
        <v>215</v>
      </c>
      <c r="BT173" t="s">
        <v>501</v>
      </c>
    </row>
    <row r="174" spans="1:72" ht="12.9" customHeight="1">
      <c r="C174" s="24"/>
      <c r="D174" s="3" t="s">
        <v>1345</v>
      </c>
      <c r="J174" s="1394" t="s">
        <v>2530</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502</v>
      </c>
    </row>
    <row r="175" spans="1:72" ht="12.9" customHeight="1">
      <c r="C175" s="8"/>
      <c r="D175" s="3" t="s">
        <v>323</v>
      </c>
      <c r="O175" s="27"/>
      <c r="U175" s="1373" t="s">
        <v>554</v>
      </c>
      <c r="V175" s="1373"/>
      <c r="BN175" s="23" t="s">
        <v>218</v>
      </c>
      <c r="BT175" t="s">
        <v>503</v>
      </c>
    </row>
    <row r="176" spans="1:72" ht="12.9" customHeight="1">
      <c r="C176" s="8"/>
      <c r="D176" s="26"/>
      <c r="E176" t="s">
        <v>305</v>
      </c>
      <c r="O176" s="27"/>
      <c r="P176" t="s">
        <v>2502</v>
      </c>
      <c r="T176" s="27" t="s">
        <v>306</v>
      </c>
      <c r="U176" s="1546">
        <v>22</v>
      </c>
      <c r="V176" s="1546"/>
      <c r="W176" s="1" t="s">
        <v>307</v>
      </c>
      <c r="X176" s="1559">
        <v>612</v>
      </c>
      <c r="Y176" s="1559"/>
      <c r="BN176" s="23" t="s">
        <v>220</v>
      </c>
      <c r="BT176" t="s">
        <v>504</v>
      </c>
    </row>
    <row r="177" spans="1:72" ht="12.9" customHeight="1">
      <c r="C177" s="24"/>
      <c r="D177" t="s">
        <v>250</v>
      </c>
      <c r="R177" s="1373" t="s">
        <v>678</v>
      </c>
      <c r="S177" s="1373"/>
      <c r="BN177" s="23" t="s">
        <v>221</v>
      </c>
      <c r="BT177" t="s">
        <v>505</v>
      </c>
    </row>
    <row r="178" spans="1:72" ht="12.9" customHeight="1">
      <c r="C178" s="24"/>
      <c r="D178" s="3" t="s">
        <v>1346</v>
      </c>
      <c r="AA178" t="s">
        <v>2502</v>
      </c>
      <c r="AE178" s="27" t="s">
        <v>306</v>
      </c>
      <c r="AF178" s="1725"/>
      <c r="AG178" s="1725"/>
      <c r="AH178" s="1" t="s">
        <v>307</v>
      </c>
      <c r="AI178" s="1469"/>
      <c r="AJ178" s="1469"/>
      <c r="AK178" s="1469"/>
      <c r="BN178" s="23" t="s">
        <v>222</v>
      </c>
      <c r="BT178" t="s">
        <v>53</v>
      </c>
    </row>
    <row r="179" spans="1:72" ht="12.9" customHeight="1">
      <c r="C179" s="24"/>
      <c r="BN179" s="23" t="s">
        <v>223</v>
      </c>
      <c r="BT179" t="s">
        <v>54</v>
      </c>
    </row>
    <row r="180" spans="1:72" ht="12.9" customHeight="1">
      <c r="C180" s="24"/>
      <c r="D180" t="s">
        <v>2503</v>
      </c>
      <c r="X180" s="1373"/>
      <c r="Y180" s="1373"/>
      <c r="BN180" s="23" t="s">
        <v>225</v>
      </c>
      <c r="BT180" t="s">
        <v>55</v>
      </c>
    </row>
    <row r="181" spans="1:72" ht="12.9" customHeight="1">
      <c r="C181" s="8"/>
      <c r="E181" s="4" t="s">
        <v>1016</v>
      </c>
      <c r="BN181" s="23" t="s">
        <v>226</v>
      </c>
      <c r="BT181" t="s">
        <v>56</v>
      </c>
    </row>
    <row r="182" spans="1:72" ht="12.9" customHeight="1">
      <c r="C182" s="565"/>
      <c r="BN182" s="23" t="s">
        <v>227</v>
      </c>
      <c r="BT182" t="s">
        <v>60</v>
      </c>
    </row>
    <row r="183" spans="1:72" ht="12.9" customHeight="1">
      <c r="A183" s="2" t="s">
        <v>585</v>
      </c>
      <c r="C183" s="2" t="s">
        <v>586</v>
      </c>
      <c r="BN183" s="23" t="s">
        <v>229</v>
      </c>
      <c r="BT183" t="s">
        <v>61</v>
      </c>
    </row>
    <row r="184" spans="1:72" ht="12.9" customHeight="1">
      <c r="C184" s="21"/>
      <c r="D184" t="s">
        <v>587</v>
      </c>
      <c r="I184" s="1512" t="str">
        <f>H18</f>
        <v>Richland Village</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596</v>
      </c>
      <c r="BN184" s="23" t="s">
        <v>231</v>
      </c>
      <c r="BT184" t="s">
        <v>62</v>
      </c>
    </row>
    <row r="185" spans="1:72" ht="12.9" customHeight="1">
      <c r="C185" s="21"/>
      <c r="D185" t="s">
        <v>588</v>
      </c>
      <c r="I185" s="1463"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2.9" customHeight="1">
      <c r="C186" s="21"/>
      <c r="E186" t="s">
        <v>168</v>
      </c>
      <c r="BN186" s="23" t="s">
        <v>233</v>
      </c>
      <c r="BT186" t="s">
        <v>64</v>
      </c>
    </row>
    <row r="187" spans="1:72" ht="12.9"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234</v>
      </c>
      <c r="BT187" t="s">
        <v>65</v>
      </c>
    </row>
    <row r="188" spans="1:72" ht="12.9"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236</v>
      </c>
      <c r="BT188" t="s">
        <v>66</v>
      </c>
    </row>
    <row r="189" spans="1:72" ht="12.9" customHeight="1">
      <c r="C189" s="21"/>
      <c r="D189" t="s">
        <v>589</v>
      </c>
      <c r="I189" s="1435" t="s">
        <v>2630</v>
      </c>
      <c r="J189" s="1394"/>
      <c r="K189" s="1394"/>
      <c r="L189" s="1394"/>
      <c r="M189" s="1394"/>
      <c r="N189" s="1394"/>
      <c r="O189" s="1394"/>
      <c r="P189" s="1394"/>
      <c r="Q189" t="s">
        <v>591</v>
      </c>
      <c r="T189" s="1394" t="s">
        <v>200</v>
      </c>
      <c r="U189" s="1394"/>
      <c r="V189" s="1394"/>
      <c r="W189" s="1394"/>
      <c r="X189" s="1394"/>
      <c r="Y189" s="1394"/>
      <c r="Z189" s="1394"/>
      <c r="AA189" s="1394"/>
      <c r="AB189" s="1394"/>
      <c r="AC189" s="1394"/>
      <c r="AD189" s="1394"/>
      <c r="AE189" s="1394"/>
      <c r="BC189" t="s">
        <v>308</v>
      </c>
      <c r="BH189" s="3" t="s">
        <v>600</v>
      </c>
      <c r="BN189" s="23" t="s">
        <v>237</v>
      </c>
      <c r="BT189" t="s">
        <v>67</v>
      </c>
    </row>
    <row r="190" spans="1:72" ht="12.9" customHeight="1">
      <c r="C190" s="21"/>
      <c r="D190" t="s">
        <v>592</v>
      </c>
      <c r="I190" s="1366">
        <v>95991</v>
      </c>
      <c r="J190" s="1366"/>
      <c r="K190" s="1366"/>
      <c r="L190" s="1366"/>
      <c r="M190" s="1366"/>
      <c r="N190" s="1366"/>
      <c r="O190" t="s">
        <v>594</v>
      </c>
      <c r="T190" s="1547">
        <v>503.02</v>
      </c>
      <c r="U190" s="1547"/>
      <c r="V190" s="1547"/>
      <c r="W190" s="1547"/>
      <c r="X190" s="1547"/>
      <c r="Y190" s="1547"/>
      <c r="Z190" s="1547"/>
      <c r="AA190" s="1547"/>
      <c r="AB190" s="1547"/>
      <c r="AC190" s="1547"/>
      <c r="AD190" s="1547"/>
      <c r="AE190" s="1547"/>
      <c r="BC190" t="s">
        <v>1102</v>
      </c>
      <c r="BH190" t="s">
        <v>1102</v>
      </c>
      <c r="BN190" s="23" t="s">
        <v>644</v>
      </c>
      <c r="BT190" t="s">
        <v>68</v>
      </c>
    </row>
    <row r="191" spans="1:72" ht="12.9" customHeight="1">
      <c r="C191" s="21"/>
      <c r="D191" t="s">
        <v>471</v>
      </c>
      <c r="N191" s="1549" t="s">
        <v>2634</v>
      </c>
      <c r="O191" s="1444"/>
      <c r="P191" s="1444"/>
      <c r="Q191" s="1444"/>
      <c r="R191" s="1444"/>
      <c r="S191" s="1444"/>
      <c r="T191" s="1444"/>
      <c r="U191" s="1444"/>
      <c r="V191" s="1444"/>
      <c r="W191" s="1444"/>
      <c r="X191" s="1444"/>
      <c r="Y191" s="1444"/>
      <c r="Z191" s="1444"/>
      <c r="AA191" s="1444"/>
      <c r="AB191" s="1444"/>
      <c r="AC191" s="1444"/>
      <c r="AD191" s="1444"/>
      <c r="AE191" s="1444"/>
      <c r="BC191" t="s">
        <v>1101</v>
      </c>
      <c r="BH191" t="s">
        <v>1101</v>
      </c>
      <c r="BN191" s="23" t="s">
        <v>698</v>
      </c>
      <c r="BT191" t="s">
        <v>739</v>
      </c>
    </row>
    <row r="192" spans="1:72" ht="12.9"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1104</v>
      </c>
      <c r="BH192" s="3" t="s">
        <v>1808</v>
      </c>
      <c r="BN192" s="23" t="s">
        <v>699</v>
      </c>
      <c r="BT192" t="s">
        <v>740</v>
      </c>
    </row>
    <row r="193" spans="1:74" ht="12.9" customHeight="1">
      <c r="C193" s="21"/>
      <c r="D193" t="s">
        <v>2504</v>
      </c>
      <c r="M193" s="40"/>
      <c r="N193" s="930"/>
      <c r="O193" s="930"/>
      <c r="P193" s="930"/>
      <c r="Q193" s="930"/>
      <c r="R193" s="930"/>
      <c r="S193" s="930"/>
      <c r="T193" s="1562" t="s">
        <v>2635</v>
      </c>
      <c r="U193" s="1562"/>
      <c r="V193" s="1562"/>
      <c r="W193" s="1562"/>
      <c r="X193" s="1562"/>
      <c r="Y193" s="1562"/>
      <c r="Z193" s="1562"/>
      <c r="AA193" s="1562"/>
      <c r="AB193" s="1562"/>
      <c r="AC193" s="1562"/>
      <c r="AD193" s="1562"/>
      <c r="AE193" s="1562"/>
      <c r="AF193" s="1562"/>
      <c r="AG193" s="1562"/>
      <c r="AH193" s="1562"/>
      <c r="AI193" s="1562"/>
      <c r="BC193" t="s">
        <v>1103</v>
      </c>
      <c r="BH193" s="3" t="s">
        <v>1809</v>
      </c>
      <c r="BN193" s="23" t="s">
        <v>700</v>
      </c>
      <c r="BT193" t="s">
        <v>741</v>
      </c>
    </row>
    <row r="194" spans="1:74" ht="12.9" customHeight="1">
      <c r="C194" s="21"/>
      <c r="D194" t="s">
        <v>332</v>
      </c>
      <c r="T194" s="1373" t="s">
        <v>678</v>
      </c>
      <c r="U194" s="1373"/>
      <c r="W194" t="s">
        <v>694</v>
      </c>
      <c r="AH194" s="1373">
        <v>3</v>
      </c>
      <c r="AI194" s="1373"/>
      <c r="BC194" t="s">
        <v>1537</v>
      </c>
      <c r="BN194" s="23" t="s">
        <v>701</v>
      </c>
      <c r="BT194" t="s">
        <v>742</v>
      </c>
    </row>
    <row r="195" spans="1:74" ht="12.9" customHeight="1">
      <c r="C195" s="21"/>
      <c r="D195" t="s">
        <v>387</v>
      </c>
      <c r="T195" s="1355" t="s">
        <v>678</v>
      </c>
      <c r="U195" s="1355"/>
      <c r="W195" t="s">
        <v>695</v>
      </c>
      <c r="AH195" s="1373">
        <v>3</v>
      </c>
      <c r="AI195" s="1373"/>
      <c r="BC195" t="s">
        <v>2120</v>
      </c>
      <c r="BN195" s="23" t="s">
        <v>243</v>
      </c>
      <c r="BT195" t="s">
        <v>743</v>
      </c>
    </row>
    <row r="196" spans="1:74" ht="12.9" customHeight="1">
      <c r="C196" s="21"/>
      <c r="D196" s="3" t="s">
        <v>169</v>
      </c>
      <c r="T196" s="1355" t="s">
        <v>678</v>
      </c>
      <c r="U196" s="1355"/>
      <c r="W196" t="s">
        <v>696</v>
      </c>
      <c r="AH196" s="1373">
        <v>4</v>
      </c>
      <c r="AI196" s="1373"/>
      <c r="BN196" s="23" t="s">
        <v>244</v>
      </c>
      <c r="BT196" t="s">
        <v>69</v>
      </c>
    </row>
    <row r="197" spans="1:74" ht="12.9" customHeight="1">
      <c r="C197" s="21"/>
      <c r="D197" s="3" t="s">
        <v>1833</v>
      </c>
      <c r="T197" s="1355"/>
      <c r="U197" s="1355"/>
      <c r="AH197" s="14"/>
      <c r="AI197" s="14"/>
      <c r="BC197" t="s">
        <v>308</v>
      </c>
      <c r="BN197" s="23" t="s">
        <v>245</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2505</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 customHeight="1">
      <c r="A202" s="2" t="s">
        <v>595</v>
      </c>
      <c r="C202" s="2" t="s">
        <v>137</v>
      </c>
      <c r="BC202" t="s">
        <v>1128</v>
      </c>
      <c r="BD202" s="470"/>
      <c r="BN202" s="23" t="s">
        <v>711</v>
      </c>
      <c r="BO202" s="14"/>
      <c r="BP202" s="32"/>
      <c r="BQ202" s="32"/>
      <c r="BR202" s="32"/>
      <c r="BS202" s="32"/>
      <c r="BT202" s="32" t="s">
        <v>196</v>
      </c>
    </row>
    <row r="203" spans="1:74" ht="12.9" customHeight="1">
      <c r="D203" s="1512" t="s">
        <v>386</v>
      </c>
      <c r="E203" s="1512"/>
      <c r="F203" s="1512"/>
      <c r="G203" s="1512"/>
      <c r="H203" s="1512"/>
      <c r="I203" s="1512"/>
      <c r="J203" s="1512"/>
      <c r="K203" s="1512"/>
      <c r="L203" s="1512"/>
      <c r="M203" s="1512"/>
      <c r="P203" s="1543">
        <f>M26</f>
        <v>2814707</v>
      </c>
      <c r="Q203" s="1544"/>
      <c r="R203" s="1544"/>
      <c r="S203" s="1544"/>
      <c r="T203" s="1544"/>
      <c r="U203" s="1544"/>
      <c r="Z203" s="1564" t="s">
        <v>2636</v>
      </c>
      <c r="AA203" s="1564"/>
      <c r="AB203" s="1564"/>
      <c r="AC203" s="1564"/>
      <c r="AD203" s="1564"/>
      <c r="AE203" s="1564"/>
      <c r="AF203" s="1564"/>
      <c r="BC203" t="s">
        <v>1129</v>
      </c>
      <c r="BN203" s="23" t="s">
        <v>712</v>
      </c>
      <c r="BO203" s="14"/>
      <c r="BP203" s="32"/>
      <c r="BQ203" s="32"/>
      <c r="BR203" s="32"/>
      <c r="BS203" s="32"/>
      <c r="BT203" s="32" t="s">
        <v>197</v>
      </c>
    </row>
    <row r="204" spans="1:74" ht="12.9" customHeight="1">
      <c r="C204" s="21"/>
      <c r="D204" s="1563" t="s">
        <v>1403</v>
      </c>
      <c r="E204" s="1512"/>
      <c r="F204" s="1512"/>
      <c r="G204" s="1512"/>
      <c r="H204" s="1512"/>
      <c r="I204" s="1512"/>
      <c r="J204" s="1512"/>
      <c r="K204" s="1512"/>
      <c r="L204" s="1512"/>
      <c r="M204" s="1512"/>
      <c r="P204" s="1544">
        <f>M27</f>
        <v>21110306</v>
      </c>
      <c r="Q204" s="1544"/>
      <c r="R204" s="1544"/>
      <c r="S204" s="1544"/>
      <c r="T204" s="1544"/>
      <c r="U204" s="1544"/>
      <c r="V204" s="28"/>
      <c r="W204" s="3" t="s">
        <v>1981</v>
      </c>
      <c r="Z204" s="1564"/>
      <c r="AA204" s="1564"/>
      <c r="AB204" s="1564"/>
      <c r="AC204" s="1564"/>
      <c r="AD204" s="1564"/>
      <c r="AE204" s="1564"/>
      <c r="AF204" s="1564"/>
      <c r="AG204" t="s">
        <v>1404</v>
      </c>
      <c r="AP204" s="1373" t="s">
        <v>678</v>
      </c>
      <c r="AQ204" s="1373"/>
      <c r="BC204" t="s">
        <v>619</v>
      </c>
      <c r="BN204" s="23" t="s">
        <v>713</v>
      </c>
      <c r="BT204" s="32" t="s">
        <v>198</v>
      </c>
      <c r="BU204" s="14"/>
    </row>
    <row r="205" spans="1:74" ht="12.9"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1087</v>
      </c>
      <c r="BN205" s="23" t="s">
        <v>110</v>
      </c>
      <c r="BT205" s="32" t="s">
        <v>174</v>
      </c>
      <c r="BU205" s="14"/>
    </row>
    <row r="206" spans="1:74" ht="12.9" customHeight="1">
      <c r="A206" s="2" t="s">
        <v>598</v>
      </c>
      <c r="C206" s="2" t="s">
        <v>560</v>
      </c>
      <c r="BC206" s="471" t="s">
        <v>1130</v>
      </c>
      <c r="BN206" s="23" t="s">
        <v>111</v>
      </c>
      <c r="BT206" s="32" t="s">
        <v>199</v>
      </c>
      <c r="BU206" s="14"/>
    </row>
    <row r="207" spans="1:74" ht="12.9" customHeight="1">
      <c r="C207" s="21"/>
      <c r="D207" s="1533" t="s">
        <v>2637</v>
      </c>
      <c r="E207" s="1533"/>
      <c r="F207" s="1533"/>
      <c r="G207" s="1533"/>
      <c r="H207" s="1533"/>
      <c r="I207" s="1533"/>
      <c r="J207" s="1533"/>
      <c r="K207" s="1533"/>
      <c r="L207" s="1533"/>
      <c r="M207" s="1533"/>
      <c r="BC207" s="3" t="s">
        <v>1360</v>
      </c>
      <c r="BN207" s="23" t="s">
        <v>45</v>
      </c>
      <c r="BT207" s="32" t="s">
        <v>200</v>
      </c>
    </row>
    <row r="208" spans="1:74" ht="12.9" customHeight="1">
      <c r="BC208" t="s">
        <v>1131</v>
      </c>
      <c r="BN208" s="23" t="s">
        <v>46</v>
      </c>
      <c r="BT208" s="32" t="s">
        <v>201</v>
      </c>
    </row>
    <row r="209" spans="1:72" ht="12.9" customHeight="1">
      <c r="A209" s="2" t="s">
        <v>599</v>
      </c>
      <c r="C209" s="2" t="s">
        <v>389</v>
      </c>
      <c r="BC209" t="s">
        <v>668</v>
      </c>
      <c r="BN209" s="23" t="s">
        <v>47</v>
      </c>
      <c r="BT209" s="32" t="s">
        <v>202</v>
      </c>
    </row>
    <row r="210" spans="1:72" ht="12.9" customHeight="1">
      <c r="C210" s="21"/>
      <c r="D210" s="1533" t="s">
        <v>1102</v>
      </c>
      <c r="E210" s="1533"/>
      <c r="F210" s="1533"/>
      <c r="G210" s="1533"/>
      <c r="H210" s="1533"/>
      <c r="I210" s="1533"/>
      <c r="J210" s="1533"/>
      <c r="K210" s="1533"/>
      <c r="L210" s="1533"/>
      <c r="M210" s="1533"/>
      <c r="BN210" s="23" t="s">
        <v>48</v>
      </c>
      <c r="BT210" s="32" t="s">
        <v>203</v>
      </c>
    </row>
    <row r="211" spans="1:72" ht="12.9" customHeight="1">
      <c r="C211" s="21"/>
      <c r="D211" t="s">
        <v>1393</v>
      </c>
      <c r="Y211" s="1373"/>
      <c r="Z211" s="1373"/>
      <c r="AB211" s="1560">
        <f>IFERROR(Y211/AG439,"")</f>
        <v>0</v>
      </c>
      <c r="AC211" s="1561"/>
      <c r="BN211" s="23" t="s">
        <v>130</v>
      </c>
      <c r="BT211" s="32" t="s">
        <v>131</v>
      </c>
    </row>
    <row r="212" spans="1:72" ht="12.9" customHeight="1">
      <c r="D212" s="1198" t="s">
        <v>1807</v>
      </c>
      <c r="BC212" t="s">
        <v>308</v>
      </c>
      <c r="BN212" s="23" t="s">
        <v>49</v>
      </c>
      <c r="BT212" s="32" t="s">
        <v>204</v>
      </c>
    </row>
    <row r="213" spans="1:72" ht="12.9" customHeight="1">
      <c r="D213" s="1458" t="s">
        <v>600</v>
      </c>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BC213" t="s">
        <v>535</v>
      </c>
      <c r="BN213" s="23" t="s">
        <v>50</v>
      </c>
      <c r="BT213" s="32" t="s">
        <v>205</v>
      </c>
    </row>
    <row r="214" spans="1:72" ht="12.9" customHeight="1">
      <c r="D214" s="3" t="s">
        <v>1834</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539</v>
      </c>
      <c r="BN214" s="23" t="s">
        <v>327</v>
      </c>
      <c r="BT214" s="32" t="s">
        <v>206</v>
      </c>
    </row>
    <row r="215" spans="1:72" ht="12.9" customHeight="1">
      <c r="D215" s="3" t="s">
        <v>1832</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1368</v>
      </c>
      <c r="D217" s="28"/>
      <c r="BC217" t="s">
        <v>537</v>
      </c>
    </row>
    <row r="218" spans="1:72" ht="12.9" customHeight="1">
      <c r="A218" s="2"/>
      <c r="C218" s="2"/>
      <c r="D218" s="4" t="s">
        <v>1041</v>
      </c>
      <c r="BC218" t="s">
        <v>538</v>
      </c>
    </row>
    <row r="219" spans="1:72" ht="12.9" customHeight="1">
      <c r="A219" s="2"/>
      <c r="C219" s="2"/>
      <c r="D219" s="1533" t="s">
        <v>1130</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378</v>
      </c>
    </row>
    <row r="220" spans="1:72" ht="12.9" customHeight="1">
      <c r="A220" s="2"/>
      <c r="B220" s="14"/>
      <c r="C220" s="2"/>
      <c r="BA220" s="3"/>
      <c r="BC220" t="s">
        <v>301</v>
      </c>
    </row>
    <row r="221" spans="1:72" ht="12.9" customHeight="1">
      <c r="A221" s="1441" t="s">
        <v>549</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320</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548" t="str">
        <f>H16</f>
        <v>Richland Village LP</v>
      </c>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BA231" s="3"/>
      <c r="BB231" s="218"/>
      <c r="BG231" s="218"/>
      <c r="BQ231" s="34"/>
    </row>
    <row r="232" spans="1:69" ht="12.9" customHeight="1">
      <c r="D232" s="4" t="s">
        <v>86</v>
      </c>
      <c r="E232" s="4"/>
      <c r="F232" s="4"/>
      <c r="G232" s="4"/>
      <c r="H232" s="4"/>
      <c r="I232" s="4"/>
      <c r="J232" s="4"/>
      <c r="K232" s="4"/>
      <c r="M232" s="1435" t="s">
        <v>2638</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547</v>
      </c>
      <c r="BG232" s="259">
        <f>IF(AND(AND($M$248="nonprofit",$M$256="nonprofit",$M$264="for profit")),2,0)</f>
        <v>0</v>
      </c>
      <c r="BQ232" s="34"/>
    </row>
    <row r="233" spans="1:69" ht="12.9" customHeight="1">
      <c r="D233" s="4" t="s">
        <v>589</v>
      </c>
      <c r="E233" s="4"/>
      <c r="M233" s="1435" t="s">
        <v>2630</v>
      </c>
      <c r="N233" s="1533"/>
      <c r="O233" s="1533"/>
      <c r="P233" s="1533"/>
      <c r="Q233" s="1533"/>
      <c r="R233" s="1533"/>
      <c r="S233" s="1533"/>
      <c r="T233" s="1533"/>
      <c r="V233" s="33" t="s">
        <v>87</v>
      </c>
      <c r="W233" s="1463" t="s">
        <v>2639</v>
      </c>
      <c r="X233" s="1464"/>
      <c r="Y233" s="4" t="s">
        <v>592</v>
      </c>
      <c r="AC233" s="1533">
        <v>95993</v>
      </c>
      <c r="AD233" s="1533"/>
      <c r="AE233" s="1533"/>
      <c r="BB233" s="219" t="s">
        <v>547</v>
      </c>
      <c r="BG233" s="259">
        <f>IF(AND(AND($M$248="nonprofit",$M$256="for profit",$M$264="nonprofit")),2,0)</f>
        <v>0</v>
      </c>
    </row>
    <row r="234" spans="1:69" ht="12.9" customHeight="1">
      <c r="D234" s="4" t="s">
        <v>88</v>
      </c>
      <c r="E234" s="4"/>
      <c r="F234" s="4"/>
      <c r="G234" s="4"/>
      <c r="H234" s="4"/>
      <c r="I234" s="4"/>
      <c r="J234" s="4"/>
      <c r="K234" s="19"/>
      <c r="M234" s="1435" t="s">
        <v>2640</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539" t="s">
        <v>2641</v>
      </c>
      <c r="N235" s="1437"/>
      <c r="O235" s="1437"/>
      <c r="P235" s="1437"/>
      <c r="Q235" s="1437"/>
      <c r="R235" s="1437"/>
      <c r="S235" s="4" t="s">
        <v>207</v>
      </c>
      <c r="T235" s="4"/>
      <c r="U235" s="1464">
        <v>113</v>
      </c>
      <c r="V235" s="1464"/>
      <c r="W235" s="1464"/>
      <c r="X235" s="4" t="s">
        <v>90</v>
      </c>
      <c r="Z235" s="1437"/>
      <c r="AA235" s="1437"/>
      <c r="AB235" s="1437"/>
      <c r="AC235" s="1437"/>
      <c r="AD235" s="1437"/>
      <c r="AE235" s="1437"/>
      <c r="BB235" s="219"/>
      <c r="BG235" s="218"/>
    </row>
    <row r="236" spans="1:69" ht="12.9" customHeight="1">
      <c r="D236" s="4" t="s">
        <v>91</v>
      </c>
      <c r="E236" s="4"/>
      <c r="F236" s="4"/>
      <c r="M236" s="1467" t="s">
        <v>2642</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31" t="s">
        <v>2643</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 customHeight="1">
      <c r="D239" s="4"/>
      <c r="BB239" s="218" t="s">
        <v>906</v>
      </c>
      <c r="BG239" s="259">
        <f>IF(AND(AND($M$248="for profit",$M$256="for profit",$M$264="(select one)")),3,0)</f>
        <v>0</v>
      </c>
    </row>
    <row r="240" spans="1:69" ht="12.9" customHeight="1">
      <c r="A240" s="2" t="s">
        <v>598</v>
      </c>
      <c r="C240" s="2" t="s">
        <v>1326</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535" t="s">
        <v>2644</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2645</v>
      </c>
      <c r="AG242" s="1536"/>
      <c r="AH242" s="1536"/>
      <c r="AI242" s="1536"/>
      <c r="AJ242" s="1536"/>
      <c r="AK242" s="1536"/>
      <c r="BO242" s="34"/>
      <c r="BP242" s="4"/>
      <c r="BQ242" s="4"/>
      <c r="BR242" s="4"/>
      <c r="BS242" s="4"/>
    </row>
    <row r="243" spans="1:71" ht="12.9" customHeight="1">
      <c r="A243" s="19"/>
      <c r="B243" s="4"/>
      <c r="C243" s="4"/>
      <c r="D243" s="4" t="s">
        <v>86</v>
      </c>
      <c r="E243" s="4"/>
      <c r="F243" s="4"/>
      <c r="G243" s="4"/>
      <c r="H243" s="4"/>
      <c r="I243" s="4"/>
      <c r="J243" s="4"/>
      <c r="K243" s="4"/>
      <c r="L243" s="4"/>
      <c r="M243" s="1435" t="s">
        <v>2646</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1322</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589</v>
      </c>
      <c r="E244" s="4"/>
      <c r="M244" s="1435" t="s">
        <v>2647</v>
      </c>
      <c r="N244" s="1533"/>
      <c r="O244" s="1533"/>
      <c r="P244" s="1533"/>
      <c r="Q244" s="1533"/>
      <c r="R244" s="1533"/>
      <c r="S244" s="1533"/>
      <c r="T244" s="1533"/>
      <c r="V244" s="33" t="s">
        <v>87</v>
      </c>
      <c r="W244" s="1463" t="s">
        <v>2639</v>
      </c>
      <c r="X244" s="1464"/>
      <c r="Y244" s="4" t="s">
        <v>592</v>
      </c>
      <c r="AC244" s="1533">
        <v>95616</v>
      </c>
      <c r="AD244" s="1533"/>
      <c r="AE244" s="1533"/>
      <c r="AF244" s="3" t="s">
        <v>1323</v>
      </c>
      <c r="BB244" t="s">
        <v>308</v>
      </c>
      <c r="BG244">
        <v>1</v>
      </c>
      <c r="BH244" t="s">
        <v>543</v>
      </c>
    </row>
    <row r="245" spans="1:71" ht="12.9" customHeight="1">
      <c r="A245" s="19"/>
      <c r="B245" s="4"/>
      <c r="C245" s="4"/>
      <c r="D245" s="4" t="s">
        <v>88</v>
      </c>
      <c r="E245" s="4"/>
      <c r="F245" s="4"/>
      <c r="G245" s="4"/>
      <c r="H245" s="4"/>
      <c r="I245" s="4"/>
      <c r="J245" s="4"/>
      <c r="K245" s="4"/>
      <c r="L245" s="19"/>
      <c r="M245" s="1435" t="s">
        <v>2648</v>
      </c>
      <c r="N245" s="1533"/>
      <c r="O245" s="1533"/>
      <c r="P245" s="1533"/>
      <c r="Q245" s="1533"/>
      <c r="R245" s="1533"/>
      <c r="S245" s="1533"/>
      <c r="T245" s="1533"/>
      <c r="U245" s="1533"/>
      <c r="V245" s="1533"/>
      <c r="W245" s="1533"/>
      <c r="X245" s="1533"/>
      <c r="Y245" s="1533"/>
      <c r="Z245" s="1533"/>
      <c r="AA245" s="1533"/>
      <c r="AB245" s="1533"/>
      <c r="AC245" s="1533"/>
      <c r="AD245" s="1533"/>
      <c r="AE245" s="1533"/>
      <c r="AH245" s="1434">
        <v>0.05</v>
      </c>
      <c r="AI245" s="1434"/>
      <c r="AJ245" s="1434"/>
      <c r="AK245" s="1434"/>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 customHeight="1">
      <c r="A246" s="19"/>
      <c r="B246" s="4"/>
      <c r="C246" s="4"/>
      <c r="D246" s="4" t="s">
        <v>89</v>
      </c>
      <c r="E246" s="4"/>
      <c r="F246" s="4"/>
      <c r="M246" s="1539" t="s">
        <v>2649</v>
      </c>
      <c r="N246" s="1437"/>
      <c r="O246" s="1437"/>
      <c r="P246" s="1437"/>
      <c r="Q246" s="1437"/>
      <c r="R246" s="1437"/>
      <c r="S246" s="4" t="s">
        <v>207</v>
      </c>
      <c r="T246" s="4"/>
      <c r="U246" s="1464">
        <v>113</v>
      </c>
      <c r="V246" s="1464"/>
      <c r="W246" s="1464"/>
      <c r="X246" s="4" t="s">
        <v>90</v>
      </c>
      <c r="Z246" s="1437"/>
      <c r="AA246" s="1437"/>
      <c r="AB246" s="1437"/>
      <c r="AC246" s="1437"/>
      <c r="AD246" s="1437"/>
      <c r="AE246" s="1437"/>
      <c r="BB246" s="4" t="s">
        <v>173</v>
      </c>
      <c r="BG246">
        <v>3</v>
      </c>
      <c r="BH246" t="s">
        <v>545</v>
      </c>
      <c r="BN246" s="34"/>
    </row>
    <row r="247" spans="1:71" ht="12.9" customHeight="1">
      <c r="A247" s="19"/>
      <c r="B247" s="4"/>
      <c r="C247" s="4"/>
      <c r="D247" s="4" t="s">
        <v>91</v>
      </c>
      <c r="E247" s="4"/>
      <c r="F247" s="4"/>
      <c r="M247" s="1467" t="s">
        <v>2650</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31" t="s">
        <v>2651</v>
      </c>
      <c r="AB248" s="1532"/>
      <c r="AC248" s="1532"/>
      <c r="AD248" s="1532"/>
      <c r="AE248" s="1532"/>
      <c r="AF248" s="1532"/>
      <c r="AG248" s="1532"/>
      <c r="AH248" s="1532"/>
      <c r="AI248" s="1532"/>
      <c r="AJ248" s="1532"/>
      <c r="AK248" s="1532"/>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535" t="s">
        <v>2652</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2653</v>
      </c>
      <c r="AG250" s="1536"/>
      <c r="AH250" s="1536"/>
      <c r="AI250" s="1536"/>
      <c r="AJ250" s="1536"/>
      <c r="AK250" s="1536"/>
      <c r="BN250" s="34"/>
    </row>
    <row r="251" spans="1:71" ht="12.9" customHeight="1">
      <c r="A251" s="19"/>
      <c r="B251" s="4"/>
      <c r="C251" s="4"/>
      <c r="D251" s="4" t="s">
        <v>86</v>
      </c>
      <c r="E251" s="4"/>
      <c r="F251" s="4"/>
      <c r="G251" s="4"/>
      <c r="H251" s="4"/>
      <c r="I251" s="4"/>
      <c r="J251" s="4"/>
      <c r="K251" s="4"/>
      <c r="L251" s="4"/>
      <c r="M251" s="1435" t="s">
        <v>2638</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1322</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435" t="s">
        <v>2630</v>
      </c>
      <c r="N252" s="1533"/>
      <c r="O252" s="1533"/>
      <c r="P252" s="1533"/>
      <c r="Q252" s="1533"/>
      <c r="R252" s="1533"/>
      <c r="S252" s="1533"/>
      <c r="T252" s="1533"/>
      <c r="V252" s="33" t="s">
        <v>87</v>
      </c>
      <c r="W252" s="1463" t="s">
        <v>2639</v>
      </c>
      <c r="X252" s="1464"/>
      <c r="Y252" s="4" t="s">
        <v>592</v>
      </c>
      <c r="AC252" s="1533">
        <v>95993</v>
      </c>
      <c r="AD252" s="1533"/>
      <c r="AE252" s="1533"/>
      <c r="AF252" s="3" t="s">
        <v>1323</v>
      </c>
      <c r="BN252" s="34"/>
    </row>
    <row r="253" spans="1:71" ht="12.9" customHeight="1">
      <c r="A253" s="19"/>
      <c r="B253" s="4"/>
      <c r="C253" s="4"/>
      <c r="D253" s="4" t="s">
        <v>88</v>
      </c>
      <c r="E253" s="4"/>
      <c r="F253" s="4"/>
      <c r="G253" s="4"/>
      <c r="H253" s="4"/>
      <c r="I253" s="4"/>
      <c r="J253" s="4"/>
      <c r="K253" s="4"/>
      <c r="L253" s="19"/>
      <c r="M253" s="1435" t="s">
        <v>2640</v>
      </c>
      <c r="N253" s="1533"/>
      <c r="O253" s="1533"/>
      <c r="P253" s="1533"/>
      <c r="Q253" s="1533"/>
      <c r="R253" s="1533"/>
      <c r="S253" s="1533"/>
      <c r="T253" s="1533"/>
      <c r="U253" s="1533"/>
      <c r="V253" s="1533"/>
      <c r="W253" s="1533"/>
      <c r="X253" s="1533"/>
      <c r="Y253" s="1533"/>
      <c r="Z253" s="1533"/>
      <c r="AA253" s="1533"/>
      <c r="AB253" s="1533"/>
      <c r="AC253" s="1533"/>
      <c r="AD253" s="1533"/>
      <c r="AE253" s="1533"/>
      <c r="AH253" s="1434"/>
      <c r="AI253" s="1434"/>
      <c r="AJ253" s="1434"/>
      <c r="AK253" s="1434"/>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539" t="s">
        <v>2641</v>
      </c>
      <c r="N254" s="1437"/>
      <c r="O254" s="1437"/>
      <c r="P254" s="1437"/>
      <c r="Q254" s="1437"/>
      <c r="R254" s="1437"/>
      <c r="S254" s="4" t="s">
        <v>207</v>
      </c>
      <c r="T254" s="4"/>
      <c r="U254" s="1464">
        <v>113</v>
      </c>
      <c r="V254" s="1464"/>
      <c r="W254" s="1464"/>
      <c r="X254" s="4" t="s">
        <v>90</v>
      </c>
      <c r="Z254" s="1437"/>
      <c r="AA254" s="1437"/>
      <c r="AB254" s="1437"/>
      <c r="AC254" s="1437"/>
      <c r="AD254" s="1437"/>
      <c r="AE254" s="1437"/>
    </row>
    <row r="255" spans="1:71" ht="12.9" customHeight="1">
      <c r="A255" s="19"/>
      <c r="B255" s="4"/>
      <c r="C255" s="4"/>
      <c r="D255" s="4" t="s">
        <v>91</v>
      </c>
      <c r="E255" s="4"/>
      <c r="F255" s="4"/>
      <c r="M255" s="1467" t="s">
        <v>2642</v>
      </c>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1" t="s">
        <v>2654</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308</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1322</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533"/>
      <c r="N260" s="1533"/>
      <c r="O260" s="1533"/>
      <c r="P260" s="1533"/>
      <c r="Q260" s="1533"/>
      <c r="R260" s="1533"/>
      <c r="S260" s="1533"/>
      <c r="T260" s="1533"/>
      <c r="V260" s="33" t="s">
        <v>87</v>
      </c>
      <c r="W260" s="1464"/>
      <c r="X260" s="1464"/>
      <c r="Y260" s="4" t="s">
        <v>592</v>
      </c>
      <c r="AC260" s="1533"/>
      <c r="AD260" s="1533"/>
      <c r="AE260" s="1533"/>
      <c r="AF260" s="3" t="s">
        <v>1323</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4"/>
      <c r="AI261" s="1434"/>
      <c r="AJ261" s="1434"/>
      <c r="AK261" s="1434"/>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437"/>
      <c r="N262" s="1437"/>
      <c r="O262" s="1437"/>
      <c r="P262" s="1437"/>
      <c r="Q262" s="1437"/>
      <c r="R262" s="1437"/>
      <c r="S262" s="4" t="s">
        <v>207</v>
      </c>
      <c r="T262" s="4"/>
      <c r="U262" s="1464"/>
      <c r="V262" s="1464"/>
      <c r="W262" s="1464"/>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467"/>
      <c r="N263" s="1467"/>
      <c r="O263" s="1467"/>
      <c r="P263" s="1467"/>
      <c r="Q263" s="1467"/>
      <c r="R263" s="1467"/>
      <c r="S263" s="1467"/>
      <c r="T263" s="1467"/>
      <c r="U263" s="1467"/>
      <c r="V263" s="1467"/>
      <c r="W263" s="1467"/>
      <c r="X263" s="1467"/>
      <c r="Y263" s="1467"/>
      <c r="Z263" s="1467"/>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939</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296</v>
      </c>
      <c r="D266" s="4"/>
      <c r="E266" s="4"/>
      <c r="F266" s="4"/>
      <c r="G266" s="4"/>
      <c r="H266" s="4"/>
      <c r="I266" s="4"/>
      <c r="J266" s="4"/>
      <c r="K266" s="4"/>
      <c r="L266" s="4"/>
      <c r="M266" s="35"/>
      <c r="N266" s="35"/>
      <c r="O266" s="35"/>
      <c r="P266" s="35"/>
      <c r="Q266" s="35"/>
      <c r="T266" s="1540" t="str">
        <f>BO245</f>
        <v>Joint Venture</v>
      </c>
      <c r="U266" s="1540"/>
      <c r="V266" s="1540"/>
      <c r="W266" s="1540"/>
      <c r="X266" s="1540"/>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533" t="s">
        <v>281</v>
      </c>
      <c r="E269" s="1533"/>
      <c r="F269" s="1533"/>
      <c r="G269" s="1533"/>
      <c r="H269" s="1533"/>
      <c r="J269" t="s">
        <v>280</v>
      </c>
      <c r="X269" s="1538"/>
      <c r="Y269" s="1538"/>
      <c r="Z269" s="1538"/>
      <c r="AA269" s="1538"/>
      <c r="AB269" s="1538"/>
      <c r="AC269" s="1538"/>
      <c r="BN269" s="34"/>
    </row>
    <row r="270" spans="1:66" ht="12.9"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297</v>
      </c>
      <c r="E273" s="4"/>
      <c r="F273" s="4"/>
      <c r="G273" s="4"/>
      <c r="H273" s="4"/>
      <c r="I273" s="4"/>
      <c r="J273" s="4"/>
      <c r="K273" s="4"/>
      <c r="L273" s="1535" t="s">
        <v>2655</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435" t="s">
        <v>2656</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 customHeight="1">
      <c r="D275" s="4" t="s">
        <v>589</v>
      </c>
      <c r="E275" s="4"/>
      <c r="L275" s="1435" t="s">
        <v>68</v>
      </c>
      <c r="M275" s="1533"/>
      <c r="N275" s="1533"/>
      <c r="O275" s="1533"/>
      <c r="P275" s="1533"/>
      <c r="Q275" s="1533"/>
      <c r="R275" s="1533"/>
      <c r="S275" s="1533"/>
      <c r="U275" s="33" t="s">
        <v>87</v>
      </c>
      <c r="V275" s="1463" t="s">
        <v>2639</v>
      </c>
      <c r="W275" s="1464"/>
      <c r="X275" s="4" t="s">
        <v>592</v>
      </c>
      <c r="AB275" s="1533">
        <v>95811</v>
      </c>
      <c r="AC275" s="1533"/>
      <c r="AD275" s="1533"/>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435" t="s">
        <v>2657</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539" t="s">
        <v>2658</v>
      </c>
      <c r="M277" s="1437"/>
      <c r="N277" s="1437"/>
      <c r="O277" s="1437"/>
      <c r="P277" s="1437"/>
      <c r="Q277" s="1437"/>
      <c r="R277" s="4" t="s">
        <v>207</v>
      </c>
      <c r="S277" s="4"/>
      <c r="T277" s="1464"/>
      <c r="U277" s="1464"/>
      <c r="V277" s="1464"/>
      <c r="W277" s="4" t="s">
        <v>90</v>
      </c>
      <c r="Y277" s="1437"/>
      <c r="Z277" s="1437"/>
      <c r="AA277" s="1437"/>
      <c r="AB277" s="1437"/>
      <c r="AC277" s="1437"/>
      <c r="AD277" s="1437"/>
      <c r="BN277" s="34"/>
    </row>
    <row r="278" spans="1:66" ht="12.9" customHeight="1">
      <c r="D278" s="4" t="s">
        <v>91</v>
      </c>
      <c r="E278" s="4"/>
      <c r="F278" s="4"/>
      <c r="L278" s="1467" t="s">
        <v>2659</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 customHeight="1">
      <c r="D279" s="3" t="s">
        <v>632</v>
      </c>
      <c r="E279" s="3"/>
      <c r="F279" s="3"/>
      <c r="G279" s="3"/>
      <c r="H279" s="3"/>
      <c r="I279" s="3"/>
      <c r="L279" s="1463" t="s">
        <v>2660</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441" t="s">
        <v>550</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394" t="s">
        <v>2661</v>
      </c>
      <c r="I286" s="1394"/>
      <c r="J286" s="1394"/>
      <c r="K286" s="1394"/>
      <c r="L286" s="1394"/>
      <c r="M286" s="1394"/>
      <c r="N286" s="1394"/>
      <c r="O286" s="1394"/>
      <c r="P286" s="1394"/>
      <c r="Q286" s="1394"/>
      <c r="R286" s="1394"/>
      <c r="T286" s="3" t="s">
        <v>576</v>
      </c>
      <c r="V286" s="3"/>
      <c r="W286" s="3"/>
      <c r="X286" s="3"/>
      <c r="Y286" s="3"/>
      <c r="AA286" s="1394" t="s">
        <v>2667</v>
      </c>
      <c r="AB286" s="1394"/>
      <c r="AC286" s="1394"/>
      <c r="AD286" s="1394"/>
      <c r="AE286" s="1394"/>
      <c r="AF286" s="1394"/>
      <c r="AG286" s="1394"/>
      <c r="AH286" s="1394"/>
      <c r="AI286" s="1394"/>
      <c r="AJ286" s="1394"/>
      <c r="AK286" s="1394"/>
      <c r="BN286" s="34"/>
    </row>
    <row r="287" spans="1:66" ht="12.9" customHeight="1">
      <c r="B287" s="3" t="s">
        <v>480</v>
      </c>
      <c r="C287" s="3"/>
      <c r="D287" s="3"/>
      <c r="E287" s="3"/>
      <c r="F287" s="3"/>
      <c r="H287" s="1366" t="s">
        <v>2662</v>
      </c>
      <c r="I287" s="1366"/>
      <c r="J287" s="1366"/>
      <c r="K287" s="1366"/>
      <c r="L287" s="1366"/>
      <c r="M287" s="1366"/>
      <c r="N287" s="1366"/>
      <c r="O287" s="1366"/>
      <c r="P287" s="1366"/>
      <c r="Q287" s="1366"/>
      <c r="R287" s="1366"/>
      <c r="T287" s="3" t="s">
        <v>480</v>
      </c>
      <c r="V287" s="3"/>
      <c r="W287" s="3"/>
      <c r="X287" s="3"/>
      <c r="Y287" s="3"/>
      <c r="AA287" s="1366" t="s">
        <v>2668</v>
      </c>
      <c r="AB287" s="1366"/>
      <c r="AC287" s="1366"/>
      <c r="AD287" s="1366"/>
      <c r="AE287" s="1366"/>
      <c r="AF287" s="1366"/>
      <c r="AG287" s="1366"/>
      <c r="AH287" s="1366"/>
      <c r="AI287" s="1366"/>
      <c r="AJ287" s="1366"/>
      <c r="AK287" s="1366"/>
      <c r="BN287" s="34"/>
    </row>
    <row r="288" spans="1:66" ht="12.9" customHeight="1">
      <c r="B288" s="3" t="s">
        <v>481</v>
      </c>
      <c r="C288" s="3"/>
      <c r="D288" s="3"/>
      <c r="E288" s="3"/>
      <c r="F288" s="3"/>
      <c r="H288" s="1366" t="s">
        <v>2663</v>
      </c>
      <c r="I288" s="1366"/>
      <c r="J288" s="1366"/>
      <c r="K288" s="1366"/>
      <c r="L288" s="1366"/>
      <c r="M288" s="1366"/>
      <c r="N288" s="1366"/>
      <c r="O288" s="1366"/>
      <c r="P288" s="1366"/>
      <c r="Q288" s="1366"/>
      <c r="R288" s="1366"/>
      <c r="T288" s="3" t="s">
        <v>76</v>
      </c>
      <c r="V288" s="3"/>
      <c r="W288" s="3"/>
      <c r="X288" s="3"/>
      <c r="Y288" s="3"/>
      <c r="AA288" s="1366" t="s">
        <v>2669</v>
      </c>
      <c r="AB288" s="1366"/>
      <c r="AC288" s="1366"/>
      <c r="AD288" s="1366"/>
      <c r="AE288" s="1366"/>
      <c r="AF288" s="1366"/>
      <c r="AG288" s="1366"/>
      <c r="AH288" s="1366"/>
      <c r="AI288" s="1366"/>
      <c r="AJ288" s="1366"/>
      <c r="AK288" s="1366"/>
      <c r="BN288" s="34"/>
    </row>
    <row r="289" spans="2:66" ht="12.9" customHeight="1">
      <c r="B289" s="3" t="s">
        <v>88</v>
      </c>
      <c r="C289" s="3"/>
      <c r="D289" s="3"/>
      <c r="E289" s="3"/>
      <c r="F289" s="3"/>
      <c r="H289" s="1366" t="s">
        <v>2664</v>
      </c>
      <c r="I289" s="1366"/>
      <c r="J289" s="1366"/>
      <c r="K289" s="1366"/>
      <c r="L289" s="1366"/>
      <c r="M289" s="1366"/>
      <c r="N289" s="1366"/>
      <c r="O289" s="1366"/>
      <c r="P289" s="1366"/>
      <c r="Q289" s="1366"/>
      <c r="R289" s="1366"/>
      <c r="T289" s="3" t="s">
        <v>88</v>
      </c>
      <c r="V289" s="3"/>
      <c r="W289" s="3"/>
      <c r="X289" s="3"/>
      <c r="Y289" s="3"/>
      <c r="AA289" s="1366" t="s">
        <v>2670</v>
      </c>
      <c r="AB289" s="1366"/>
      <c r="AC289" s="1366"/>
      <c r="AD289" s="1366"/>
      <c r="AE289" s="1366"/>
      <c r="AF289" s="1366"/>
      <c r="AG289" s="1366"/>
      <c r="AH289" s="1366"/>
      <c r="AI289" s="1366"/>
      <c r="AJ289" s="1366"/>
      <c r="AK289" s="1366"/>
      <c r="BN289" s="34"/>
    </row>
    <row r="290" spans="2:66" ht="12.9" customHeight="1">
      <c r="B290" s="3" t="s">
        <v>89</v>
      </c>
      <c r="C290" s="3"/>
      <c r="D290" s="3"/>
      <c r="E290" s="3"/>
      <c r="F290" s="3"/>
      <c r="G290" s="3"/>
      <c r="H290" s="1537" t="s">
        <v>2665</v>
      </c>
      <c r="I290" s="1534"/>
      <c r="J290" s="1534"/>
      <c r="K290" s="1534"/>
      <c r="L290" s="1534"/>
      <c r="M290" s="1534"/>
      <c r="N290" s="4" t="s">
        <v>207</v>
      </c>
      <c r="O290" s="4"/>
      <c r="P290" s="1533"/>
      <c r="Q290" s="1533"/>
      <c r="R290" s="1533"/>
      <c r="S290" s="3"/>
      <c r="T290" s="3" t="s">
        <v>89</v>
      </c>
      <c r="V290" s="3"/>
      <c r="W290" s="3"/>
      <c r="X290" s="3"/>
      <c r="Y290" s="3"/>
      <c r="AA290" s="1537" t="s">
        <v>2671</v>
      </c>
      <c r="AB290" s="1534"/>
      <c r="AC290" s="1534"/>
      <c r="AD290" s="1534"/>
      <c r="AE290" s="1534"/>
      <c r="AF290" s="1534"/>
      <c r="AG290" s="4" t="s">
        <v>207</v>
      </c>
      <c r="AH290" s="4"/>
      <c r="AI290" s="1533"/>
      <c r="AJ290" s="1533"/>
      <c r="AK290" s="1533"/>
      <c r="BN290" s="34"/>
    </row>
    <row r="291" spans="2:66" ht="12.9"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 customHeight="1">
      <c r="B292" s="3" t="s">
        <v>77</v>
      </c>
      <c r="C292" s="3"/>
      <c r="D292" s="3"/>
      <c r="E292" s="3"/>
      <c r="F292" s="3"/>
      <c r="G292" s="3"/>
      <c r="H292" s="1463" t="s">
        <v>2666</v>
      </c>
      <c r="I292" s="1366"/>
      <c r="J292" s="1366"/>
      <c r="K292" s="1366"/>
      <c r="L292" s="1366"/>
      <c r="M292" s="1366"/>
      <c r="N292" s="1394"/>
      <c r="O292" s="1394"/>
      <c r="P292" s="1394"/>
      <c r="Q292" s="1394"/>
      <c r="R292" s="1394"/>
      <c r="S292" s="3"/>
      <c r="T292" s="3" t="s">
        <v>77</v>
      </c>
      <c r="V292" s="3"/>
      <c r="W292" s="3"/>
      <c r="X292" s="3"/>
      <c r="Y292" s="3"/>
      <c r="AA292" s="1463" t="s">
        <v>2672</v>
      </c>
      <c r="AB292" s="1366"/>
      <c r="AC292" s="1366"/>
      <c r="AD292" s="1366"/>
      <c r="AE292" s="1366"/>
      <c r="AF292" s="1366"/>
      <c r="AG292" s="1394"/>
      <c r="AH292" s="1394"/>
      <c r="AI292" s="1394"/>
      <c r="AJ292" s="1394"/>
      <c r="AK292" s="1394"/>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324</v>
      </c>
      <c r="C294" s="3"/>
      <c r="D294" s="3"/>
      <c r="E294" s="3"/>
      <c r="F294" s="3"/>
      <c r="H294" s="1394" t="s">
        <v>2655</v>
      </c>
      <c r="I294" s="1394"/>
      <c r="J294" s="1394"/>
      <c r="K294" s="1394"/>
      <c r="L294" s="1394"/>
      <c r="M294" s="1394"/>
      <c r="N294" s="1394"/>
      <c r="O294" s="1394"/>
      <c r="P294" s="1394"/>
      <c r="Q294" s="1394"/>
      <c r="R294" s="1394"/>
      <c r="T294" s="3" t="s">
        <v>365</v>
      </c>
      <c r="V294" s="3"/>
      <c r="W294" s="3"/>
      <c r="X294" s="3"/>
      <c r="Y294" s="3"/>
      <c r="AA294" s="1394"/>
      <c r="AB294" s="1394"/>
      <c r="AC294" s="1394"/>
      <c r="AD294" s="1394"/>
      <c r="AE294" s="1394"/>
      <c r="AF294" s="1394"/>
      <c r="AG294" s="1394"/>
      <c r="AH294" s="1394"/>
      <c r="AI294" s="1394"/>
      <c r="AJ294" s="1394"/>
      <c r="AK294" s="1394"/>
      <c r="BN294" s="34"/>
    </row>
    <row r="295" spans="2:66" ht="12.9" customHeight="1">
      <c r="B295" s="3" t="s">
        <v>480</v>
      </c>
      <c r="C295" s="3"/>
      <c r="D295" s="3"/>
      <c r="E295" s="3"/>
      <c r="F295" s="3"/>
      <c r="H295" s="1366" t="s">
        <v>2656</v>
      </c>
      <c r="I295" s="1366"/>
      <c r="J295" s="1366"/>
      <c r="K295" s="1366"/>
      <c r="L295" s="1366"/>
      <c r="M295" s="1366"/>
      <c r="N295" s="1366"/>
      <c r="O295" s="1366"/>
      <c r="P295" s="1366"/>
      <c r="Q295" s="1366"/>
      <c r="R295" s="1366"/>
      <c r="T295" s="3" t="s">
        <v>480</v>
      </c>
      <c r="V295" s="3"/>
      <c r="W295" s="3"/>
      <c r="X295" s="3"/>
      <c r="Y295" s="3"/>
      <c r="AA295" s="1366"/>
      <c r="AB295" s="1366"/>
      <c r="AC295" s="1366"/>
      <c r="AD295" s="1366"/>
      <c r="AE295" s="1366"/>
      <c r="AF295" s="1366"/>
      <c r="AG295" s="1366"/>
      <c r="AH295" s="1366"/>
      <c r="AI295" s="1366"/>
      <c r="AJ295" s="1366"/>
      <c r="AK295" s="1366"/>
      <c r="BN295" s="34"/>
    </row>
    <row r="296" spans="2:66" ht="12.9" customHeight="1">
      <c r="B296" s="3" t="s">
        <v>481</v>
      </c>
      <c r="C296" s="3"/>
      <c r="D296" s="3"/>
      <c r="E296" s="3"/>
      <c r="F296" s="3"/>
      <c r="H296" s="1366" t="s">
        <v>2673</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2.9" customHeight="1">
      <c r="B297" s="3" t="s">
        <v>88</v>
      </c>
      <c r="C297" s="3"/>
      <c r="D297" s="3"/>
      <c r="E297" s="3"/>
      <c r="F297" s="3"/>
      <c r="H297" s="1366" t="s">
        <v>2657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2.9" customHeight="1">
      <c r="B298" s="3" t="s">
        <v>89</v>
      </c>
      <c r="C298" s="3"/>
      <c r="D298" s="3"/>
      <c r="E298" s="3"/>
      <c r="F298" s="3"/>
      <c r="G298" s="3"/>
      <c r="H298" s="1534">
        <v>9164440286</v>
      </c>
      <c r="I298" s="1534"/>
      <c r="J298" s="1534"/>
      <c r="K298" s="1534"/>
      <c r="L298" s="1534"/>
      <c r="M298" s="1534"/>
      <c r="N298" s="4" t="s">
        <v>207</v>
      </c>
      <c r="O298" s="4"/>
      <c r="P298" s="1533"/>
      <c r="Q298" s="1533"/>
      <c r="R298" s="1533"/>
      <c r="S298" s="3"/>
      <c r="T298" s="3" t="s">
        <v>89</v>
      </c>
      <c r="V298" s="3"/>
      <c r="W298" s="3"/>
      <c r="X298" s="3"/>
      <c r="Y298" s="3"/>
      <c r="AA298" s="1534"/>
      <c r="AB298" s="1534"/>
      <c r="AC298" s="1534"/>
      <c r="AD298" s="1534"/>
      <c r="AE298" s="1534"/>
      <c r="AF298" s="1534"/>
      <c r="AG298" s="4" t="s">
        <v>207</v>
      </c>
      <c r="AH298" s="4"/>
      <c r="AI298" s="1533"/>
      <c r="AJ298" s="1533"/>
      <c r="AK298" s="1533"/>
      <c r="BN298" s="34"/>
    </row>
    <row r="299" spans="2:66" ht="12.9"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2.9" customHeight="1">
      <c r="B300" s="3" t="s">
        <v>77</v>
      </c>
      <c r="C300" s="3"/>
      <c r="D300" s="3"/>
      <c r="E300" s="3"/>
      <c r="F300" s="3"/>
      <c r="G300" s="3"/>
      <c r="H300" s="1463" t="s">
        <v>2659</v>
      </c>
      <c r="I300" s="1366"/>
      <c r="J300" s="1366"/>
      <c r="K300" s="1366"/>
      <c r="L300" s="1366"/>
      <c r="M300" s="1366"/>
      <c r="N300" s="1394"/>
      <c r="O300" s="1394"/>
      <c r="P300" s="1394"/>
      <c r="Q300" s="1394"/>
      <c r="R300" s="1394"/>
      <c r="S300" s="3"/>
      <c r="T300" s="3" t="s">
        <v>77</v>
      </c>
      <c r="V300" s="3"/>
      <c r="W300" s="3"/>
      <c r="X300" s="3"/>
      <c r="Y300" s="3"/>
      <c r="AA300" s="1366"/>
      <c r="AB300" s="1366"/>
      <c r="AC300" s="1366"/>
      <c r="AD300" s="1366"/>
      <c r="AE300" s="1366"/>
      <c r="AF300" s="1366"/>
      <c r="AG300" s="1394"/>
      <c r="AH300" s="1394"/>
      <c r="AI300" s="1394"/>
      <c r="AJ300" s="1394"/>
      <c r="AK300" s="1394"/>
      <c r="BN300" s="34"/>
    </row>
    <row r="301" spans="2:66" ht="12.9" customHeight="1">
      <c r="BN301" s="34"/>
    </row>
    <row r="302" spans="2:66" ht="12.9" customHeight="1">
      <c r="B302" s="3" t="s">
        <v>78</v>
      </c>
      <c r="C302" s="3"/>
      <c r="D302" s="3"/>
      <c r="E302" s="3"/>
      <c r="F302" s="3"/>
      <c r="H302" s="1394" t="s">
        <v>2655</v>
      </c>
      <c r="I302" s="1394"/>
      <c r="J302" s="1394"/>
      <c r="K302" s="1394"/>
      <c r="L302" s="1394"/>
      <c r="M302" s="1394"/>
      <c r="N302" s="1394"/>
      <c r="O302" s="1394"/>
      <c r="P302" s="1394"/>
      <c r="Q302" s="1394"/>
      <c r="R302" s="1394"/>
      <c r="T302" s="4" t="s">
        <v>907</v>
      </c>
      <c r="V302" s="3"/>
      <c r="W302" s="3"/>
      <c r="X302" s="3"/>
      <c r="Y302" s="3"/>
      <c r="AA302" s="1394"/>
      <c r="AB302" s="1394"/>
      <c r="AC302" s="1394"/>
      <c r="AD302" s="1394"/>
      <c r="AE302" s="1394"/>
      <c r="AF302" s="1394"/>
      <c r="AG302" s="1394"/>
      <c r="AH302" s="1394"/>
      <c r="AI302" s="1394"/>
      <c r="AJ302" s="1394"/>
      <c r="AK302" s="1394"/>
      <c r="BN302" s="34"/>
    </row>
    <row r="303" spans="2:66" ht="12.9" customHeight="1">
      <c r="B303" s="3" t="s">
        <v>480</v>
      </c>
      <c r="C303" s="3"/>
      <c r="D303" s="3"/>
      <c r="E303" s="3"/>
      <c r="F303" s="3"/>
      <c r="H303" s="1366" t="s">
        <v>2656</v>
      </c>
      <c r="I303" s="1366"/>
      <c r="J303" s="1366"/>
      <c r="K303" s="1366"/>
      <c r="L303" s="1366"/>
      <c r="M303" s="1366"/>
      <c r="N303" s="1366"/>
      <c r="O303" s="1366"/>
      <c r="P303" s="1366"/>
      <c r="Q303" s="1366"/>
      <c r="R303" s="1366"/>
      <c r="T303" s="3" t="s">
        <v>480</v>
      </c>
      <c r="V303" s="3"/>
      <c r="W303" s="3"/>
      <c r="X303" s="3"/>
      <c r="Y303" s="3"/>
      <c r="AA303" s="1366"/>
      <c r="AB303" s="1366"/>
      <c r="AC303" s="1366"/>
      <c r="AD303" s="1366"/>
      <c r="AE303" s="1366"/>
      <c r="AF303" s="1366"/>
      <c r="AG303" s="1366"/>
      <c r="AH303" s="1366"/>
      <c r="AI303" s="1366"/>
      <c r="AJ303" s="1366"/>
      <c r="AK303" s="1366"/>
      <c r="BN303" s="34"/>
    </row>
    <row r="304" spans="2:66" ht="12.9" customHeight="1">
      <c r="B304" s="3" t="s">
        <v>481</v>
      </c>
      <c r="C304" s="3"/>
      <c r="D304" s="3"/>
      <c r="E304" s="3"/>
      <c r="F304" s="3"/>
      <c r="H304" s="1366" t="s">
        <v>2673</v>
      </c>
      <c r="I304" s="1366"/>
      <c r="J304" s="1366"/>
      <c r="K304" s="1366"/>
      <c r="L304" s="1366"/>
      <c r="M304" s="1366"/>
      <c r="N304" s="1366"/>
      <c r="O304" s="1366"/>
      <c r="P304" s="1366"/>
      <c r="Q304" s="1366"/>
      <c r="R304" s="1366"/>
      <c r="T304" s="3" t="s">
        <v>76</v>
      </c>
      <c r="V304" s="3"/>
      <c r="W304" s="3"/>
      <c r="X304" s="3"/>
      <c r="Y304" s="3"/>
      <c r="AA304" s="1366"/>
      <c r="AB304" s="1366"/>
      <c r="AC304" s="1366"/>
      <c r="AD304" s="1366"/>
      <c r="AE304" s="1366"/>
      <c r="AF304" s="1366"/>
      <c r="AG304" s="1366"/>
      <c r="AH304" s="1366"/>
      <c r="AI304" s="1366"/>
      <c r="AJ304" s="1366"/>
      <c r="AK304" s="1366"/>
      <c r="BN304" s="34"/>
    </row>
    <row r="305" spans="2:66" ht="12.9" customHeight="1">
      <c r="B305" s="3" t="s">
        <v>88</v>
      </c>
      <c r="C305" s="3"/>
      <c r="D305" s="3"/>
      <c r="E305" s="3"/>
      <c r="F305" s="3"/>
      <c r="H305" s="1366" t="s">
        <v>2657</v>
      </c>
      <c r="I305" s="1366"/>
      <c r="J305" s="1366"/>
      <c r="K305" s="1366"/>
      <c r="L305" s="1366"/>
      <c r="M305" s="1366"/>
      <c r="N305" s="1366"/>
      <c r="O305" s="1366"/>
      <c r="P305" s="1366"/>
      <c r="Q305" s="1366"/>
      <c r="R305" s="1366"/>
      <c r="T305" s="3" t="s">
        <v>88</v>
      </c>
      <c r="V305" s="3"/>
      <c r="W305" s="3"/>
      <c r="X305" s="3"/>
      <c r="Y305" s="3"/>
      <c r="AA305" s="1366"/>
      <c r="AB305" s="1366"/>
      <c r="AC305" s="1366"/>
      <c r="AD305" s="1366"/>
      <c r="AE305" s="1366"/>
      <c r="AF305" s="1366"/>
      <c r="AG305" s="1366"/>
      <c r="AH305" s="1366"/>
      <c r="AI305" s="1366"/>
      <c r="AJ305" s="1366"/>
      <c r="AK305" s="1366"/>
      <c r="BN305" s="34"/>
    </row>
    <row r="306" spans="2:66" ht="12.9" customHeight="1">
      <c r="B306" s="3" t="s">
        <v>89</v>
      </c>
      <c r="C306" s="3"/>
      <c r="D306" s="3"/>
      <c r="E306" s="3"/>
      <c r="F306" s="3"/>
      <c r="G306" s="3"/>
      <c r="H306" s="1534">
        <v>9164440286</v>
      </c>
      <c r="I306" s="1534"/>
      <c r="J306" s="1534"/>
      <c r="K306" s="1534"/>
      <c r="L306" s="1534"/>
      <c r="M306" s="1534"/>
      <c r="N306" s="4" t="s">
        <v>207</v>
      </c>
      <c r="O306" s="4"/>
      <c r="P306" s="1533"/>
      <c r="Q306" s="1533"/>
      <c r="R306" s="1533"/>
      <c r="S306" s="3"/>
      <c r="T306" s="3" t="s">
        <v>89</v>
      </c>
      <c r="V306" s="3"/>
      <c r="W306" s="3"/>
      <c r="X306" s="3"/>
      <c r="Y306" s="3"/>
      <c r="AA306" s="1534"/>
      <c r="AB306" s="1534"/>
      <c r="AC306" s="1534"/>
      <c r="AD306" s="1534"/>
      <c r="AE306" s="1534"/>
      <c r="AF306" s="1534"/>
      <c r="AG306" s="4" t="s">
        <v>207</v>
      </c>
      <c r="AH306" s="4"/>
      <c r="AI306" s="1533"/>
      <c r="AJ306" s="1533"/>
      <c r="AK306" s="1533"/>
      <c r="BN306" s="34"/>
    </row>
    <row r="307" spans="2:66" ht="12.9"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 customHeight="1">
      <c r="B308" s="3" t="s">
        <v>77</v>
      </c>
      <c r="C308" s="3"/>
      <c r="D308" s="3"/>
      <c r="E308" s="3"/>
      <c r="F308" s="3"/>
      <c r="G308" s="3"/>
      <c r="H308" s="1463" t="s">
        <v>2659</v>
      </c>
      <c r="I308" s="1366"/>
      <c r="J308" s="1366"/>
      <c r="K308" s="1366"/>
      <c r="L308" s="1366"/>
      <c r="M308" s="1366"/>
      <c r="N308" s="1394"/>
      <c r="O308" s="1394"/>
      <c r="P308" s="1394"/>
      <c r="Q308" s="1394"/>
      <c r="R308" s="1394"/>
      <c r="S308" s="3"/>
      <c r="T308" s="3" t="s">
        <v>77</v>
      </c>
      <c r="V308" s="3"/>
      <c r="W308" s="3"/>
      <c r="X308" s="3"/>
      <c r="Y308" s="3"/>
      <c r="AA308" s="1366"/>
      <c r="AB308" s="1366"/>
      <c r="AC308" s="1366"/>
      <c r="AD308" s="1366"/>
      <c r="AE308" s="1366"/>
      <c r="AF308" s="1366"/>
      <c r="AG308" s="1394"/>
      <c r="AH308" s="1394"/>
      <c r="AI308" s="1394"/>
      <c r="AJ308" s="1394"/>
      <c r="AK308" s="1394"/>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94" t="s">
        <v>2674</v>
      </c>
      <c r="I310" s="1394"/>
      <c r="J310" s="1394"/>
      <c r="K310" s="1394"/>
      <c r="L310" s="1394"/>
      <c r="M310" s="1394"/>
      <c r="N310" s="1394"/>
      <c r="O310" s="1394"/>
      <c r="P310" s="1394"/>
      <c r="Q310" s="1394"/>
      <c r="R310" s="1394"/>
      <c r="S310" s="3"/>
      <c r="T310" s="3" t="s">
        <v>366</v>
      </c>
      <c r="V310" s="3"/>
      <c r="W310" s="3"/>
      <c r="X310" s="3"/>
      <c r="Y310" s="3"/>
      <c r="AA310" s="1394" t="s">
        <v>2689</v>
      </c>
      <c r="AB310" s="1394"/>
      <c r="AC310" s="1394"/>
      <c r="AD310" s="1394"/>
      <c r="AE310" s="1394"/>
      <c r="AF310" s="1394"/>
      <c r="AG310" s="1394"/>
      <c r="AH310" s="1394"/>
      <c r="AI310" s="1394"/>
      <c r="AJ310" s="1394"/>
      <c r="AK310" s="1394"/>
      <c r="BN310" s="34"/>
    </row>
    <row r="311" spans="2:66" ht="12.9" customHeight="1">
      <c r="B311" s="3" t="s">
        <v>480</v>
      </c>
      <c r="C311" s="3"/>
      <c r="D311" s="3"/>
      <c r="E311" s="3"/>
      <c r="F311" s="3"/>
      <c r="H311" s="1366" t="s">
        <v>2675</v>
      </c>
      <c r="I311" s="1366"/>
      <c r="J311" s="1366"/>
      <c r="K311" s="1366"/>
      <c r="L311" s="1366"/>
      <c r="M311" s="1366"/>
      <c r="N311" s="1366"/>
      <c r="O311" s="1366"/>
      <c r="P311" s="1366"/>
      <c r="Q311" s="1366"/>
      <c r="R311" s="1366"/>
      <c r="S311" s="3"/>
      <c r="T311" s="3" t="s">
        <v>480</v>
      </c>
      <c r="V311" s="3"/>
      <c r="W311" s="3"/>
      <c r="X311" s="3"/>
      <c r="Y311" s="3"/>
      <c r="AA311" s="1366" t="s">
        <v>2690</v>
      </c>
      <c r="AB311" s="1366"/>
      <c r="AC311" s="1366"/>
      <c r="AD311" s="1366"/>
      <c r="AE311" s="1366"/>
      <c r="AF311" s="1366"/>
      <c r="AG311" s="1366"/>
      <c r="AH311" s="1366"/>
      <c r="AI311" s="1366"/>
      <c r="AJ311" s="1366"/>
      <c r="AK311" s="1366"/>
      <c r="BN311" s="34"/>
    </row>
    <row r="312" spans="2:66" ht="12.9" customHeight="1">
      <c r="B312" s="3" t="s">
        <v>481</v>
      </c>
      <c r="C312" s="3"/>
      <c r="D312" s="3"/>
      <c r="E312" s="3"/>
      <c r="F312" s="3"/>
      <c r="H312" s="1366" t="s">
        <v>2676</v>
      </c>
      <c r="I312" s="1366"/>
      <c r="J312" s="1366"/>
      <c r="K312" s="1366"/>
      <c r="L312" s="1366"/>
      <c r="M312" s="1366"/>
      <c r="N312" s="1366"/>
      <c r="O312" s="1366"/>
      <c r="P312" s="1366"/>
      <c r="Q312" s="1366"/>
      <c r="R312" s="1366"/>
      <c r="S312" s="3"/>
      <c r="T312" s="3" t="s">
        <v>76</v>
      </c>
      <c r="V312" s="3"/>
      <c r="W312" s="3"/>
      <c r="X312" s="3"/>
      <c r="Y312" s="3"/>
      <c r="AA312" s="1366" t="s">
        <v>2691</v>
      </c>
      <c r="AB312" s="1366"/>
      <c r="AC312" s="1366"/>
      <c r="AD312" s="1366"/>
      <c r="AE312" s="1366"/>
      <c r="AF312" s="1366"/>
      <c r="AG312" s="1366"/>
      <c r="AH312" s="1366"/>
      <c r="AI312" s="1366"/>
      <c r="AJ312" s="1366"/>
      <c r="AK312" s="1366"/>
      <c r="BN312" s="34"/>
    </row>
    <row r="313" spans="2:66" ht="12.9" customHeight="1">
      <c r="B313" s="3" t="s">
        <v>88</v>
      </c>
      <c r="C313" s="3"/>
      <c r="D313" s="3"/>
      <c r="E313" s="3"/>
      <c r="F313" s="3"/>
      <c r="H313" s="1366" t="s">
        <v>2677</v>
      </c>
      <c r="I313" s="1366"/>
      <c r="J313" s="1366"/>
      <c r="K313" s="1366"/>
      <c r="L313" s="1366"/>
      <c r="M313" s="1366"/>
      <c r="N313" s="1366"/>
      <c r="O313" s="1366"/>
      <c r="P313" s="1366"/>
      <c r="Q313" s="1366"/>
      <c r="R313" s="1366"/>
      <c r="S313" s="3"/>
      <c r="T313" s="3" t="s">
        <v>88</v>
      </c>
      <c r="V313" s="3"/>
      <c r="W313" s="3"/>
      <c r="X313" s="3"/>
      <c r="Y313" s="3"/>
      <c r="AA313" s="1366" t="s">
        <v>2692</v>
      </c>
      <c r="AB313" s="1366"/>
      <c r="AC313" s="1366"/>
      <c r="AD313" s="1366"/>
      <c r="AE313" s="1366"/>
      <c r="AF313" s="1366"/>
      <c r="AG313" s="1366"/>
      <c r="AH313" s="1366"/>
      <c r="AI313" s="1366"/>
      <c r="AJ313" s="1366"/>
      <c r="AK313" s="1366"/>
      <c r="BN313" s="34"/>
    </row>
    <row r="314" spans="2:66" ht="12.9" customHeight="1">
      <c r="B314" s="3" t="s">
        <v>89</v>
      </c>
      <c r="C314" s="3"/>
      <c r="D314" s="3"/>
      <c r="E314" s="3"/>
      <c r="F314" s="3"/>
      <c r="G314" s="3"/>
      <c r="H314" s="1534">
        <v>2099339113</v>
      </c>
      <c r="I314" s="1534"/>
      <c r="J314" s="1534"/>
      <c r="K314" s="1534"/>
      <c r="L314" s="1534"/>
      <c r="M314" s="1534"/>
      <c r="N314" s="4" t="s">
        <v>207</v>
      </c>
      <c r="O314" s="4"/>
      <c r="P314" s="1533"/>
      <c r="Q314" s="1533"/>
      <c r="R314" s="1533"/>
      <c r="S314" s="3"/>
      <c r="T314" s="3" t="s">
        <v>89</v>
      </c>
      <c r="V314" s="3"/>
      <c r="W314" s="3"/>
      <c r="X314" s="3"/>
      <c r="Y314" s="3"/>
      <c r="AA314" s="1537" t="s">
        <v>2693</v>
      </c>
      <c r="AB314" s="1534"/>
      <c r="AC314" s="1534"/>
      <c r="AD314" s="1534"/>
      <c r="AE314" s="1534"/>
      <c r="AF314" s="1534"/>
      <c r="AG314" s="4" t="s">
        <v>207</v>
      </c>
      <c r="AH314" s="4"/>
      <c r="AI314" s="1533"/>
      <c r="AJ314" s="1533"/>
      <c r="AK314" s="1533"/>
      <c r="BN314" s="34"/>
    </row>
    <row r="315" spans="2:66" ht="12.9" customHeight="1">
      <c r="B315" s="3" t="s">
        <v>90</v>
      </c>
      <c r="C315" s="3"/>
      <c r="D315" s="3"/>
      <c r="E315" s="3"/>
      <c r="F315" s="3"/>
      <c r="G315" s="3"/>
      <c r="H315" s="1437">
        <v>2099339115</v>
      </c>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 customHeight="1">
      <c r="B316" s="3" t="s">
        <v>77</v>
      </c>
      <c r="C316" s="3"/>
      <c r="D316" s="3"/>
      <c r="E316" s="3"/>
      <c r="F316" s="3"/>
      <c r="G316" s="3"/>
      <c r="H316" s="1463" t="s">
        <v>2678</v>
      </c>
      <c r="I316" s="1366"/>
      <c r="J316" s="1366"/>
      <c r="K316" s="1366"/>
      <c r="L316" s="1366"/>
      <c r="M316" s="1366"/>
      <c r="N316" s="1394"/>
      <c r="O316" s="1394"/>
      <c r="P316" s="1394"/>
      <c r="Q316" s="1394"/>
      <c r="R316" s="1394"/>
      <c r="S316" s="3"/>
      <c r="T316" s="3" t="s">
        <v>77</v>
      </c>
      <c r="V316" s="3"/>
      <c r="W316" s="3"/>
      <c r="X316" s="3"/>
      <c r="Y316" s="3"/>
      <c r="AA316" s="1463" t="s">
        <v>2694</v>
      </c>
      <c r="AB316" s="1366"/>
      <c r="AC316" s="1366"/>
      <c r="AD316" s="1366"/>
      <c r="AE316" s="1366"/>
      <c r="AF316" s="1366"/>
      <c r="AG316" s="1394"/>
      <c r="AH316" s="1394"/>
      <c r="AI316" s="1394"/>
      <c r="AJ316" s="1394"/>
      <c r="AK316" s="1394"/>
      <c r="BN316" s="34"/>
    </row>
    <row r="317" spans="2:66" ht="12.9" customHeight="1">
      <c r="BN317" s="34"/>
    </row>
    <row r="318" spans="2:66" ht="12.9" customHeight="1">
      <c r="B318" s="4" t="s">
        <v>941</v>
      </c>
      <c r="C318" s="3"/>
      <c r="D318" s="3"/>
      <c r="E318" s="3"/>
      <c r="F318" s="3"/>
      <c r="H318" s="1394" t="s">
        <v>2655</v>
      </c>
      <c r="I318" s="1394"/>
      <c r="J318" s="1394"/>
      <c r="K318" s="1394"/>
      <c r="L318" s="1394"/>
      <c r="M318" s="1394"/>
      <c r="N318" s="1394"/>
      <c r="O318" s="1394"/>
      <c r="P318" s="1394"/>
      <c r="Q318" s="1394"/>
      <c r="R318" s="1394"/>
      <c r="T318" s="3" t="s">
        <v>367</v>
      </c>
      <c r="V318" s="3"/>
      <c r="W318" s="3"/>
      <c r="X318" s="3"/>
      <c r="Y318" s="3"/>
      <c r="AA318" s="1394" t="s">
        <v>2695</v>
      </c>
      <c r="AB318" s="1394"/>
      <c r="AC318" s="1394"/>
      <c r="AD318" s="1394"/>
      <c r="AE318" s="1394"/>
      <c r="AF318" s="1394"/>
      <c r="AG318" s="1394"/>
      <c r="AH318" s="1394"/>
      <c r="AI318" s="1394"/>
      <c r="AJ318" s="1394"/>
      <c r="AK318" s="1394"/>
      <c r="BN318" s="34"/>
    </row>
    <row r="319" spans="2:66" ht="12.9" customHeight="1">
      <c r="B319" s="3" t="s">
        <v>480</v>
      </c>
      <c r="C319" s="3"/>
      <c r="D319" s="3"/>
      <c r="E319" s="3"/>
      <c r="F319" s="3"/>
      <c r="H319" s="1366" t="s">
        <v>2656</v>
      </c>
      <c r="I319" s="1366"/>
      <c r="J319" s="1366"/>
      <c r="K319" s="1366"/>
      <c r="L319" s="1366"/>
      <c r="M319" s="1366"/>
      <c r="N319" s="1366"/>
      <c r="O319" s="1366"/>
      <c r="P319" s="1366"/>
      <c r="Q319" s="1366"/>
      <c r="R319" s="1366"/>
      <c r="T319" s="3" t="s">
        <v>480</v>
      </c>
      <c r="V319" s="3"/>
      <c r="W319" s="3"/>
      <c r="X319" s="3"/>
      <c r="Y319" s="3"/>
      <c r="AA319" s="1366" t="s">
        <v>2656</v>
      </c>
      <c r="AB319" s="1366"/>
      <c r="AC319" s="1366"/>
      <c r="AD319" s="1366"/>
      <c r="AE319" s="1366"/>
      <c r="AF319" s="1366"/>
      <c r="AG319" s="1366"/>
      <c r="AH319" s="1366"/>
      <c r="AI319" s="1366"/>
      <c r="AJ319" s="1366"/>
      <c r="AK319" s="1366"/>
      <c r="BN319" s="34"/>
    </row>
    <row r="320" spans="2:66" ht="12.9" customHeight="1">
      <c r="B320" s="3" t="s">
        <v>481</v>
      </c>
      <c r="C320" s="3"/>
      <c r="D320" s="3"/>
      <c r="E320" s="3"/>
      <c r="F320" s="3"/>
      <c r="H320" s="1366" t="s">
        <v>2673</v>
      </c>
      <c r="I320" s="1366"/>
      <c r="J320" s="1366"/>
      <c r="K320" s="1366"/>
      <c r="L320" s="1366"/>
      <c r="M320" s="1366"/>
      <c r="N320" s="1366"/>
      <c r="O320" s="1366"/>
      <c r="P320" s="1366"/>
      <c r="Q320" s="1366"/>
      <c r="R320" s="1366"/>
      <c r="T320" s="3" t="s">
        <v>76</v>
      </c>
      <c r="V320" s="3"/>
      <c r="W320" s="3"/>
      <c r="X320" s="3"/>
      <c r="Y320" s="3"/>
      <c r="AA320" s="1366" t="s">
        <v>2673</v>
      </c>
      <c r="AB320" s="1366"/>
      <c r="AC320" s="1366"/>
      <c r="AD320" s="1366"/>
      <c r="AE320" s="1366"/>
      <c r="AF320" s="1366"/>
      <c r="AG320" s="1366"/>
      <c r="AH320" s="1366"/>
      <c r="AI320" s="1366"/>
      <c r="AJ320" s="1366"/>
      <c r="AK320" s="1366"/>
      <c r="BN320" s="34"/>
    </row>
    <row r="321" spans="2:66" ht="12.9" customHeight="1">
      <c r="B321" s="3" t="s">
        <v>88</v>
      </c>
      <c r="C321" s="3"/>
      <c r="D321" s="3"/>
      <c r="E321" s="3"/>
      <c r="F321" s="3"/>
      <c r="H321" s="1366" t="s">
        <v>2657</v>
      </c>
      <c r="I321" s="1366"/>
      <c r="J321" s="1366"/>
      <c r="K321" s="1366"/>
      <c r="L321" s="1366"/>
      <c r="M321" s="1366"/>
      <c r="N321" s="1366"/>
      <c r="O321" s="1366"/>
      <c r="P321" s="1366"/>
      <c r="Q321" s="1366"/>
      <c r="R321" s="1366"/>
      <c r="T321" s="3" t="s">
        <v>88</v>
      </c>
      <c r="V321" s="3"/>
      <c r="W321" s="3"/>
      <c r="X321" s="3"/>
      <c r="Y321" s="3"/>
      <c r="AA321" s="1366" t="s">
        <v>2696</v>
      </c>
      <c r="AB321" s="1366"/>
      <c r="AC321" s="1366"/>
      <c r="AD321" s="1366"/>
      <c r="AE321" s="1366"/>
      <c r="AF321" s="1366"/>
      <c r="AG321" s="1366"/>
      <c r="AH321" s="1366"/>
      <c r="AI321" s="1366"/>
      <c r="AJ321" s="1366"/>
      <c r="AK321" s="1366"/>
      <c r="BN321" s="34"/>
    </row>
    <row r="322" spans="2:66" ht="12.9" customHeight="1">
      <c r="B322" s="3" t="s">
        <v>89</v>
      </c>
      <c r="C322" s="3"/>
      <c r="D322" s="3"/>
      <c r="E322" s="3"/>
      <c r="F322" s="3"/>
      <c r="G322" s="3"/>
      <c r="H322" s="1534">
        <v>9164440286</v>
      </c>
      <c r="I322" s="1534"/>
      <c r="J322" s="1534"/>
      <c r="K322" s="1534"/>
      <c r="L322" s="1534"/>
      <c r="M322" s="1534"/>
      <c r="N322" s="4" t="s">
        <v>207</v>
      </c>
      <c r="O322" s="4"/>
      <c r="P322" s="1533"/>
      <c r="Q322" s="1533"/>
      <c r="R322" s="1533"/>
      <c r="S322" s="3"/>
      <c r="T322" s="3" t="s">
        <v>89</v>
      </c>
      <c r="V322" s="3"/>
      <c r="W322" s="3"/>
      <c r="X322" s="3"/>
      <c r="Y322" s="3"/>
      <c r="AA322" s="1534">
        <v>9164440288</v>
      </c>
      <c r="AB322" s="1534"/>
      <c r="AC322" s="1534"/>
      <c r="AD322" s="1534"/>
      <c r="AE322" s="1534"/>
      <c r="AF322" s="1534"/>
      <c r="AG322" s="4" t="s">
        <v>207</v>
      </c>
      <c r="AH322" s="4"/>
      <c r="AI322" s="1533"/>
      <c r="AJ322" s="1533"/>
      <c r="AK322" s="1533"/>
      <c r="BN322" s="34"/>
    </row>
    <row r="323" spans="2:66" ht="12.9"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v>9164443408</v>
      </c>
      <c r="AB323" s="1437"/>
      <c r="AC323" s="1437"/>
      <c r="AD323" s="1437"/>
      <c r="AE323" s="1437"/>
      <c r="AF323" s="1437"/>
      <c r="AG323" s="4"/>
      <c r="AH323" s="4"/>
      <c r="AI323" s="35"/>
      <c r="AJ323" s="35"/>
      <c r="AK323" s="35"/>
    </row>
    <row r="324" spans="2:66" ht="12.9" customHeight="1">
      <c r="B324" s="3" t="s">
        <v>77</v>
      </c>
      <c r="C324" s="3"/>
      <c r="D324" s="3"/>
      <c r="E324" s="3"/>
      <c r="F324" s="3"/>
      <c r="G324" s="3"/>
      <c r="H324" s="1463" t="s">
        <v>2659</v>
      </c>
      <c r="I324" s="1366"/>
      <c r="J324" s="1366"/>
      <c r="K324" s="1366"/>
      <c r="L324" s="1366"/>
      <c r="M324" s="1366"/>
      <c r="N324" s="1394"/>
      <c r="O324" s="1394"/>
      <c r="P324" s="1394"/>
      <c r="Q324" s="1394"/>
      <c r="R324" s="1394"/>
      <c r="S324" s="3"/>
      <c r="T324" s="3" t="s">
        <v>77</v>
      </c>
      <c r="V324" s="3"/>
      <c r="W324" s="3"/>
      <c r="X324" s="3"/>
      <c r="Y324" s="3"/>
      <c r="AA324" s="1463" t="s">
        <v>2697</v>
      </c>
      <c r="AB324" s="1366"/>
      <c r="AC324" s="1366"/>
      <c r="AD324" s="1366"/>
      <c r="AE324" s="1366"/>
      <c r="AF324" s="1366"/>
      <c r="AG324" s="1394"/>
      <c r="AH324" s="1394"/>
      <c r="AI324" s="1394"/>
      <c r="AJ324" s="1394"/>
      <c r="AK324" s="1394"/>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368</v>
      </c>
      <c r="C326" s="3"/>
      <c r="D326" s="3"/>
      <c r="E326" s="3"/>
      <c r="F326" s="3"/>
      <c r="H326" s="1394" t="s">
        <v>2679</v>
      </c>
      <c r="I326" s="1394"/>
      <c r="J326" s="1394"/>
      <c r="K326" s="1394"/>
      <c r="L326" s="1394"/>
      <c r="M326" s="1394"/>
      <c r="N326" s="1394"/>
      <c r="O326" s="1394"/>
      <c r="P326" s="1394"/>
      <c r="Q326" s="1394"/>
      <c r="R326" s="1394"/>
      <c r="T326" s="3" t="s">
        <v>369</v>
      </c>
      <c r="V326" s="3"/>
      <c r="W326" s="3"/>
      <c r="X326" s="3"/>
      <c r="Y326" s="3"/>
      <c r="AA326" s="1394"/>
      <c r="AB326" s="1394"/>
      <c r="AC326" s="1394"/>
      <c r="AD326" s="1394"/>
      <c r="AE326" s="1394"/>
      <c r="AF326" s="1394"/>
      <c r="AG326" s="1394"/>
      <c r="AH326" s="1394"/>
      <c r="AI326" s="1394"/>
      <c r="AJ326" s="1394"/>
      <c r="AK326" s="1394"/>
    </row>
    <row r="327" spans="2:66" ht="12.9" customHeight="1">
      <c r="B327" s="3" t="s">
        <v>480</v>
      </c>
      <c r="C327" s="3"/>
      <c r="D327" s="3"/>
      <c r="E327" s="3"/>
      <c r="F327" s="3"/>
      <c r="H327" s="1366" t="s">
        <v>2680</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 customHeight="1">
      <c r="B328" s="3" t="s">
        <v>481</v>
      </c>
      <c r="C328" s="3"/>
      <c r="D328" s="3"/>
      <c r="E328" s="3"/>
      <c r="F328" s="3"/>
      <c r="H328" s="1366" t="s">
        <v>2681</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 customHeight="1">
      <c r="B329" s="3" t="s">
        <v>88</v>
      </c>
      <c r="C329" s="3"/>
      <c r="D329" s="3"/>
      <c r="E329" s="3"/>
      <c r="F329" s="3"/>
      <c r="H329" s="1366" t="s">
        <v>2682</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 customHeight="1">
      <c r="B330" s="3" t="s">
        <v>89</v>
      </c>
      <c r="C330" s="3"/>
      <c r="D330" s="3"/>
      <c r="E330" s="3"/>
      <c r="F330" s="3"/>
      <c r="G330" s="3"/>
      <c r="H330" s="1534">
        <v>4023051693</v>
      </c>
      <c r="I330" s="1534"/>
      <c r="J330" s="1534"/>
      <c r="K330" s="1534"/>
      <c r="L330" s="1534"/>
      <c r="M330" s="1534"/>
      <c r="N330" s="4" t="s">
        <v>207</v>
      </c>
      <c r="O330" s="4"/>
      <c r="P330" s="1533"/>
      <c r="Q330" s="1533"/>
      <c r="R330" s="1533"/>
      <c r="S330" s="3"/>
      <c r="T330" s="3" t="s">
        <v>89</v>
      </c>
      <c r="V330" s="3"/>
      <c r="W330" s="3"/>
      <c r="X330" s="3"/>
      <c r="Y330" s="3"/>
      <c r="AA330" s="1534"/>
      <c r="AB330" s="1534"/>
      <c r="AC330" s="1534"/>
      <c r="AD330" s="1534"/>
      <c r="AE330" s="1534"/>
      <c r="AF330" s="1534"/>
      <c r="AG330" s="4" t="s">
        <v>207</v>
      </c>
      <c r="AH330" s="4"/>
      <c r="AI330" s="1533"/>
      <c r="AJ330" s="1533"/>
      <c r="AK330" s="1533"/>
    </row>
    <row r="331" spans="2:66" ht="12.9"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 customHeight="1">
      <c r="B332" s="3" t="s">
        <v>77</v>
      </c>
      <c r="C332" s="3"/>
      <c r="D332" s="3"/>
      <c r="E332" s="3"/>
      <c r="F332" s="3"/>
      <c r="G332" s="3"/>
      <c r="H332" s="1463" t="s">
        <v>2683</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330</v>
      </c>
      <c r="C334" s="3"/>
      <c r="D334" s="3"/>
      <c r="E334" s="3"/>
      <c r="F334" s="3"/>
      <c r="H334" s="1394" t="s">
        <v>2684</v>
      </c>
      <c r="I334" s="1394"/>
      <c r="J334" s="1394"/>
      <c r="K334" s="1394"/>
      <c r="L334" s="1394"/>
      <c r="M334" s="1394"/>
      <c r="N334" s="1394"/>
      <c r="O334" s="1394"/>
      <c r="P334" s="1394"/>
      <c r="Q334" s="1394"/>
      <c r="R334" s="1394"/>
      <c r="T334" s="218" t="s">
        <v>916</v>
      </c>
      <c r="V334" s="3"/>
      <c r="W334" s="3"/>
      <c r="X334" s="3"/>
      <c r="Y334" s="3"/>
      <c r="AA334" s="1394" t="s">
        <v>2698</v>
      </c>
      <c r="AB334" s="1394"/>
      <c r="AC334" s="1394"/>
      <c r="AD334" s="1394"/>
      <c r="AE334" s="1394"/>
      <c r="AF334" s="1394"/>
      <c r="AG334" s="1394"/>
      <c r="AH334" s="1394"/>
      <c r="AI334" s="1394"/>
      <c r="AJ334" s="1394"/>
      <c r="AK334" s="1394"/>
    </row>
    <row r="335" spans="2:66" ht="12.9" customHeight="1">
      <c r="B335" s="3" t="s">
        <v>480</v>
      </c>
      <c r="C335" s="3"/>
      <c r="D335" s="3"/>
      <c r="E335" s="3"/>
      <c r="F335" s="3"/>
      <c r="H335" s="1366" t="s">
        <v>2685</v>
      </c>
      <c r="I335" s="1366"/>
      <c r="J335" s="1366"/>
      <c r="K335" s="1366"/>
      <c r="L335" s="1366"/>
      <c r="M335" s="1366"/>
      <c r="N335" s="1366"/>
      <c r="O335" s="1366"/>
      <c r="P335" s="1366"/>
      <c r="Q335" s="1366"/>
      <c r="R335" s="1366"/>
      <c r="T335" s="3" t="s">
        <v>480</v>
      </c>
      <c r="V335" s="3"/>
      <c r="W335" s="3"/>
      <c r="X335" s="3"/>
      <c r="Y335" s="3"/>
      <c r="AA335" s="1366" t="s">
        <v>2699</v>
      </c>
      <c r="AB335" s="1366"/>
      <c r="AC335" s="1366"/>
      <c r="AD335" s="1366"/>
      <c r="AE335" s="1366"/>
      <c r="AF335" s="1366"/>
      <c r="AG335" s="1366"/>
      <c r="AH335" s="1366"/>
      <c r="AI335" s="1366"/>
      <c r="AJ335" s="1366"/>
      <c r="AK335" s="1366"/>
    </row>
    <row r="336" spans="2:66" ht="12.9" customHeight="1">
      <c r="B336" s="3" t="s">
        <v>76</v>
      </c>
      <c r="C336" s="3"/>
      <c r="D336" s="3"/>
      <c r="E336" s="3"/>
      <c r="F336" s="3"/>
      <c r="H336" s="1366" t="s">
        <v>2686</v>
      </c>
      <c r="I336" s="1366"/>
      <c r="J336" s="1366"/>
      <c r="K336" s="1366"/>
      <c r="L336" s="1366"/>
      <c r="M336" s="1366"/>
      <c r="N336" s="1366"/>
      <c r="O336" s="1366"/>
      <c r="P336" s="1366"/>
      <c r="Q336" s="1366"/>
      <c r="R336" s="1366"/>
      <c r="T336" s="3" t="s">
        <v>76</v>
      </c>
      <c r="V336" s="3"/>
      <c r="W336" s="3"/>
      <c r="X336" s="3"/>
      <c r="Y336" s="3"/>
      <c r="AA336" s="1366" t="s">
        <v>2700</v>
      </c>
      <c r="AB336" s="1366"/>
      <c r="AC336" s="1366"/>
      <c r="AD336" s="1366"/>
      <c r="AE336" s="1366"/>
      <c r="AF336" s="1366"/>
      <c r="AG336" s="1366"/>
      <c r="AH336" s="1366"/>
      <c r="AI336" s="1366"/>
      <c r="AJ336" s="1366"/>
      <c r="AK336" s="1366"/>
    </row>
    <row r="337" spans="1:66" ht="12.9" customHeight="1">
      <c r="B337" s="3" t="s">
        <v>88</v>
      </c>
      <c r="C337" s="3"/>
      <c r="D337" s="3"/>
      <c r="E337" s="3"/>
      <c r="F337" s="3"/>
      <c r="G337" s="3"/>
      <c r="H337" s="1366" t="s">
        <v>2687</v>
      </c>
      <c r="I337" s="1366"/>
      <c r="J337" s="1366"/>
      <c r="K337" s="1366"/>
      <c r="L337" s="1366"/>
      <c r="M337" s="1366"/>
      <c r="N337" s="1366"/>
      <c r="O337" s="1366"/>
      <c r="P337" s="1366"/>
      <c r="Q337" s="1366"/>
      <c r="R337" s="1366"/>
      <c r="T337" s="3" t="s">
        <v>88</v>
      </c>
      <c r="V337" s="3"/>
      <c r="W337" s="3"/>
      <c r="X337" s="3"/>
      <c r="Y337" s="3"/>
      <c r="AA337" s="1463" t="s">
        <v>2701</v>
      </c>
      <c r="AB337" s="1366"/>
      <c r="AC337" s="1366"/>
      <c r="AD337" s="1366"/>
      <c r="AE337" s="1366"/>
      <c r="AF337" s="1366"/>
      <c r="AG337" s="1366"/>
      <c r="AH337" s="1366"/>
      <c r="AI337" s="1366"/>
      <c r="AJ337" s="1366"/>
      <c r="AK337" s="1366"/>
    </row>
    <row r="338" spans="1:66" ht="12.9" customHeight="1">
      <c r="B338" s="3" t="s">
        <v>89</v>
      </c>
      <c r="C338" s="3"/>
      <c r="D338" s="3"/>
      <c r="E338" s="3"/>
      <c r="F338" s="3"/>
      <c r="G338" s="3"/>
      <c r="H338" s="1534">
        <v>7609301266</v>
      </c>
      <c r="I338" s="1534"/>
      <c r="J338" s="1534"/>
      <c r="K338" s="1534"/>
      <c r="L338" s="1534"/>
      <c r="M338" s="1534"/>
      <c r="N338" s="4" t="s">
        <v>207</v>
      </c>
      <c r="O338" s="4"/>
      <c r="P338" s="1533"/>
      <c r="Q338" s="1533"/>
      <c r="R338" s="1533"/>
      <c r="S338" s="3"/>
      <c r="T338" s="3" t="s">
        <v>89</v>
      </c>
      <c r="V338" s="3"/>
      <c r="W338" s="3"/>
      <c r="X338" s="3"/>
      <c r="Y338" s="3"/>
      <c r="AA338" s="1534">
        <v>9165610323</v>
      </c>
      <c r="AB338" s="1534"/>
      <c r="AC338" s="1534"/>
      <c r="AD338" s="1534"/>
      <c r="AE338" s="1534"/>
      <c r="AF338" s="1534"/>
      <c r="AG338" s="4" t="s">
        <v>207</v>
      </c>
      <c r="AH338" s="4"/>
      <c r="AI338" s="1533"/>
      <c r="AJ338" s="1533"/>
      <c r="AK338" s="1533"/>
    </row>
    <row r="339" spans="1:66" ht="12.9" customHeight="1">
      <c r="B339" s="3" t="s">
        <v>90</v>
      </c>
      <c r="C339" s="3"/>
      <c r="D339" s="3"/>
      <c r="E339" s="3"/>
      <c r="F339" s="3"/>
      <c r="G339" s="3"/>
      <c r="H339" s="1437">
        <v>7606833390</v>
      </c>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2.9" customHeight="1">
      <c r="B340" s="3" t="s">
        <v>77</v>
      </c>
      <c r="C340" s="3"/>
      <c r="D340" s="3"/>
      <c r="E340" s="3"/>
      <c r="F340" s="3"/>
      <c r="G340" s="3"/>
      <c r="H340" s="1463" t="s">
        <v>2688</v>
      </c>
      <c r="I340" s="1366"/>
      <c r="J340" s="1366"/>
      <c r="K340" s="1366"/>
      <c r="L340" s="1366"/>
      <c r="M340" s="1366"/>
      <c r="N340" s="1394"/>
      <c r="O340" s="1394"/>
      <c r="P340" s="1394"/>
      <c r="Q340" s="1394"/>
      <c r="R340" s="1394"/>
      <c r="S340" s="3"/>
      <c r="T340" s="3" t="s">
        <v>77</v>
      </c>
      <c r="V340" s="3"/>
      <c r="W340" s="3"/>
      <c r="X340" s="3"/>
      <c r="Y340" s="3"/>
      <c r="AA340" s="1366"/>
      <c r="AB340" s="1366"/>
      <c r="AC340" s="1366"/>
      <c r="AD340" s="1366"/>
      <c r="AE340" s="1366"/>
      <c r="AF340" s="1366"/>
      <c r="AG340" s="1394"/>
      <c r="AH340" s="1394"/>
      <c r="AI340" s="1394"/>
      <c r="AJ340" s="1394"/>
      <c r="AK340" s="1394"/>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94"/>
      <c r="Q342" s="1394"/>
      <c r="R342" s="1394"/>
      <c r="S342" s="1394"/>
      <c r="T342" s="1394"/>
      <c r="U342" s="1394"/>
      <c r="V342" s="1394"/>
      <c r="W342" s="1394"/>
      <c r="X342" s="1394"/>
      <c r="Y342" s="1394"/>
      <c r="Z342" s="1394"/>
      <c r="AA342" s="1394"/>
      <c r="AB342" s="1394"/>
      <c r="AC342" s="1394"/>
      <c r="AD342" s="1394"/>
      <c r="AE342" s="1394"/>
      <c r="BN342" t="s">
        <v>600</v>
      </c>
    </row>
    <row r="343" spans="1:66" ht="12.9"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207</v>
      </c>
      <c r="AB346" s="4"/>
      <c r="AC346" s="1464"/>
      <c r="AD346" s="1464"/>
      <c r="AE346" s="1464"/>
      <c r="AF346" s="324"/>
      <c r="AG346" s="4"/>
      <c r="AH346" s="4"/>
      <c r="AI346" s="4"/>
      <c r="AJ346" s="4"/>
      <c r="AK346" s="4"/>
    </row>
    <row r="347" spans="1:66" ht="12.9"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 customHeight="1">
      <c r="T349" s="8"/>
      <c r="U349" s="8"/>
      <c r="V349" s="8"/>
      <c r="W349" s="8"/>
      <c r="X349" s="8"/>
      <c r="Y349" s="8"/>
      <c r="Z349" s="8"/>
    </row>
    <row r="350" spans="1:66" ht="12.9" customHeight="1">
      <c r="A350" s="1441" t="s">
        <v>551</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320</v>
      </c>
      <c r="B353" s="2"/>
      <c r="C353" s="2" t="s">
        <v>806</v>
      </c>
    </row>
    <row r="354" spans="1:37" ht="12.9" customHeight="1">
      <c r="D354" s="3" t="s">
        <v>2526</v>
      </c>
      <c r="M354" s="1373" t="s">
        <v>554</v>
      </c>
      <c r="N354" s="1373"/>
      <c r="P354" t="s">
        <v>1831</v>
      </c>
      <c r="AJ354" s="1373" t="s">
        <v>554</v>
      </c>
      <c r="AK354" s="1373"/>
    </row>
    <row r="355" spans="1:37" ht="12.9" customHeight="1">
      <c r="D355" s="3" t="s">
        <v>1820</v>
      </c>
      <c r="M355" s="1373" t="s">
        <v>600</v>
      </c>
      <c r="N355" s="1373"/>
      <c r="P355" s="3" t="s">
        <v>1980</v>
      </c>
      <c r="AJ355" s="1430">
        <v>7</v>
      </c>
      <c r="AK355" s="1430"/>
    </row>
    <row r="356" spans="1:37" ht="12.9" customHeight="1">
      <c r="D356" s="3" t="s">
        <v>716</v>
      </c>
      <c r="M356" s="1373" t="s">
        <v>600</v>
      </c>
      <c r="N356" s="1373"/>
      <c r="P356" t="s">
        <v>1830</v>
      </c>
      <c r="AJ356" s="1373" t="s">
        <v>554</v>
      </c>
      <c r="AK356" s="1373"/>
    </row>
    <row r="357" spans="1:37" ht="12.9" customHeight="1">
      <c r="D357" s="3" t="s">
        <v>717</v>
      </c>
      <c r="M357" s="1373" t="s">
        <v>600</v>
      </c>
      <c r="N357" s="1373"/>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2.9" customHeight="1">
      <c r="E363" t="s">
        <v>371</v>
      </c>
      <c r="Y363" s="1373" t="s">
        <v>600</v>
      </c>
      <c r="Z363" s="1373"/>
    </row>
    <row r="364" spans="1:37" ht="12.9"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2.9" customHeight="1">
      <c r="E367" s="1590" t="s">
        <v>718</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 customHeight="1">
      <c r="C374" s="547"/>
      <c r="E374" s="4"/>
      <c r="F374" s="4"/>
      <c r="G374" s="4"/>
      <c r="H374" s="4"/>
      <c r="I374" s="4"/>
      <c r="J374" s="4"/>
      <c r="K374" s="4"/>
      <c r="L374" s="4"/>
    </row>
    <row r="375" spans="1:36" ht="12.9" customHeight="1">
      <c r="D375" s="2" t="s">
        <v>1015</v>
      </c>
      <c r="E375" s="2"/>
      <c r="F375" s="4"/>
      <c r="G375" s="4"/>
      <c r="H375" s="4"/>
      <c r="I375" s="4"/>
      <c r="J375" s="4"/>
      <c r="K375" s="4"/>
      <c r="L375" s="4"/>
    </row>
    <row r="376" spans="1:36" ht="12.9" customHeight="1">
      <c r="E376" s="4" t="s">
        <v>2508</v>
      </c>
      <c r="F376" s="4"/>
      <c r="G376" s="4"/>
      <c r="H376" s="4"/>
      <c r="I376" s="4"/>
      <c r="J376" s="4"/>
      <c r="K376" s="4"/>
      <c r="L376" s="4"/>
      <c r="N376" t="s">
        <v>2502</v>
      </c>
      <c r="R376" s="27" t="s">
        <v>306</v>
      </c>
      <c r="S376" s="1443"/>
      <c r="T376" s="1443"/>
      <c r="U376" s="1" t="s">
        <v>307</v>
      </c>
      <c r="V376" s="1443"/>
      <c r="W376" s="1443"/>
      <c r="Y376" t="s">
        <v>2502</v>
      </c>
      <c r="AC376" s="27" t="s">
        <v>306</v>
      </c>
      <c r="AD376" s="1443"/>
      <c r="AE376" s="1443"/>
      <c r="AF376" s="1" t="s">
        <v>307</v>
      </c>
      <c r="AG376" s="1443"/>
      <c r="AH376" s="1443"/>
    </row>
    <row r="377" spans="1:36" ht="12.9" customHeight="1">
      <c r="E377" s="4" t="s">
        <v>1044</v>
      </c>
      <c r="F377" s="4"/>
      <c r="G377" s="4"/>
      <c r="H377" s="4"/>
      <c r="I377" s="4"/>
      <c r="J377" s="4"/>
      <c r="K377" s="4"/>
      <c r="L377" s="4"/>
      <c r="N377" s="1443"/>
      <c r="O377" s="1443"/>
      <c r="P377" s="1443"/>
    </row>
    <row r="378" spans="1:36" ht="12.9" customHeight="1">
      <c r="E378" s="218" t="s">
        <v>2509</v>
      </c>
      <c r="F378" s="4"/>
      <c r="G378" s="4"/>
      <c r="H378" s="4"/>
      <c r="I378" s="4"/>
      <c r="J378" s="4"/>
      <c r="K378" s="4"/>
      <c r="L378" s="4"/>
      <c r="AG378" s="1469" t="s">
        <v>600</v>
      </c>
      <c r="AH378" s="1469"/>
    </row>
    <row r="379" spans="1:36" ht="12.9" customHeight="1">
      <c r="E379" s="4"/>
      <c r="F379" s="4"/>
      <c r="G379" s="4" t="s">
        <v>2510</v>
      </c>
      <c r="H379" s="4"/>
      <c r="I379" s="4"/>
      <c r="J379" s="4"/>
      <c r="K379" s="4"/>
      <c r="L379" s="4"/>
      <c r="AG379" s="1469" t="s">
        <v>600</v>
      </c>
      <c r="AH379" s="1469"/>
    </row>
    <row r="380" spans="1:36" ht="12.9" customHeight="1">
      <c r="E380" s="4"/>
      <c r="F380" s="4"/>
      <c r="G380" s="349" t="s">
        <v>1045</v>
      </c>
      <c r="H380" s="4"/>
      <c r="I380" s="4"/>
      <c r="J380" s="4"/>
      <c r="K380" s="4"/>
      <c r="L380" s="4"/>
      <c r="V380" s="1373" t="s">
        <v>600</v>
      </c>
      <c r="W380" s="1373"/>
      <c r="Y380" s="22" t="s">
        <v>1020</v>
      </c>
    </row>
    <row r="381" spans="1:36" ht="12.9" customHeight="1">
      <c r="E381" s="4" t="s">
        <v>1021</v>
      </c>
      <c r="F381" s="4"/>
      <c r="G381" s="4"/>
      <c r="H381" s="4"/>
      <c r="I381" s="4"/>
      <c r="J381" s="4"/>
      <c r="K381" s="4"/>
      <c r="L381" s="4"/>
      <c r="V381" s="1373" t="s">
        <v>600</v>
      </c>
      <c r="W381" s="1373"/>
      <c r="Y381" s="4" t="s">
        <v>1022</v>
      </c>
    </row>
    <row r="382" spans="1:36" ht="12.9" customHeight="1"/>
    <row r="383" spans="1:36" ht="12.9" customHeight="1">
      <c r="A383" s="2" t="s">
        <v>79</v>
      </c>
      <c r="B383" s="2"/>
    </row>
    <row r="384" spans="1:36" ht="12.9" customHeight="1">
      <c r="D384" t="s">
        <v>429</v>
      </c>
      <c r="J384" s="1435" t="s">
        <v>2702</v>
      </c>
      <c r="K384" s="1394"/>
      <c r="L384" s="1394"/>
      <c r="M384" s="1394"/>
      <c r="N384" s="1394"/>
      <c r="O384" s="1394"/>
      <c r="P384" s="1394"/>
      <c r="Q384" s="1394"/>
      <c r="R384" s="1394"/>
      <c r="S384" s="1394"/>
      <c r="T384" s="1394"/>
      <c r="U384" s="1394"/>
      <c r="V384" s="8" t="s">
        <v>84</v>
      </c>
      <c r="W384" s="8"/>
      <c r="X384" s="8"/>
      <c r="Y384" s="8"/>
      <c r="Z384" s="8"/>
      <c r="AA384" s="8"/>
      <c r="AB384" s="8"/>
      <c r="AC384" s="1435" t="s">
        <v>2640</v>
      </c>
      <c r="AD384" s="1394"/>
      <c r="AE384" s="1394"/>
      <c r="AF384" s="1394"/>
      <c r="AG384" s="1394"/>
      <c r="AH384" s="1394"/>
      <c r="AI384" s="1394"/>
      <c r="AJ384" s="1394"/>
    </row>
    <row r="385" spans="4:36" ht="12.9" customHeight="1">
      <c r="D385" s="3" t="s">
        <v>1325</v>
      </c>
      <c r="J385" s="1366"/>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2.9" customHeight="1">
      <c r="D386" s="3" t="s">
        <v>444</v>
      </c>
      <c r="J386" s="1366"/>
      <c r="K386" s="1366"/>
      <c r="L386" s="1366"/>
      <c r="M386" s="1366"/>
      <c r="N386" s="1366"/>
      <c r="O386" s="1366"/>
      <c r="P386" s="1366"/>
      <c r="Q386" s="1366"/>
      <c r="R386" s="1366"/>
      <c r="S386" s="1366"/>
      <c r="T386" s="1366"/>
      <c r="U386" s="1366"/>
      <c r="V386" s="3" t="s">
        <v>444</v>
      </c>
      <c r="W386" s="8"/>
      <c r="X386" s="8"/>
      <c r="Y386" s="8"/>
      <c r="Z386" s="8"/>
      <c r="AA386" s="8"/>
      <c r="AB386" s="8"/>
      <c r="AC386" s="1435" t="s">
        <v>2703</v>
      </c>
      <c r="AD386" s="1394"/>
      <c r="AE386" s="1394"/>
      <c r="AF386" s="1394"/>
      <c r="AG386" s="1394"/>
      <c r="AH386" s="1394"/>
      <c r="AI386" s="1394"/>
      <c r="AJ386" s="1394"/>
    </row>
    <row r="387" spans="4:36" ht="12.9" customHeight="1">
      <c r="D387" t="s">
        <v>1321</v>
      </c>
      <c r="J387" s="1355" t="s">
        <v>2638</v>
      </c>
      <c r="K387" s="1355"/>
      <c r="L387" s="1355"/>
      <c r="M387" s="1355"/>
      <c r="N387" s="1355"/>
      <c r="O387" s="1355"/>
      <c r="P387" s="1355"/>
      <c r="Q387" s="1355"/>
      <c r="R387" s="1355"/>
      <c r="S387" s="1355"/>
      <c r="T387" s="1355"/>
      <c r="U387" s="1355"/>
      <c r="V387" s="1394" t="s">
        <v>2704</v>
      </c>
      <c r="W387" s="1394"/>
      <c r="X387" s="1394"/>
      <c r="Y387" s="1394"/>
      <c r="Z387" s="1394"/>
      <c r="AA387" s="1394"/>
      <c r="AB387" s="1394"/>
      <c r="AC387" s="1394"/>
      <c r="AD387" s="1394"/>
      <c r="AE387" s="1394"/>
      <c r="AF387" s="1394"/>
      <c r="AG387" s="1394"/>
      <c r="AH387" s="1394"/>
      <c r="AI387" s="1394"/>
      <c r="AJ387" s="1394"/>
    </row>
    <row r="388" spans="4:36" ht="12.9" customHeight="1">
      <c r="D388" t="s">
        <v>4</v>
      </c>
      <c r="Q388" s="1745" t="s">
        <v>2705</v>
      </c>
      <c r="R388" s="1746"/>
      <c r="S388" s="1746"/>
      <c r="T388" s="1746"/>
      <c r="U388" s="1746"/>
      <c r="V388" t="s">
        <v>310</v>
      </c>
      <c r="AI388" s="1373" t="s">
        <v>554</v>
      </c>
      <c r="AJ388" s="1373"/>
    </row>
    <row r="389" spans="4:36" ht="12.9" customHeight="1">
      <c r="D389" t="s">
        <v>5</v>
      </c>
      <c r="Q389" s="1588">
        <v>45031</v>
      </c>
      <c r="R389" s="1589"/>
      <c r="S389" s="1589"/>
      <c r="T389" s="1589"/>
      <c r="U389" s="1589"/>
      <c r="W389" s="21" t="s">
        <v>75</v>
      </c>
      <c r="AG389" s="1436"/>
      <c r="AH389" s="1436"/>
      <c r="AI389" s="1436"/>
      <c r="AJ389" s="1436"/>
    </row>
    <row r="390" spans="4:36" ht="12.9" customHeight="1">
      <c r="D390" t="s">
        <v>428</v>
      </c>
      <c r="Q390" s="1587">
        <v>2320000</v>
      </c>
      <c r="R390" s="1587"/>
      <c r="S390" s="1587"/>
      <c r="T390" s="1587"/>
      <c r="U390" s="1587"/>
      <c r="V390" s="3" t="s">
        <v>1324</v>
      </c>
      <c r="AG390" s="1446">
        <v>45214</v>
      </c>
      <c r="AH390" s="1446"/>
      <c r="AI390" s="1446"/>
      <c r="AJ390" s="1446"/>
    </row>
    <row r="391" spans="4:36" ht="12.9" customHeight="1">
      <c r="D391" t="s">
        <v>89</v>
      </c>
      <c r="I391" s="1534"/>
      <c r="J391" s="1534"/>
      <c r="K391" s="1534"/>
      <c r="L391" s="1534"/>
      <c r="M391" s="1534"/>
      <c r="N391" s="1534"/>
      <c r="Q391" s="4" t="s">
        <v>207</v>
      </c>
      <c r="S391" s="1592"/>
      <c r="T391" s="1592"/>
      <c r="U391" s="1592"/>
      <c r="V391" t="s">
        <v>74</v>
      </c>
      <c r="AI391" s="1373" t="s">
        <v>678</v>
      </c>
      <c r="AJ391" s="1373"/>
    </row>
    <row r="392" spans="4:36" ht="12.9" customHeight="1">
      <c r="D392" t="s">
        <v>311</v>
      </c>
      <c r="Q392" s="1440"/>
      <c r="R392" s="1440"/>
      <c r="S392" s="1440"/>
      <c r="T392" s="1440"/>
      <c r="U392" s="1440"/>
      <c r="V392" t="s">
        <v>312</v>
      </c>
      <c r="AG392" s="1436"/>
      <c r="AH392" s="1436"/>
      <c r="AI392" s="1436"/>
      <c r="AJ392" s="1436"/>
    </row>
    <row r="393" spans="4:36" ht="12.9" customHeight="1">
      <c r="D393" t="s">
        <v>313</v>
      </c>
      <c r="Q393" s="1702"/>
      <c r="R393" s="1702"/>
      <c r="S393" s="1702"/>
      <c r="T393" s="1702"/>
      <c r="U393" s="1702"/>
      <c r="V393" t="s">
        <v>1305</v>
      </c>
      <c r="AG393" s="1436"/>
      <c r="AH393" s="1436"/>
      <c r="AI393" s="1436"/>
      <c r="AJ393" s="1436"/>
    </row>
    <row r="394" spans="4:36" ht="12.9" customHeight="1">
      <c r="D394" t="s">
        <v>1304</v>
      </c>
      <c r="AG394" s="1436"/>
      <c r="AH394" s="1436"/>
      <c r="AI394" s="1436"/>
      <c r="AJ394" s="1436"/>
    </row>
    <row r="395" spans="4:36" ht="12.9" customHeight="1">
      <c r="AG395" s="491"/>
      <c r="AH395" s="491"/>
      <c r="AI395" s="491"/>
      <c r="AJ395" s="491"/>
    </row>
    <row r="396" spans="4:36" ht="12.9" customHeight="1">
      <c r="D396" s="3" t="s">
        <v>2621</v>
      </c>
      <c r="AG396" s="491"/>
      <c r="AH396" s="491"/>
      <c r="AI396" s="1373" t="s">
        <v>678</v>
      </c>
      <c r="AJ396" s="1373"/>
    </row>
    <row r="397" spans="4:36" ht="12.9" customHeight="1">
      <c r="D397" s="3" t="s">
        <v>1849</v>
      </c>
      <c r="T397" s="1408"/>
      <c r="U397" s="1408"/>
      <c r="V397" s="1408"/>
      <c r="W397" s="1408"/>
      <c r="X397" s="1408"/>
      <c r="Y397" s="1408"/>
      <c r="Z397" s="1408"/>
      <c r="AA397" s="1408"/>
      <c r="AB397" s="1408"/>
      <c r="AC397" s="1408"/>
      <c r="AD397" s="1408"/>
      <c r="AE397" s="1408"/>
      <c r="AF397" s="1408"/>
      <c r="AG397" s="1408"/>
      <c r="AH397" s="1408"/>
      <c r="AI397" s="1408"/>
      <c r="AJ397" s="1408"/>
    </row>
    <row r="398" spans="4:36" ht="12.9" customHeight="1">
      <c r="D398" s="3" t="s">
        <v>1848</v>
      </c>
      <c r="T398" s="1408"/>
      <c r="U398" s="1408"/>
      <c r="V398" s="1408"/>
      <c r="W398" s="1408"/>
      <c r="X398" s="1408"/>
      <c r="Y398" s="1408"/>
      <c r="Z398" s="1408"/>
      <c r="AA398" s="1408"/>
      <c r="AB398" s="1408"/>
      <c r="AC398" s="1408"/>
      <c r="AD398" s="1408"/>
      <c r="AE398" s="1408"/>
      <c r="AF398" s="1408"/>
      <c r="AG398" s="1408"/>
      <c r="AH398" s="1408"/>
      <c r="AI398" s="1408"/>
      <c r="AJ398" s="1408"/>
    </row>
    <row r="399" spans="4:36" ht="12.9" customHeight="1">
      <c r="AG399" s="491"/>
      <c r="AH399" s="491"/>
      <c r="AI399" s="491"/>
      <c r="AJ399" s="491"/>
    </row>
    <row r="400" spans="4:36" ht="12.9" customHeight="1">
      <c r="D400" s="3" t="s">
        <v>1842</v>
      </c>
      <c r="S400" s="1408" t="s">
        <v>678</v>
      </c>
      <c r="T400" s="1408"/>
      <c r="U400" s="1408"/>
      <c r="V400" t="s">
        <v>1843</v>
      </c>
      <c r="AG400" s="1470"/>
      <c r="AH400" s="1470"/>
      <c r="AI400" s="1470"/>
      <c r="AJ400" s="1470"/>
    </row>
    <row r="401" spans="1:36" ht="12.9" customHeight="1">
      <c r="D401" s="3" t="s">
        <v>1840</v>
      </c>
      <c r="S401" s="1408" t="s">
        <v>600</v>
      </c>
      <c r="T401" s="1408"/>
      <c r="U401" s="1408"/>
      <c r="V401" t="s">
        <v>1845</v>
      </c>
      <c r="AE401" s="1471"/>
      <c r="AF401" s="1471"/>
      <c r="AG401" s="1471"/>
      <c r="AH401" s="1471"/>
      <c r="AI401" s="1471"/>
      <c r="AJ401" s="1471"/>
    </row>
    <row r="402" spans="1:36" ht="12.9" customHeight="1">
      <c r="D402" s="3" t="s">
        <v>1841</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2.9" customHeight="1">
      <c r="D403" s="3" t="s">
        <v>1844</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 customHeight="1">
      <c r="D404" s="3" t="s">
        <v>1847</v>
      </c>
      <c r="E404" s="512"/>
      <c r="F404" s="512"/>
      <c r="G404" s="512"/>
      <c r="H404" s="512"/>
      <c r="I404" s="512"/>
      <c r="J404" s="512"/>
      <c r="K404" s="512"/>
      <c r="L404" s="512"/>
      <c r="M404" s="512"/>
      <c r="N404" s="512"/>
      <c r="O404" s="512"/>
      <c r="P404" s="512"/>
      <c r="Q404" s="512"/>
      <c r="R404" s="512"/>
      <c r="S404" s="1530" t="s">
        <v>2708</v>
      </c>
      <c r="T404" s="1530"/>
      <c r="U404" s="1530"/>
      <c r="V404" s="1530"/>
      <c r="W404" s="1530"/>
      <c r="X404" s="1530"/>
      <c r="Y404" s="1530"/>
      <c r="Z404" s="1530"/>
      <c r="AA404" s="1530"/>
      <c r="AB404" s="1530"/>
      <c r="AC404" s="1530"/>
      <c r="AD404" s="1530"/>
      <c r="AE404" s="1530"/>
      <c r="AF404" s="1530"/>
      <c r="AG404" s="1530"/>
      <c r="AH404" s="1530"/>
      <c r="AI404" s="1530"/>
      <c r="AJ404" s="1530"/>
    </row>
    <row r="405" spans="1:36" ht="12.9"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598</v>
      </c>
      <c r="B408" s="2"/>
      <c r="C408" s="2" t="s">
        <v>112</v>
      </c>
    </row>
    <row r="409" spans="1:36" ht="12.9" customHeight="1">
      <c r="B409" s="2"/>
      <c r="C409" s="2"/>
      <c r="D409" s="2" t="s">
        <v>1347</v>
      </c>
      <c r="I409" s="1435" t="s">
        <v>2706</v>
      </c>
      <c r="J409" s="1435"/>
      <c r="K409" s="1435"/>
      <c r="L409" s="1435"/>
      <c r="M409" s="1435"/>
      <c r="N409" s="1435"/>
      <c r="O409" s="1435"/>
      <c r="P409" s="1435"/>
      <c r="Q409" s="1435"/>
      <c r="R409" s="1435"/>
      <c r="S409" s="1435"/>
      <c r="T409" s="1435"/>
      <c r="U409" s="1435"/>
      <c r="V409" s="1435"/>
      <c r="W409" s="1435"/>
      <c r="X409" s="1435"/>
      <c r="Y409" s="1435"/>
      <c r="Z409" s="1435"/>
      <c r="AA409" s="1435"/>
      <c r="AB409" s="1435"/>
      <c r="AC409" s="1435"/>
      <c r="AD409" s="1435"/>
      <c r="AE409" s="1435"/>
    </row>
    <row r="410" spans="1:36" ht="12.9" customHeight="1">
      <c r="E410" t="s">
        <v>107</v>
      </c>
      <c r="R410" s="1373" t="s">
        <v>600</v>
      </c>
      <c r="S410" s="1373"/>
      <c r="T410" t="s">
        <v>579</v>
      </c>
      <c r="AD410" s="1378">
        <v>0</v>
      </c>
      <c r="AE410" s="1378"/>
    </row>
    <row r="411" spans="1:36" ht="12.9" customHeight="1">
      <c r="E411" t="s">
        <v>108</v>
      </c>
      <c r="R411" s="1373" t="s">
        <v>554</v>
      </c>
      <c r="S411" s="1373"/>
      <c r="T411" t="s">
        <v>579</v>
      </c>
      <c r="AD411" s="1378">
        <v>3</v>
      </c>
      <c r="AE411" s="1378"/>
    </row>
    <row r="412" spans="1:36" ht="12.9" customHeight="1">
      <c r="E412" t="s">
        <v>109</v>
      </c>
      <c r="S412" s="1373" t="s">
        <v>600</v>
      </c>
      <c r="T412" s="1373"/>
    </row>
    <row r="413" spans="1:36" ht="12.9" customHeight="1">
      <c r="E413" t="s">
        <v>170</v>
      </c>
      <c r="H413" s="1700" t="s">
        <v>2707</v>
      </c>
      <c r="I413" s="1700"/>
      <c r="J413" s="1700"/>
      <c r="K413" s="1700"/>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row>
    <row r="414" spans="1:36" ht="12.9" customHeight="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2.9" customHeight="1"/>
    <row r="416" spans="1:36" ht="12.9" customHeight="1">
      <c r="A416" s="2" t="s">
        <v>599</v>
      </c>
      <c r="B416" s="2"/>
      <c r="C416" s="2"/>
      <c r="D416" s="2" t="s">
        <v>115</v>
      </c>
      <c r="AF416" s="2" t="s">
        <v>997</v>
      </c>
    </row>
    <row r="417" spans="1:39" ht="12.9" customHeight="1">
      <c r="E417" s="1443"/>
      <c r="F417" s="1443"/>
      <c r="G417" s="1443"/>
      <c r="H417" s="13" t="s">
        <v>116</v>
      </c>
      <c r="I417" s="1443"/>
      <c r="J417" s="1443"/>
      <c r="K417" s="1443"/>
      <c r="L417" t="s">
        <v>117</v>
      </c>
      <c r="N417" s="27" t="s">
        <v>584</v>
      </c>
      <c r="P417" s="1591">
        <v>4.71</v>
      </c>
      <c r="Q417" s="1591"/>
      <c r="R417" s="1591"/>
      <c r="S417" t="s">
        <v>118</v>
      </c>
      <c r="W417" s="1364">
        <f>IF(E417&gt;0,(E417*I417),(P417*43560))</f>
        <v>205167.6</v>
      </c>
      <c r="X417" s="1364"/>
      <c r="Y417" s="1364"/>
      <c r="Z417" t="s">
        <v>119</v>
      </c>
      <c r="AF417" s="1529">
        <f>IF(P417&gt;0,(AG436/P417),(AG436/(W417/43560)))</f>
        <v>37.367303609341825</v>
      </c>
      <c r="AG417" s="1529"/>
      <c r="AH417" s="1529"/>
      <c r="AM417" s="3"/>
    </row>
    <row r="418" spans="1:39" ht="12.9" customHeight="1">
      <c r="E418" t="s">
        <v>51</v>
      </c>
    </row>
    <row r="419" spans="1:39" ht="12.9"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 customHeight="1">
      <c r="E420" s="118" t="s">
        <v>1997</v>
      </c>
      <c r="F420" s="1050"/>
      <c r="G420" s="1050"/>
      <c r="H420" s="1050"/>
      <c r="I420" s="1711">
        <v>4.71</v>
      </c>
      <c r="J420" s="1711"/>
      <c r="K420" s="1711"/>
      <c r="L420" s="1050"/>
      <c r="M420" s="118"/>
      <c r="N420" s="1050"/>
      <c r="O420" s="1050"/>
      <c r="P420" s="1735">
        <f>(CS623+CS631+CS647)/I420</f>
        <v>65.392781316348191</v>
      </c>
      <c r="Q420" s="1735"/>
      <c r="R420" s="173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601</v>
      </c>
      <c r="B422" s="2"/>
      <c r="C422" s="2"/>
      <c r="D422" s="2" t="s">
        <v>121</v>
      </c>
    </row>
    <row r="423" spans="1:39" ht="12.9" customHeight="1">
      <c r="E423" t="s">
        <v>122</v>
      </c>
      <c r="P423" s="1373">
        <v>9</v>
      </c>
      <c r="Q423" s="1373"/>
      <c r="S423" t="s">
        <v>190</v>
      </c>
      <c r="AE423" s="1373">
        <v>8</v>
      </c>
      <c r="AF423" s="1373"/>
    </row>
    <row r="424" spans="1:39" ht="12.9" customHeight="1">
      <c r="E424" t="s">
        <v>191</v>
      </c>
      <c r="P424" s="1373">
        <v>1</v>
      </c>
      <c r="Q424" s="1373"/>
      <c r="S424" t="s">
        <v>132</v>
      </c>
      <c r="AE424" s="1373" t="s">
        <v>600</v>
      </c>
      <c r="AF424" s="1373"/>
    </row>
    <row r="425" spans="1:39" ht="12.9" customHeight="1">
      <c r="F425" s="28" t="s">
        <v>133</v>
      </c>
    </row>
    <row r="426" spans="1:39" ht="12.9"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 customHeight="1">
      <c r="E428" t="s">
        <v>617</v>
      </c>
      <c r="P428" s="1"/>
      <c r="Q428" s="1373" t="s">
        <v>554</v>
      </c>
      <c r="R428" s="1373"/>
    </row>
    <row r="429" spans="1:39" ht="12.9" customHeight="1">
      <c r="F429" t="s">
        <v>618</v>
      </c>
      <c r="P429" s="1"/>
      <c r="Q429" s="1"/>
      <c r="AF429" s="1373" t="s">
        <v>600</v>
      </c>
      <c r="AG429" s="1567"/>
    </row>
    <row r="430" spans="1:39" ht="12.9" customHeight="1"/>
    <row r="431" spans="1:39" ht="12.9" customHeight="1">
      <c r="A431" s="2"/>
      <c r="B431" s="2"/>
      <c r="C431" s="2"/>
      <c r="E431" s="4" t="s">
        <v>309</v>
      </c>
      <c r="Z431" s="1373" t="s">
        <v>678</v>
      </c>
      <c r="AA431" s="137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 customHeight="1"/>
    <row r="435" spans="1:110" ht="12.9" customHeight="1">
      <c r="A435" s="2" t="s">
        <v>476</v>
      </c>
      <c r="B435" s="2"/>
      <c r="C435" s="2"/>
      <c r="D435" s="2" t="s">
        <v>788</v>
      </c>
      <c r="AF435" s="48"/>
    </row>
    <row r="436" spans="1:110" ht="12.9"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7">
        <v>176</v>
      </c>
      <c r="AH436" s="1357"/>
      <c r="AI436" s="1357"/>
      <c r="AJ436" s="1357"/>
    </row>
    <row r="437" spans="1:110" ht="12.9"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175</v>
      </c>
      <c r="AH438" s="1357"/>
      <c r="AI438" s="1357"/>
      <c r="AJ438" s="1357"/>
    </row>
    <row r="439" spans="1:110" ht="12.9"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175</v>
      </c>
      <c r="AH439" s="1357"/>
      <c r="AI439" s="1357"/>
      <c r="AJ439" s="1357"/>
    </row>
    <row r="440" spans="1:110" ht="12.9"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135319</v>
      </c>
      <c r="AH441" s="1358"/>
      <c r="AI441" s="1358"/>
      <c r="AJ441" s="1358"/>
    </row>
    <row r="442" spans="1:110" ht="12.9"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135319</v>
      </c>
      <c r="AH442" s="1358"/>
      <c r="AI442" s="1358"/>
      <c r="AJ442" s="1358"/>
    </row>
    <row r="443" spans="1:110" ht="12.9"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 customHeight="1">
      <c r="D445" s="1361" t="s">
        <v>2511</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8">
        <v>2018</v>
      </c>
      <c r="AH445" s="1358"/>
      <c r="AI445" s="1358"/>
      <c r="AJ445" s="1358"/>
    </row>
    <row r="446" spans="1:110" ht="12.9" customHeight="1">
      <c r="D446" s="1423" t="s">
        <v>578</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1" t="s">
        <v>1348</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8">
        <v>2442</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1" t="s">
        <v>1099</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21" t="s">
        <v>1100</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2">
        <f>AG441+AG445+AG447+AG448</f>
        <v>139779</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4" t="s">
        <v>1349</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433238.63636363635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433238.63636363635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399816.39204545453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457" t="s">
        <v>2527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7"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170</v>
      </c>
      <c r="E472" s="262"/>
      <c r="F472" s="263"/>
      <c r="G472" s="1459" t="s">
        <v>2709</v>
      </c>
      <c r="H472" s="1460"/>
      <c r="I472" s="1460"/>
      <c r="J472" s="1460"/>
      <c r="K472" s="1460"/>
      <c r="L472" s="1460"/>
      <c r="M472" s="1460"/>
      <c r="N472" s="1460"/>
      <c r="O472" s="1460"/>
      <c r="P472" s="1460"/>
      <c r="Q472" s="1460"/>
      <c r="R472" s="1460"/>
      <c r="S472" s="1460"/>
      <c r="T472" s="1460"/>
      <c r="U472" s="1460"/>
      <c r="V472" s="1461"/>
      <c r="W472" s="1349">
        <v>176</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441" t="s">
        <v>835</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422" t="s">
        <v>394</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395</v>
      </c>
      <c r="C484" s="5"/>
      <c r="D484" s="5"/>
      <c r="E484" s="5"/>
      <c r="F484" s="5"/>
      <c r="G484" s="5"/>
      <c r="H484" s="5"/>
      <c r="I484" s="5"/>
      <c r="J484" s="5"/>
      <c r="K484" s="5"/>
      <c r="L484" s="5"/>
      <c r="M484" s="5"/>
      <c r="N484" s="5"/>
      <c r="O484" s="5"/>
      <c r="P484" s="5"/>
      <c r="Q484" s="1365" t="s">
        <v>2710</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396</v>
      </c>
      <c r="C485" s="5"/>
      <c r="D485" s="5"/>
      <c r="E485" s="5"/>
      <c r="F485" s="5"/>
      <c r="G485" s="5"/>
      <c r="H485" s="5"/>
      <c r="I485" s="5"/>
      <c r="J485" s="5"/>
      <c r="K485" s="5"/>
      <c r="L485" s="5"/>
      <c r="M485" s="5"/>
      <c r="N485" s="5"/>
      <c r="O485" s="5"/>
      <c r="P485" s="5"/>
      <c r="Q485" s="1365" t="s">
        <v>2711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397</v>
      </c>
      <c r="C486" s="5"/>
      <c r="D486" s="5"/>
      <c r="E486" s="5"/>
      <c r="F486" s="5"/>
      <c r="G486" s="5"/>
      <c r="H486" s="5"/>
      <c r="I486" s="5"/>
      <c r="J486" s="5"/>
      <c r="K486" s="5"/>
      <c r="L486" s="5"/>
      <c r="M486" s="5"/>
      <c r="N486" s="5"/>
      <c r="O486" s="5"/>
      <c r="P486" s="5"/>
      <c r="Q486" s="1365" t="s">
        <v>2712</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96" t="s">
        <v>398</v>
      </c>
      <c r="C487" s="1397"/>
      <c r="D487" s="1397"/>
      <c r="E487" s="1397"/>
      <c r="F487" s="1397"/>
      <c r="G487" s="1397"/>
      <c r="H487" s="1397"/>
      <c r="I487" s="1397"/>
      <c r="J487" s="1397"/>
      <c r="K487" s="1397"/>
      <c r="L487" s="1397"/>
      <c r="M487" s="1397"/>
      <c r="N487" s="1397"/>
      <c r="O487" s="1397"/>
      <c r="P487" s="1398"/>
      <c r="Q487" s="1402" t="s">
        <v>554</v>
      </c>
      <c r="R487" s="1403"/>
      <c r="S487" s="1720" t="s">
        <v>2713</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99"/>
      <c r="C488" s="1400"/>
      <c r="D488" s="1400"/>
      <c r="E488" s="1400"/>
      <c r="F488" s="1400"/>
      <c r="G488" s="1400"/>
      <c r="H488" s="1400"/>
      <c r="I488" s="1400"/>
      <c r="J488" s="1400"/>
      <c r="K488" s="1400"/>
      <c r="L488" s="1400"/>
      <c r="M488" s="1400"/>
      <c r="N488" s="1400"/>
      <c r="O488" s="1400"/>
      <c r="P488" s="1401"/>
      <c r="Q488" s="1404"/>
      <c r="R488" s="1405"/>
      <c r="S488" s="1723"/>
      <c r="T488" s="1445"/>
      <c r="U488" s="1445"/>
      <c r="V488" s="1445"/>
      <c r="W488" s="1445"/>
      <c r="X488" s="1445"/>
      <c r="Y488" s="1445"/>
      <c r="Z488" s="1445"/>
      <c r="AA488" s="1445"/>
      <c r="AB488" s="1445"/>
      <c r="AC488" s="1445"/>
      <c r="AD488" s="1445"/>
      <c r="AE488" s="1445"/>
      <c r="AF488" s="1445"/>
      <c r="AG488" s="1445"/>
      <c r="AH488" s="1445"/>
      <c r="AI488" s="1445"/>
      <c r="AJ488" s="1445"/>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1853</v>
      </c>
      <c r="C489" s="909"/>
      <c r="D489" s="909"/>
      <c r="E489" s="909"/>
      <c r="F489" s="909"/>
      <c r="G489" s="909"/>
      <c r="H489" s="909"/>
      <c r="I489" s="909"/>
      <c r="J489" s="909"/>
      <c r="K489" s="909"/>
      <c r="L489" s="909"/>
      <c r="M489" s="909"/>
      <c r="N489" s="909"/>
      <c r="O489" s="909"/>
      <c r="P489" s="909"/>
      <c r="Q489" s="1453" t="s">
        <v>678</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399</v>
      </c>
      <c r="C490" s="5"/>
      <c r="D490" s="5"/>
      <c r="E490" s="5"/>
      <c r="F490" s="5"/>
      <c r="G490" s="5"/>
      <c r="H490" s="5"/>
      <c r="I490" s="5"/>
      <c r="J490" s="5"/>
      <c r="K490" s="5"/>
      <c r="L490" s="5"/>
      <c r="M490" s="5"/>
      <c r="N490" s="5"/>
      <c r="O490" s="5"/>
      <c r="P490" s="5"/>
      <c r="Q490" s="1406" t="s">
        <v>2714</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400</v>
      </c>
      <c r="C491" s="5"/>
      <c r="D491" s="5"/>
      <c r="E491" s="5"/>
      <c r="F491" s="5"/>
      <c r="G491" s="5"/>
      <c r="H491" s="5"/>
      <c r="I491" s="5"/>
      <c r="J491" s="5"/>
      <c r="K491" s="5"/>
      <c r="L491" s="5"/>
      <c r="M491" s="5"/>
      <c r="N491" s="5"/>
      <c r="O491" s="5"/>
      <c r="P491" s="5"/>
      <c r="Q491" s="1406" t="s">
        <v>2715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1850</v>
      </c>
      <c r="C492" s="5"/>
      <c r="D492" s="5"/>
      <c r="E492" s="5"/>
      <c r="F492" s="5"/>
      <c r="G492" s="5"/>
      <c r="H492" s="5"/>
      <c r="I492" s="5"/>
      <c r="J492" s="5"/>
      <c r="K492" s="5"/>
      <c r="L492" s="5"/>
      <c r="M492" s="5"/>
      <c r="N492" s="5"/>
      <c r="O492" s="5"/>
      <c r="P492" s="5"/>
      <c r="Q492" s="1365">
        <v>197</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v>197</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402</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403</v>
      </c>
      <c r="AD498" s="1418"/>
      <c r="AE498" s="1418"/>
      <c r="AF498" s="1418"/>
      <c r="AG498" s="50" t="s">
        <v>404</v>
      </c>
      <c r="AH498" s="1418" t="s">
        <v>405</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409" t="s">
        <v>406</v>
      </c>
      <c r="C499" s="1410"/>
      <c r="D499" s="1410"/>
      <c r="E499" s="1410"/>
      <c r="F499" s="1410"/>
      <c r="G499" s="1410"/>
      <c r="H499" s="1411"/>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412"/>
      <c r="C500" s="1413"/>
      <c r="D500" s="1413"/>
      <c r="E500" s="1413"/>
      <c r="F500" s="1413"/>
      <c r="G500" s="1413"/>
      <c r="H500" s="1414"/>
      <c r="I500" s="48" t="s">
        <v>408</v>
      </c>
      <c r="J500" s="48"/>
      <c r="K500" s="48"/>
      <c r="L500" s="48"/>
      <c r="M500" s="48"/>
      <c r="N500" s="48"/>
      <c r="O500" s="48"/>
      <c r="P500" s="48"/>
      <c r="Q500" s="48"/>
      <c r="R500" s="48"/>
      <c r="S500" s="48"/>
      <c r="T500" s="48"/>
      <c r="U500" s="48"/>
      <c r="V500" s="48"/>
      <c r="W500" s="48"/>
      <c r="X500" s="48"/>
      <c r="Y500" s="48"/>
      <c r="Z500" s="48"/>
      <c r="AA500" s="48"/>
      <c r="AB500" s="48"/>
      <c r="AC500" s="1377">
        <v>10</v>
      </c>
      <c r="AD500" s="1378"/>
      <c r="AE500" s="1378"/>
      <c r="AF500" s="1378"/>
      <c r="AG500" s="38" t="s">
        <v>404</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409" t="s">
        <v>409</v>
      </c>
      <c r="C501" s="1410"/>
      <c r="D501" s="1410"/>
      <c r="E501" s="1410"/>
      <c r="F501" s="1410"/>
      <c r="G501" s="1410"/>
      <c r="H501" s="1411"/>
      <c r="I501" s="42" t="s">
        <v>410</v>
      </c>
      <c r="J501" s="42"/>
      <c r="K501" s="42"/>
      <c r="L501" s="42"/>
      <c r="M501" s="42"/>
      <c r="N501" s="42"/>
      <c r="O501" s="42"/>
      <c r="P501" s="42"/>
      <c r="Q501" s="42"/>
      <c r="R501" s="42"/>
      <c r="S501" s="42"/>
      <c r="T501" s="42"/>
      <c r="U501" s="42"/>
      <c r="V501" s="42"/>
      <c r="W501" s="42"/>
      <c r="AC501" s="1377" t="s">
        <v>600</v>
      </c>
      <c r="AD501" s="1378"/>
      <c r="AE501" s="1378"/>
      <c r="AF501" s="1378"/>
      <c r="AG501" s="13" t="s">
        <v>404</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412"/>
      <c r="C502" s="1413"/>
      <c r="D502" s="1413"/>
      <c r="E502" s="1413"/>
      <c r="F502" s="1413"/>
      <c r="G502" s="1413"/>
      <c r="H502" s="1414"/>
      <c r="I502" t="s">
        <v>411</v>
      </c>
      <c r="AC502" s="1377"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412"/>
      <c r="C503" s="1413"/>
      <c r="D503" s="1413"/>
      <c r="E503" s="1413"/>
      <c r="F503" s="1413"/>
      <c r="G503" s="1413"/>
      <c r="H503" s="1414"/>
      <c r="I503" t="s">
        <v>412</v>
      </c>
      <c r="AC503" s="1377" t="s">
        <v>600</v>
      </c>
      <c r="AD503" s="1378"/>
      <c r="AE503" s="1378"/>
      <c r="AF503" s="1378"/>
      <c r="AG503" s="13" t="s">
        <v>404</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412"/>
      <c r="C504" s="1413"/>
      <c r="D504" s="1413"/>
      <c r="E504" s="1413"/>
      <c r="F504" s="1413"/>
      <c r="G504" s="1413"/>
      <c r="H504" s="1414"/>
      <c r="I504" t="s">
        <v>413</v>
      </c>
      <c r="AC504" s="1377" t="s">
        <v>600</v>
      </c>
      <c r="AD504" s="1378"/>
      <c r="AE504" s="1378"/>
      <c r="AF504" s="1378"/>
      <c r="AG504" s="13" t="s">
        <v>404</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412"/>
      <c r="C505" s="1413"/>
      <c r="D505" s="1413"/>
      <c r="E505" s="1413"/>
      <c r="F505" s="1413"/>
      <c r="G505" s="1413"/>
      <c r="H505" s="1414"/>
      <c r="I505" s="3" t="s">
        <v>414</v>
      </c>
      <c r="AC505" s="1379" t="s">
        <v>600</v>
      </c>
      <c r="AD505" s="1380"/>
      <c r="AE505" s="1380"/>
      <c r="AF505" s="1380"/>
      <c r="AG505" s="13" t="s">
        <v>404</v>
      </c>
      <c r="AH505" s="1355"/>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412"/>
      <c r="C506" s="1413"/>
      <c r="D506" s="1413"/>
      <c r="E506" s="1413"/>
      <c r="F506" s="1413"/>
      <c r="G506" s="1413"/>
      <c r="H506" s="1414"/>
      <c r="I506" s="933" t="s">
        <v>170</v>
      </c>
      <c r="J506" s="48"/>
      <c r="K506" s="48"/>
      <c r="L506" s="1407" t="s">
        <v>2716</v>
      </c>
      <c r="M506" s="1408"/>
      <c r="N506" s="1408"/>
      <c r="O506" s="1408"/>
      <c r="P506" s="1408"/>
      <c r="Q506" s="1408"/>
      <c r="R506" s="1408"/>
      <c r="S506" s="1408"/>
      <c r="T506" s="1408"/>
      <c r="U506" s="1408"/>
      <c r="V506" s="1408"/>
      <c r="W506" s="1408"/>
      <c r="X506" s="1408"/>
      <c r="Y506" s="1408"/>
      <c r="Z506" s="1408"/>
      <c r="AA506" s="1408"/>
      <c r="AB506" s="1433"/>
      <c r="AC506" s="1377">
        <v>1</v>
      </c>
      <c r="AD506" s="1378"/>
      <c r="AE506" s="1378"/>
      <c r="AF506" s="1378"/>
      <c r="AG506" s="38" t="s">
        <v>404</v>
      </c>
      <c r="AH506" s="1355">
        <v>2021</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1857</v>
      </c>
      <c r="AC507" s="1357" t="s">
        <v>1327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403</v>
      </c>
      <c r="AD511" s="1451"/>
      <c r="AE511" s="1451"/>
      <c r="AF511" s="1451"/>
      <c r="AG511" s="38" t="s">
        <v>404</v>
      </c>
      <c r="AH511" s="1451" t="s">
        <v>405</v>
      </c>
      <c r="AI511" s="1451"/>
      <c r="AJ511" s="1451"/>
      <c r="AK511" s="1452"/>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409" t="s">
        <v>415</v>
      </c>
      <c r="C512" s="1410"/>
      <c r="D512" s="1410"/>
      <c r="E512" s="1410"/>
      <c r="F512" s="1410"/>
      <c r="G512" s="1410"/>
      <c r="H512" s="1411"/>
      <c r="I512" s="42" t="s">
        <v>416</v>
      </c>
      <c r="J512" s="42"/>
      <c r="K512" s="42"/>
      <c r="L512" s="42"/>
      <c r="M512" s="42"/>
      <c r="N512" s="42"/>
      <c r="O512" s="42"/>
      <c r="P512" s="42"/>
      <c r="Q512" s="42"/>
      <c r="R512" s="42"/>
      <c r="S512" s="42"/>
      <c r="T512" s="42"/>
      <c r="U512" s="42"/>
      <c r="V512" s="42"/>
      <c r="W512" s="42"/>
      <c r="AC512" s="1377">
        <v>1</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412"/>
      <c r="C513" s="1413"/>
      <c r="D513" s="1413"/>
      <c r="E513" s="1413"/>
      <c r="F513" s="1413"/>
      <c r="G513" s="1413"/>
      <c r="H513" s="1414"/>
      <c r="I513" t="s">
        <v>417</v>
      </c>
      <c r="AC513" s="1377">
        <v>1</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412"/>
      <c r="C514" s="1413"/>
      <c r="D514" s="1413"/>
      <c r="E514" s="1413"/>
      <c r="F514" s="1413"/>
      <c r="G514" s="1413"/>
      <c r="H514" s="1414"/>
      <c r="I514" s="48" t="s">
        <v>418</v>
      </c>
      <c r="J514" s="48"/>
      <c r="K514" s="48"/>
      <c r="L514" s="48"/>
      <c r="M514" s="48"/>
      <c r="N514" s="48"/>
      <c r="O514" s="48"/>
      <c r="P514" s="48"/>
      <c r="Q514" s="48"/>
      <c r="R514" s="48"/>
      <c r="S514" s="48"/>
      <c r="T514" s="48"/>
      <c r="U514" s="48"/>
      <c r="V514" s="48"/>
      <c r="W514" s="48"/>
      <c r="X514" s="48"/>
      <c r="Y514" s="48"/>
      <c r="Z514" s="48"/>
      <c r="AA514" s="48"/>
      <c r="AB514" s="48"/>
      <c r="AC514" s="1377">
        <v>10</v>
      </c>
      <c r="AD514" s="1378"/>
      <c r="AE514" s="1378"/>
      <c r="AF514" s="1378"/>
      <c r="AG514" s="38" t="s">
        <v>404</v>
      </c>
      <c r="AH514" s="1355">
        <v>2023</v>
      </c>
      <c r="AI514" s="1355"/>
      <c r="AJ514" s="1355"/>
      <c r="AK514" s="135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409" t="s">
        <v>419</v>
      </c>
      <c r="C515" s="1410"/>
      <c r="D515" s="1410"/>
      <c r="E515" s="1410"/>
      <c r="F515" s="1410"/>
      <c r="G515" s="1410"/>
      <c r="H515" s="1411"/>
      <c r="I515" s="42" t="s">
        <v>416</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412"/>
      <c r="C516" s="1413"/>
      <c r="D516" s="1413"/>
      <c r="E516" s="1413"/>
      <c r="F516" s="1413"/>
      <c r="G516" s="1413"/>
      <c r="H516" s="1414"/>
      <c r="I516" t="s">
        <v>417</v>
      </c>
      <c r="AC516" s="1377">
        <v>1</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415"/>
      <c r="C517" s="1416"/>
      <c r="D517" s="1416"/>
      <c r="E517" s="1416"/>
      <c r="F517" s="1416"/>
      <c r="G517" s="1416"/>
      <c r="H517" s="1417"/>
      <c r="I517" s="48" t="s">
        <v>418</v>
      </c>
      <c r="J517" s="48"/>
      <c r="K517" s="48"/>
      <c r="L517" s="48"/>
      <c r="M517" s="48"/>
      <c r="N517" s="48"/>
      <c r="O517" s="48"/>
      <c r="P517" s="48"/>
      <c r="Q517" s="48"/>
      <c r="R517" s="48"/>
      <c r="S517" s="48"/>
      <c r="T517" s="48"/>
      <c r="U517" s="48"/>
      <c r="V517" s="48"/>
      <c r="W517" s="48"/>
      <c r="X517" s="48"/>
      <c r="Y517" s="48"/>
      <c r="Z517" s="48"/>
      <c r="AA517" s="48"/>
      <c r="AB517" s="48"/>
      <c r="AC517" s="1377">
        <v>4</v>
      </c>
      <c r="AD517" s="1378"/>
      <c r="AE517" s="1378"/>
      <c r="AF517" s="1378"/>
      <c r="AG517" s="38" t="s">
        <v>404</v>
      </c>
      <c r="AH517" s="1355">
        <v>2026</v>
      </c>
      <c r="AI517" s="1355"/>
      <c r="AJ517" s="1355"/>
      <c r="AK517" s="135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409" t="s">
        <v>420</v>
      </c>
      <c r="C518" s="1410"/>
      <c r="D518" s="1410"/>
      <c r="E518" s="1410"/>
      <c r="F518" s="1410"/>
      <c r="G518" s="1410"/>
      <c r="H518" s="1411"/>
      <c r="I518" s="41" t="s">
        <v>421</v>
      </c>
      <c r="J518" s="42"/>
      <c r="K518" s="42"/>
      <c r="L518" s="42"/>
      <c r="M518" s="42"/>
      <c r="N518" s="42"/>
      <c r="O518" s="1407" t="s">
        <v>2717</v>
      </c>
      <c r="P518" s="1408"/>
      <c r="Q518" s="1408"/>
      <c r="R518" s="1408"/>
      <c r="S518" s="1408"/>
      <c r="T518" s="1408"/>
      <c r="U518" s="1408"/>
      <c r="V518" s="1408"/>
      <c r="W518" s="1408"/>
      <c r="X518" s="1408"/>
      <c r="Y518" s="1408"/>
      <c r="Z518" s="1408"/>
      <c r="AA518" s="1408"/>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412"/>
      <c r="C519" s="1413"/>
      <c r="D519" s="1413"/>
      <c r="E519" s="1413"/>
      <c r="F519" s="1413"/>
      <c r="G519" s="1413"/>
      <c r="H519" s="1414"/>
      <c r="I519" s="114" t="s">
        <v>422</v>
      </c>
      <c r="AB519" s="65"/>
      <c r="AC519" s="1377">
        <v>12</v>
      </c>
      <c r="AD519" s="1378"/>
      <c r="AE519" s="1378"/>
      <c r="AF519" s="1378"/>
      <c r="AG519" s="13" t="s">
        <v>404</v>
      </c>
      <c r="AH519" s="1355">
        <v>2021</v>
      </c>
      <c r="AI519" s="1355"/>
      <c r="AJ519" s="1355"/>
      <c r="AK519" s="135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412"/>
      <c r="C520" s="1413"/>
      <c r="D520" s="1413"/>
      <c r="E520" s="1413"/>
      <c r="F520" s="1413"/>
      <c r="G520" s="1413"/>
      <c r="H520" s="1414"/>
      <c r="I520" s="47" t="s">
        <v>423</v>
      </c>
      <c r="J520" s="48"/>
      <c r="K520" s="48"/>
      <c r="L520" s="48"/>
      <c r="M520" s="48"/>
      <c r="N520" s="48"/>
      <c r="O520" s="48"/>
      <c r="P520" s="48"/>
      <c r="Q520" s="48"/>
      <c r="R520" s="48"/>
      <c r="S520" s="48"/>
      <c r="T520" s="48"/>
      <c r="U520" s="48"/>
      <c r="V520" s="48"/>
      <c r="W520" s="48"/>
      <c r="X520" s="48"/>
      <c r="Y520" s="48"/>
      <c r="Z520" s="48"/>
      <c r="AA520" s="48"/>
      <c r="AB520" s="49"/>
      <c r="AC520" s="1377">
        <v>10</v>
      </c>
      <c r="AD520" s="1378"/>
      <c r="AE520" s="1378"/>
      <c r="AF520" s="1378"/>
      <c r="AG520" s="38" t="s">
        <v>404</v>
      </c>
      <c r="AH520" s="1355">
        <v>2023</v>
      </c>
      <c r="AI520" s="1355"/>
      <c r="AJ520" s="1355"/>
      <c r="AK520" s="135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412"/>
      <c r="C521" s="1413"/>
      <c r="D521" s="1413"/>
      <c r="E521" s="1413"/>
      <c r="F521" s="1413"/>
      <c r="G521" s="1413"/>
      <c r="H521" s="1414"/>
      <c r="I521" s="42" t="s">
        <v>424</v>
      </c>
      <c r="J521" s="42"/>
      <c r="K521" s="42"/>
      <c r="L521" s="42"/>
      <c r="M521" s="42"/>
      <c r="N521" s="42"/>
      <c r="O521" s="1407" t="s">
        <v>2718</v>
      </c>
      <c r="P521" s="1408"/>
      <c r="Q521" s="1408"/>
      <c r="R521" s="1408"/>
      <c r="S521" s="1408"/>
      <c r="T521" s="1408"/>
      <c r="U521" s="1408"/>
      <c r="V521" s="1408"/>
      <c r="W521" s="1408"/>
      <c r="X521" s="1408"/>
      <c r="Y521" s="1408"/>
      <c r="Z521" s="1408"/>
      <c r="AA521" s="1408"/>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412"/>
      <c r="C522" s="1413"/>
      <c r="D522" s="1413"/>
      <c r="E522" s="1413"/>
      <c r="F522" s="1413"/>
      <c r="G522" s="1413"/>
      <c r="H522" s="1414"/>
      <c r="I522" t="s">
        <v>422</v>
      </c>
      <c r="AC522" s="1377">
        <v>1</v>
      </c>
      <c r="AD522" s="1378"/>
      <c r="AE522" s="1378"/>
      <c r="AF522" s="1378"/>
      <c r="AG522" s="13" t="s">
        <v>404</v>
      </c>
      <c r="AH522" s="1355">
        <v>2022</v>
      </c>
      <c r="AI522" s="1355"/>
      <c r="AJ522" s="1355"/>
      <c r="AK522" s="135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412"/>
      <c r="C523" s="1413"/>
      <c r="D523" s="1413"/>
      <c r="E523" s="1413"/>
      <c r="F523" s="1413"/>
      <c r="G523" s="1413"/>
      <c r="H523" s="1414"/>
      <c r="I523" s="48" t="s">
        <v>423</v>
      </c>
      <c r="J523" s="48"/>
      <c r="K523" s="48"/>
      <c r="L523" s="48"/>
      <c r="M523" s="48"/>
      <c r="N523" s="48"/>
      <c r="O523" s="48"/>
      <c r="P523" s="48"/>
      <c r="Q523" s="48"/>
      <c r="R523" s="48"/>
      <c r="S523" s="48"/>
      <c r="T523" s="48"/>
      <c r="U523" s="48"/>
      <c r="V523" s="48"/>
      <c r="W523" s="48"/>
      <c r="X523" s="48"/>
      <c r="Y523" s="48"/>
      <c r="Z523" s="48"/>
      <c r="AA523" s="48"/>
      <c r="AB523" s="48"/>
      <c r="AC523" s="1377">
        <v>10</v>
      </c>
      <c r="AD523" s="1378"/>
      <c r="AE523" s="1378"/>
      <c r="AF523" s="1378"/>
      <c r="AG523" s="38" t="s">
        <v>404</v>
      </c>
      <c r="AH523" s="1355">
        <v>2023</v>
      </c>
      <c r="AI523" s="1355"/>
      <c r="AJ523" s="1355"/>
      <c r="AK523" s="135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412"/>
      <c r="C524" s="1413"/>
      <c r="D524" s="1413"/>
      <c r="E524" s="1413"/>
      <c r="F524" s="1413"/>
      <c r="G524" s="1413"/>
      <c r="H524" s="1414"/>
      <c r="I524" s="42" t="s">
        <v>424</v>
      </c>
      <c r="J524" s="42"/>
      <c r="K524" s="42"/>
      <c r="L524" s="42"/>
      <c r="M524" s="42"/>
      <c r="N524" s="42"/>
      <c r="O524" s="1407" t="s">
        <v>2719</v>
      </c>
      <c r="P524" s="1408"/>
      <c r="Q524" s="1408"/>
      <c r="R524" s="1408"/>
      <c r="S524" s="1408"/>
      <c r="T524" s="1408"/>
      <c r="U524" s="1408"/>
      <c r="V524" s="1408"/>
      <c r="W524" s="1408"/>
      <c r="X524" s="1408"/>
      <c r="Y524" s="1408"/>
      <c r="Z524" s="1408"/>
      <c r="AA524" s="1408"/>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412"/>
      <c r="C525" s="1413"/>
      <c r="D525" s="1413"/>
      <c r="E525" s="1413"/>
      <c r="F525" s="1413"/>
      <c r="G525" s="1413"/>
      <c r="H525" s="1414"/>
      <c r="I525" t="s">
        <v>422</v>
      </c>
      <c r="AC525" s="1377">
        <v>1</v>
      </c>
      <c r="AD525" s="1378"/>
      <c r="AE525" s="1378"/>
      <c r="AF525" s="1378"/>
      <c r="AG525" s="13" t="s">
        <v>404</v>
      </c>
      <c r="AH525" s="1355">
        <v>2022</v>
      </c>
      <c r="AI525" s="1355"/>
      <c r="AJ525" s="1355"/>
      <c r="AK525" s="135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2"/>
      <c r="C526" s="1413"/>
      <c r="D526" s="1413"/>
      <c r="E526" s="1413"/>
      <c r="F526" s="1413"/>
      <c r="G526" s="1413"/>
      <c r="H526" s="1414"/>
      <c r="I526" s="48" t="s">
        <v>423</v>
      </c>
      <c r="J526" s="48"/>
      <c r="K526" s="48"/>
      <c r="L526" s="48"/>
      <c r="M526" s="48"/>
      <c r="N526" s="48"/>
      <c r="O526" s="48"/>
      <c r="P526" s="48"/>
      <c r="Q526" s="48"/>
      <c r="R526" s="48"/>
      <c r="S526" s="48"/>
      <c r="T526" s="48"/>
      <c r="U526" s="48"/>
      <c r="V526" s="48"/>
      <c r="W526" s="48"/>
      <c r="X526" s="48"/>
      <c r="Y526" s="48"/>
      <c r="Z526" s="48"/>
      <c r="AA526" s="48"/>
      <c r="AB526" s="48"/>
      <c r="AC526" s="1377">
        <v>10</v>
      </c>
      <c r="AD526" s="1378"/>
      <c r="AE526" s="1378"/>
      <c r="AF526" s="1378"/>
      <c r="AG526" s="38" t="s">
        <v>404</v>
      </c>
      <c r="AH526" s="1355">
        <v>2023</v>
      </c>
      <c r="AI526" s="1355"/>
      <c r="AJ526" s="1355"/>
      <c r="AK526" s="135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2"/>
      <c r="C527" s="1413"/>
      <c r="D527" s="1413"/>
      <c r="E527" s="1413"/>
      <c r="F527" s="1413"/>
      <c r="G527" s="1413"/>
      <c r="H527" s="1414"/>
      <c r="I527" s="42" t="s">
        <v>424</v>
      </c>
      <c r="J527" s="42"/>
      <c r="K527" s="42"/>
      <c r="L527" s="42"/>
      <c r="M527" s="42"/>
      <c r="N527" s="42"/>
      <c r="O527" s="1407" t="s">
        <v>2720</v>
      </c>
      <c r="P527" s="1408"/>
      <c r="Q527" s="1408"/>
      <c r="R527" s="1408"/>
      <c r="S527" s="1408"/>
      <c r="T527" s="1408"/>
      <c r="U527" s="1408"/>
      <c r="V527" s="1408"/>
      <c r="W527" s="1408"/>
      <c r="X527" s="1408"/>
      <c r="Y527" s="1408"/>
      <c r="Z527" s="1408"/>
      <c r="AA527" s="1408"/>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2"/>
      <c r="C528" s="1413"/>
      <c r="D528" s="1413"/>
      <c r="E528" s="1413"/>
      <c r="F528" s="1413"/>
      <c r="G528" s="1413"/>
      <c r="H528" s="1414"/>
      <c r="I528" t="s">
        <v>422</v>
      </c>
      <c r="AC528" s="1377">
        <v>12</v>
      </c>
      <c r="AD528" s="1378"/>
      <c r="AE528" s="1378"/>
      <c r="AF528" s="1378"/>
      <c r="AG528" s="13" t="s">
        <v>404</v>
      </c>
      <c r="AH528" s="1355">
        <v>2021</v>
      </c>
      <c r="AI528" s="1355"/>
      <c r="AJ528" s="1355"/>
      <c r="AK528" s="135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2"/>
      <c r="C529" s="1413"/>
      <c r="D529" s="1413"/>
      <c r="E529" s="1413"/>
      <c r="F529" s="1413"/>
      <c r="G529" s="1413"/>
      <c r="H529" s="1414"/>
      <c r="I529" s="48" t="s">
        <v>423</v>
      </c>
      <c r="J529" s="48"/>
      <c r="K529" s="48"/>
      <c r="L529" s="48"/>
      <c r="M529" s="48"/>
      <c r="N529" s="48"/>
      <c r="O529" s="48"/>
      <c r="P529" s="48"/>
      <c r="Q529" s="48"/>
      <c r="R529" s="48"/>
      <c r="S529" s="48"/>
      <c r="T529" s="48"/>
      <c r="U529" s="48"/>
      <c r="V529" s="48"/>
      <c r="W529" s="48"/>
      <c r="X529" s="48"/>
      <c r="Y529" s="48"/>
      <c r="Z529" s="48"/>
      <c r="AA529" s="48"/>
      <c r="AB529" s="48"/>
      <c r="AC529" s="1377">
        <v>10</v>
      </c>
      <c r="AD529" s="1378"/>
      <c r="AE529" s="1378"/>
      <c r="AF529" s="1378"/>
      <c r="AG529" s="38" t="s">
        <v>404</v>
      </c>
      <c r="AH529" s="1355">
        <v>2023</v>
      </c>
      <c r="AI529" s="1355"/>
      <c r="AJ529" s="1355"/>
      <c r="AK529" s="135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2"/>
      <c r="C530" s="1413"/>
      <c r="D530" s="1413"/>
      <c r="E530" s="1413"/>
      <c r="F530" s="1413"/>
      <c r="G530" s="1413"/>
      <c r="H530" s="1414"/>
      <c r="I530" s="42" t="s">
        <v>424</v>
      </c>
      <c r="J530" s="42"/>
      <c r="K530" s="42"/>
      <c r="L530" s="42"/>
      <c r="M530" s="42"/>
      <c r="N530" s="42"/>
      <c r="O530" s="1407" t="s">
        <v>335</v>
      </c>
      <c r="P530" s="1408"/>
      <c r="Q530" s="1408"/>
      <c r="R530" s="1408"/>
      <c r="S530" s="1408"/>
      <c r="T530" s="1408"/>
      <c r="U530" s="1408"/>
      <c r="V530" s="1408"/>
      <c r="W530" s="1408"/>
      <c r="X530" s="1408"/>
      <c r="Y530" s="1408"/>
      <c r="Z530" s="1408"/>
      <c r="AA530" s="1408"/>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2"/>
      <c r="C531" s="1413"/>
      <c r="D531" s="1413"/>
      <c r="E531" s="1413"/>
      <c r="F531" s="1413"/>
      <c r="G531" s="1413"/>
      <c r="H531" s="1414"/>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2"/>
      <c r="C532" s="1413"/>
      <c r="D532" s="1413"/>
      <c r="E532" s="1413"/>
      <c r="F532" s="1413"/>
      <c r="G532" s="1413"/>
      <c r="H532" s="1414"/>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2"/>
      <c r="C533" s="1413"/>
      <c r="D533" s="1413"/>
      <c r="E533" s="1413"/>
      <c r="F533" s="1413"/>
      <c r="G533" s="1413"/>
      <c r="H533" s="1414"/>
      <c r="I533" s="42" t="s">
        <v>424</v>
      </c>
      <c r="J533" s="42"/>
      <c r="K533" s="42"/>
      <c r="L533" s="42"/>
      <c r="M533" s="42"/>
      <c r="N533" s="42"/>
      <c r="O533" s="1407" t="s">
        <v>335</v>
      </c>
      <c r="P533" s="1408"/>
      <c r="Q533" s="1408"/>
      <c r="R533" s="1408"/>
      <c r="S533" s="1408"/>
      <c r="T533" s="1408"/>
      <c r="U533" s="1408"/>
      <c r="V533" s="1408"/>
      <c r="W533" s="1408"/>
      <c r="X533" s="1408"/>
      <c r="Y533" s="1408"/>
      <c r="Z533" s="1408"/>
      <c r="AA533" s="1408"/>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2"/>
      <c r="C534" s="1413"/>
      <c r="D534" s="1413"/>
      <c r="E534" s="1413"/>
      <c r="F534" s="1413"/>
      <c r="G534" s="1413"/>
      <c r="H534" s="1414"/>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2"/>
      <c r="C535" s="1413"/>
      <c r="D535" s="1413"/>
      <c r="E535" s="1413"/>
      <c r="F535" s="1413"/>
      <c r="G535" s="1413"/>
      <c r="H535" s="1414"/>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2"/>
      <c r="C536" s="1413"/>
      <c r="D536" s="1413"/>
      <c r="E536" s="1413"/>
      <c r="F536" s="1413"/>
      <c r="G536" s="1413"/>
      <c r="H536" s="1414"/>
      <c r="I536" s="42" t="s">
        <v>571</v>
      </c>
      <c r="J536" s="42"/>
      <c r="K536" s="42"/>
      <c r="L536" s="42"/>
      <c r="M536" s="42"/>
      <c r="N536" s="42"/>
      <c r="O536" s="42"/>
      <c r="P536" s="42"/>
      <c r="Q536" s="42"/>
      <c r="R536" s="42"/>
      <c r="S536" s="42"/>
      <c r="T536" s="42"/>
      <c r="U536" s="42"/>
      <c r="V536" s="42"/>
      <c r="W536" s="42"/>
      <c r="AC536" s="1377">
        <v>1</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2"/>
      <c r="C537" s="1413"/>
      <c r="D537" s="1413"/>
      <c r="E537" s="1413"/>
      <c r="F537" s="1413"/>
      <c r="G537" s="1413"/>
      <c r="H537" s="1414"/>
      <c r="I537" t="s">
        <v>572</v>
      </c>
      <c r="AC537" s="1377">
        <v>10</v>
      </c>
      <c r="AD537" s="1378"/>
      <c r="AE537" s="1378"/>
      <c r="AF537" s="1378"/>
      <c r="AG537" s="13" t="s">
        <v>404</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2"/>
      <c r="C538" s="1413"/>
      <c r="D538" s="1413"/>
      <c r="E538" s="1413"/>
      <c r="F538" s="1413"/>
      <c r="G538" s="1413"/>
      <c r="H538" s="1414"/>
      <c r="I538" t="s">
        <v>573</v>
      </c>
      <c r="AC538" s="1377">
        <v>10</v>
      </c>
      <c r="AD538" s="1378"/>
      <c r="AE538" s="1378"/>
      <c r="AF538" s="1378"/>
      <c r="AG538" s="38" t="s">
        <v>404</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2"/>
      <c r="C539" s="1413"/>
      <c r="D539" s="1413"/>
      <c r="E539" s="1413"/>
      <c r="F539" s="1413"/>
      <c r="G539" s="1413"/>
      <c r="H539" s="1414"/>
      <c r="I539" t="s">
        <v>574</v>
      </c>
      <c r="AC539" s="1377">
        <v>10</v>
      </c>
      <c r="AD539" s="1378"/>
      <c r="AE539" s="1378"/>
      <c r="AF539" s="1378"/>
      <c r="AG539" s="38" t="s">
        <v>404</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5"/>
      <c r="C540" s="1416"/>
      <c r="D540" s="1416"/>
      <c r="E540" s="1416"/>
      <c r="F540" s="1416"/>
      <c r="G540" s="1416"/>
      <c r="H540" s="1417"/>
      <c r="I540" s="48" t="s">
        <v>460</v>
      </c>
      <c r="J540" s="48"/>
      <c r="K540" s="48"/>
      <c r="L540" s="48"/>
      <c r="M540" s="48"/>
      <c r="N540" s="48"/>
      <c r="O540" s="48"/>
      <c r="P540" s="48"/>
      <c r="Q540" s="48"/>
      <c r="R540" s="48"/>
      <c r="S540" s="48"/>
      <c r="T540" s="48"/>
      <c r="U540" s="48"/>
      <c r="V540" s="48"/>
      <c r="W540" s="48"/>
      <c r="X540" s="48"/>
      <c r="Y540" s="48"/>
      <c r="Z540" s="48"/>
      <c r="AA540" s="48"/>
      <c r="AB540" s="48"/>
      <c r="AC540" s="1377">
        <v>1</v>
      </c>
      <c r="AD540" s="1378"/>
      <c r="AE540" s="1378"/>
      <c r="AF540" s="1378"/>
      <c r="AG540" s="38" t="s">
        <v>404</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2531</v>
      </c>
      <c r="C549" s="1375"/>
      <c r="D549" s="1375"/>
      <c r="E549" s="1375"/>
      <c r="F549" s="1375"/>
      <c r="G549" s="1375"/>
      <c r="H549" s="1375"/>
      <c r="I549" s="1375"/>
      <c r="J549" s="1375"/>
      <c r="K549" s="1375"/>
      <c r="L549" s="1376"/>
      <c r="M549" s="1513" t="s">
        <v>2532</v>
      </c>
      <c r="N549" s="1513"/>
      <c r="O549" s="1513"/>
      <c r="P549" s="1513"/>
      <c r="Q549" s="1374" t="s">
        <v>2558</v>
      </c>
      <c r="R549" s="1375"/>
      <c r="S549" s="1376"/>
      <c r="T549" s="1374" t="s">
        <v>2559</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2" t="s">
        <v>2738</v>
      </c>
      <c r="D550" s="1472"/>
      <c r="E550" s="1472"/>
      <c r="F550" s="1472"/>
      <c r="G550" s="1472"/>
      <c r="H550" s="1472"/>
      <c r="I550" s="1472"/>
      <c r="J550" s="1472"/>
      <c r="K550" s="1472"/>
      <c r="L550" s="1472"/>
      <c r="M550" s="1472" t="s">
        <v>2548</v>
      </c>
      <c r="N550" s="1472"/>
      <c r="O550" s="1472"/>
      <c r="P550" s="1472"/>
      <c r="Q550" s="1392">
        <v>30</v>
      </c>
      <c r="R550" s="1392"/>
      <c r="S550" s="1393"/>
      <c r="T550" s="1391"/>
      <c r="U550" s="1392"/>
      <c r="V550" s="1393"/>
      <c r="W550" s="1388">
        <v>6.6000000000000003E-2</v>
      </c>
      <c r="X550" s="1389"/>
      <c r="Y550" s="1390"/>
      <c r="Z550" s="1432" t="s">
        <v>2736</v>
      </c>
      <c r="AA550" s="1432"/>
      <c r="AB550" s="1432"/>
      <c r="AC550" s="1432"/>
      <c r="AD550" s="1432"/>
      <c r="AE550" s="1426">
        <v>1</v>
      </c>
      <c r="AF550" s="1427"/>
      <c r="AG550" s="1427"/>
      <c r="AH550" s="1428"/>
      <c r="AI550" s="1447"/>
      <c r="AJ550" s="1448"/>
      <c r="AK550" s="1448"/>
      <c r="AL550" s="1449"/>
      <c r="AM550" s="1368">
        <v>39978225</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473" t="s">
        <v>2738</v>
      </c>
      <c r="D551" s="1473"/>
      <c r="E551" s="1473"/>
      <c r="F551" s="1473"/>
      <c r="G551" s="1473"/>
      <c r="H551" s="1473"/>
      <c r="I551" s="1473"/>
      <c r="J551" s="1473"/>
      <c r="K551" s="1473"/>
      <c r="L551" s="1473"/>
      <c r="M551" s="1472" t="s">
        <v>2547</v>
      </c>
      <c r="N551" s="1472"/>
      <c r="O551" s="1472"/>
      <c r="P551" s="1472"/>
      <c r="Q551" s="1391">
        <v>30</v>
      </c>
      <c r="R551" s="1392"/>
      <c r="S551" s="1393"/>
      <c r="T551" s="1391"/>
      <c r="U551" s="1392"/>
      <c r="V551" s="1393"/>
      <c r="W551" s="1388">
        <v>6.8000000000000005E-2</v>
      </c>
      <c r="X551" s="1389"/>
      <c r="Y551" s="1390"/>
      <c r="Z551" s="1432" t="s">
        <v>2736</v>
      </c>
      <c r="AA551" s="1432"/>
      <c r="AB551" s="1432"/>
      <c r="AC551" s="1432"/>
      <c r="AD551" s="1432"/>
      <c r="AE551" s="1426">
        <v>1</v>
      </c>
      <c r="AF551" s="1427"/>
      <c r="AG551" s="1427"/>
      <c r="AH551" s="1428"/>
      <c r="AI551" s="1447"/>
      <c r="AJ551" s="1448"/>
      <c r="AK551" s="1448"/>
      <c r="AL551" s="1449"/>
      <c r="AM551" s="1368">
        <v>18021775</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473" t="s">
        <v>2731</v>
      </c>
      <c r="D552" s="1473"/>
      <c r="E552" s="1473"/>
      <c r="F552" s="1473"/>
      <c r="G552" s="1473"/>
      <c r="H552" s="1473"/>
      <c r="I552" s="1473"/>
      <c r="J552" s="1473"/>
      <c r="K552" s="1473"/>
      <c r="L552" s="1473"/>
      <c r="M552" s="1472" t="s">
        <v>2544</v>
      </c>
      <c r="N552" s="1472"/>
      <c r="O552" s="1472"/>
      <c r="P552" s="1472"/>
      <c r="Q552" s="1391">
        <v>660</v>
      </c>
      <c r="R552" s="1392"/>
      <c r="S552" s="1393"/>
      <c r="T552" s="1391"/>
      <c r="U552" s="1392"/>
      <c r="V552" s="1393"/>
      <c r="W552" s="1388">
        <v>0</v>
      </c>
      <c r="X552" s="1389"/>
      <c r="Y552" s="1390"/>
      <c r="Z552" s="1432" t="s">
        <v>2736</v>
      </c>
      <c r="AA552" s="1432"/>
      <c r="AB552" s="1432"/>
      <c r="AC552" s="1432"/>
      <c r="AD552" s="1432"/>
      <c r="AE552" s="1426">
        <v>2</v>
      </c>
      <c r="AF552" s="1427"/>
      <c r="AG552" s="1427"/>
      <c r="AH552" s="1428"/>
      <c r="AI552" s="1447"/>
      <c r="AJ552" s="1448"/>
      <c r="AK552" s="1448"/>
      <c r="AL552" s="1449"/>
      <c r="AM552" s="1368">
        <v>3000000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473" t="s">
        <v>2719</v>
      </c>
      <c r="D553" s="1473"/>
      <c r="E553" s="1473"/>
      <c r="F553" s="1473"/>
      <c r="G553" s="1473"/>
      <c r="H553" s="1473"/>
      <c r="I553" s="1473"/>
      <c r="J553" s="1473"/>
      <c r="K553" s="1473"/>
      <c r="L553" s="1473"/>
      <c r="M553" s="1472" t="s">
        <v>2544</v>
      </c>
      <c r="N553" s="1472"/>
      <c r="O553" s="1472"/>
      <c r="P553" s="1472"/>
      <c r="Q553" s="1391">
        <v>660</v>
      </c>
      <c r="R553" s="1392"/>
      <c r="S553" s="1393"/>
      <c r="T553" s="1391"/>
      <c r="U553" s="1392"/>
      <c r="V553" s="1393"/>
      <c r="W553" s="1388">
        <v>0.03</v>
      </c>
      <c r="X553" s="1389"/>
      <c r="Y553" s="1390"/>
      <c r="Z553" s="1432" t="s">
        <v>2736</v>
      </c>
      <c r="AA553" s="1432"/>
      <c r="AB553" s="1432"/>
      <c r="AC553" s="1432"/>
      <c r="AD553" s="1432"/>
      <c r="AE553" s="1426">
        <v>3</v>
      </c>
      <c r="AF553" s="1427"/>
      <c r="AG553" s="1427"/>
      <c r="AH553" s="1428"/>
      <c r="AI553" s="1447"/>
      <c r="AJ553" s="1448"/>
      <c r="AK553" s="1448"/>
      <c r="AL553" s="1449"/>
      <c r="AM553" s="1368">
        <v>453552</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473" t="s">
        <v>2732</v>
      </c>
      <c r="D554" s="1473"/>
      <c r="E554" s="1473"/>
      <c r="F554" s="1473"/>
      <c r="G554" s="1473"/>
      <c r="H554" s="1473"/>
      <c r="I554" s="1473"/>
      <c r="J554" s="1473"/>
      <c r="K554" s="1473"/>
      <c r="L554" s="1473"/>
      <c r="M554" s="1472" t="s">
        <v>2544</v>
      </c>
      <c r="N554" s="1472"/>
      <c r="O554" s="1472"/>
      <c r="P554" s="1472"/>
      <c r="Q554" s="1391">
        <v>660</v>
      </c>
      <c r="R554" s="1392"/>
      <c r="S554" s="1393"/>
      <c r="T554" s="1391"/>
      <c r="U554" s="1392"/>
      <c r="V554" s="1393"/>
      <c r="W554" s="1388">
        <v>0.03</v>
      </c>
      <c r="X554" s="1389"/>
      <c r="Y554" s="1390"/>
      <c r="Z554" s="1432" t="s">
        <v>2736</v>
      </c>
      <c r="AA554" s="1432"/>
      <c r="AB554" s="1432"/>
      <c r="AC554" s="1432"/>
      <c r="AD554" s="1432"/>
      <c r="AE554" s="1426">
        <v>4</v>
      </c>
      <c r="AF554" s="1427"/>
      <c r="AG554" s="1427"/>
      <c r="AH554" s="1428"/>
      <c r="AI554" s="1447"/>
      <c r="AJ554" s="1448"/>
      <c r="AK554" s="1448"/>
      <c r="AL554" s="1449"/>
      <c r="AM554" s="1368">
        <v>237270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473" t="s">
        <v>2733</v>
      </c>
      <c r="D555" s="1473"/>
      <c r="E555" s="1473"/>
      <c r="F555" s="1473"/>
      <c r="G555" s="1473"/>
      <c r="H555" s="1473"/>
      <c r="I555" s="1473"/>
      <c r="J555" s="1473"/>
      <c r="K555" s="1473"/>
      <c r="L555" s="1473"/>
      <c r="M555" s="1472" t="s">
        <v>2544</v>
      </c>
      <c r="N555" s="1472"/>
      <c r="O555" s="1472"/>
      <c r="P555" s="1472"/>
      <c r="Q555" s="1391">
        <v>660</v>
      </c>
      <c r="R555" s="1392"/>
      <c r="S555" s="1393"/>
      <c r="T555" s="1391"/>
      <c r="U555" s="1392"/>
      <c r="V555" s="1393"/>
      <c r="W555" s="1388">
        <v>0.03</v>
      </c>
      <c r="X555" s="1389"/>
      <c r="Y555" s="1390"/>
      <c r="Z555" s="1432" t="s">
        <v>2736</v>
      </c>
      <c r="AA555" s="1432"/>
      <c r="AB555" s="1432"/>
      <c r="AC555" s="1432"/>
      <c r="AD555" s="1432"/>
      <c r="AE555" s="1426">
        <v>5</v>
      </c>
      <c r="AF555" s="1427"/>
      <c r="AG555" s="1427"/>
      <c r="AH555" s="1428"/>
      <c r="AI555" s="1447"/>
      <c r="AJ555" s="1448"/>
      <c r="AK555" s="1448"/>
      <c r="AL555" s="1449"/>
      <c r="AM555" s="1368">
        <v>1000000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473" t="s">
        <v>2734</v>
      </c>
      <c r="D556" s="1473"/>
      <c r="E556" s="1473"/>
      <c r="F556" s="1473"/>
      <c r="G556" s="1473"/>
      <c r="H556" s="1473"/>
      <c r="I556" s="1473"/>
      <c r="J556" s="1473"/>
      <c r="K556" s="1473"/>
      <c r="L556" s="1473"/>
      <c r="M556" s="1472" t="s">
        <v>2545</v>
      </c>
      <c r="N556" s="1472"/>
      <c r="O556" s="1472"/>
      <c r="P556" s="1472"/>
      <c r="Q556" s="1391">
        <v>660</v>
      </c>
      <c r="R556" s="1392"/>
      <c r="S556" s="1393"/>
      <c r="T556" s="1391"/>
      <c r="U556" s="1392"/>
      <c r="V556" s="1393"/>
      <c r="W556" s="1388">
        <v>0.03</v>
      </c>
      <c r="X556" s="1389"/>
      <c r="Y556" s="1390"/>
      <c r="Z556" s="1432" t="s">
        <v>2736</v>
      </c>
      <c r="AA556" s="1432"/>
      <c r="AB556" s="1432"/>
      <c r="AC556" s="1432"/>
      <c r="AD556" s="1432"/>
      <c r="AE556" s="1426">
        <v>6</v>
      </c>
      <c r="AF556" s="1427"/>
      <c r="AG556" s="1427"/>
      <c r="AH556" s="1428"/>
      <c r="AI556" s="1447"/>
      <c r="AJ556" s="1448"/>
      <c r="AK556" s="1448"/>
      <c r="AL556" s="1449"/>
      <c r="AM556" s="1368">
        <v>2320000</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473" t="s">
        <v>2722</v>
      </c>
      <c r="D557" s="1473"/>
      <c r="E557" s="1473"/>
      <c r="F557" s="1473"/>
      <c r="G557" s="1473"/>
      <c r="H557" s="1473"/>
      <c r="I557" s="1473"/>
      <c r="J557" s="1473"/>
      <c r="K557" s="1473"/>
      <c r="L557" s="1473"/>
      <c r="M557" s="1472" t="s">
        <v>2544</v>
      </c>
      <c r="N557" s="1472"/>
      <c r="O557" s="1472"/>
      <c r="P557" s="1472"/>
      <c r="Q557" s="1391">
        <v>660</v>
      </c>
      <c r="R557" s="1392"/>
      <c r="S557" s="1393"/>
      <c r="T557" s="1391"/>
      <c r="U557" s="1392"/>
      <c r="V557" s="1393"/>
      <c r="W557" s="1388"/>
      <c r="X557" s="1389"/>
      <c r="Y557" s="1390"/>
      <c r="Z557" s="1432" t="s">
        <v>2736</v>
      </c>
      <c r="AA557" s="1432"/>
      <c r="AB557" s="1432"/>
      <c r="AC557" s="1432"/>
      <c r="AD557" s="1432"/>
      <c r="AE557" s="1426">
        <v>7</v>
      </c>
      <c r="AF557" s="1427"/>
      <c r="AG557" s="1427"/>
      <c r="AH557" s="1428"/>
      <c r="AI557" s="1447"/>
      <c r="AJ557" s="1448"/>
      <c r="AK557" s="1448"/>
      <c r="AL557" s="1449"/>
      <c r="AM557" s="1368">
        <v>1224388</v>
      </c>
      <c r="AN557" s="1369"/>
      <c r="AO557" s="1369"/>
      <c r="AP557" s="1369"/>
      <c r="AQ557" s="1369"/>
      <c r="AR557" s="1369"/>
      <c r="AS557" s="1370"/>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473" t="s">
        <v>2735</v>
      </c>
      <c r="D558" s="1473"/>
      <c r="E558" s="1473"/>
      <c r="F558" s="1473"/>
      <c r="G558" s="1473"/>
      <c r="H558" s="1473"/>
      <c r="I558" s="1473"/>
      <c r="J558" s="1473"/>
      <c r="K558" s="1473"/>
      <c r="L558" s="1473"/>
      <c r="M558" s="1472" t="s">
        <v>2539</v>
      </c>
      <c r="N558" s="1472"/>
      <c r="O558" s="1472"/>
      <c r="P558" s="1472"/>
      <c r="Q558" s="1391"/>
      <c r="R558" s="1392"/>
      <c r="S558" s="1393"/>
      <c r="T558" s="1391"/>
      <c r="U558" s="1392"/>
      <c r="V558" s="1393"/>
      <c r="W558" s="1388"/>
      <c r="X558" s="1389"/>
      <c r="Y558" s="1390"/>
      <c r="Z558" s="1432" t="s">
        <v>600</v>
      </c>
      <c r="AA558" s="1432"/>
      <c r="AB558" s="1432"/>
      <c r="AC558" s="1432"/>
      <c r="AD558" s="1432"/>
      <c r="AE558" s="1426"/>
      <c r="AF558" s="1427"/>
      <c r="AG558" s="1427"/>
      <c r="AH558" s="1428"/>
      <c r="AI558" s="1447"/>
      <c r="AJ558" s="1448"/>
      <c r="AK558" s="1448"/>
      <c r="AL558" s="1449"/>
      <c r="AM558" s="1368">
        <v>7498320</v>
      </c>
      <c r="AN558" s="1369"/>
      <c r="AO558" s="1369"/>
      <c r="AP558" s="1369"/>
      <c r="AQ558" s="1369"/>
      <c r="AR558" s="1369"/>
      <c r="AS558" s="1370"/>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473" t="s">
        <v>2737</v>
      </c>
      <c r="D559" s="1473"/>
      <c r="E559" s="1473"/>
      <c r="F559" s="1473"/>
      <c r="G559" s="1473"/>
      <c r="H559" s="1473"/>
      <c r="I559" s="1473"/>
      <c r="J559" s="1473"/>
      <c r="K559" s="1473"/>
      <c r="L559" s="1473"/>
      <c r="M559" s="1472" t="s">
        <v>2534</v>
      </c>
      <c r="N559" s="1472"/>
      <c r="O559" s="1472"/>
      <c r="P559" s="1472"/>
      <c r="Q559" s="1391"/>
      <c r="R559" s="1392"/>
      <c r="S559" s="1393"/>
      <c r="T559" s="1391"/>
      <c r="U559" s="1392"/>
      <c r="V559" s="1393"/>
      <c r="W559" s="1388"/>
      <c r="X559" s="1389"/>
      <c r="Y559" s="1390"/>
      <c r="Z559" s="1432" t="s">
        <v>600</v>
      </c>
      <c r="AA559" s="1432"/>
      <c r="AB559" s="1432"/>
      <c r="AC559" s="1432"/>
      <c r="AD559" s="1432"/>
      <c r="AE559" s="1426"/>
      <c r="AF559" s="1427"/>
      <c r="AG559" s="1427"/>
      <c r="AH559" s="1428"/>
      <c r="AI559" s="1447"/>
      <c r="AJ559" s="1448"/>
      <c r="AK559" s="1448"/>
      <c r="AL559" s="1449"/>
      <c r="AM559" s="1368">
        <v>2516470</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363</v>
      </c>
      <c r="C560" s="1473"/>
      <c r="D560" s="1473"/>
      <c r="E560" s="1473"/>
      <c r="F560" s="1473"/>
      <c r="G560" s="1473"/>
      <c r="H560" s="1473"/>
      <c r="I560" s="1473"/>
      <c r="J560" s="1473"/>
      <c r="K560" s="1473"/>
      <c r="L560" s="1473"/>
      <c r="M560" s="1472" t="s">
        <v>1327</v>
      </c>
      <c r="N560" s="1472"/>
      <c r="O560" s="1472"/>
      <c r="P560" s="1472"/>
      <c r="Q560" s="1391"/>
      <c r="R560" s="1392"/>
      <c r="S560" s="1393"/>
      <c r="T560" s="1391"/>
      <c r="U560" s="1392"/>
      <c r="V560" s="1393"/>
      <c r="W560" s="1388"/>
      <c r="X560" s="1389"/>
      <c r="Y560" s="1390"/>
      <c r="Z560" s="1432" t="s">
        <v>1327</v>
      </c>
      <c r="AA560" s="1432"/>
      <c r="AB560" s="1432"/>
      <c r="AC560" s="1432"/>
      <c r="AD560" s="1432"/>
      <c r="AE560" s="1426"/>
      <c r="AF560" s="1427"/>
      <c r="AG560" s="1427"/>
      <c r="AH560" s="1428"/>
      <c r="AI560" s="1447"/>
      <c r="AJ560" s="1448"/>
      <c r="AK560" s="1448"/>
      <c r="AL560" s="1449"/>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364</v>
      </c>
      <c r="C561" s="1473"/>
      <c r="D561" s="1473"/>
      <c r="E561" s="1473"/>
      <c r="F561" s="1473"/>
      <c r="G561" s="1473"/>
      <c r="H561" s="1473"/>
      <c r="I561" s="1473"/>
      <c r="J561" s="1473"/>
      <c r="K561" s="1473"/>
      <c r="L561" s="1473"/>
      <c r="M561" s="1472" t="s">
        <v>1327</v>
      </c>
      <c r="N561" s="1472"/>
      <c r="O561" s="1472"/>
      <c r="P561" s="1472"/>
      <c r="Q561" s="1391"/>
      <c r="R561" s="1392"/>
      <c r="S561" s="1393"/>
      <c r="T561" s="1391"/>
      <c r="U561" s="1392"/>
      <c r="V561" s="1393"/>
      <c r="W561" s="1388"/>
      <c r="X561" s="1389"/>
      <c r="Y561" s="1390"/>
      <c r="Z561" s="1432" t="s">
        <v>1327</v>
      </c>
      <c r="AA561" s="1432"/>
      <c r="AB561" s="1432"/>
      <c r="AC561" s="1432"/>
      <c r="AD561" s="1432"/>
      <c r="AE561" s="1426"/>
      <c r="AF561" s="1427"/>
      <c r="AG561" s="1427"/>
      <c r="AH561" s="1428"/>
      <c r="AI561" s="1447"/>
      <c r="AJ561" s="1448"/>
      <c r="AK561" s="1448"/>
      <c r="AL561" s="1449"/>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76250000</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512" t="str">
        <f>C550</f>
        <v xml:space="preserve">Pacific Western Bank </v>
      </c>
      <c r="H564" s="1512"/>
      <c r="I564" s="1512"/>
      <c r="J564" s="1512"/>
      <c r="K564" s="1512"/>
      <c r="L564" s="1512"/>
      <c r="M564" s="1512"/>
      <c r="N564" s="1512"/>
      <c r="O564" s="1512"/>
      <c r="P564" s="1512"/>
      <c r="Q564" s="1512"/>
      <c r="R564" s="1512"/>
      <c r="S564" s="8"/>
      <c r="T564" s="55" t="s">
        <v>114</v>
      </c>
      <c r="U564" t="s">
        <v>472</v>
      </c>
      <c r="Z564" s="1512" t="str">
        <f>C551</f>
        <v xml:space="preserve">Pacific Western Bank </v>
      </c>
      <c r="AA564" s="1512"/>
      <c r="AB564" s="1512"/>
      <c r="AC564" s="1512"/>
      <c r="AD564" s="1512"/>
      <c r="AE564" s="1512"/>
      <c r="AF564" s="1512"/>
      <c r="AG564" s="1512"/>
      <c r="AH564" s="1512"/>
      <c r="AI564" s="1512"/>
      <c r="AJ564" s="1512"/>
      <c r="AK564" s="151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435" t="s">
        <v>2739</v>
      </c>
      <c r="H565" s="1394"/>
      <c r="I565" s="1394"/>
      <c r="J565" s="1394"/>
      <c r="K565" s="1394"/>
      <c r="L565" s="1394"/>
      <c r="M565" s="1394"/>
      <c r="N565" s="1394"/>
      <c r="O565" s="1394"/>
      <c r="P565" s="1394"/>
      <c r="Q565" s="1394"/>
      <c r="R565" s="1394"/>
      <c r="S565" s="8"/>
      <c r="T565" s="22"/>
      <c r="U565" t="s">
        <v>86</v>
      </c>
      <c r="Z565" s="1435" t="s">
        <v>2739</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435" t="s">
        <v>204</v>
      </c>
      <c r="H566" s="1394"/>
      <c r="I566" s="1394"/>
      <c r="J566" s="1394"/>
      <c r="K566" s="1394"/>
      <c r="L566" s="1394"/>
      <c r="M566" s="1394"/>
      <c r="N566" s="1394"/>
      <c r="O566" s="1394"/>
      <c r="P566" s="1394"/>
      <c r="Q566" s="1394"/>
      <c r="R566" s="1394"/>
      <c r="T566" s="22"/>
      <c r="U566" t="s">
        <v>589</v>
      </c>
      <c r="Z566" s="1463" t="s">
        <v>204</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435" t="s">
        <v>2740</v>
      </c>
      <c r="H567" s="1394"/>
      <c r="I567" s="1394"/>
      <c r="J567" s="1394"/>
      <c r="K567" s="1394"/>
      <c r="L567" s="1394"/>
      <c r="M567" s="1394"/>
      <c r="N567" s="1394"/>
      <c r="O567" s="1394"/>
      <c r="P567" s="1394"/>
      <c r="Q567" s="1394"/>
      <c r="R567" s="1394"/>
      <c r="S567" s="8"/>
      <c r="T567" s="22"/>
      <c r="U567" t="s">
        <v>17</v>
      </c>
      <c r="Z567" s="1463" t="s">
        <v>2740</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317</v>
      </c>
      <c r="G568" s="1437">
        <v>8058048210</v>
      </c>
      <c r="H568" s="1437"/>
      <c r="I568" s="1437"/>
      <c r="J568" s="1437"/>
      <c r="K568" s="1437"/>
      <c r="L568" s="1437"/>
      <c r="O568" s="33" t="s">
        <v>207</v>
      </c>
      <c r="P568" s="1464"/>
      <c r="Q568" s="1464"/>
      <c r="R568" s="1464"/>
      <c r="S568" s="10"/>
      <c r="T568" s="22"/>
      <c r="U568" t="s">
        <v>317</v>
      </c>
      <c r="Z568" s="1437">
        <v>8058048210</v>
      </c>
      <c r="AA568" s="1437"/>
      <c r="AB568" s="1437"/>
      <c r="AC568" s="1437"/>
      <c r="AD568" s="1437"/>
      <c r="AE568" s="1437"/>
      <c r="AH568" s="33" t="s">
        <v>207</v>
      </c>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435" t="s">
        <v>2741</v>
      </c>
      <c r="I569" s="1394"/>
      <c r="J569" s="1394"/>
      <c r="K569" s="1394"/>
      <c r="L569" s="1394"/>
      <c r="M569" s="1394"/>
      <c r="N569" s="1394"/>
      <c r="O569" s="1394"/>
      <c r="P569" s="1394"/>
      <c r="Q569" s="1394"/>
      <c r="R569" s="1394"/>
      <c r="S569" s="8"/>
      <c r="T569" s="22"/>
      <c r="U569" t="s">
        <v>18</v>
      </c>
      <c r="AA569" s="1435" t="s">
        <v>2742</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1328</v>
      </c>
      <c r="H570" s="8"/>
      <c r="I570" s="8"/>
      <c r="J570" s="8"/>
      <c r="K570" s="8"/>
      <c r="L570" s="8"/>
      <c r="M570" s="1528"/>
      <c r="N570" s="1528"/>
      <c r="O570" s="1528"/>
      <c r="P570" s="1528"/>
      <c r="Q570" s="1528"/>
      <c r="R570" s="1528"/>
      <c r="S570" s="8"/>
      <c r="T570" s="22"/>
      <c r="U570" s="349" t="s">
        <v>1328</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512" t="str">
        <f>C552</f>
        <v>HCD AHSC HRI</v>
      </c>
      <c r="H573" s="1512"/>
      <c r="I573" s="1512"/>
      <c r="J573" s="1512"/>
      <c r="K573" s="1512"/>
      <c r="L573" s="1512"/>
      <c r="M573" s="1512"/>
      <c r="N573" s="1512"/>
      <c r="O573" s="1512"/>
      <c r="P573" s="1512"/>
      <c r="Q573" s="1512"/>
      <c r="R573" s="1512"/>
      <c r="T573" s="55" t="s">
        <v>590</v>
      </c>
      <c r="U573" t="s">
        <v>472</v>
      </c>
      <c r="Z573" s="1512" t="str">
        <f>C553</f>
        <v>Sutter County</v>
      </c>
      <c r="AA573" s="1512"/>
      <c r="AB573" s="1512"/>
      <c r="AC573" s="1512"/>
      <c r="AD573" s="1512"/>
      <c r="AE573" s="1512"/>
      <c r="AF573" s="1512"/>
      <c r="AG573" s="1512"/>
      <c r="AH573" s="1512"/>
      <c r="AI573" s="1512"/>
      <c r="AJ573" s="1512"/>
      <c r="AK573" s="15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435" t="s">
        <v>2743</v>
      </c>
      <c r="H574" s="1394"/>
      <c r="I574" s="1394"/>
      <c r="J574" s="1394"/>
      <c r="K574" s="1394"/>
      <c r="L574" s="1394"/>
      <c r="M574" s="1394"/>
      <c r="N574" s="1394"/>
      <c r="O574" s="1394"/>
      <c r="P574" s="1394"/>
      <c r="Q574" s="1394"/>
      <c r="R574" s="1394"/>
      <c r="T574" s="22"/>
      <c r="U574" t="s">
        <v>86</v>
      </c>
      <c r="Z574" s="1435" t="s">
        <v>2746</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463" t="s">
        <v>68</v>
      </c>
      <c r="H575" s="1366"/>
      <c r="I575" s="1366"/>
      <c r="J575" s="1366"/>
      <c r="K575" s="1366"/>
      <c r="L575" s="1366"/>
      <c r="M575" s="1366"/>
      <c r="N575" s="1366"/>
      <c r="O575" s="1366"/>
      <c r="P575" s="1366"/>
      <c r="Q575" s="1366"/>
      <c r="R575" s="1366"/>
      <c r="T575" s="22"/>
      <c r="U575" t="s">
        <v>589</v>
      </c>
      <c r="Z575" s="1463" t="s">
        <v>2630</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463" t="s">
        <v>2744</v>
      </c>
      <c r="H576" s="1366"/>
      <c r="I576" s="1366"/>
      <c r="J576" s="1366"/>
      <c r="K576" s="1366"/>
      <c r="L576" s="1366"/>
      <c r="M576" s="1366"/>
      <c r="N576" s="1366"/>
      <c r="O576" s="1366"/>
      <c r="P576" s="1366"/>
      <c r="Q576" s="1366"/>
      <c r="R576" s="1366"/>
      <c r="T576" s="22"/>
      <c r="U576" t="s">
        <v>17</v>
      </c>
      <c r="Z576" s="1463" t="s">
        <v>2747</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317</v>
      </c>
      <c r="G577" s="1437">
        <v>9162632771</v>
      </c>
      <c r="H577" s="1437"/>
      <c r="I577" s="1437"/>
      <c r="J577" s="1437"/>
      <c r="K577" s="1437"/>
      <c r="L577" s="1437"/>
      <c r="O577" s="33" t="s">
        <v>207</v>
      </c>
      <c r="P577" s="1464"/>
      <c r="Q577" s="1464"/>
      <c r="R577" s="1464"/>
      <c r="T577" s="22"/>
      <c r="U577" t="s">
        <v>317</v>
      </c>
      <c r="Z577" s="1437">
        <v>5308227100</v>
      </c>
      <c r="AA577" s="1437"/>
      <c r="AB577" s="1437"/>
      <c r="AC577" s="1437"/>
      <c r="AD577" s="1437"/>
      <c r="AE577" s="1437"/>
      <c r="AH577" s="33" t="s">
        <v>207</v>
      </c>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435" t="s">
        <v>2745</v>
      </c>
      <c r="I578" s="1394"/>
      <c r="J578" s="1394"/>
      <c r="K578" s="1394"/>
      <c r="L578" s="1394"/>
      <c r="M578" s="1394"/>
      <c r="N578" s="1394"/>
      <c r="O578" s="1394"/>
      <c r="P578" s="1394"/>
      <c r="Q578" s="1394"/>
      <c r="R578" s="1394"/>
      <c r="T578" s="22"/>
      <c r="U578" t="s">
        <v>18</v>
      </c>
      <c r="AA578" s="1435" t="s">
        <v>2748</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512" t="str">
        <f>C554</f>
        <v>Yuba City Unified Schood District</v>
      </c>
      <c r="H581" s="1512"/>
      <c r="I581" s="1512"/>
      <c r="J581" s="1512"/>
      <c r="K581" s="1512"/>
      <c r="L581" s="1512"/>
      <c r="M581" s="1512"/>
      <c r="N581" s="1512"/>
      <c r="O581" s="1512"/>
      <c r="P581" s="1512"/>
      <c r="Q581" s="1512"/>
      <c r="R581" s="1512"/>
      <c r="T581" s="55" t="s">
        <v>593</v>
      </c>
      <c r="U581" t="s">
        <v>472</v>
      </c>
      <c r="Z581" s="1512" t="str">
        <f>C555</f>
        <v>RHA -- City Loan</v>
      </c>
      <c r="AA581" s="1512"/>
      <c r="AB581" s="1512"/>
      <c r="AC581" s="1512"/>
      <c r="AD581" s="1512"/>
      <c r="AE581" s="1512"/>
      <c r="AF581" s="1512"/>
      <c r="AG581" s="1512"/>
      <c r="AH581" s="1512"/>
      <c r="AI581" s="1512"/>
      <c r="AJ581" s="1512"/>
      <c r="AK581" s="151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435" t="s">
        <v>2749</v>
      </c>
      <c r="H582" s="1394"/>
      <c r="I582" s="1394"/>
      <c r="J582" s="1394"/>
      <c r="K582" s="1394"/>
      <c r="L582" s="1394"/>
      <c r="M582" s="1394"/>
      <c r="N582" s="1394"/>
      <c r="O582" s="1394"/>
      <c r="P582" s="1394"/>
      <c r="Q582" s="1394"/>
      <c r="R582" s="1394"/>
      <c r="T582" s="22"/>
      <c r="U582" t="s">
        <v>86</v>
      </c>
      <c r="Z582" s="1435" t="s">
        <v>2638</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435" t="s">
        <v>2630</v>
      </c>
      <c r="H583" s="1394"/>
      <c r="I583" s="1394"/>
      <c r="J583" s="1394"/>
      <c r="K583" s="1394"/>
      <c r="L583" s="1394"/>
      <c r="M583" s="1394"/>
      <c r="N583" s="1394"/>
      <c r="O583" s="1394"/>
      <c r="P583" s="1394"/>
      <c r="Q583" s="1394"/>
      <c r="R583" s="1394"/>
      <c r="T583" s="22"/>
      <c r="U583" t="s">
        <v>589</v>
      </c>
      <c r="Z583" s="1463" t="s">
        <v>2630</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435" t="s">
        <v>2750</v>
      </c>
      <c r="H584" s="1394"/>
      <c r="I584" s="1394"/>
      <c r="J584" s="1394"/>
      <c r="K584" s="1394"/>
      <c r="L584" s="1394"/>
      <c r="M584" s="1394"/>
      <c r="N584" s="1394"/>
      <c r="O584" s="1394"/>
      <c r="P584" s="1394"/>
      <c r="Q584" s="1394"/>
      <c r="R584" s="1394"/>
      <c r="T584" s="22"/>
      <c r="U584" t="s">
        <v>17</v>
      </c>
      <c r="Z584" s="1463" t="s">
        <v>2751</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317</v>
      </c>
      <c r="G585" s="1437">
        <v>5308225200</v>
      </c>
      <c r="H585" s="1437"/>
      <c r="I585" s="1437"/>
      <c r="J585" s="1437"/>
      <c r="K585" s="1437"/>
      <c r="L585" s="1437"/>
      <c r="O585" s="33" t="s">
        <v>207</v>
      </c>
      <c r="P585" s="1464"/>
      <c r="Q585" s="1464"/>
      <c r="R585" s="1464"/>
      <c r="T585" s="22"/>
      <c r="U585" t="s">
        <v>317</v>
      </c>
      <c r="Z585" s="1437">
        <v>5306710220</v>
      </c>
      <c r="AA585" s="1437"/>
      <c r="AB585" s="1437"/>
      <c r="AC585" s="1437"/>
      <c r="AD585" s="1437"/>
      <c r="AE585" s="1437"/>
      <c r="AH585" s="33" t="s">
        <v>207</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435" t="s">
        <v>2748</v>
      </c>
      <c r="I586" s="1394"/>
      <c r="J586" s="1394"/>
      <c r="K586" s="1394"/>
      <c r="L586" s="1394"/>
      <c r="M586" s="1394"/>
      <c r="N586" s="1394"/>
      <c r="O586" s="1394"/>
      <c r="P586" s="1394"/>
      <c r="Q586" s="1394"/>
      <c r="R586" s="1394"/>
      <c r="T586" s="22"/>
      <c r="U586" t="s">
        <v>18</v>
      </c>
      <c r="AA586" s="1435" t="s">
        <v>2752</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73" t="s">
        <v>554</v>
      </c>
      <c r="O587" s="1373"/>
      <c r="T587" s="22"/>
      <c r="U587" t="s">
        <v>20</v>
      </c>
      <c r="AG587" s="1373" t="s">
        <v>554</v>
      </c>
      <c r="AH587" s="137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512" t="str">
        <f>C556</f>
        <v>RHA Land Acquisition Loan</v>
      </c>
      <c r="H589" s="1512"/>
      <c r="I589" s="1512"/>
      <c r="J589" s="1512"/>
      <c r="K589" s="1512"/>
      <c r="L589" s="1512"/>
      <c r="M589" s="1512"/>
      <c r="N589" s="1512"/>
      <c r="O589" s="1512"/>
      <c r="P589" s="1512"/>
      <c r="Q589" s="1512"/>
      <c r="R589" s="1512"/>
      <c r="T589" s="55" t="s">
        <v>465</v>
      </c>
      <c r="U589" t="s">
        <v>472</v>
      </c>
      <c r="Z589" s="1512" t="str">
        <f>C557</f>
        <v>RHA BUILD Loan</v>
      </c>
      <c r="AA589" s="1512"/>
      <c r="AB589" s="1512"/>
      <c r="AC589" s="1512"/>
      <c r="AD589" s="1512"/>
      <c r="AE589" s="1512"/>
      <c r="AF589" s="1512"/>
      <c r="AG589" s="1512"/>
      <c r="AH589" s="1512"/>
      <c r="AI589" s="1512"/>
      <c r="AJ589" s="1512"/>
      <c r="AK589" s="151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435" t="s">
        <v>2638</v>
      </c>
      <c r="H590" s="1394"/>
      <c r="I590" s="1394"/>
      <c r="J590" s="1394"/>
      <c r="K590" s="1394"/>
      <c r="L590" s="1394"/>
      <c r="M590" s="1394"/>
      <c r="N590" s="1394"/>
      <c r="O590" s="1394"/>
      <c r="P590" s="1394"/>
      <c r="Q590" s="1394"/>
      <c r="R590" s="1394"/>
      <c r="T590" s="22"/>
      <c r="U590" t="s">
        <v>86</v>
      </c>
      <c r="Z590" s="1435" t="s">
        <v>2638</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435" t="s">
        <v>2630</v>
      </c>
      <c r="H591" s="1394"/>
      <c r="I591" s="1394"/>
      <c r="J591" s="1394"/>
      <c r="K591" s="1394"/>
      <c r="L591" s="1394"/>
      <c r="M591" s="1394"/>
      <c r="N591" s="1394"/>
      <c r="O591" s="1394"/>
      <c r="P591" s="1394"/>
      <c r="Q591" s="1394"/>
      <c r="R591" s="1394"/>
      <c r="T591" s="22"/>
      <c r="U591" t="s">
        <v>589</v>
      </c>
      <c r="Z591" s="1463" t="s">
        <v>2630</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435" t="s">
        <v>2751</v>
      </c>
      <c r="H592" s="1394"/>
      <c r="I592" s="1394"/>
      <c r="J592" s="1394"/>
      <c r="K592" s="1394"/>
      <c r="L592" s="1394"/>
      <c r="M592" s="1394"/>
      <c r="N592" s="1394"/>
      <c r="O592" s="1394"/>
      <c r="P592" s="1394"/>
      <c r="Q592" s="1394"/>
      <c r="R592" s="1394"/>
      <c r="T592" s="22"/>
      <c r="U592" t="s">
        <v>17</v>
      </c>
      <c r="Z592" s="1463" t="s">
        <v>2751</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317</v>
      </c>
      <c r="C593"/>
      <c r="D593"/>
      <c r="E593"/>
      <c r="F593"/>
      <c r="G593" s="1437">
        <v>5306710220</v>
      </c>
      <c r="H593" s="1437"/>
      <c r="I593" s="1437"/>
      <c r="J593" s="1437"/>
      <c r="K593" s="1437"/>
      <c r="L593" s="1437"/>
      <c r="M593"/>
      <c r="N593"/>
      <c r="O593" s="33" t="s">
        <v>207</v>
      </c>
      <c r="P593" s="1464"/>
      <c r="Q593" s="1464"/>
      <c r="R593" s="1464"/>
      <c r="S593"/>
      <c r="T593" s="22"/>
      <c r="U593" t="s">
        <v>317</v>
      </c>
      <c r="V593"/>
      <c r="W593"/>
      <c r="X593"/>
      <c r="Y593"/>
      <c r="Z593" s="1437">
        <v>5306710220</v>
      </c>
      <c r="AA593" s="1437"/>
      <c r="AB593" s="1437"/>
      <c r="AC593" s="1437"/>
      <c r="AD593" s="1437"/>
      <c r="AE593" s="1437"/>
      <c r="AF593"/>
      <c r="AG593"/>
      <c r="AH593" s="33" t="s">
        <v>207</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435" t="s">
        <v>2753</v>
      </c>
      <c r="I594" s="1394"/>
      <c r="J594" s="1394"/>
      <c r="K594" s="1394"/>
      <c r="L594" s="1394"/>
      <c r="M594" s="1394"/>
      <c r="N594" s="1394"/>
      <c r="O594" s="1394"/>
      <c r="P594" s="1394"/>
      <c r="Q594" s="1394"/>
      <c r="R594" s="1394"/>
      <c r="S594"/>
      <c r="T594" s="22"/>
      <c r="U594" t="s">
        <v>18</v>
      </c>
      <c r="V594"/>
      <c r="W594"/>
      <c r="X594"/>
      <c r="Y594"/>
      <c r="Z594"/>
      <c r="AA594" s="1435" t="s">
        <v>2754</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73" t="s">
        <v>554</v>
      </c>
      <c r="O595" s="1373"/>
      <c r="P595"/>
      <c r="Q595"/>
      <c r="R595"/>
      <c r="S595"/>
      <c r="T595" s="22"/>
      <c r="U595" t="s">
        <v>20</v>
      </c>
      <c r="V595"/>
      <c r="W595"/>
      <c r="X595"/>
      <c r="Y595"/>
      <c r="Z595"/>
      <c r="AA595"/>
      <c r="AB595"/>
      <c r="AC595"/>
      <c r="AD595"/>
      <c r="AE595"/>
      <c r="AF595"/>
      <c r="AG595" s="1373" t="s">
        <v>554</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496"/>
      <c r="BH595" s="1497"/>
      <c r="BI595" s="121" t="s">
        <v>484</v>
      </c>
      <c r="BJ595" s="122"/>
      <c r="BK595" s="1496"/>
      <c r="BL595" s="1497"/>
      <c r="BM595" s="3"/>
      <c r="BN595" s="1708" t="s">
        <v>642</v>
      </c>
      <c r="BO595" s="1709"/>
      <c r="BP595" s="1709"/>
      <c r="BQ595" s="1709"/>
      <c r="BR595" s="1710"/>
      <c r="BS595" s="1511" t="s">
        <v>326</v>
      </c>
      <c r="BT595" s="1511"/>
      <c r="BU595" s="1511"/>
      <c r="BV595" s="1511"/>
      <c r="BW595" s="1511"/>
      <c r="BX595" s="1511" t="s">
        <v>164</v>
      </c>
      <c r="BY595" s="1511"/>
      <c r="BZ595" s="1511"/>
      <c r="CA595" s="1511"/>
      <c r="CB595" s="1511"/>
      <c r="CC595" s="1511" t="s">
        <v>165</v>
      </c>
      <c r="CD595" s="1511"/>
      <c r="CE595" s="1511"/>
      <c r="CF595" s="1511"/>
      <c r="CG595" s="1511"/>
      <c r="CH595" s="1511" t="s">
        <v>469</v>
      </c>
      <c r="CI595" s="1511"/>
      <c r="CJ595" s="1511"/>
      <c r="CK595" s="1511"/>
      <c r="CL595" s="1511"/>
      <c r="CM595" s="1511" t="s">
        <v>30</v>
      </c>
      <c r="CN595" s="1511"/>
      <c r="CO595" s="1511"/>
      <c r="CP595" s="1511"/>
      <c r="CQ595" s="1511"/>
      <c r="CR595" s="89"/>
      <c r="CS595" s="1511" t="s">
        <v>642</v>
      </c>
      <c r="CT595" s="1511"/>
      <c r="CU595" s="1511"/>
      <c r="CV595" s="1511"/>
      <c r="CW595" s="1511"/>
      <c r="CX595" s="1511" t="s">
        <v>326</v>
      </c>
      <c r="CY595" s="1511"/>
      <c r="CZ595" s="1511"/>
      <c r="DA595" s="1511"/>
      <c r="DB595" s="1511"/>
      <c r="DC595" s="1511" t="s">
        <v>164</v>
      </c>
      <c r="DD595" s="1511"/>
      <c r="DE595" s="1511"/>
      <c r="DF595" s="1511"/>
      <c r="DG595" s="1511"/>
      <c r="DH595" s="1511" t="s">
        <v>165</v>
      </c>
      <c r="DI595" s="1511"/>
      <c r="DJ595" s="1511"/>
      <c r="DK595" s="1511"/>
      <c r="DL595" s="1511"/>
      <c r="DM595" s="1511" t="s">
        <v>469</v>
      </c>
      <c r="DN595" s="1511"/>
      <c r="DO595" s="1511"/>
      <c r="DP595" s="1511"/>
      <c r="DQ595" s="1511"/>
      <c r="DR595" s="1511" t="s">
        <v>30</v>
      </c>
      <c r="DS595" s="1511"/>
      <c r="DT595" s="1511"/>
      <c r="DU595" s="1511"/>
      <c r="DV595" s="1511"/>
      <c r="DX595" s="1511" t="s">
        <v>642</v>
      </c>
      <c r="DY595" s="1511"/>
      <c r="DZ595" s="1511"/>
      <c r="EA595" s="1511"/>
      <c r="EB595" s="1511"/>
      <c r="EC595" s="1511" t="s">
        <v>326</v>
      </c>
      <c r="ED595" s="1511"/>
      <c r="EE595" s="1511"/>
      <c r="EF595" s="1511"/>
      <c r="EG595" s="1511"/>
      <c r="EH595" s="1511" t="s">
        <v>164</v>
      </c>
      <c r="EI595" s="1511"/>
      <c r="EJ595" s="1511"/>
      <c r="EK595" s="1511"/>
      <c r="EL595" s="1511"/>
      <c r="EM595" s="1511" t="s">
        <v>165</v>
      </c>
      <c r="EN595" s="1511"/>
      <c r="EO595" s="1511"/>
      <c r="EP595" s="1511"/>
      <c r="EQ595" s="1511"/>
      <c r="ER595" s="1511" t="s">
        <v>469</v>
      </c>
      <c r="ES595" s="1511"/>
      <c r="ET595" s="1511"/>
      <c r="EU595" s="1511"/>
      <c r="EV595" s="1511"/>
      <c r="EW595" s="1511" t="s">
        <v>30</v>
      </c>
      <c r="EX595" s="1511"/>
      <c r="EY595" s="1511"/>
      <c r="EZ595" s="1511"/>
      <c r="FA595" s="1511"/>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0">
        <f t="shared" ref="BE596:BE620" si="1">IF(AND(AC714&lt;=0.5,AC714&gt;=0.36),1,0)</f>
        <v>0</v>
      </c>
      <c r="BF596" s="1421"/>
      <c r="BG596" s="1496">
        <f t="shared" ref="BG596:BG620" si="2">IF(BE596=1,G714,0)</f>
        <v>0</v>
      </c>
      <c r="BH596" s="1497"/>
      <c r="BI596" s="1420">
        <f t="shared" ref="BI596:BI620" si="3">IF(AND(AC714&lt;=0.35,AC714&gt;0),1,0)</f>
        <v>1</v>
      </c>
      <c r="BJ596" s="1421"/>
      <c r="BK596" s="1496">
        <f t="shared" ref="BK596:BK620" si="4">IF(BI596=1,G714,0)</f>
        <v>10</v>
      </c>
      <c r="BL596" s="1497"/>
      <c r="BM596" s="3"/>
      <c r="BN596" s="1507">
        <f t="shared" ref="BN596:BN620" si="5">IF(B714="SRO/Studio",G714,0)</f>
        <v>0</v>
      </c>
      <c r="BO596" s="1508"/>
      <c r="BP596" s="1508"/>
      <c r="BQ596" s="1508"/>
      <c r="BR596" s="1509"/>
      <c r="BS596" s="1395">
        <f t="shared" ref="BS596:BS620" si="6">IF(B714="1 Bedroom",G714,0)</f>
        <v>10</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2">
        <f t="shared" ref="CS596:CS620" si="11">IF(AND(B714="SRO/Studio",AC714&lt;=0.3),G714,0)</f>
        <v>0</v>
      </c>
      <c r="CT596" s="1712"/>
      <c r="CU596" s="1712"/>
      <c r="CV596" s="1712"/>
      <c r="CW596" s="1712"/>
      <c r="CX596" s="1712">
        <f t="shared" ref="CX596:CX620" si="12">IF(AND(B714="1 Bedroom",AC714&lt;=0.3),G714,0)</f>
        <v>10</v>
      </c>
      <c r="CY596" s="1712"/>
      <c r="CZ596" s="1712"/>
      <c r="DA596" s="1712"/>
      <c r="DB596" s="1712"/>
      <c r="DC596" s="1712">
        <f t="shared" ref="DC596:DC620" si="13">IF(AND(B714="2 Bedrooms",AC714&lt;=0.3),G714,0)</f>
        <v>0</v>
      </c>
      <c r="DD596" s="1712"/>
      <c r="DE596" s="1712"/>
      <c r="DF596" s="1712"/>
      <c r="DG596" s="1712"/>
      <c r="DH596" s="1712">
        <f t="shared" ref="DH596:DH620" si="14">IF(AND(B714="3 Bedrooms",AC714&lt;=0.3),G714,0)</f>
        <v>0</v>
      </c>
      <c r="DI596" s="1712"/>
      <c r="DJ596" s="1712"/>
      <c r="DK596" s="1712"/>
      <c r="DL596" s="1712"/>
      <c r="DM596" s="1712">
        <f t="shared" ref="DM596:DM620" si="15">IF(AND(B714="4 Bedrooms",AC714&lt;=0.3),G714,0)</f>
        <v>0</v>
      </c>
      <c r="DN596" s="1712"/>
      <c r="DO596" s="1712"/>
      <c r="DP596" s="1712"/>
      <c r="DQ596" s="1712"/>
      <c r="DR596" s="1712">
        <f t="shared" ref="DR596:DR620" si="16">IF(AND(B714="5 Bedrooms",AC714&lt;=0.3),G714,0)</f>
        <v>0</v>
      </c>
      <c r="DS596" s="1712"/>
      <c r="DT596" s="1712"/>
      <c r="DU596" s="1712"/>
      <c r="DV596" s="1712"/>
      <c r="DX596" s="1420" t="str">
        <f t="shared" ref="DX596:DX620" si="17">IF(BN596&gt;0,O714," ")</f>
        <v xml:space="preserve"> </v>
      </c>
      <c r="DY596" s="1842"/>
      <c r="DZ596" s="1842"/>
      <c r="EA596" s="1842"/>
      <c r="EB596" s="1421"/>
      <c r="EC596" s="1420">
        <f t="shared" ref="EC596:EC620" si="18">IF(BS596&gt;0,O714," ")</f>
        <v>345</v>
      </c>
      <c r="ED596" s="1842"/>
      <c r="EE596" s="1842"/>
      <c r="EF596" s="1842"/>
      <c r="EG596" s="1421"/>
      <c r="EH596" s="1420" t="str">
        <f t="shared" ref="EH596:EH620" si="19">IF(BX596&gt;0,O714," ")</f>
        <v xml:space="preserve"> </v>
      </c>
      <c r="EI596" s="1842"/>
      <c r="EJ596" s="1842"/>
      <c r="EK596" s="1842"/>
      <c r="EL596" s="1421"/>
      <c r="EM596" s="1420" t="str">
        <f t="shared" ref="EM596:EM620" si="20">IF(CC596&gt;0,O714," ")</f>
        <v xml:space="preserve"> </v>
      </c>
      <c r="EN596" s="1842"/>
      <c r="EO596" s="1842"/>
      <c r="EP596" s="1842"/>
      <c r="EQ596" s="1421"/>
      <c r="ER596" s="1420" t="str">
        <f t="shared" ref="ER596:ER620" si="21">IF(CH596&gt;0,O714," ")</f>
        <v xml:space="preserve"> </v>
      </c>
      <c r="ES596" s="1842"/>
      <c r="ET596" s="1842"/>
      <c r="EU596" s="1842"/>
      <c r="EV596" s="1421"/>
      <c r="EW596" s="1420" t="str">
        <f t="shared" ref="EW596:EW620" si="22">IF(CM596&gt;0,O714," ")</f>
        <v xml:space="preserve"> </v>
      </c>
      <c r="EX596" s="1842"/>
      <c r="EY596" s="1842"/>
      <c r="EZ596" s="1842"/>
      <c r="FA596" s="1421"/>
    </row>
    <row r="597" spans="1:157" s="4" customFormat="1" ht="12.9" customHeight="1">
      <c r="A597" s="55" t="s">
        <v>470</v>
      </c>
      <c r="B597" t="s">
        <v>472</v>
      </c>
      <c r="C597"/>
      <c r="D597"/>
      <c r="E597"/>
      <c r="F597"/>
      <c r="G597" s="1512" t="str">
        <f>C558</f>
        <v>Enterprise Community Capital</v>
      </c>
      <c r="H597" s="1512"/>
      <c r="I597" s="1512"/>
      <c r="J597" s="1512"/>
      <c r="K597" s="1512"/>
      <c r="L597" s="1512"/>
      <c r="M597" s="1512"/>
      <c r="N597" s="1512"/>
      <c r="O597" s="1512"/>
      <c r="P597" s="1512"/>
      <c r="Q597" s="1512"/>
      <c r="R597" s="1512"/>
      <c r="S597"/>
      <c r="T597" s="55" t="s">
        <v>655</v>
      </c>
      <c r="U597" t="s">
        <v>472</v>
      </c>
      <c r="V597"/>
      <c r="W597"/>
      <c r="X597"/>
      <c r="Y597"/>
      <c r="Z597" s="1512" t="str">
        <f>C559</f>
        <v>Richland Village, LP</v>
      </c>
      <c r="AA597" s="1512"/>
      <c r="AB597" s="1512"/>
      <c r="AC597" s="1512"/>
      <c r="AD597" s="1512"/>
      <c r="AE597" s="1512"/>
      <c r="AF597" s="1512"/>
      <c r="AG597" s="1512"/>
      <c r="AH597" s="1512"/>
      <c r="AI597" s="1512"/>
      <c r="AJ597" s="1512"/>
      <c r="AK597" s="1512"/>
      <c r="AL597"/>
      <c r="AM597"/>
      <c r="AN597"/>
      <c r="AO597"/>
      <c r="AP597"/>
      <c r="AQ597"/>
      <c r="AR597"/>
      <c r="AS597"/>
      <c r="AT597"/>
      <c r="AU597"/>
      <c r="AV597"/>
      <c r="AW597"/>
      <c r="AX597"/>
      <c r="AY597"/>
      <c r="BA597" s="4" t="s">
        <v>164</v>
      </c>
      <c r="BB597" s="3"/>
      <c r="BC597" s="3"/>
      <c r="BD597" s="3"/>
      <c r="BE597" s="1420">
        <f t="shared" si="1"/>
        <v>0</v>
      </c>
      <c r="BF597" s="1421"/>
      <c r="BG597" s="1496">
        <f t="shared" si="2"/>
        <v>0</v>
      </c>
      <c r="BH597" s="1497"/>
      <c r="BI597" s="1420">
        <f t="shared" si="3"/>
        <v>1</v>
      </c>
      <c r="BJ597" s="1421"/>
      <c r="BK597" s="1496">
        <f t="shared" si="4"/>
        <v>8</v>
      </c>
      <c r="BL597" s="1497"/>
      <c r="BM597" s="3"/>
      <c r="BN597" s="1507">
        <f t="shared" si="5"/>
        <v>0</v>
      </c>
      <c r="BO597" s="1508"/>
      <c r="BP597" s="1508"/>
      <c r="BQ597" s="1508"/>
      <c r="BR597" s="1509"/>
      <c r="BS597" s="1395">
        <f t="shared" si="6"/>
        <v>8</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2">
        <f t="shared" si="11"/>
        <v>0</v>
      </c>
      <c r="CT597" s="1712"/>
      <c r="CU597" s="1712"/>
      <c r="CV597" s="1712"/>
      <c r="CW597" s="1712"/>
      <c r="CX597" s="1712">
        <f t="shared" si="12"/>
        <v>8</v>
      </c>
      <c r="CY597" s="1712"/>
      <c r="CZ597" s="1712"/>
      <c r="DA597" s="1712"/>
      <c r="DB597" s="1712"/>
      <c r="DC597" s="1712">
        <f t="shared" si="13"/>
        <v>0</v>
      </c>
      <c r="DD597" s="1712"/>
      <c r="DE597" s="1712"/>
      <c r="DF597" s="1712"/>
      <c r="DG597" s="1712"/>
      <c r="DH597" s="1712">
        <f t="shared" si="14"/>
        <v>0</v>
      </c>
      <c r="DI597" s="1712"/>
      <c r="DJ597" s="1712"/>
      <c r="DK597" s="1712"/>
      <c r="DL597" s="1712"/>
      <c r="DM597" s="1712">
        <f t="shared" si="15"/>
        <v>0</v>
      </c>
      <c r="DN597" s="1712"/>
      <c r="DO597" s="1712"/>
      <c r="DP597" s="1712"/>
      <c r="DQ597" s="1712"/>
      <c r="DR597" s="1712">
        <f t="shared" si="16"/>
        <v>0</v>
      </c>
      <c r="DS597" s="1712"/>
      <c r="DT597" s="1712"/>
      <c r="DU597" s="1712"/>
      <c r="DV597" s="1712"/>
      <c r="DX597" s="1420" t="str">
        <f t="shared" si="17"/>
        <v xml:space="preserve"> </v>
      </c>
      <c r="DY597" s="1842"/>
      <c r="DZ597" s="1842"/>
      <c r="EA597" s="1842"/>
      <c r="EB597" s="1421"/>
      <c r="EC597" s="1420">
        <f t="shared" si="18"/>
        <v>345</v>
      </c>
      <c r="ED597" s="1842"/>
      <c r="EE597" s="1842"/>
      <c r="EF597" s="1842"/>
      <c r="EG597" s="1421"/>
      <c r="EH597" s="1420" t="str">
        <f t="shared" si="19"/>
        <v xml:space="preserve"> </v>
      </c>
      <c r="EI597" s="1842"/>
      <c r="EJ597" s="1842"/>
      <c r="EK597" s="1842"/>
      <c r="EL597" s="1421"/>
      <c r="EM597" s="1420" t="str">
        <f t="shared" si="20"/>
        <v xml:space="preserve"> </v>
      </c>
      <c r="EN597" s="1842"/>
      <c r="EO597" s="1842"/>
      <c r="EP597" s="1842"/>
      <c r="EQ597" s="1421"/>
      <c r="ER597" s="1420" t="str">
        <f t="shared" si="21"/>
        <v xml:space="preserve"> </v>
      </c>
      <c r="ES597" s="1842"/>
      <c r="ET597" s="1842"/>
      <c r="EU597" s="1842"/>
      <c r="EV597" s="1421"/>
      <c r="EW597" s="1420" t="str">
        <f t="shared" si="22"/>
        <v xml:space="preserve"> </v>
      </c>
      <c r="EX597" s="1842"/>
      <c r="EY597" s="1842"/>
      <c r="EZ597" s="1842"/>
      <c r="FA597" s="1421"/>
    </row>
    <row r="598" spans="1:157" ht="12.9" customHeight="1">
      <c r="A598" s="22"/>
      <c r="B598" t="s">
        <v>86</v>
      </c>
      <c r="G598" s="1435" t="s">
        <v>2755</v>
      </c>
      <c r="H598" s="1394"/>
      <c r="I598" s="1394"/>
      <c r="J598" s="1394"/>
      <c r="K598" s="1394"/>
      <c r="L598" s="1394"/>
      <c r="M598" s="1394"/>
      <c r="N598" s="1394"/>
      <c r="O598" s="1394"/>
      <c r="P598" s="1394"/>
      <c r="Q598" s="1394"/>
      <c r="R598" s="1394"/>
      <c r="T598" s="22"/>
      <c r="U598" t="s">
        <v>86</v>
      </c>
      <c r="Z598" s="1435" t="s">
        <v>2638</v>
      </c>
      <c r="AA598" s="1394"/>
      <c r="AB598" s="1394"/>
      <c r="AC598" s="1394"/>
      <c r="AD598" s="1394"/>
      <c r="AE598" s="1394"/>
      <c r="AF598" s="1394"/>
      <c r="AG598" s="1394"/>
      <c r="AH598" s="1394"/>
      <c r="AI598" s="1394"/>
      <c r="AJ598" s="1394"/>
      <c r="AK598" s="1394"/>
      <c r="BA598" s="4" t="s">
        <v>165</v>
      </c>
      <c r="BB598" s="3"/>
      <c r="BC598" s="3"/>
      <c r="BD598" s="3"/>
      <c r="BE598" s="1420">
        <f t="shared" si="1"/>
        <v>1</v>
      </c>
      <c r="BF598" s="1421"/>
      <c r="BG598" s="1496">
        <f t="shared" si="2"/>
        <v>35</v>
      </c>
      <c r="BH598" s="1497"/>
      <c r="BI598" s="1420">
        <f t="shared" si="3"/>
        <v>0</v>
      </c>
      <c r="BJ598" s="1421"/>
      <c r="BK598" s="1496">
        <f t="shared" si="4"/>
        <v>0</v>
      </c>
      <c r="BL598" s="1497"/>
      <c r="BM598" s="3"/>
      <c r="BN598" s="1507">
        <f t="shared" si="5"/>
        <v>0</v>
      </c>
      <c r="BO598" s="1508"/>
      <c r="BP598" s="1508"/>
      <c r="BQ598" s="1508"/>
      <c r="BR598" s="1509"/>
      <c r="BS598" s="1395">
        <f t="shared" si="6"/>
        <v>35</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2">
        <f t="shared" si="11"/>
        <v>0</v>
      </c>
      <c r="CT598" s="1712"/>
      <c r="CU598" s="1712"/>
      <c r="CV598" s="1712"/>
      <c r="CW598" s="1712"/>
      <c r="CX598" s="1712">
        <f t="shared" si="12"/>
        <v>0</v>
      </c>
      <c r="CY598" s="1712"/>
      <c r="CZ598" s="1712"/>
      <c r="DA598" s="1712"/>
      <c r="DB598" s="1712"/>
      <c r="DC598" s="1712">
        <f t="shared" si="13"/>
        <v>0</v>
      </c>
      <c r="DD598" s="1712"/>
      <c r="DE598" s="1712"/>
      <c r="DF598" s="1712"/>
      <c r="DG598" s="1712"/>
      <c r="DH598" s="1712">
        <f t="shared" si="14"/>
        <v>0</v>
      </c>
      <c r="DI598" s="1712"/>
      <c r="DJ598" s="1712"/>
      <c r="DK598" s="1712"/>
      <c r="DL598" s="1712"/>
      <c r="DM598" s="1712">
        <f t="shared" si="15"/>
        <v>0</v>
      </c>
      <c r="DN598" s="1712"/>
      <c r="DO598" s="1712"/>
      <c r="DP598" s="1712"/>
      <c r="DQ598" s="1712"/>
      <c r="DR598" s="1712">
        <f t="shared" si="16"/>
        <v>0</v>
      </c>
      <c r="DS598" s="1712"/>
      <c r="DT598" s="1712"/>
      <c r="DU598" s="1712"/>
      <c r="DV598" s="1712"/>
      <c r="DX598" s="1420" t="str">
        <f t="shared" si="17"/>
        <v xml:space="preserve"> </v>
      </c>
      <c r="DY598" s="1842"/>
      <c r="DZ598" s="1842"/>
      <c r="EA598" s="1842"/>
      <c r="EB598" s="1421"/>
      <c r="EC598" s="1420">
        <f t="shared" si="18"/>
        <v>638</v>
      </c>
      <c r="ED598" s="1842"/>
      <c r="EE598" s="1842"/>
      <c r="EF598" s="1842"/>
      <c r="EG598" s="1421"/>
      <c r="EH598" s="1420" t="str">
        <f t="shared" si="19"/>
        <v xml:space="preserve"> </v>
      </c>
      <c r="EI598" s="1842"/>
      <c r="EJ598" s="1842"/>
      <c r="EK598" s="1842"/>
      <c r="EL598" s="1421"/>
      <c r="EM598" s="1420" t="str">
        <f t="shared" si="20"/>
        <v xml:space="preserve"> </v>
      </c>
      <c r="EN598" s="1842"/>
      <c r="EO598" s="1842"/>
      <c r="EP598" s="1842"/>
      <c r="EQ598" s="1421"/>
      <c r="ER598" s="1420" t="str">
        <f t="shared" si="21"/>
        <v xml:space="preserve"> </v>
      </c>
      <c r="ES598" s="1842"/>
      <c r="ET598" s="1842"/>
      <c r="EU598" s="1842"/>
      <c r="EV598" s="1421"/>
      <c r="EW598" s="1420" t="str">
        <f t="shared" si="22"/>
        <v xml:space="preserve"> </v>
      </c>
      <c r="EX598" s="1842"/>
      <c r="EY598" s="1842"/>
      <c r="EZ598" s="1842"/>
      <c r="FA598" s="1421"/>
    </row>
    <row r="599" spans="1:157" ht="12.9" customHeight="1">
      <c r="A599" s="22"/>
      <c r="B599" t="s">
        <v>589</v>
      </c>
      <c r="G599" s="1435" t="s">
        <v>2756</v>
      </c>
      <c r="H599" s="1394"/>
      <c r="I599" s="1394"/>
      <c r="J599" s="1394"/>
      <c r="K599" s="1394"/>
      <c r="L599" s="1394"/>
      <c r="M599" s="1394"/>
      <c r="N599" s="1394"/>
      <c r="O599" s="1394"/>
      <c r="P599" s="1394"/>
      <c r="Q599" s="1394"/>
      <c r="R599" s="1394"/>
      <c r="T599" s="22"/>
      <c r="U599" t="s">
        <v>589</v>
      </c>
      <c r="Z599" s="1463" t="s">
        <v>2630</v>
      </c>
      <c r="AA599" s="1366"/>
      <c r="AB599" s="1366"/>
      <c r="AC599" s="1366"/>
      <c r="AD599" s="1366"/>
      <c r="AE599" s="1366"/>
      <c r="AF599" s="1366"/>
      <c r="AG599" s="1366"/>
      <c r="AH599" s="1366"/>
      <c r="AI599" s="1366"/>
      <c r="AJ599" s="1366"/>
      <c r="AK599" s="1366"/>
      <c r="BA599" s="4" t="s">
        <v>166</v>
      </c>
      <c r="BB599" s="3"/>
      <c r="BC599" s="3"/>
      <c r="BD599" s="3"/>
      <c r="BE599" s="1420">
        <f t="shared" si="1"/>
        <v>0</v>
      </c>
      <c r="BF599" s="1421"/>
      <c r="BG599" s="1496">
        <f t="shared" si="2"/>
        <v>0</v>
      </c>
      <c r="BH599" s="1497"/>
      <c r="BI599" s="1420">
        <f t="shared" si="3"/>
        <v>0</v>
      </c>
      <c r="BJ599" s="1421"/>
      <c r="BK599" s="1496">
        <f t="shared" si="4"/>
        <v>0</v>
      </c>
      <c r="BL599" s="1497"/>
      <c r="BM599" s="3"/>
      <c r="BN599" s="1507">
        <f t="shared" si="5"/>
        <v>0</v>
      </c>
      <c r="BO599" s="1508"/>
      <c r="BP599" s="1508"/>
      <c r="BQ599" s="1508"/>
      <c r="BR599" s="1509"/>
      <c r="BS599" s="1395">
        <f t="shared" si="6"/>
        <v>34</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2">
        <f t="shared" si="11"/>
        <v>0</v>
      </c>
      <c r="CT599" s="1712"/>
      <c r="CU599" s="1712"/>
      <c r="CV599" s="1712"/>
      <c r="CW599" s="1712"/>
      <c r="CX599" s="1712">
        <f t="shared" si="12"/>
        <v>0</v>
      </c>
      <c r="CY599" s="1712"/>
      <c r="CZ599" s="1712"/>
      <c r="DA599" s="1712"/>
      <c r="DB599" s="1712"/>
      <c r="DC599" s="1712">
        <f t="shared" si="13"/>
        <v>0</v>
      </c>
      <c r="DD599" s="1712"/>
      <c r="DE599" s="1712"/>
      <c r="DF599" s="1712"/>
      <c r="DG599" s="1712"/>
      <c r="DH599" s="1712">
        <f t="shared" si="14"/>
        <v>0</v>
      </c>
      <c r="DI599" s="1712"/>
      <c r="DJ599" s="1712"/>
      <c r="DK599" s="1712"/>
      <c r="DL599" s="1712"/>
      <c r="DM599" s="1712">
        <f t="shared" si="15"/>
        <v>0</v>
      </c>
      <c r="DN599" s="1712"/>
      <c r="DO599" s="1712"/>
      <c r="DP599" s="1712"/>
      <c r="DQ599" s="1712"/>
      <c r="DR599" s="1712">
        <f t="shared" si="16"/>
        <v>0</v>
      </c>
      <c r="DS599" s="1712"/>
      <c r="DT599" s="1712"/>
      <c r="DU599" s="1712"/>
      <c r="DV599" s="1712"/>
      <c r="DX599" s="1420" t="str">
        <f t="shared" si="17"/>
        <v xml:space="preserve"> </v>
      </c>
      <c r="DY599" s="1842"/>
      <c r="DZ599" s="1842"/>
      <c r="EA599" s="1842"/>
      <c r="EB599" s="1421"/>
      <c r="EC599" s="1420">
        <f t="shared" si="18"/>
        <v>784</v>
      </c>
      <c r="ED599" s="1842"/>
      <c r="EE599" s="1842"/>
      <c r="EF599" s="1842"/>
      <c r="EG599" s="1421"/>
      <c r="EH599" s="1420" t="str">
        <f t="shared" si="19"/>
        <v xml:space="preserve"> </v>
      </c>
      <c r="EI599" s="1842"/>
      <c r="EJ599" s="1842"/>
      <c r="EK599" s="1842"/>
      <c r="EL599" s="1421"/>
      <c r="EM599" s="1420" t="str">
        <f t="shared" si="20"/>
        <v xml:space="preserve"> </v>
      </c>
      <c r="EN599" s="1842"/>
      <c r="EO599" s="1842"/>
      <c r="EP599" s="1842"/>
      <c r="EQ599" s="1421"/>
      <c r="ER599" s="1420" t="str">
        <f t="shared" si="21"/>
        <v xml:space="preserve"> </v>
      </c>
      <c r="ES599" s="1842"/>
      <c r="ET599" s="1842"/>
      <c r="EU599" s="1842"/>
      <c r="EV599" s="1421"/>
      <c r="EW599" s="1420" t="str">
        <f t="shared" si="22"/>
        <v xml:space="preserve"> </v>
      </c>
      <c r="EX599" s="1842"/>
      <c r="EY599" s="1842"/>
      <c r="EZ599" s="1842"/>
      <c r="FA599" s="1421"/>
    </row>
    <row r="600" spans="1:157" ht="12.9" customHeight="1">
      <c r="A600" s="22"/>
      <c r="B600" t="s">
        <v>17</v>
      </c>
      <c r="G600" s="1435" t="s">
        <v>2692</v>
      </c>
      <c r="H600" s="1394"/>
      <c r="I600" s="1394"/>
      <c r="J600" s="1394"/>
      <c r="K600" s="1394"/>
      <c r="L600" s="1394"/>
      <c r="M600" s="1394"/>
      <c r="N600" s="1394"/>
      <c r="O600" s="1394"/>
      <c r="P600" s="1394"/>
      <c r="Q600" s="1394"/>
      <c r="R600" s="1394"/>
      <c r="T600" s="22"/>
      <c r="U600" t="s">
        <v>17</v>
      </c>
      <c r="Z600" s="1463" t="s">
        <v>2751</v>
      </c>
      <c r="AA600" s="1366"/>
      <c r="AB600" s="1366"/>
      <c r="AC600" s="1366"/>
      <c r="AD600" s="1366"/>
      <c r="AE600" s="1366"/>
      <c r="AF600" s="1366"/>
      <c r="AG600" s="1366"/>
      <c r="AH600" s="1366"/>
      <c r="AI600" s="1366"/>
      <c r="AJ600" s="1366"/>
      <c r="AK600" s="1366"/>
      <c r="BA600" s="4" t="s">
        <v>30</v>
      </c>
      <c r="BB600" s="3"/>
      <c r="BC600" s="3"/>
      <c r="BD600" s="3"/>
      <c r="BE600" s="1420">
        <f t="shared" si="1"/>
        <v>0</v>
      </c>
      <c r="BF600" s="1421"/>
      <c r="BG600" s="1496">
        <f t="shared" si="2"/>
        <v>0</v>
      </c>
      <c r="BH600" s="1497"/>
      <c r="BI600" s="1420">
        <f t="shared" si="3"/>
        <v>1</v>
      </c>
      <c r="BJ600" s="1421"/>
      <c r="BK600" s="1496">
        <f t="shared" si="4"/>
        <v>5</v>
      </c>
      <c r="BL600" s="1497"/>
      <c r="BM600" s="3"/>
      <c r="BN600" s="1507">
        <f t="shared" si="5"/>
        <v>0</v>
      </c>
      <c r="BO600" s="1508"/>
      <c r="BP600" s="1508"/>
      <c r="BQ600" s="1508"/>
      <c r="BR600" s="1509"/>
      <c r="BS600" s="1395">
        <f t="shared" si="6"/>
        <v>0</v>
      </c>
      <c r="BT600" s="1395"/>
      <c r="BU600" s="1395"/>
      <c r="BV600" s="1395"/>
      <c r="BW600" s="1395"/>
      <c r="BX600" s="1395">
        <f t="shared" si="7"/>
        <v>5</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2">
        <f t="shared" si="11"/>
        <v>0</v>
      </c>
      <c r="CT600" s="1712"/>
      <c r="CU600" s="1712"/>
      <c r="CV600" s="1712"/>
      <c r="CW600" s="1712"/>
      <c r="CX600" s="1712">
        <f t="shared" si="12"/>
        <v>0</v>
      </c>
      <c r="CY600" s="1712"/>
      <c r="CZ600" s="1712"/>
      <c r="DA600" s="1712"/>
      <c r="DB600" s="1712"/>
      <c r="DC600" s="1712">
        <f t="shared" si="13"/>
        <v>5</v>
      </c>
      <c r="DD600" s="1712"/>
      <c r="DE600" s="1712"/>
      <c r="DF600" s="1712"/>
      <c r="DG600" s="1712"/>
      <c r="DH600" s="1712">
        <f t="shared" si="14"/>
        <v>0</v>
      </c>
      <c r="DI600" s="1712"/>
      <c r="DJ600" s="1712"/>
      <c r="DK600" s="1712"/>
      <c r="DL600" s="1712"/>
      <c r="DM600" s="1712">
        <f t="shared" si="15"/>
        <v>0</v>
      </c>
      <c r="DN600" s="1712"/>
      <c r="DO600" s="1712"/>
      <c r="DP600" s="1712"/>
      <c r="DQ600" s="1712"/>
      <c r="DR600" s="1712">
        <f t="shared" si="16"/>
        <v>0</v>
      </c>
      <c r="DS600" s="1712"/>
      <c r="DT600" s="1712"/>
      <c r="DU600" s="1712"/>
      <c r="DV600" s="1712"/>
      <c r="DX600" s="1420" t="str">
        <f t="shared" si="17"/>
        <v xml:space="preserve"> </v>
      </c>
      <c r="DY600" s="1842"/>
      <c r="DZ600" s="1842"/>
      <c r="EA600" s="1842"/>
      <c r="EB600" s="1421"/>
      <c r="EC600" s="1420" t="str">
        <f t="shared" si="18"/>
        <v xml:space="preserve"> </v>
      </c>
      <c r="ED600" s="1842"/>
      <c r="EE600" s="1842"/>
      <c r="EF600" s="1842"/>
      <c r="EG600" s="1421"/>
      <c r="EH600" s="1420">
        <f t="shared" si="19"/>
        <v>396</v>
      </c>
      <c r="EI600" s="1842"/>
      <c r="EJ600" s="1842"/>
      <c r="EK600" s="1842"/>
      <c r="EL600" s="1421"/>
      <c r="EM600" s="1420" t="str">
        <f t="shared" si="20"/>
        <v xml:space="preserve"> </v>
      </c>
      <c r="EN600" s="1842"/>
      <c r="EO600" s="1842"/>
      <c r="EP600" s="1842"/>
      <c r="EQ600" s="1421"/>
      <c r="ER600" s="1420" t="str">
        <f t="shared" si="21"/>
        <v xml:space="preserve"> </v>
      </c>
      <c r="ES600" s="1842"/>
      <c r="ET600" s="1842"/>
      <c r="EU600" s="1842"/>
      <c r="EV600" s="1421"/>
      <c r="EW600" s="1420" t="str">
        <f t="shared" si="22"/>
        <v xml:space="preserve"> </v>
      </c>
      <c r="EX600" s="1842"/>
      <c r="EY600" s="1842"/>
      <c r="EZ600" s="1842"/>
      <c r="FA600" s="1421"/>
    </row>
    <row r="601" spans="1:157" ht="12.9" customHeight="1">
      <c r="A601" s="22"/>
      <c r="B601" t="s">
        <v>317</v>
      </c>
      <c r="G601" s="1437">
        <v>4107722594</v>
      </c>
      <c r="H601" s="1437"/>
      <c r="I601" s="1437"/>
      <c r="J601" s="1437"/>
      <c r="K601" s="1437"/>
      <c r="L601" s="1437"/>
      <c r="O601" s="33" t="s">
        <v>207</v>
      </c>
      <c r="P601" s="1464"/>
      <c r="Q601" s="1464"/>
      <c r="R601" s="1464"/>
      <c r="T601" s="22"/>
      <c r="U601" t="s">
        <v>317</v>
      </c>
      <c r="Z601" s="1437">
        <v>5306710220</v>
      </c>
      <c r="AA601" s="1437"/>
      <c r="AB601" s="1437"/>
      <c r="AC601" s="1437"/>
      <c r="AD601" s="1437"/>
      <c r="AE601" s="1437"/>
      <c r="AH601" s="33" t="s">
        <v>207</v>
      </c>
      <c r="AI601" s="1464"/>
      <c r="AJ601" s="1464"/>
      <c r="AK601" s="1464"/>
      <c r="AZ601" s="3"/>
      <c r="BA601" s="3"/>
      <c r="BB601" s="3"/>
      <c r="BC601" s="3"/>
      <c r="BD601" s="3"/>
      <c r="BE601" s="1420">
        <f t="shared" si="1"/>
        <v>0</v>
      </c>
      <c r="BF601" s="1421"/>
      <c r="BG601" s="1496">
        <f t="shared" si="2"/>
        <v>0</v>
      </c>
      <c r="BH601" s="1497"/>
      <c r="BI601" s="1420">
        <f t="shared" si="3"/>
        <v>1</v>
      </c>
      <c r="BJ601" s="1421"/>
      <c r="BK601" s="1496">
        <f t="shared" si="4"/>
        <v>4</v>
      </c>
      <c r="BL601" s="1497"/>
      <c r="BM601" s="3"/>
      <c r="BN601" s="1507">
        <f t="shared" si="5"/>
        <v>0</v>
      </c>
      <c r="BO601" s="1508"/>
      <c r="BP601" s="1508"/>
      <c r="BQ601" s="1508"/>
      <c r="BR601" s="1509"/>
      <c r="BS601" s="1395">
        <f t="shared" si="6"/>
        <v>0</v>
      </c>
      <c r="BT601" s="1395"/>
      <c r="BU601" s="1395"/>
      <c r="BV601" s="1395"/>
      <c r="BW601" s="1395"/>
      <c r="BX601" s="1395">
        <f t="shared" si="7"/>
        <v>4</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2">
        <f t="shared" si="11"/>
        <v>0</v>
      </c>
      <c r="CT601" s="1712"/>
      <c r="CU601" s="1712"/>
      <c r="CV601" s="1712"/>
      <c r="CW601" s="1712"/>
      <c r="CX601" s="1712">
        <f t="shared" si="12"/>
        <v>0</v>
      </c>
      <c r="CY601" s="1712"/>
      <c r="CZ601" s="1712"/>
      <c r="DA601" s="1712"/>
      <c r="DB601" s="1712"/>
      <c r="DC601" s="1712">
        <f t="shared" si="13"/>
        <v>4</v>
      </c>
      <c r="DD601" s="1712"/>
      <c r="DE601" s="1712"/>
      <c r="DF601" s="1712"/>
      <c r="DG601" s="1712"/>
      <c r="DH601" s="1712">
        <f t="shared" si="14"/>
        <v>0</v>
      </c>
      <c r="DI601" s="1712"/>
      <c r="DJ601" s="1712"/>
      <c r="DK601" s="1712"/>
      <c r="DL601" s="1712"/>
      <c r="DM601" s="1712">
        <f t="shared" si="15"/>
        <v>0</v>
      </c>
      <c r="DN601" s="1712"/>
      <c r="DO601" s="1712"/>
      <c r="DP601" s="1712"/>
      <c r="DQ601" s="1712"/>
      <c r="DR601" s="1712">
        <f t="shared" si="16"/>
        <v>0</v>
      </c>
      <c r="DS601" s="1712"/>
      <c r="DT601" s="1712"/>
      <c r="DU601" s="1712"/>
      <c r="DV601" s="1712"/>
      <c r="DX601" s="1420" t="str">
        <f t="shared" si="17"/>
        <v xml:space="preserve"> </v>
      </c>
      <c r="DY601" s="1842"/>
      <c r="DZ601" s="1842"/>
      <c r="EA601" s="1842"/>
      <c r="EB601" s="1421"/>
      <c r="EC601" s="1420" t="str">
        <f t="shared" si="18"/>
        <v xml:space="preserve"> </v>
      </c>
      <c r="ED601" s="1842"/>
      <c r="EE601" s="1842"/>
      <c r="EF601" s="1842"/>
      <c r="EG601" s="1421"/>
      <c r="EH601" s="1420">
        <f t="shared" si="19"/>
        <v>396</v>
      </c>
      <c r="EI601" s="1842"/>
      <c r="EJ601" s="1842"/>
      <c r="EK601" s="1842"/>
      <c r="EL601" s="1421"/>
      <c r="EM601" s="1420" t="str">
        <f t="shared" si="20"/>
        <v xml:space="preserve"> </v>
      </c>
      <c r="EN601" s="1842"/>
      <c r="EO601" s="1842"/>
      <c r="EP601" s="1842"/>
      <c r="EQ601" s="1421"/>
      <c r="ER601" s="1420" t="str">
        <f t="shared" si="21"/>
        <v xml:space="preserve"> </v>
      </c>
      <c r="ES601" s="1842"/>
      <c r="ET601" s="1842"/>
      <c r="EU601" s="1842"/>
      <c r="EV601" s="1421"/>
      <c r="EW601" s="1420" t="str">
        <f t="shared" si="22"/>
        <v xml:space="preserve"> </v>
      </c>
      <c r="EX601" s="1842"/>
      <c r="EY601" s="1842"/>
      <c r="EZ601" s="1842"/>
      <c r="FA601" s="1421"/>
    </row>
    <row r="602" spans="1:157" ht="12.9" customHeight="1">
      <c r="A602" s="22"/>
      <c r="B602" t="s">
        <v>18</v>
      </c>
      <c r="H602" s="1435" t="s">
        <v>2757</v>
      </c>
      <c r="I602" s="1394"/>
      <c r="J602" s="1394"/>
      <c r="K602" s="1394"/>
      <c r="L602" s="1394"/>
      <c r="M602" s="1394"/>
      <c r="N602" s="1394"/>
      <c r="O602" s="1394"/>
      <c r="P602" s="1394"/>
      <c r="Q602" s="1394"/>
      <c r="R602" s="1394"/>
      <c r="T602" s="22"/>
      <c r="U602" t="s">
        <v>18</v>
      </c>
      <c r="AA602" s="1435" t="s">
        <v>2758</v>
      </c>
      <c r="AB602" s="1394"/>
      <c r="AC602" s="1394"/>
      <c r="AD602" s="1394"/>
      <c r="AE602" s="1394"/>
      <c r="AF602" s="1394"/>
      <c r="AG602" s="1394"/>
      <c r="AH602" s="1394"/>
      <c r="AI602" s="1394"/>
      <c r="AJ602" s="1394"/>
      <c r="AK602" s="1394"/>
      <c r="AZ602" s="3"/>
      <c r="BA602" s="3"/>
      <c r="BB602" s="3"/>
      <c r="BC602" s="3"/>
      <c r="BD602" s="3"/>
      <c r="BE602" s="1420">
        <f t="shared" si="1"/>
        <v>1</v>
      </c>
      <c r="BF602" s="1421"/>
      <c r="BG602" s="1496">
        <f t="shared" si="2"/>
        <v>18</v>
      </c>
      <c r="BH602" s="1497"/>
      <c r="BI602" s="1420">
        <f t="shared" si="3"/>
        <v>0</v>
      </c>
      <c r="BJ602" s="1421"/>
      <c r="BK602" s="1496">
        <f t="shared" si="4"/>
        <v>0</v>
      </c>
      <c r="BL602" s="1497"/>
      <c r="BM602" s="3"/>
      <c r="BN602" s="1507">
        <f t="shared" si="5"/>
        <v>0</v>
      </c>
      <c r="BO602" s="1508"/>
      <c r="BP602" s="1508"/>
      <c r="BQ602" s="1508"/>
      <c r="BR602" s="1509"/>
      <c r="BS602" s="1395">
        <f t="shared" si="6"/>
        <v>0</v>
      </c>
      <c r="BT602" s="1395"/>
      <c r="BU602" s="1395"/>
      <c r="BV602" s="1395"/>
      <c r="BW602" s="1395"/>
      <c r="BX602" s="1395">
        <f t="shared" si="7"/>
        <v>18</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2">
        <f t="shared" si="11"/>
        <v>0</v>
      </c>
      <c r="CT602" s="1712"/>
      <c r="CU602" s="1712"/>
      <c r="CV602" s="1712"/>
      <c r="CW602" s="1712"/>
      <c r="CX602" s="1712">
        <f t="shared" si="12"/>
        <v>0</v>
      </c>
      <c r="CY602" s="1712"/>
      <c r="CZ602" s="1712"/>
      <c r="DA602" s="1712"/>
      <c r="DB602" s="1712"/>
      <c r="DC602" s="1712">
        <f t="shared" si="13"/>
        <v>0</v>
      </c>
      <c r="DD602" s="1712"/>
      <c r="DE602" s="1712"/>
      <c r="DF602" s="1712"/>
      <c r="DG602" s="1712"/>
      <c r="DH602" s="1712">
        <f t="shared" si="14"/>
        <v>0</v>
      </c>
      <c r="DI602" s="1712"/>
      <c r="DJ602" s="1712"/>
      <c r="DK602" s="1712"/>
      <c r="DL602" s="1712"/>
      <c r="DM602" s="1712">
        <f t="shared" si="15"/>
        <v>0</v>
      </c>
      <c r="DN602" s="1712"/>
      <c r="DO602" s="1712"/>
      <c r="DP602" s="1712"/>
      <c r="DQ602" s="1712"/>
      <c r="DR602" s="1712">
        <f t="shared" si="16"/>
        <v>0</v>
      </c>
      <c r="DS602" s="1712"/>
      <c r="DT602" s="1712"/>
      <c r="DU602" s="1712"/>
      <c r="DV602" s="1712"/>
      <c r="DX602" s="1420" t="str">
        <f t="shared" si="17"/>
        <v xml:space="preserve"> </v>
      </c>
      <c r="DY602" s="1842"/>
      <c r="DZ602" s="1842"/>
      <c r="EA602" s="1842"/>
      <c r="EB602" s="1421"/>
      <c r="EC602" s="1420" t="str">
        <f t="shared" si="18"/>
        <v xml:space="preserve"> </v>
      </c>
      <c r="ED602" s="1842"/>
      <c r="EE602" s="1842"/>
      <c r="EF602" s="1842"/>
      <c r="EG602" s="1421"/>
      <c r="EH602" s="1420">
        <f t="shared" si="19"/>
        <v>747</v>
      </c>
      <c r="EI602" s="1842"/>
      <c r="EJ602" s="1842"/>
      <c r="EK602" s="1842"/>
      <c r="EL602" s="1421"/>
      <c r="EM602" s="1420" t="str">
        <f t="shared" si="20"/>
        <v xml:space="preserve"> </v>
      </c>
      <c r="EN602" s="1842"/>
      <c r="EO602" s="1842"/>
      <c r="EP602" s="1842"/>
      <c r="EQ602" s="1421"/>
      <c r="ER602" s="1420" t="str">
        <f t="shared" si="21"/>
        <v xml:space="preserve"> </v>
      </c>
      <c r="ES602" s="1842"/>
      <c r="ET602" s="1842"/>
      <c r="EU602" s="1842"/>
      <c r="EV602" s="1421"/>
      <c r="EW602" s="1420" t="str">
        <f t="shared" si="22"/>
        <v xml:space="preserve"> </v>
      </c>
      <c r="EX602" s="1842"/>
      <c r="EY602" s="1842"/>
      <c r="EZ602" s="1842"/>
      <c r="FA602" s="1421"/>
    </row>
    <row r="603" spans="1:157" ht="12.9" customHeight="1">
      <c r="A603" s="22"/>
      <c r="B603" t="s">
        <v>20</v>
      </c>
      <c r="N603" s="1373" t="s">
        <v>554</v>
      </c>
      <c r="O603" s="1373"/>
      <c r="T603" s="22"/>
      <c r="U603" t="s">
        <v>20</v>
      </c>
      <c r="AG603" s="1373" t="s">
        <v>554</v>
      </c>
      <c r="AH603" s="1373"/>
      <c r="AZ603" s="3"/>
      <c r="BA603" s="3"/>
      <c r="BB603" s="3"/>
      <c r="BC603" s="3"/>
      <c r="BD603" s="3"/>
      <c r="BE603" s="1420">
        <f t="shared" si="1"/>
        <v>0</v>
      </c>
      <c r="BF603" s="1421"/>
      <c r="BG603" s="1496">
        <f t="shared" si="2"/>
        <v>0</v>
      </c>
      <c r="BH603" s="1497"/>
      <c r="BI603" s="1420">
        <f t="shared" si="3"/>
        <v>0</v>
      </c>
      <c r="BJ603" s="1421"/>
      <c r="BK603" s="1496">
        <f t="shared" si="4"/>
        <v>0</v>
      </c>
      <c r="BL603" s="1497"/>
      <c r="BM603" s="3"/>
      <c r="BN603" s="1507">
        <f t="shared" si="5"/>
        <v>0</v>
      </c>
      <c r="BO603" s="1508"/>
      <c r="BP603" s="1508"/>
      <c r="BQ603" s="1508"/>
      <c r="BR603" s="1509"/>
      <c r="BS603" s="1395">
        <f t="shared" si="6"/>
        <v>0</v>
      </c>
      <c r="BT603" s="1395"/>
      <c r="BU603" s="1395"/>
      <c r="BV603" s="1395"/>
      <c r="BW603" s="1395"/>
      <c r="BX603" s="1395">
        <f t="shared" si="7"/>
        <v>17</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2">
        <f t="shared" si="11"/>
        <v>0</v>
      </c>
      <c r="CT603" s="1712"/>
      <c r="CU603" s="1712"/>
      <c r="CV603" s="1712"/>
      <c r="CW603" s="1712"/>
      <c r="CX603" s="1712">
        <f t="shared" si="12"/>
        <v>0</v>
      </c>
      <c r="CY603" s="1712"/>
      <c r="CZ603" s="1712"/>
      <c r="DA603" s="1712"/>
      <c r="DB603" s="1712"/>
      <c r="DC603" s="1712">
        <f t="shared" si="13"/>
        <v>0</v>
      </c>
      <c r="DD603" s="1712"/>
      <c r="DE603" s="1712"/>
      <c r="DF603" s="1712"/>
      <c r="DG603" s="1712"/>
      <c r="DH603" s="1712">
        <f t="shared" si="14"/>
        <v>0</v>
      </c>
      <c r="DI603" s="1712"/>
      <c r="DJ603" s="1712"/>
      <c r="DK603" s="1712"/>
      <c r="DL603" s="1712"/>
      <c r="DM603" s="1712">
        <f t="shared" si="15"/>
        <v>0</v>
      </c>
      <c r="DN603" s="1712"/>
      <c r="DO603" s="1712"/>
      <c r="DP603" s="1712"/>
      <c r="DQ603" s="1712"/>
      <c r="DR603" s="1712">
        <f t="shared" si="16"/>
        <v>0</v>
      </c>
      <c r="DS603" s="1712"/>
      <c r="DT603" s="1712"/>
      <c r="DU603" s="1712"/>
      <c r="DV603" s="1712"/>
      <c r="DX603" s="1420" t="str">
        <f t="shared" si="17"/>
        <v xml:space="preserve"> </v>
      </c>
      <c r="DY603" s="1842"/>
      <c r="DZ603" s="1842"/>
      <c r="EA603" s="1842"/>
      <c r="EB603" s="1421"/>
      <c r="EC603" s="1420" t="str">
        <f t="shared" si="18"/>
        <v xml:space="preserve"> </v>
      </c>
      <c r="ED603" s="1842"/>
      <c r="EE603" s="1842"/>
      <c r="EF603" s="1842"/>
      <c r="EG603" s="1421"/>
      <c r="EH603" s="1420">
        <f t="shared" si="19"/>
        <v>923</v>
      </c>
      <c r="EI603" s="1842"/>
      <c r="EJ603" s="1842"/>
      <c r="EK603" s="1842"/>
      <c r="EL603" s="1421"/>
      <c r="EM603" s="1420" t="str">
        <f t="shared" si="20"/>
        <v xml:space="preserve"> </v>
      </c>
      <c r="EN603" s="1842"/>
      <c r="EO603" s="1842"/>
      <c r="EP603" s="1842"/>
      <c r="EQ603" s="1421"/>
      <c r="ER603" s="1420" t="str">
        <f t="shared" si="21"/>
        <v xml:space="preserve"> </v>
      </c>
      <c r="ES603" s="1842"/>
      <c r="ET603" s="1842"/>
      <c r="EU603" s="1842"/>
      <c r="EV603" s="1421"/>
      <c r="EW603" s="1420" t="str">
        <f t="shared" si="22"/>
        <v xml:space="preserve"> </v>
      </c>
      <c r="EX603" s="1842"/>
      <c r="EY603" s="1842"/>
      <c r="EZ603" s="1842"/>
      <c r="FA603" s="1421"/>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6">
        <f t="shared" si="2"/>
        <v>0</v>
      </c>
      <c r="BH604" s="1497"/>
      <c r="BI604" s="1420">
        <f t="shared" si="3"/>
        <v>1</v>
      </c>
      <c r="BJ604" s="1421"/>
      <c r="BK604" s="1496">
        <f t="shared" si="4"/>
        <v>5</v>
      </c>
      <c r="BL604" s="1497"/>
      <c r="BM604" s="3"/>
      <c r="BN604" s="1507">
        <f t="shared" si="5"/>
        <v>0</v>
      </c>
      <c r="BO604" s="1508"/>
      <c r="BP604" s="1508"/>
      <c r="BQ604" s="1508"/>
      <c r="BR604" s="1509"/>
      <c r="BS604" s="1395">
        <f t="shared" si="6"/>
        <v>0</v>
      </c>
      <c r="BT604" s="1395"/>
      <c r="BU604" s="1395"/>
      <c r="BV604" s="1395"/>
      <c r="BW604" s="1395"/>
      <c r="BX604" s="1395">
        <f t="shared" si="7"/>
        <v>0</v>
      </c>
      <c r="BY604" s="1395"/>
      <c r="BZ604" s="1395"/>
      <c r="CA604" s="1395"/>
      <c r="CB604" s="1395"/>
      <c r="CC604" s="1395">
        <f t="shared" si="8"/>
        <v>5</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2">
        <f t="shared" si="11"/>
        <v>0</v>
      </c>
      <c r="CT604" s="1712"/>
      <c r="CU604" s="1712"/>
      <c r="CV604" s="1712"/>
      <c r="CW604" s="1712"/>
      <c r="CX604" s="1712">
        <f t="shared" si="12"/>
        <v>0</v>
      </c>
      <c r="CY604" s="1712"/>
      <c r="CZ604" s="1712"/>
      <c r="DA604" s="1712"/>
      <c r="DB604" s="1712"/>
      <c r="DC604" s="1712">
        <f t="shared" si="13"/>
        <v>0</v>
      </c>
      <c r="DD604" s="1712"/>
      <c r="DE604" s="1712"/>
      <c r="DF604" s="1712"/>
      <c r="DG604" s="1712"/>
      <c r="DH604" s="1712">
        <f t="shared" si="14"/>
        <v>5</v>
      </c>
      <c r="DI604" s="1712"/>
      <c r="DJ604" s="1712"/>
      <c r="DK604" s="1712"/>
      <c r="DL604" s="1712"/>
      <c r="DM604" s="1712">
        <f t="shared" si="15"/>
        <v>0</v>
      </c>
      <c r="DN604" s="1712"/>
      <c r="DO604" s="1712"/>
      <c r="DP604" s="1712"/>
      <c r="DQ604" s="1712"/>
      <c r="DR604" s="1712">
        <f t="shared" si="16"/>
        <v>0</v>
      </c>
      <c r="DS604" s="1712"/>
      <c r="DT604" s="1712"/>
      <c r="DU604" s="1712"/>
      <c r="DV604" s="1712"/>
      <c r="DX604" s="1420" t="str">
        <f t="shared" si="17"/>
        <v xml:space="preserve"> </v>
      </c>
      <c r="DY604" s="1842"/>
      <c r="DZ604" s="1842"/>
      <c r="EA604" s="1842"/>
      <c r="EB604" s="1421"/>
      <c r="EC604" s="1420" t="str">
        <f t="shared" si="18"/>
        <v xml:space="preserve"> </v>
      </c>
      <c r="ED604" s="1842"/>
      <c r="EE604" s="1842"/>
      <c r="EF604" s="1842"/>
      <c r="EG604" s="1421"/>
      <c r="EH604" s="1420" t="str">
        <f t="shared" si="19"/>
        <v xml:space="preserve"> </v>
      </c>
      <c r="EI604" s="1842"/>
      <c r="EJ604" s="1842"/>
      <c r="EK604" s="1842"/>
      <c r="EL604" s="1421"/>
      <c r="EM604" s="1420">
        <f t="shared" si="20"/>
        <v>444</v>
      </c>
      <c r="EN604" s="1842"/>
      <c r="EO604" s="1842"/>
      <c r="EP604" s="1842"/>
      <c r="EQ604" s="1421"/>
      <c r="ER604" s="1420" t="str">
        <f t="shared" si="21"/>
        <v xml:space="preserve"> </v>
      </c>
      <c r="ES604" s="1842"/>
      <c r="ET604" s="1842"/>
      <c r="EU604" s="1842"/>
      <c r="EV604" s="1421"/>
      <c r="EW604" s="1420" t="str">
        <f t="shared" si="22"/>
        <v xml:space="preserve"> </v>
      </c>
      <c r="EX604" s="1842"/>
      <c r="EY604" s="1842"/>
      <c r="EZ604" s="1842"/>
      <c r="FA604" s="1421"/>
    </row>
    <row r="605" spans="1:157" s="4" customFormat="1" ht="12.9" customHeight="1">
      <c r="A605" s="55" t="s">
        <v>363</v>
      </c>
      <c r="B605" t="s">
        <v>472</v>
      </c>
      <c r="C605"/>
      <c r="D605"/>
      <c r="E605"/>
      <c r="F605"/>
      <c r="G605" s="1512">
        <f>C560</f>
        <v>0</v>
      </c>
      <c r="H605" s="1512"/>
      <c r="I605" s="1512"/>
      <c r="J605" s="1512"/>
      <c r="K605" s="1512"/>
      <c r="L605" s="1512"/>
      <c r="M605" s="1512"/>
      <c r="N605" s="1512"/>
      <c r="O605" s="1512"/>
      <c r="P605" s="1512"/>
      <c r="Q605" s="1512"/>
      <c r="R605" s="1512"/>
      <c r="S605"/>
      <c r="T605" s="55" t="s">
        <v>364</v>
      </c>
      <c r="U605" t="s">
        <v>472</v>
      </c>
      <c r="V605"/>
      <c r="W605"/>
      <c r="X605"/>
      <c r="Y605"/>
      <c r="Z605" s="1512">
        <f>C561</f>
        <v>0</v>
      </c>
      <c r="AA605" s="1512"/>
      <c r="AB605" s="1512"/>
      <c r="AC605" s="1512"/>
      <c r="AD605" s="1512"/>
      <c r="AE605" s="1512"/>
      <c r="AF605" s="1512"/>
      <c r="AG605" s="1512"/>
      <c r="AH605" s="1512"/>
      <c r="AI605" s="1512"/>
      <c r="AJ605" s="1512"/>
      <c r="AK605" s="1512"/>
      <c r="AL605"/>
      <c r="AM605"/>
      <c r="AN605"/>
      <c r="AO605"/>
      <c r="AP605"/>
      <c r="AQ605"/>
      <c r="AR605"/>
      <c r="AS605"/>
      <c r="AT605"/>
      <c r="AU605"/>
      <c r="AV605"/>
      <c r="AW605"/>
      <c r="AX605"/>
      <c r="AY605"/>
      <c r="AZ605" s="3"/>
      <c r="BA605" s="3"/>
      <c r="BB605" s="3"/>
      <c r="BC605" s="3"/>
      <c r="BD605" s="3"/>
      <c r="BE605" s="1420">
        <f t="shared" si="1"/>
        <v>0</v>
      </c>
      <c r="BF605" s="1421"/>
      <c r="BG605" s="1496">
        <f t="shared" si="2"/>
        <v>0</v>
      </c>
      <c r="BH605" s="1497"/>
      <c r="BI605" s="1420">
        <f t="shared" si="3"/>
        <v>1</v>
      </c>
      <c r="BJ605" s="1421"/>
      <c r="BK605" s="1496">
        <f t="shared" si="4"/>
        <v>4</v>
      </c>
      <c r="BL605" s="1497"/>
      <c r="BM605" s="3"/>
      <c r="BN605" s="1507">
        <f t="shared" si="5"/>
        <v>0</v>
      </c>
      <c r="BO605" s="1508"/>
      <c r="BP605" s="1508"/>
      <c r="BQ605" s="1508"/>
      <c r="BR605" s="1509"/>
      <c r="BS605" s="1395">
        <f t="shared" si="6"/>
        <v>0</v>
      </c>
      <c r="BT605" s="1395"/>
      <c r="BU605" s="1395"/>
      <c r="BV605" s="1395"/>
      <c r="BW605" s="1395"/>
      <c r="BX605" s="1395">
        <f t="shared" si="7"/>
        <v>0</v>
      </c>
      <c r="BY605" s="1395"/>
      <c r="BZ605" s="1395"/>
      <c r="CA605" s="1395"/>
      <c r="CB605" s="1395"/>
      <c r="CC605" s="1395">
        <f t="shared" si="8"/>
        <v>4</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2">
        <f t="shared" si="11"/>
        <v>0</v>
      </c>
      <c r="CT605" s="1712"/>
      <c r="CU605" s="1712"/>
      <c r="CV605" s="1712"/>
      <c r="CW605" s="1712"/>
      <c r="CX605" s="1712">
        <f t="shared" si="12"/>
        <v>0</v>
      </c>
      <c r="CY605" s="1712"/>
      <c r="CZ605" s="1712"/>
      <c r="DA605" s="1712"/>
      <c r="DB605" s="1712"/>
      <c r="DC605" s="1712">
        <f t="shared" si="13"/>
        <v>0</v>
      </c>
      <c r="DD605" s="1712"/>
      <c r="DE605" s="1712"/>
      <c r="DF605" s="1712"/>
      <c r="DG605" s="1712"/>
      <c r="DH605" s="1712">
        <f t="shared" si="14"/>
        <v>4</v>
      </c>
      <c r="DI605" s="1712"/>
      <c r="DJ605" s="1712"/>
      <c r="DK605" s="1712"/>
      <c r="DL605" s="1712"/>
      <c r="DM605" s="1712">
        <f t="shared" si="15"/>
        <v>0</v>
      </c>
      <c r="DN605" s="1712"/>
      <c r="DO605" s="1712"/>
      <c r="DP605" s="1712"/>
      <c r="DQ605" s="1712"/>
      <c r="DR605" s="1712">
        <f t="shared" si="16"/>
        <v>0</v>
      </c>
      <c r="DS605" s="1712"/>
      <c r="DT605" s="1712"/>
      <c r="DU605" s="1712"/>
      <c r="DV605" s="1712"/>
      <c r="DX605" s="1420" t="str">
        <f t="shared" si="17"/>
        <v xml:space="preserve"> </v>
      </c>
      <c r="DY605" s="1842"/>
      <c r="DZ605" s="1842"/>
      <c r="EA605" s="1842"/>
      <c r="EB605" s="1421"/>
      <c r="EC605" s="1420" t="str">
        <f t="shared" si="18"/>
        <v xml:space="preserve"> </v>
      </c>
      <c r="ED605" s="1842"/>
      <c r="EE605" s="1842"/>
      <c r="EF605" s="1842"/>
      <c r="EG605" s="1421"/>
      <c r="EH605" s="1420" t="str">
        <f t="shared" si="19"/>
        <v xml:space="preserve"> </v>
      </c>
      <c r="EI605" s="1842"/>
      <c r="EJ605" s="1842"/>
      <c r="EK605" s="1842"/>
      <c r="EL605" s="1421"/>
      <c r="EM605" s="1420">
        <f t="shared" si="20"/>
        <v>444</v>
      </c>
      <c r="EN605" s="1842"/>
      <c r="EO605" s="1842"/>
      <c r="EP605" s="1842"/>
      <c r="EQ605" s="1421"/>
      <c r="ER605" s="1420" t="str">
        <f t="shared" si="21"/>
        <v xml:space="preserve"> </v>
      </c>
      <c r="ES605" s="1842"/>
      <c r="ET605" s="1842"/>
      <c r="EU605" s="1842"/>
      <c r="EV605" s="1421"/>
      <c r="EW605" s="1420" t="str">
        <f t="shared" si="22"/>
        <v xml:space="preserve"> </v>
      </c>
      <c r="EX605" s="1842"/>
      <c r="EY605" s="1842"/>
      <c r="EZ605" s="1842"/>
      <c r="FA605" s="1421"/>
    </row>
    <row r="606" spans="1:157" s="4" customFormat="1" ht="12.9"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0">
        <f t="shared" si="1"/>
        <v>1</v>
      </c>
      <c r="BF606" s="1421"/>
      <c r="BG606" s="1496">
        <f t="shared" si="2"/>
        <v>18</v>
      </c>
      <c r="BH606" s="1497"/>
      <c r="BI606" s="1420">
        <f t="shared" si="3"/>
        <v>0</v>
      </c>
      <c r="BJ606" s="1421"/>
      <c r="BK606" s="1496">
        <f t="shared" si="4"/>
        <v>0</v>
      </c>
      <c r="BL606" s="1497"/>
      <c r="BM606" s="3"/>
      <c r="BN606" s="1507">
        <f t="shared" si="5"/>
        <v>0</v>
      </c>
      <c r="BO606" s="1508"/>
      <c r="BP606" s="1508"/>
      <c r="BQ606" s="1508"/>
      <c r="BR606" s="1509"/>
      <c r="BS606" s="1395">
        <f t="shared" si="6"/>
        <v>0</v>
      </c>
      <c r="BT606" s="1395"/>
      <c r="BU606" s="1395"/>
      <c r="BV606" s="1395"/>
      <c r="BW606" s="1395"/>
      <c r="BX606" s="1395">
        <f t="shared" si="7"/>
        <v>0</v>
      </c>
      <c r="BY606" s="1395"/>
      <c r="BZ606" s="1395"/>
      <c r="CA606" s="1395"/>
      <c r="CB606" s="1395"/>
      <c r="CC606" s="1395">
        <f t="shared" si="8"/>
        <v>18</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2">
        <f t="shared" si="11"/>
        <v>0</v>
      </c>
      <c r="CT606" s="1712"/>
      <c r="CU606" s="1712"/>
      <c r="CV606" s="1712"/>
      <c r="CW606" s="1712"/>
      <c r="CX606" s="1712">
        <f t="shared" si="12"/>
        <v>0</v>
      </c>
      <c r="CY606" s="1712"/>
      <c r="CZ606" s="1712"/>
      <c r="DA606" s="1712"/>
      <c r="DB606" s="1712"/>
      <c r="DC606" s="1712">
        <f t="shared" si="13"/>
        <v>0</v>
      </c>
      <c r="DD606" s="1712"/>
      <c r="DE606" s="1712"/>
      <c r="DF606" s="1712"/>
      <c r="DG606" s="1712"/>
      <c r="DH606" s="1712">
        <f t="shared" si="14"/>
        <v>0</v>
      </c>
      <c r="DI606" s="1712"/>
      <c r="DJ606" s="1712"/>
      <c r="DK606" s="1712"/>
      <c r="DL606" s="1712"/>
      <c r="DM606" s="1712">
        <f t="shared" si="15"/>
        <v>0</v>
      </c>
      <c r="DN606" s="1712"/>
      <c r="DO606" s="1712"/>
      <c r="DP606" s="1712"/>
      <c r="DQ606" s="1712"/>
      <c r="DR606" s="1712">
        <f t="shared" si="16"/>
        <v>0</v>
      </c>
      <c r="DS606" s="1712"/>
      <c r="DT606" s="1712"/>
      <c r="DU606" s="1712"/>
      <c r="DV606" s="1712"/>
      <c r="DX606" s="1420" t="str">
        <f t="shared" si="17"/>
        <v xml:space="preserve"> </v>
      </c>
      <c r="DY606" s="1842"/>
      <c r="DZ606" s="1842"/>
      <c r="EA606" s="1842"/>
      <c r="EB606" s="1421"/>
      <c r="EC606" s="1420" t="str">
        <f t="shared" si="18"/>
        <v xml:space="preserve"> </v>
      </c>
      <c r="ED606" s="1842"/>
      <c r="EE606" s="1842"/>
      <c r="EF606" s="1842"/>
      <c r="EG606" s="1421"/>
      <c r="EH606" s="1420" t="str">
        <f t="shared" si="19"/>
        <v xml:space="preserve"> </v>
      </c>
      <c r="EI606" s="1842"/>
      <c r="EJ606" s="1842"/>
      <c r="EK606" s="1842"/>
      <c r="EL606" s="1421"/>
      <c r="EM606" s="1420">
        <f t="shared" si="20"/>
        <v>850</v>
      </c>
      <c r="EN606" s="1842"/>
      <c r="EO606" s="1842"/>
      <c r="EP606" s="1842"/>
      <c r="EQ606" s="1421"/>
      <c r="ER606" s="1420" t="str">
        <f t="shared" si="21"/>
        <v xml:space="preserve"> </v>
      </c>
      <c r="ES606" s="1842"/>
      <c r="ET606" s="1842"/>
      <c r="EU606" s="1842"/>
      <c r="EV606" s="1421"/>
      <c r="EW606" s="1420" t="str">
        <f t="shared" si="22"/>
        <v xml:space="preserve"> </v>
      </c>
      <c r="EX606" s="1842"/>
      <c r="EY606" s="1842"/>
      <c r="EZ606" s="1842"/>
      <c r="FA606" s="1421"/>
    </row>
    <row r="607" spans="1:157" ht="12.9"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20">
        <f t="shared" si="1"/>
        <v>0</v>
      </c>
      <c r="BF607" s="1421"/>
      <c r="BG607" s="1496">
        <f t="shared" si="2"/>
        <v>0</v>
      </c>
      <c r="BH607" s="1497"/>
      <c r="BI607" s="1420">
        <f t="shared" si="3"/>
        <v>0</v>
      </c>
      <c r="BJ607" s="1421"/>
      <c r="BK607" s="1496">
        <f t="shared" si="4"/>
        <v>0</v>
      </c>
      <c r="BL607" s="1497"/>
      <c r="BM607" s="3"/>
      <c r="BN607" s="1507">
        <f t="shared" si="5"/>
        <v>0</v>
      </c>
      <c r="BO607" s="1508"/>
      <c r="BP607" s="1508"/>
      <c r="BQ607" s="1508"/>
      <c r="BR607" s="1509"/>
      <c r="BS607" s="1395">
        <f t="shared" si="6"/>
        <v>0</v>
      </c>
      <c r="BT607" s="1395"/>
      <c r="BU607" s="1395"/>
      <c r="BV607" s="1395"/>
      <c r="BW607" s="1395"/>
      <c r="BX607" s="1395">
        <f t="shared" si="7"/>
        <v>0</v>
      </c>
      <c r="BY607" s="1395"/>
      <c r="BZ607" s="1395"/>
      <c r="CA607" s="1395"/>
      <c r="CB607" s="1395"/>
      <c r="CC607" s="1395">
        <f t="shared" si="8"/>
        <v>17</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2">
        <f t="shared" si="11"/>
        <v>0</v>
      </c>
      <c r="CT607" s="1712"/>
      <c r="CU607" s="1712"/>
      <c r="CV607" s="1712"/>
      <c r="CW607" s="1712"/>
      <c r="CX607" s="1712">
        <f t="shared" si="12"/>
        <v>0</v>
      </c>
      <c r="CY607" s="1712"/>
      <c r="CZ607" s="1712"/>
      <c r="DA607" s="1712"/>
      <c r="DB607" s="1712"/>
      <c r="DC607" s="1712">
        <f t="shared" si="13"/>
        <v>0</v>
      </c>
      <c r="DD607" s="1712"/>
      <c r="DE607" s="1712"/>
      <c r="DF607" s="1712"/>
      <c r="DG607" s="1712"/>
      <c r="DH607" s="1712">
        <f t="shared" si="14"/>
        <v>0</v>
      </c>
      <c r="DI607" s="1712"/>
      <c r="DJ607" s="1712"/>
      <c r="DK607" s="1712"/>
      <c r="DL607" s="1712"/>
      <c r="DM607" s="1712">
        <f t="shared" si="15"/>
        <v>0</v>
      </c>
      <c r="DN607" s="1712"/>
      <c r="DO607" s="1712"/>
      <c r="DP607" s="1712"/>
      <c r="DQ607" s="1712"/>
      <c r="DR607" s="1712">
        <f t="shared" si="16"/>
        <v>0</v>
      </c>
      <c r="DS607" s="1712"/>
      <c r="DT607" s="1712"/>
      <c r="DU607" s="1712"/>
      <c r="DV607" s="1712"/>
      <c r="DX607" s="1420" t="str">
        <f t="shared" si="17"/>
        <v xml:space="preserve"> </v>
      </c>
      <c r="DY607" s="1842"/>
      <c r="DZ607" s="1842"/>
      <c r="EA607" s="1842"/>
      <c r="EB607" s="1421"/>
      <c r="EC607" s="1420" t="str">
        <f t="shared" si="18"/>
        <v xml:space="preserve"> </v>
      </c>
      <c r="ED607" s="1842"/>
      <c r="EE607" s="1842"/>
      <c r="EF607" s="1842"/>
      <c r="EG607" s="1421"/>
      <c r="EH607" s="1420" t="str">
        <f t="shared" si="19"/>
        <v xml:space="preserve"> </v>
      </c>
      <c r="EI607" s="1842"/>
      <c r="EJ607" s="1842"/>
      <c r="EK607" s="1842"/>
      <c r="EL607" s="1421"/>
      <c r="EM607" s="1420">
        <f t="shared" si="20"/>
        <v>1052</v>
      </c>
      <c r="EN607" s="1842"/>
      <c r="EO607" s="1842"/>
      <c r="EP607" s="1842"/>
      <c r="EQ607" s="1421"/>
      <c r="ER607" s="1420" t="str">
        <f t="shared" si="21"/>
        <v xml:space="preserve"> </v>
      </c>
      <c r="ES607" s="1842"/>
      <c r="ET607" s="1842"/>
      <c r="EU607" s="1842"/>
      <c r="EV607" s="1421"/>
      <c r="EW607" s="1420" t="str">
        <f t="shared" si="22"/>
        <v xml:space="preserve"> </v>
      </c>
      <c r="EX607" s="1842"/>
      <c r="EY607" s="1842"/>
      <c r="EZ607" s="1842"/>
      <c r="FA607" s="1421"/>
    </row>
    <row r="608" spans="1:157" ht="12.9"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20">
        <f t="shared" si="1"/>
        <v>0</v>
      </c>
      <c r="BF608" s="1421"/>
      <c r="BG608" s="1496">
        <f t="shared" si="2"/>
        <v>0</v>
      </c>
      <c r="BH608" s="1497"/>
      <c r="BI608" s="1420">
        <f t="shared" si="3"/>
        <v>0</v>
      </c>
      <c r="BJ608" s="1421"/>
      <c r="BK608" s="1496">
        <f t="shared" si="4"/>
        <v>0</v>
      </c>
      <c r="BL608" s="1497"/>
      <c r="BM608" s="3"/>
      <c r="BN608" s="1507">
        <f t="shared" si="5"/>
        <v>0</v>
      </c>
      <c r="BO608" s="1508"/>
      <c r="BP608" s="1508"/>
      <c r="BQ608" s="1508"/>
      <c r="BR608" s="1509"/>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2">
        <f t="shared" si="11"/>
        <v>0</v>
      </c>
      <c r="CT608" s="1712"/>
      <c r="CU608" s="1712"/>
      <c r="CV608" s="1712"/>
      <c r="CW608" s="1712"/>
      <c r="CX608" s="1712">
        <f t="shared" si="12"/>
        <v>0</v>
      </c>
      <c r="CY608" s="1712"/>
      <c r="CZ608" s="1712"/>
      <c r="DA608" s="1712"/>
      <c r="DB608" s="1712"/>
      <c r="DC608" s="1712">
        <f t="shared" si="13"/>
        <v>0</v>
      </c>
      <c r="DD608" s="1712"/>
      <c r="DE608" s="1712"/>
      <c r="DF608" s="1712"/>
      <c r="DG608" s="1712"/>
      <c r="DH608" s="1712">
        <f t="shared" si="14"/>
        <v>0</v>
      </c>
      <c r="DI608" s="1712"/>
      <c r="DJ608" s="1712"/>
      <c r="DK608" s="1712"/>
      <c r="DL608" s="1712"/>
      <c r="DM608" s="1712">
        <f t="shared" si="15"/>
        <v>0</v>
      </c>
      <c r="DN608" s="1712"/>
      <c r="DO608" s="1712"/>
      <c r="DP608" s="1712"/>
      <c r="DQ608" s="1712"/>
      <c r="DR608" s="1712">
        <f t="shared" si="16"/>
        <v>0</v>
      </c>
      <c r="DS608" s="1712"/>
      <c r="DT608" s="1712"/>
      <c r="DU608" s="1712"/>
      <c r="DV608" s="1712"/>
      <c r="DX608" s="1420" t="str">
        <f t="shared" si="17"/>
        <v xml:space="preserve"> </v>
      </c>
      <c r="DY608" s="1842"/>
      <c r="DZ608" s="1842"/>
      <c r="EA608" s="1842"/>
      <c r="EB608" s="1421"/>
      <c r="EC608" s="1420" t="str">
        <f t="shared" si="18"/>
        <v xml:space="preserve"> </v>
      </c>
      <c r="ED608" s="1842"/>
      <c r="EE608" s="1842"/>
      <c r="EF608" s="1842"/>
      <c r="EG608" s="1421"/>
      <c r="EH608" s="1420" t="str">
        <f t="shared" si="19"/>
        <v xml:space="preserve"> </v>
      </c>
      <c r="EI608" s="1842"/>
      <c r="EJ608" s="1842"/>
      <c r="EK608" s="1842"/>
      <c r="EL608" s="1421"/>
      <c r="EM608" s="1420" t="str">
        <f t="shared" si="20"/>
        <v xml:space="preserve"> </v>
      </c>
      <c r="EN608" s="1842"/>
      <c r="EO608" s="1842"/>
      <c r="EP608" s="1842"/>
      <c r="EQ608" s="1421"/>
      <c r="ER608" s="1420" t="str">
        <f t="shared" si="21"/>
        <v xml:space="preserve"> </v>
      </c>
      <c r="ES608" s="1842"/>
      <c r="ET608" s="1842"/>
      <c r="EU608" s="1842"/>
      <c r="EV608" s="1421"/>
      <c r="EW608" s="1420" t="str">
        <f t="shared" si="22"/>
        <v xml:space="preserve"> </v>
      </c>
      <c r="EX608" s="1842"/>
      <c r="EY608" s="1842"/>
      <c r="EZ608" s="1842"/>
      <c r="FA608" s="1421"/>
    </row>
    <row r="609" spans="1:157" ht="12.9" customHeight="1">
      <c r="B609" t="s">
        <v>317</v>
      </c>
      <c r="G609" s="1437"/>
      <c r="H609" s="1437"/>
      <c r="I609" s="1437"/>
      <c r="J609" s="1437"/>
      <c r="K609" s="1437"/>
      <c r="L609" s="1437"/>
      <c r="O609" s="33" t="s">
        <v>207</v>
      </c>
      <c r="P609" s="1464"/>
      <c r="Q609" s="1464"/>
      <c r="R609" s="1464"/>
      <c r="U609" t="s">
        <v>317</v>
      </c>
      <c r="Z609" s="1437"/>
      <c r="AA609" s="1437"/>
      <c r="AB609" s="1437"/>
      <c r="AC609" s="1437"/>
      <c r="AD609" s="1437"/>
      <c r="AE609" s="1437"/>
      <c r="AH609" s="33" t="s">
        <v>207</v>
      </c>
      <c r="AI609" s="1464"/>
      <c r="AJ609" s="1464"/>
      <c r="AK609" s="1464"/>
      <c r="AZ609" s="3"/>
      <c r="BA609" s="3"/>
      <c r="BB609" s="3"/>
      <c r="BC609" s="3"/>
      <c r="BD609" s="3"/>
      <c r="BE609" s="1420">
        <f t="shared" si="1"/>
        <v>0</v>
      </c>
      <c r="BF609" s="1421"/>
      <c r="BG609" s="1496">
        <f t="shared" si="2"/>
        <v>0</v>
      </c>
      <c r="BH609" s="1497"/>
      <c r="BI609" s="1420">
        <f t="shared" si="3"/>
        <v>0</v>
      </c>
      <c r="BJ609" s="1421"/>
      <c r="BK609" s="1496">
        <f t="shared" si="4"/>
        <v>0</v>
      </c>
      <c r="BL609" s="1497"/>
      <c r="BM609" s="3"/>
      <c r="BN609" s="1507">
        <f t="shared" si="5"/>
        <v>0</v>
      </c>
      <c r="BO609" s="1508"/>
      <c r="BP609" s="1508"/>
      <c r="BQ609" s="1508"/>
      <c r="BR609" s="1509"/>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2">
        <f t="shared" si="11"/>
        <v>0</v>
      </c>
      <c r="CT609" s="1712"/>
      <c r="CU609" s="1712"/>
      <c r="CV609" s="1712"/>
      <c r="CW609" s="1712"/>
      <c r="CX609" s="1712">
        <f t="shared" si="12"/>
        <v>0</v>
      </c>
      <c r="CY609" s="1712"/>
      <c r="CZ609" s="1712"/>
      <c r="DA609" s="1712"/>
      <c r="DB609" s="1712"/>
      <c r="DC609" s="1712">
        <f t="shared" si="13"/>
        <v>0</v>
      </c>
      <c r="DD609" s="1712"/>
      <c r="DE609" s="1712"/>
      <c r="DF609" s="1712"/>
      <c r="DG609" s="1712"/>
      <c r="DH609" s="1712">
        <f t="shared" si="14"/>
        <v>0</v>
      </c>
      <c r="DI609" s="1712"/>
      <c r="DJ609" s="1712"/>
      <c r="DK609" s="1712"/>
      <c r="DL609" s="1712"/>
      <c r="DM609" s="1712">
        <f t="shared" si="15"/>
        <v>0</v>
      </c>
      <c r="DN609" s="1712"/>
      <c r="DO609" s="1712"/>
      <c r="DP609" s="1712"/>
      <c r="DQ609" s="1712"/>
      <c r="DR609" s="1712">
        <f t="shared" si="16"/>
        <v>0</v>
      </c>
      <c r="DS609" s="1712"/>
      <c r="DT609" s="1712"/>
      <c r="DU609" s="1712"/>
      <c r="DV609" s="1712"/>
      <c r="DX609" s="1420" t="str">
        <f t="shared" si="17"/>
        <v xml:space="preserve"> </v>
      </c>
      <c r="DY609" s="1842"/>
      <c r="DZ609" s="1842"/>
      <c r="EA609" s="1842"/>
      <c r="EB609" s="1421"/>
      <c r="EC609" s="1420" t="str">
        <f t="shared" si="18"/>
        <v xml:space="preserve"> </v>
      </c>
      <c r="ED609" s="1842"/>
      <c r="EE609" s="1842"/>
      <c r="EF609" s="1842"/>
      <c r="EG609" s="1421"/>
      <c r="EH609" s="1420" t="str">
        <f t="shared" si="19"/>
        <v xml:space="preserve"> </v>
      </c>
      <c r="EI609" s="1842"/>
      <c r="EJ609" s="1842"/>
      <c r="EK609" s="1842"/>
      <c r="EL609" s="1421"/>
      <c r="EM609" s="1420" t="str">
        <f t="shared" si="20"/>
        <v xml:space="preserve"> </v>
      </c>
      <c r="EN609" s="1842"/>
      <c r="EO609" s="1842"/>
      <c r="EP609" s="1842"/>
      <c r="EQ609" s="1421"/>
      <c r="ER609" s="1420" t="str">
        <f t="shared" si="21"/>
        <v xml:space="preserve"> </v>
      </c>
      <c r="ES609" s="1842"/>
      <c r="ET609" s="1842"/>
      <c r="EU609" s="1842"/>
      <c r="EV609" s="1421"/>
      <c r="EW609" s="1420" t="str">
        <f t="shared" si="22"/>
        <v xml:space="preserve"> </v>
      </c>
      <c r="EX609" s="1842"/>
      <c r="EY609" s="1842"/>
      <c r="EZ609" s="1842"/>
      <c r="FA609" s="1421"/>
    </row>
    <row r="610" spans="1:157" ht="12.9"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20">
        <f t="shared" si="1"/>
        <v>0</v>
      </c>
      <c r="BF610" s="1421"/>
      <c r="BG610" s="1496">
        <f t="shared" si="2"/>
        <v>0</v>
      </c>
      <c r="BH610" s="1497"/>
      <c r="BI610" s="1420">
        <f t="shared" si="3"/>
        <v>0</v>
      </c>
      <c r="BJ610" s="1421"/>
      <c r="BK610" s="1496">
        <f t="shared" si="4"/>
        <v>0</v>
      </c>
      <c r="BL610" s="1497"/>
      <c r="BM610" s="3"/>
      <c r="BN610" s="1507">
        <f t="shared" si="5"/>
        <v>0</v>
      </c>
      <c r="BO610" s="1508"/>
      <c r="BP610" s="1508"/>
      <c r="BQ610" s="1508"/>
      <c r="BR610" s="1509"/>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2">
        <f t="shared" si="11"/>
        <v>0</v>
      </c>
      <c r="CT610" s="1712"/>
      <c r="CU610" s="1712"/>
      <c r="CV610" s="1712"/>
      <c r="CW610" s="1712"/>
      <c r="CX610" s="1712">
        <f t="shared" si="12"/>
        <v>0</v>
      </c>
      <c r="CY610" s="1712"/>
      <c r="CZ610" s="1712"/>
      <c r="DA610" s="1712"/>
      <c r="DB610" s="1712"/>
      <c r="DC610" s="1712">
        <f t="shared" si="13"/>
        <v>0</v>
      </c>
      <c r="DD610" s="1712"/>
      <c r="DE610" s="1712"/>
      <c r="DF610" s="1712"/>
      <c r="DG610" s="1712"/>
      <c r="DH610" s="1712">
        <f t="shared" si="14"/>
        <v>0</v>
      </c>
      <c r="DI610" s="1712"/>
      <c r="DJ610" s="1712"/>
      <c r="DK610" s="1712"/>
      <c r="DL610" s="1712"/>
      <c r="DM610" s="1712">
        <f t="shared" si="15"/>
        <v>0</v>
      </c>
      <c r="DN610" s="1712"/>
      <c r="DO610" s="1712"/>
      <c r="DP610" s="1712"/>
      <c r="DQ610" s="1712"/>
      <c r="DR610" s="1712">
        <f t="shared" si="16"/>
        <v>0</v>
      </c>
      <c r="DS610" s="1712"/>
      <c r="DT610" s="1712"/>
      <c r="DU610" s="1712"/>
      <c r="DV610" s="1712"/>
      <c r="DX610" s="1420" t="str">
        <f t="shared" si="17"/>
        <v xml:space="preserve"> </v>
      </c>
      <c r="DY610" s="1842"/>
      <c r="DZ610" s="1842"/>
      <c r="EA610" s="1842"/>
      <c r="EB610" s="1421"/>
      <c r="EC610" s="1420" t="str">
        <f t="shared" si="18"/>
        <v xml:space="preserve"> </v>
      </c>
      <c r="ED610" s="1842"/>
      <c r="EE610" s="1842"/>
      <c r="EF610" s="1842"/>
      <c r="EG610" s="1421"/>
      <c r="EH610" s="1420" t="str">
        <f t="shared" si="19"/>
        <v xml:space="preserve"> </v>
      </c>
      <c r="EI610" s="1842"/>
      <c r="EJ610" s="1842"/>
      <c r="EK610" s="1842"/>
      <c r="EL610" s="1421"/>
      <c r="EM610" s="1420" t="str">
        <f t="shared" si="20"/>
        <v xml:space="preserve"> </v>
      </c>
      <c r="EN610" s="1842"/>
      <c r="EO610" s="1842"/>
      <c r="EP610" s="1842"/>
      <c r="EQ610" s="1421"/>
      <c r="ER610" s="1420" t="str">
        <f t="shared" si="21"/>
        <v xml:space="preserve"> </v>
      </c>
      <c r="ES610" s="1842"/>
      <c r="ET610" s="1842"/>
      <c r="EU610" s="1842"/>
      <c r="EV610" s="1421"/>
      <c r="EW610" s="1420" t="str">
        <f t="shared" si="22"/>
        <v xml:space="preserve"> </v>
      </c>
      <c r="EX610" s="1842"/>
      <c r="EY610" s="1842"/>
      <c r="EZ610" s="1842"/>
      <c r="FA610" s="1421"/>
    </row>
    <row r="611" spans="1:157" ht="12.9" customHeight="1">
      <c r="B611" t="s">
        <v>20</v>
      </c>
      <c r="N611" s="1373" t="s">
        <v>678</v>
      </c>
      <c r="O611" s="1373"/>
      <c r="U611" t="s">
        <v>20</v>
      </c>
      <c r="AG611" s="1373" t="s">
        <v>678</v>
      </c>
      <c r="AH611" s="1373"/>
      <c r="AZ611" s="3"/>
      <c r="BA611" s="3"/>
      <c r="BB611" s="3"/>
      <c r="BC611" s="3"/>
      <c r="BD611" s="3"/>
      <c r="BE611" s="1420">
        <f t="shared" si="1"/>
        <v>0</v>
      </c>
      <c r="BF611" s="1421"/>
      <c r="BG611" s="1496">
        <f t="shared" si="2"/>
        <v>0</v>
      </c>
      <c r="BH611" s="1497"/>
      <c r="BI611" s="1420">
        <f t="shared" si="3"/>
        <v>0</v>
      </c>
      <c r="BJ611" s="1421"/>
      <c r="BK611" s="1496">
        <f t="shared" si="4"/>
        <v>0</v>
      </c>
      <c r="BL611" s="1497"/>
      <c r="BM611" s="3"/>
      <c r="BN611" s="1507">
        <f t="shared" si="5"/>
        <v>0</v>
      </c>
      <c r="BO611" s="1508"/>
      <c r="BP611" s="1508"/>
      <c r="BQ611" s="1508"/>
      <c r="BR611" s="1509"/>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2">
        <f t="shared" si="11"/>
        <v>0</v>
      </c>
      <c r="CT611" s="1712"/>
      <c r="CU611" s="1712"/>
      <c r="CV611" s="1712"/>
      <c r="CW611" s="1712"/>
      <c r="CX611" s="1712">
        <f t="shared" si="12"/>
        <v>0</v>
      </c>
      <c r="CY611" s="1712"/>
      <c r="CZ611" s="1712"/>
      <c r="DA611" s="1712"/>
      <c r="DB611" s="1712"/>
      <c r="DC611" s="1712">
        <f t="shared" si="13"/>
        <v>0</v>
      </c>
      <c r="DD611" s="1712"/>
      <c r="DE611" s="1712"/>
      <c r="DF611" s="1712"/>
      <c r="DG611" s="1712"/>
      <c r="DH611" s="1712">
        <f t="shared" si="14"/>
        <v>0</v>
      </c>
      <c r="DI611" s="1712"/>
      <c r="DJ611" s="1712"/>
      <c r="DK611" s="1712"/>
      <c r="DL611" s="1712"/>
      <c r="DM611" s="1712">
        <f t="shared" si="15"/>
        <v>0</v>
      </c>
      <c r="DN611" s="1712"/>
      <c r="DO611" s="1712"/>
      <c r="DP611" s="1712"/>
      <c r="DQ611" s="1712"/>
      <c r="DR611" s="1712">
        <f t="shared" si="16"/>
        <v>0</v>
      </c>
      <c r="DS611" s="1712"/>
      <c r="DT611" s="1712"/>
      <c r="DU611" s="1712"/>
      <c r="DV611" s="1712"/>
      <c r="DX611" s="1420" t="str">
        <f t="shared" si="17"/>
        <v xml:space="preserve"> </v>
      </c>
      <c r="DY611" s="1842"/>
      <c r="DZ611" s="1842"/>
      <c r="EA611" s="1842"/>
      <c r="EB611" s="1421"/>
      <c r="EC611" s="1420" t="str">
        <f t="shared" si="18"/>
        <v xml:space="preserve"> </v>
      </c>
      <c r="ED611" s="1842"/>
      <c r="EE611" s="1842"/>
      <c r="EF611" s="1842"/>
      <c r="EG611" s="1421"/>
      <c r="EH611" s="1420" t="str">
        <f t="shared" si="19"/>
        <v xml:space="preserve"> </v>
      </c>
      <c r="EI611" s="1842"/>
      <c r="EJ611" s="1842"/>
      <c r="EK611" s="1842"/>
      <c r="EL611" s="1421"/>
      <c r="EM611" s="1420" t="str">
        <f t="shared" si="20"/>
        <v xml:space="preserve"> </v>
      </c>
      <c r="EN611" s="1842"/>
      <c r="EO611" s="1842"/>
      <c r="EP611" s="1842"/>
      <c r="EQ611" s="1421"/>
      <c r="ER611" s="1420" t="str">
        <f t="shared" si="21"/>
        <v xml:space="preserve"> </v>
      </c>
      <c r="ES611" s="1842"/>
      <c r="ET611" s="1842"/>
      <c r="EU611" s="1842"/>
      <c r="EV611" s="1421"/>
      <c r="EW611" s="1420" t="str">
        <f t="shared" si="22"/>
        <v xml:space="preserve"> </v>
      </c>
      <c r="EX611" s="1842"/>
      <c r="EY611" s="1842"/>
      <c r="EZ611" s="1842"/>
      <c r="FA611" s="1421"/>
    </row>
    <row r="612" spans="1:157" ht="12.9" customHeight="1">
      <c r="AZ612" s="3"/>
      <c r="BA612" s="3"/>
      <c r="BB612" s="3"/>
      <c r="BC612" s="3"/>
      <c r="BD612" s="3"/>
      <c r="BE612" s="1420">
        <f t="shared" si="1"/>
        <v>0</v>
      </c>
      <c r="BF612" s="1421"/>
      <c r="BG612" s="1496">
        <f t="shared" si="2"/>
        <v>0</v>
      </c>
      <c r="BH612" s="1497"/>
      <c r="BI612" s="1420">
        <f t="shared" si="3"/>
        <v>0</v>
      </c>
      <c r="BJ612" s="1421"/>
      <c r="BK612" s="1496">
        <f t="shared" si="4"/>
        <v>0</v>
      </c>
      <c r="BL612" s="1497"/>
      <c r="BM612" s="3"/>
      <c r="BN612" s="1507">
        <f t="shared" si="5"/>
        <v>0</v>
      </c>
      <c r="BO612" s="1508"/>
      <c r="BP612" s="1508"/>
      <c r="BQ612" s="1508"/>
      <c r="BR612" s="1509"/>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2">
        <f t="shared" si="11"/>
        <v>0</v>
      </c>
      <c r="CT612" s="1712"/>
      <c r="CU612" s="1712"/>
      <c r="CV612" s="1712"/>
      <c r="CW612" s="1712"/>
      <c r="CX612" s="1712">
        <f t="shared" si="12"/>
        <v>0</v>
      </c>
      <c r="CY612" s="1712"/>
      <c r="CZ612" s="1712"/>
      <c r="DA612" s="1712"/>
      <c r="DB612" s="1712"/>
      <c r="DC612" s="1712">
        <f t="shared" si="13"/>
        <v>0</v>
      </c>
      <c r="DD612" s="1712"/>
      <c r="DE612" s="1712"/>
      <c r="DF612" s="1712"/>
      <c r="DG612" s="1712"/>
      <c r="DH612" s="1712">
        <f t="shared" si="14"/>
        <v>0</v>
      </c>
      <c r="DI612" s="1712"/>
      <c r="DJ612" s="1712"/>
      <c r="DK612" s="1712"/>
      <c r="DL612" s="1712"/>
      <c r="DM612" s="1712">
        <f t="shared" si="15"/>
        <v>0</v>
      </c>
      <c r="DN612" s="1712"/>
      <c r="DO612" s="1712"/>
      <c r="DP612" s="1712"/>
      <c r="DQ612" s="1712"/>
      <c r="DR612" s="1712">
        <f t="shared" si="16"/>
        <v>0</v>
      </c>
      <c r="DS612" s="1712"/>
      <c r="DT612" s="1712"/>
      <c r="DU612" s="1712"/>
      <c r="DV612" s="1712"/>
      <c r="DX612" s="1420" t="str">
        <f t="shared" si="17"/>
        <v xml:space="preserve"> </v>
      </c>
      <c r="DY612" s="1842"/>
      <c r="DZ612" s="1842"/>
      <c r="EA612" s="1842"/>
      <c r="EB612" s="1421"/>
      <c r="EC612" s="1420" t="str">
        <f t="shared" si="18"/>
        <v xml:space="preserve"> </v>
      </c>
      <c r="ED612" s="1842"/>
      <c r="EE612" s="1842"/>
      <c r="EF612" s="1842"/>
      <c r="EG612" s="1421"/>
      <c r="EH612" s="1420" t="str">
        <f t="shared" si="19"/>
        <v xml:space="preserve"> </v>
      </c>
      <c r="EI612" s="1842"/>
      <c r="EJ612" s="1842"/>
      <c r="EK612" s="1842"/>
      <c r="EL612" s="1421"/>
      <c r="EM612" s="1420" t="str">
        <f t="shared" si="20"/>
        <v xml:space="preserve"> </v>
      </c>
      <c r="EN612" s="1842"/>
      <c r="EO612" s="1842"/>
      <c r="EP612" s="1842"/>
      <c r="EQ612" s="1421"/>
      <c r="ER612" s="1420" t="str">
        <f t="shared" si="21"/>
        <v xml:space="preserve"> </v>
      </c>
      <c r="ES612" s="1842"/>
      <c r="ET612" s="1842"/>
      <c r="EU612" s="1842"/>
      <c r="EV612" s="1421"/>
      <c r="EW612" s="1420" t="str">
        <f t="shared" si="22"/>
        <v xml:space="preserve"> </v>
      </c>
      <c r="EX612" s="1842"/>
      <c r="EY612" s="1842"/>
      <c r="EZ612" s="1842"/>
      <c r="FA612" s="1421"/>
    </row>
    <row r="613" spans="1:157" ht="12.9"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0">
        <f t="shared" si="1"/>
        <v>0</v>
      </c>
      <c r="BF613" s="1421"/>
      <c r="BG613" s="1496">
        <f t="shared" si="2"/>
        <v>0</v>
      </c>
      <c r="BH613" s="1497"/>
      <c r="BI613" s="1420">
        <f t="shared" si="3"/>
        <v>0</v>
      </c>
      <c r="BJ613" s="1421"/>
      <c r="BK613" s="1496">
        <f t="shared" si="4"/>
        <v>0</v>
      </c>
      <c r="BL613" s="1497"/>
      <c r="BM613" s="3"/>
      <c r="BN613" s="1507">
        <f t="shared" si="5"/>
        <v>0</v>
      </c>
      <c r="BO613" s="1508"/>
      <c r="BP613" s="1508"/>
      <c r="BQ613" s="1508"/>
      <c r="BR613" s="1509"/>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2">
        <f t="shared" si="11"/>
        <v>0</v>
      </c>
      <c r="CT613" s="1712"/>
      <c r="CU613" s="1712"/>
      <c r="CV613" s="1712"/>
      <c r="CW613" s="1712"/>
      <c r="CX613" s="1712">
        <f t="shared" si="12"/>
        <v>0</v>
      </c>
      <c r="CY613" s="1712"/>
      <c r="CZ613" s="1712"/>
      <c r="DA613" s="1712"/>
      <c r="DB613" s="1712"/>
      <c r="DC613" s="1712">
        <f t="shared" si="13"/>
        <v>0</v>
      </c>
      <c r="DD613" s="1712"/>
      <c r="DE613" s="1712"/>
      <c r="DF613" s="1712"/>
      <c r="DG613" s="1712"/>
      <c r="DH613" s="1712">
        <f t="shared" si="14"/>
        <v>0</v>
      </c>
      <c r="DI613" s="1712"/>
      <c r="DJ613" s="1712"/>
      <c r="DK613" s="1712"/>
      <c r="DL613" s="1712"/>
      <c r="DM613" s="1712">
        <f t="shared" si="15"/>
        <v>0</v>
      </c>
      <c r="DN613" s="1712"/>
      <c r="DO613" s="1712"/>
      <c r="DP613" s="1712"/>
      <c r="DQ613" s="1712"/>
      <c r="DR613" s="1712">
        <f t="shared" si="16"/>
        <v>0</v>
      </c>
      <c r="DS613" s="1712"/>
      <c r="DT613" s="1712"/>
      <c r="DU613" s="1712"/>
      <c r="DV613" s="1712"/>
      <c r="DX613" s="1420" t="str">
        <f t="shared" si="17"/>
        <v xml:space="preserve"> </v>
      </c>
      <c r="DY613" s="1842"/>
      <c r="DZ613" s="1842"/>
      <c r="EA613" s="1842"/>
      <c r="EB613" s="1421"/>
      <c r="EC613" s="1420" t="str">
        <f t="shared" si="18"/>
        <v xml:space="preserve"> </v>
      </c>
      <c r="ED613" s="1842"/>
      <c r="EE613" s="1842"/>
      <c r="EF613" s="1842"/>
      <c r="EG613" s="1421"/>
      <c r="EH613" s="1420" t="str">
        <f t="shared" si="19"/>
        <v xml:space="preserve"> </v>
      </c>
      <c r="EI613" s="1842"/>
      <c r="EJ613" s="1842"/>
      <c r="EK613" s="1842"/>
      <c r="EL613" s="1421"/>
      <c r="EM613" s="1420" t="str">
        <f t="shared" si="20"/>
        <v xml:space="preserve"> </v>
      </c>
      <c r="EN613" s="1842"/>
      <c r="EO613" s="1842"/>
      <c r="EP613" s="1842"/>
      <c r="EQ613" s="1421"/>
      <c r="ER613" s="1420" t="str">
        <f t="shared" si="21"/>
        <v xml:space="preserve"> </v>
      </c>
      <c r="ES613" s="1842"/>
      <c r="ET613" s="1842"/>
      <c r="EU613" s="1842"/>
      <c r="EV613" s="1421"/>
      <c r="EW613" s="1420" t="str">
        <f t="shared" si="22"/>
        <v xml:space="preserve"> </v>
      </c>
      <c r="EX613" s="1842"/>
      <c r="EY613" s="1842"/>
      <c r="EZ613" s="1842"/>
      <c r="FA613" s="1421"/>
    </row>
    <row r="614" spans="1:157" ht="12.9"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0">
        <f t="shared" si="1"/>
        <v>0</v>
      </c>
      <c r="BF614" s="1421"/>
      <c r="BG614" s="1496">
        <f t="shared" si="2"/>
        <v>0</v>
      </c>
      <c r="BH614" s="1497"/>
      <c r="BI614" s="1420">
        <f t="shared" si="3"/>
        <v>0</v>
      </c>
      <c r="BJ614" s="1421"/>
      <c r="BK614" s="1496">
        <f t="shared" si="4"/>
        <v>0</v>
      </c>
      <c r="BL614" s="1497"/>
      <c r="BM614" s="3"/>
      <c r="BN614" s="1507">
        <f t="shared" si="5"/>
        <v>0</v>
      </c>
      <c r="BO614" s="1508"/>
      <c r="BP614" s="1508"/>
      <c r="BQ614" s="1508"/>
      <c r="BR614" s="1509"/>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2">
        <f t="shared" si="11"/>
        <v>0</v>
      </c>
      <c r="CT614" s="1712"/>
      <c r="CU614" s="1712"/>
      <c r="CV614" s="1712"/>
      <c r="CW614" s="1712"/>
      <c r="CX614" s="1712">
        <f t="shared" si="12"/>
        <v>0</v>
      </c>
      <c r="CY614" s="1712"/>
      <c r="CZ614" s="1712"/>
      <c r="DA614" s="1712"/>
      <c r="DB614" s="1712"/>
      <c r="DC614" s="1712">
        <f t="shared" si="13"/>
        <v>0</v>
      </c>
      <c r="DD614" s="1712"/>
      <c r="DE614" s="1712"/>
      <c r="DF614" s="1712"/>
      <c r="DG614" s="1712"/>
      <c r="DH614" s="1712">
        <f t="shared" si="14"/>
        <v>0</v>
      </c>
      <c r="DI614" s="1712"/>
      <c r="DJ614" s="1712"/>
      <c r="DK614" s="1712"/>
      <c r="DL614" s="1712"/>
      <c r="DM614" s="1712">
        <f t="shared" si="15"/>
        <v>0</v>
      </c>
      <c r="DN614" s="1712"/>
      <c r="DO614" s="1712"/>
      <c r="DP614" s="1712"/>
      <c r="DQ614" s="1712"/>
      <c r="DR614" s="1712">
        <f t="shared" si="16"/>
        <v>0</v>
      </c>
      <c r="DS614" s="1712"/>
      <c r="DT614" s="1712"/>
      <c r="DU614" s="1712"/>
      <c r="DV614" s="1712"/>
      <c r="DX614" s="1420" t="str">
        <f t="shared" si="17"/>
        <v xml:space="preserve"> </v>
      </c>
      <c r="DY614" s="1842"/>
      <c r="DZ614" s="1842"/>
      <c r="EA614" s="1842"/>
      <c r="EB614" s="1421"/>
      <c r="EC614" s="1420" t="str">
        <f t="shared" si="18"/>
        <v xml:space="preserve"> </v>
      </c>
      <c r="ED614" s="1842"/>
      <c r="EE614" s="1842"/>
      <c r="EF614" s="1842"/>
      <c r="EG614" s="1421"/>
      <c r="EH614" s="1420" t="str">
        <f t="shared" si="19"/>
        <v xml:space="preserve"> </v>
      </c>
      <c r="EI614" s="1842"/>
      <c r="EJ614" s="1842"/>
      <c r="EK614" s="1842"/>
      <c r="EL614" s="1421"/>
      <c r="EM614" s="1420" t="str">
        <f t="shared" si="20"/>
        <v xml:space="preserve"> </v>
      </c>
      <c r="EN614" s="1842"/>
      <c r="EO614" s="1842"/>
      <c r="EP614" s="1842"/>
      <c r="EQ614" s="1421"/>
      <c r="ER614" s="1420" t="str">
        <f t="shared" si="21"/>
        <v xml:space="preserve"> </v>
      </c>
      <c r="ES614" s="1842"/>
      <c r="ET614" s="1842"/>
      <c r="EU614" s="1842"/>
      <c r="EV614" s="1421"/>
      <c r="EW614" s="1420" t="str">
        <f t="shared" si="22"/>
        <v xml:space="preserve"> </v>
      </c>
      <c r="EX614" s="1842"/>
      <c r="EY614" s="1842"/>
      <c r="EZ614" s="1842"/>
      <c r="FA614" s="1421"/>
    </row>
    <row r="615" spans="1:157" ht="12.9" customHeight="1">
      <c r="AZ615" s="3"/>
      <c r="BA615" s="3"/>
      <c r="BB615" s="3"/>
      <c r="BC615" s="3"/>
      <c r="BD615" s="3"/>
      <c r="BE615" s="1420">
        <f t="shared" si="1"/>
        <v>0</v>
      </c>
      <c r="BF615" s="1421"/>
      <c r="BG615" s="1496">
        <f t="shared" si="2"/>
        <v>0</v>
      </c>
      <c r="BH615" s="1497"/>
      <c r="BI615" s="1420">
        <f t="shared" si="3"/>
        <v>0</v>
      </c>
      <c r="BJ615" s="1421"/>
      <c r="BK615" s="1496">
        <f t="shared" si="4"/>
        <v>0</v>
      </c>
      <c r="BL615" s="1497"/>
      <c r="BM615" s="3"/>
      <c r="BN615" s="1507">
        <f t="shared" si="5"/>
        <v>0</v>
      </c>
      <c r="BO615" s="1508"/>
      <c r="BP615" s="1508"/>
      <c r="BQ615" s="1508"/>
      <c r="BR615" s="1509"/>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2">
        <f t="shared" si="11"/>
        <v>0</v>
      </c>
      <c r="CT615" s="1712"/>
      <c r="CU615" s="1712"/>
      <c r="CV615" s="1712"/>
      <c r="CW615" s="1712"/>
      <c r="CX615" s="1712">
        <f t="shared" si="12"/>
        <v>0</v>
      </c>
      <c r="CY615" s="1712"/>
      <c r="CZ615" s="1712"/>
      <c r="DA615" s="1712"/>
      <c r="DB615" s="1712"/>
      <c r="DC615" s="1712">
        <f t="shared" si="13"/>
        <v>0</v>
      </c>
      <c r="DD615" s="1712"/>
      <c r="DE615" s="1712"/>
      <c r="DF615" s="1712"/>
      <c r="DG615" s="1712"/>
      <c r="DH615" s="1712">
        <f t="shared" si="14"/>
        <v>0</v>
      </c>
      <c r="DI615" s="1712"/>
      <c r="DJ615" s="1712"/>
      <c r="DK615" s="1712"/>
      <c r="DL615" s="1712"/>
      <c r="DM615" s="1712">
        <f t="shared" si="15"/>
        <v>0</v>
      </c>
      <c r="DN615" s="1712"/>
      <c r="DO615" s="1712"/>
      <c r="DP615" s="1712"/>
      <c r="DQ615" s="1712"/>
      <c r="DR615" s="1712">
        <f t="shared" si="16"/>
        <v>0</v>
      </c>
      <c r="DS615" s="1712"/>
      <c r="DT615" s="1712"/>
      <c r="DU615" s="1712"/>
      <c r="DV615" s="1712"/>
      <c r="DX615" s="1420" t="str">
        <f t="shared" si="17"/>
        <v xml:space="preserve"> </v>
      </c>
      <c r="DY615" s="1842"/>
      <c r="DZ615" s="1842"/>
      <c r="EA615" s="1842"/>
      <c r="EB615" s="1421"/>
      <c r="EC615" s="1420" t="str">
        <f t="shared" si="18"/>
        <v xml:space="preserve"> </v>
      </c>
      <c r="ED615" s="1842"/>
      <c r="EE615" s="1842"/>
      <c r="EF615" s="1842"/>
      <c r="EG615" s="1421"/>
      <c r="EH615" s="1420" t="str">
        <f t="shared" si="19"/>
        <v xml:space="preserve"> </v>
      </c>
      <c r="EI615" s="1842"/>
      <c r="EJ615" s="1842"/>
      <c r="EK615" s="1842"/>
      <c r="EL615" s="1421"/>
      <c r="EM615" s="1420" t="str">
        <f t="shared" si="20"/>
        <v xml:space="preserve"> </v>
      </c>
      <c r="EN615" s="1842"/>
      <c r="EO615" s="1842"/>
      <c r="EP615" s="1842"/>
      <c r="EQ615" s="1421"/>
      <c r="ER615" s="1420" t="str">
        <f t="shared" si="21"/>
        <v xml:space="preserve"> </v>
      </c>
      <c r="ES615" s="1842"/>
      <c r="ET615" s="1842"/>
      <c r="EU615" s="1842"/>
      <c r="EV615" s="1421"/>
      <c r="EW615" s="1420" t="str">
        <f t="shared" si="22"/>
        <v xml:space="preserve"> </v>
      </c>
      <c r="EX615" s="1842"/>
      <c r="EY615" s="1842"/>
      <c r="EZ615" s="1842"/>
      <c r="FA615" s="1421"/>
    </row>
    <row r="616" spans="1:157" ht="12.9" customHeight="1">
      <c r="A616" s="2" t="s">
        <v>320</v>
      </c>
      <c r="B616" s="2"/>
      <c r="C616" s="2" t="s">
        <v>21</v>
      </c>
      <c r="AZ616" s="3"/>
      <c r="BA616" s="3"/>
      <c r="BB616" s="3"/>
      <c r="BC616" s="3"/>
      <c r="BD616" s="3"/>
      <c r="BE616" s="1420">
        <f t="shared" si="1"/>
        <v>0</v>
      </c>
      <c r="BF616" s="1421"/>
      <c r="BG616" s="1496">
        <f t="shared" si="2"/>
        <v>0</v>
      </c>
      <c r="BH616" s="1497"/>
      <c r="BI616" s="1420">
        <f t="shared" si="3"/>
        <v>0</v>
      </c>
      <c r="BJ616" s="1421"/>
      <c r="BK616" s="1496">
        <f t="shared" si="4"/>
        <v>0</v>
      </c>
      <c r="BL616" s="1497"/>
      <c r="BM616" s="3"/>
      <c r="BN616" s="1507">
        <f t="shared" si="5"/>
        <v>0</v>
      </c>
      <c r="BO616" s="1508"/>
      <c r="BP616" s="1508"/>
      <c r="BQ616" s="1508"/>
      <c r="BR616" s="1509"/>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2">
        <f t="shared" si="11"/>
        <v>0</v>
      </c>
      <c r="CT616" s="1712"/>
      <c r="CU616" s="1712"/>
      <c r="CV616" s="1712"/>
      <c r="CW616" s="1712"/>
      <c r="CX616" s="1712">
        <f t="shared" si="12"/>
        <v>0</v>
      </c>
      <c r="CY616" s="1712"/>
      <c r="CZ616" s="1712"/>
      <c r="DA616" s="1712"/>
      <c r="DB616" s="1712"/>
      <c r="DC616" s="1712">
        <f t="shared" si="13"/>
        <v>0</v>
      </c>
      <c r="DD616" s="1712"/>
      <c r="DE616" s="1712"/>
      <c r="DF616" s="1712"/>
      <c r="DG616" s="1712"/>
      <c r="DH616" s="1712">
        <f t="shared" si="14"/>
        <v>0</v>
      </c>
      <c r="DI616" s="1712"/>
      <c r="DJ616" s="1712"/>
      <c r="DK616" s="1712"/>
      <c r="DL616" s="1712"/>
      <c r="DM616" s="1712">
        <f t="shared" si="15"/>
        <v>0</v>
      </c>
      <c r="DN616" s="1712"/>
      <c r="DO616" s="1712"/>
      <c r="DP616" s="1712"/>
      <c r="DQ616" s="1712"/>
      <c r="DR616" s="1712">
        <f t="shared" si="16"/>
        <v>0</v>
      </c>
      <c r="DS616" s="1712"/>
      <c r="DT616" s="1712"/>
      <c r="DU616" s="1712"/>
      <c r="DV616" s="1712"/>
      <c r="DX616" s="1420" t="str">
        <f t="shared" si="17"/>
        <v xml:space="preserve"> </v>
      </c>
      <c r="DY616" s="1842"/>
      <c r="DZ616" s="1842"/>
      <c r="EA616" s="1842"/>
      <c r="EB616" s="1421"/>
      <c r="EC616" s="1420" t="str">
        <f t="shared" si="18"/>
        <v xml:space="preserve"> </v>
      </c>
      <c r="ED616" s="1842"/>
      <c r="EE616" s="1842"/>
      <c r="EF616" s="1842"/>
      <c r="EG616" s="1421"/>
      <c r="EH616" s="1420" t="str">
        <f t="shared" si="19"/>
        <v xml:space="preserve"> </v>
      </c>
      <c r="EI616" s="1842"/>
      <c r="EJ616" s="1842"/>
      <c r="EK616" s="1842"/>
      <c r="EL616" s="1421"/>
      <c r="EM616" s="1420" t="str">
        <f t="shared" si="20"/>
        <v xml:space="preserve"> </v>
      </c>
      <c r="EN616" s="1842"/>
      <c r="EO616" s="1842"/>
      <c r="EP616" s="1842"/>
      <c r="EQ616" s="1421"/>
      <c r="ER616" s="1420" t="str">
        <f t="shared" si="21"/>
        <v xml:space="preserve"> </v>
      </c>
      <c r="ES616" s="1842"/>
      <c r="ET616" s="1842"/>
      <c r="EU616" s="1842"/>
      <c r="EV616" s="1421"/>
      <c r="EW616" s="1420" t="str">
        <f t="shared" si="22"/>
        <v xml:space="preserve"> </v>
      </c>
      <c r="EX616" s="1842"/>
      <c r="EY616" s="1842"/>
      <c r="EZ616" s="1842"/>
      <c r="FA616" s="1421"/>
    </row>
    <row r="617" spans="1:157" ht="12.9" customHeight="1">
      <c r="A617" s="2"/>
      <c r="B617" s="2"/>
      <c r="C617" s="2"/>
      <c r="AZ617" s="3"/>
      <c r="BA617" s="3"/>
      <c r="BB617" s="3"/>
      <c r="BC617" s="3"/>
      <c r="BD617" s="3"/>
      <c r="BE617" s="1420">
        <f t="shared" si="1"/>
        <v>0</v>
      </c>
      <c r="BF617" s="1421"/>
      <c r="BG617" s="1496">
        <f t="shared" si="2"/>
        <v>0</v>
      </c>
      <c r="BH617" s="1497"/>
      <c r="BI617" s="1420">
        <f t="shared" si="3"/>
        <v>0</v>
      </c>
      <c r="BJ617" s="1421"/>
      <c r="BK617" s="1496">
        <f t="shared" si="4"/>
        <v>0</v>
      </c>
      <c r="BL617" s="1497"/>
      <c r="BM617" s="3"/>
      <c r="BN617" s="1507">
        <f t="shared" si="5"/>
        <v>0</v>
      </c>
      <c r="BO617" s="1508"/>
      <c r="BP617" s="1508"/>
      <c r="BQ617" s="1508"/>
      <c r="BR617" s="1509"/>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2">
        <f t="shared" si="11"/>
        <v>0</v>
      </c>
      <c r="CT617" s="1712"/>
      <c r="CU617" s="1712"/>
      <c r="CV617" s="1712"/>
      <c r="CW617" s="1712"/>
      <c r="CX617" s="1712">
        <f t="shared" si="12"/>
        <v>0</v>
      </c>
      <c r="CY617" s="1712"/>
      <c r="CZ617" s="1712"/>
      <c r="DA617" s="1712"/>
      <c r="DB617" s="1712"/>
      <c r="DC617" s="1712">
        <f t="shared" si="13"/>
        <v>0</v>
      </c>
      <c r="DD617" s="1712"/>
      <c r="DE617" s="1712"/>
      <c r="DF617" s="1712"/>
      <c r="DG617" s="1712"/>
      <c r="DH617" s="1712">
        <f t="shared" si="14"/>
        <v>0</v>
      </c>
      <c r="DI617" s="1712"/>
      <c r="DJ617" s="1712"/>
      <c r="DK617" s="1712"/>
      <c r="DL617" s="1712"/>
      <c r="DM617" s="1712">
        <f t="shared" si="15"/>
        <v>0</v>
      </c>
      <c r="DN617" s="1712"/>
      <c r="DO617" s="1712"/>
      <c r="DP617" s="1712"/>
      <c r="DQ617" s="1712"/>
      <c r="DR617" s="1712">
        <f t="shared" si="16"/>
        <v>0</v>
      </c>
      <c r="DS617" s="1712"/>
      <c r="DT617" s="1712"/>
      <c r="DU617" s="1712"/>
      <c r="DV617" s="1712"/>
      <c r="DX617" s="1420" t="str">
        <f t="shared" si="17"/>
        <v xml:space="preserve"> </v>
      </c>
      <c r="DY617" s="1842"/>
      <c r="DZ617" s="1842"/>
      <c r="EA617" s="1842"/>
      <c r="EB617" s="1421"/>
      <c r="EC617" s="1420" t="str">
        <f t="shared" si="18"/>
        <v xml:space="preserve"> </v>
      </c>
      <c r="ED617" s="1842"/>
      <c r="EE617" s="1842"/>
      <c r="EF617" s="1842"/>
      <c r="EG617" s="1421"/>
      <c r="EH617" s="1420" t="str">
        <f t="shared" si="19"/>
        <v xml:space="preserve"> </v>
      </c>
      <c r="EI617" s="1842"/>
      <c r="EJ617" s="1842"/>
      <c r="EK617" s="1842"/>
      <c r="EL617" s="1421"/>
      <c r="EM617" s="1420" t="str">
        <f t="shared" si="20"/>
        <v xml:space="preserve"> </v>
      </c>
      <c r="EN617" s="1842"/>
      <c r="EO617" s="1842"/>
      <c r="EP617" s="1842"/>
      <c r="EQ617" s="1421"/>
      <c r="ER617" s="1420" t="str">
        <f t="shared" si="21"/>
        <v xml:space="preserve"> </v>
      </c>
      <c r="ES617" s="1842"/>
      <c r="ET617" s="1842"/>
      <c r="EU617" s="1842"/>
      <c r="EV617" s="1421"/>
      <c r="EW617" s="1420" t="str">
        <f t="shared" si="22"/>
        <v xml:space="preserve"> </v>
      </c>
      <c r="EX617" s="1842"/>
      <c r="EY617" s="1842"/>
      <c r="EZ617" s="1842"/>
      <c r="FA617" s="1421"/>
    </row>
    <row r="618" spans="1:157" ht="12.9" customHeight="1">
      <c r="C618" s="2" t="s">
        <v>2529</v>
      </c>
      <c r="AZ618" s="3"/>
      <c r="BA618" s="3"/>
      <c r="BB618" s="3"/>
      <c r="BC618" s="3"/>
      <c r="BD618" s="3"/>
      <c r="BE618" s="1420">
        <f t="shared" si="1"/>
        <v>0</v>
      </c>
      <c r="BF618" s="1421"/>
      <c r="BG618" s="1496">
        <f t="shared" si="2"/>
        <v>0</v>
      </c>
      <c r="BH618" s="1497"/>
      <c r="BI618" s="1420">
        <f t="shared" si="3"/>
        <v>0</v>
      </c>
      <c r="BJ618" s="1421"/>
      <c r="BK618" s="1496">
        <f t="shared" si="4"/>
        <v>0</v>
      </c>
      <c r="BL618" s="1497"/>
      <c r="BM618" s="3"/>
      <c r="BN618" s="1507">
        <f t="shared" si="5"/>
        <v>0</v>
      </c>
      <c r="BO618" s="1508"/>
      <c r="BP618" s="1508"/>
      <c r="BQ618" s="1508"/>
      <c r="BR618" s="1509"/>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2">
        <f t="shared" si="11"/>
        <v>0</v>
      </c>
      <c r="CT618" s="1712"/>
      <c r="CU618" s="1712"/>
      <c r="CV618" s="1712"/>
      <c r="CW618" s="1712"/>
      <c r="CX618" s="1712">
        <f t="shared" si="12"/>
        <v>0</v>
      </c>
      <c r="CY618" s="1712"/>
      <c r="CZ618" s="1712"/>
      <c r="DA618" s="1712"/>
      <c r="DB618" s="1712"/>
      <c r="DC618" s="1712">
        <f t="shared" si="13"/>
        <v>0</v>
      </c>
      <c r="DD618" s="1712"/>
      <c r="DE618" s="1712"/>
      <c r="DF618" s="1712"/>
      <c r="DG618" s="1712"/>
      <c r="DH618" s="1712">
        <f t="shared" si="14"/>
        <v>0</v>
      </c>
      <c r="DI618" s="1712"/>
      <c r="DJ618" s="1712"/>
      <c r="DK618" s="1712"/>
      <c r="DL618" s="1712"/>
      <c r="DM618" s="1712">
        <f t="shared" si="15"/>
        <v>0</v>
      </c>
      <c r="DN618" s="1712"/>
      <c r="DO618" s="1712"/>
      <c r="DP618" s="1712"/>
      <c r="DQ618" s="1712"/>
      <c r="DR618" s="1712">
        <f t="shared" si="16"/>
        <v>0</v>
      </c>
      <c r="DS618" s="1712"/>
      <c r="DT618" s="1712"/>
      <c r="DU618" s="1712"/>
      <c r="DV618" s="1712"/>
      <c r="DX618" s="1420" t="str">
        <f t="shared" si="17"/>
        <v xml:space="preserve"> </v>
      </c>
      <c r="DY618" s="1842"/>
      <c r="DZ618" s="1842"/>
      <c r="EA618" s="1842"/>
      <c r="EB618" s="1421"/>
      <c r="EC618" s="1420" t="str">
        <f t="shared" si="18"/>
        <v xml:space="preserve"> </v>
      </c>
      <c r="ED618" s="1842"/>
      <c r="EE618" s="1842"/>
      <c r="EF618" s="1842"/>
      <c r="EG618" s="1421"/>
      <c r="EH618" s="1420" t="str">
        <f t="shared" si="19"/>
        <v xml:space="preserve"> </v>
      </c>
      <c r="EI618" s="1842"/>
      <c r="EJ618" s="1842"/>
      <c r="EK618" s="1842"/>
      <c r="EL618" s="1421"/>
      <c r="EM618" s="1420" t="str">
        <f t="shared" si="20"/>
        <v xml:space="preserve"> </v>
      </c>
      <c r="EN618" s="1842"/>
      <c r="EO618" s="1842"/>
      <c r="EP618" s="1842"/>
      <c r="EQ618" s="1421"/>
      <c r="ER618" s="1420" t="str">
        <f t="shared" si="21"/>
        <v xml:space="preserve"> </v>
      </c>
      <c r="ES618" s="1842"/>
      <c r="ET618" s="1842"/>
      <c r="EU618" s="1842"/>
      <c r="EV618" s="1421"/>
      <c r="EW618" s="1420" t="str">
        <f t="shared" si="22"/>
        <v xml:space="preserve"> </v>
      </c>
      <c r="EX618" s="1842"/>
      <c r="EY618" s="1842"/>
      <c r="EZ618" s="1842"/>
      <c r="FA618" s="1421"/>
    </row>
    <row r="619" spans="1:157" ht="12.9" customHeight="1">
      <c r="B619" s="547"/>
      <c r="C619" s="2"/>
      <c r="AZ619" s="3"/>
      <c r="BA619" s="3"/>
      <c r="BB619" s="3"/>
      <c r="BC619" s="3"/>
      <c r="BD619" s="3"/>
      <c r="BE619" s="1420">
        <f t="shared" si="1"/>
        <v>0</v>
      </c>
      <c r="BF619" s="1421"/>
      <c r="BG619" s="1496">
        <f t="shared" si="2"/>
        <v>0</v>
      </c>
      <c r="BH619" s="1497"/>
      <c r="BI619" s="1420">
        <f t="shared" si="3"/>
        <v>0</v>
      </c>
      <c r="BJ619" s="1421"/>
      <c r="BK619" s="1496">
        <f t="shared" si="4"/>
        <v>0</v>
      </c>
      <c r="BL619" s="1497"/>
      <c r="BM619" s="3"/>
      <c r="BN619" s="1507">
        <f t="shared" si="5"/>
        <v>0</v>
      </c>
      <c r="BO619" s="1508"/>
      <c r="BP619" s="1508"/>
      <c r="BQ619" s="1508"/>
      <c r="BR619" s="1509"/>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2">
        <f t="shared" si="11"/>
        <v>0</v>
      </c>
      <c r="CT619" s="1712"/>
      <c r="CU619" s="1712"/>
      <c r="CV619" s="1712"/>
      <c r="CW619" s="1712"/>
      <c r="CX619" s="1712">
        <f t="shared" si="12"/>
        <v>0</v>
      </c>
      <c r="CY619" s="1712"/>
      <c r="CZ619" s="1712"/>
      <c r="DA619" s="1712"/>
      <c r="DB619" s="1712"/>
      <c r="DC619" s="1712">
        <f t="shared" si="13"/>
        <v>0</v>
      </c>
      <c r="DD619" s="1712"/>
      <c r="DE619" s="1712"/>
      <c r="DF619" s="1712"/>
      <c r="DG619" s="1712"/>
      <c r="DH619" s="1712">
        <f t="shared" si="14"/>
        <v>0</v>
      </c>
      <c r="DI619" s="1712"/>
      <c r="DJ619" s="1712"/>
      <c r="DK619" s="1712"/>
      <c r="DL619" s="1712"/>
      <c r="DM619" s="1712">
        <f t="shared" si="15"/>
        <v>0</v>
      </c>
      <c r="DN619" s="1712"/>
      <c r="DO619" s="1712"/>
      <c r="DP619" s="1712"/>
      <c r="DQ619" s="1712"/>
      <c r="DR619" s="1712">
        <f t="shared" si="16"/>
        <v>0</v>
      </c>
      <c r="DS619" s="1712"/>
      <c r="DT619" s="1712"/>
      <c r="DU619" s="1712"/>
      <c r="DV619" s="1712"/>
      <c r="DX619" s="1420" t="str">
        <f t="shared" si="17"/>
        <v xml:space="preserve"> </v>
      </c>
      <c r="DY619" s="1842"/>
      <c r="DZ619" s="1842"/>
      <c r="EA619" s="1842"/>
      <c r="EB619" s="1421"/>
      <c r="EC619" s="1420" t="str">
        <f t="shared" si="18"/>
        <v xml:space="preserve"> </v>
      </c>
      <c r="ED619" s="1842"/>
      <c r="EE619" s="1842"/>
      <c r="EF619" s="1842"/>
      <c r="EG619" s="1421"/>
      <c r="EH619" s="1420" t="str">
        <f t="shared" si="19"/>
        <v xml:space="preserve"> </v>
      </c>
      <c r="EI619" s="1842"/>
      <c r="EJ619" s="1842"/>
      <c r="EK619" s="1842"/>
      <c r="EL619" s="1421"/>
      <c r="EM619" s="1420" t="str">
        <f t="shared" si="20"/>
        <v xml:space="preserve"> </v>
      </c>
      <c r="EN619" s="1842"/>
      <c r="EO619" s="1842"/>
      <c r="EP619" s="1842"/>
      <c r="EQ619" s="1421"/>
      <c r="ER619" s="1420" t="str">
        <f t="shared" si="21"/>
        <v xml:space="preserve"> </v>
      </c>
      <c r="ES619" s="1842"/>
      <c r="ET619" s="1842"/>
      <c r="EU619" s="1842"/>
      <c r="EV619" s="1421"/>
      <c r="EW619" s="1420" t="str">
        <f t="shared" si="22"/>
        <v xml:space="preserve"> </v>
      </c>
      <c r="EX619" s="1842"/>
      <c r="EY619" s="1842"/>
      <c r="EZ619" s="1842"/>
      <c r="FA619" s="1421"/>
    </row>
    <row r="620" spans="1:157" ht="12.9" customHeight="1">
      <c r="B620" s="1851" t="s">
        <v>2531</v>
      </c>
      <c r="C620" s="1851"/>
      <c r="D620" s="1851"/>
      <c r="E620" s="1851"/>
      <c r="F620" s="1851"/>
      <c r="G620" s="1851"/>
      <c r="H620" s="1851"/>
      <c r="I620" s="1851"/>
      <c r="J620" s="1851"/>
      <c r="K620" s="1851"/>
      <c r="L620" s="1851"/>
      <c r="M620" s="1513" t="s">
        <v>2532</v>
      </c>
      <c r="N620" s="1513"/>
      <c r="O620" s="1513"/>
      <c r="P620" s="1513"/>
      <c r="Q620" s="1513" t="s">
        <v>2116</v>
      </c>
      <c r="R620" s="1513"/>
      <c r="S620" s="1513"/>
      <c r="T620" s="1513" t="s">
        <v>2114</v>
      </c>
      <c r="U620" s="1513"/>
      <c r="V620" s="1513"/>
      <c r="W620" s="1850" t="s">
        <v>462</v>
      </c>
      <c r="X620" s="1850"/>
      <c r="Y620" s="1850"/>
      <c r="Z620" s="1410" t="s">
        <v>2561</v>
      </c>
      <c r="AA620" s="1410"/>
      <c r="AB620" s="1411"/>
      <c r="AC620" s="1736" t="s">
        <v>1936</v>
      </c>
      <c r="AD620" s="1737"/>
      <c r="AE620" s="1738"/>
      <c r="AF620" s="1409" t="s">
        <v>2314</v>
      </c>
      <c r="AG620" s="1410"/>
      <c r="AH620" s="1410"/>
      <c r="AI620" s="1410"/>
      <c r="AJ620" s="1411"/>
      <c r="AK620" s="1726" t="s">
        <v>2315</v>
      </c>
      <c r="AL620" s="1727"/>
      <c r="AM620" s="1727"/>
      <c r="AN620" s="1728"/>
      <c r="AO620" s="1513" t="s">
        <v>463</v>
      </c>
      <c r="AP620" s="1513"/>
      <c r="AQ620" s="1513"/>
      <c r="AR620" s="1513"/>
      <c r="AS620" s="1513"/>
      <c r="AZ620" s="3"/>
      <c r="BA620" s="3"/>
      <c r="BB620" s="3"/>
      <c r="BC620" s="3"/>
      <c r="BD620" s="3"/>
      <c r="BE620" s="1420">
        <f t="shared" si="1"/>
        <v>0</v>
      </c>
      <c r="BF620" s="1421"/>
      <c r="BG620" s="1496">
        <f t="shared" si="2"/>
        <v>0</v>
      </c>
      <c r="BH620" s="1497"/>
      <c r="BI620" s="1420">
        <f t="shared" si="3"/>
        <v>0</v>
      </c>
      <c r="BJ620" s="1421"/>
      <c r="BK620" s="1496">
        <f t="shared" si="4"/>
        <v>0</v>
      </c>
      <c r="BL620" s="1497"/>
      <c r="BM620" s="3"/>
      <c r="BN620" s="1507">
        <f t="shared" si="5"/>
        <v>0</v>
      </c>
      <c r="BO620" s="1508"/>
      <c r="BP620" s="1508"/>
      <c r="BQ620" s="1508"/>
      <c r="BR620" s="1509"/>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2">
        <f t="shared" si="11"/>
        <v>0</v>
      </c>
      <c r="CT620" s="1712"/>
      <c r="CU620" s="1712"/>
      <c r="CV620" s="1712"/>
      <c r="CW620" s="1712"/>
      <c r="CX620" s="1712">
        <f t="shared" si="12"/>
        <v>0</v>
      </c>
      <c r="CY620" s="1712"/>
      <c r="CZ620" s="1712"/>
      <c r="DA620" s="1712"/>
      <c r="DB620" s="1712"/>
      <c r="DC620" s="1712">
        <f t="shared" si="13"/>
        <v>0</v>
      </c>
      <c r="DD620" s="1712"/>
      <c r="DE620" s="1712"/>
      <c r="DF620" s="1712"/>
      <c r="DG620" s="1712"/>
      <c r="DH620" s="1712">
        <f t="shared" si="14"/>
        <v>0</v>
      </c>
      <c r="DI620" s="1712"/>
      <c r="DJ620" s="1712"/>
      <c r="DK620" s="1712"/>
      <c r="DL620" s="1712"/>
      <c r="DM620" s="1712">
        <f t="shared" si="15"/>
        <v>0</v>
      </c>
      <c r="DN620" s="1712"/>
      <c r="DO620" s="1712"/>
      <c r="DP620" s="1712"/>
      <c r="DQ620" s="1712"/>
      <c r="DR620" s="1712">
        <f t="shared" si="16"/>
        <v>0</v>
      </c>
      <c r="DS620" s="1712"/>
      <c r="DT620" s="1712"/>
      <c r="DU620" s="1712"/>
      <c r="DV620" s="1712"/>
      <c r="DX620" s="1420" t="str">
        <f t="shared" si="17"/>
        <v xml:space="preserve"> </v>
      </c>
      <c r="DY620" s="1842"/>
      <c r="DZ620" s="1842"/>
      <c r="EA620" s="1842"/>
      <c r="EB620" s="1421"/>
      <c r="EC620" s="1420" t="str">
        <f t="shared" si="18"/>
        <v xml:space="preserve"> </v>
      </c>
      <c r="ED620" s="1842"/>
      <c r="EE620" s="1842"/>
      <c r="EF620" s="1842"/>
      <c r="EG620" s="1421"/>
      <c r="EH620" s="1420" t="str">
        <f t="shared" si="19"/>
        <v xml:space="preserve"> </v>
      </c>
      <c r="EI620" s="1842"/>
      <c r="EJ620" s="1842"/>
      <c r="EK620" s="1842"/>
      <c r="EL620" s="1421"/>
      <c r="EM620" s="1420" t="str">
        <f t="shared" si="20"/>
        <v xml:space="preserve"> </v>
      </c>
      <c r="EN620" s="1842"/>
      <c r="EO620" s="1842"/>
      <c r="EP620" s="1842"/>
      <c r="EQ620" s="1421"/>
      <c r="ER620" s="1420" t="str">
        <f t="shared" si="21"/>
        <v xml:space="preserve"> </v>
      </c>
      <c r="ES620" s="1842"/>
      <c r="ET620" s="1842"/>
      <c r="EU620" s="1842"/>
      <c r="EV620" s="1421"/>
      <c r="EW620" s="1420" t="str">
        <f t="shared" si="22"/>
        <v xml:space="preserve"> </v>
      </c>
      <c r="EX620" s="1842"/>
      <c r="EY620" s="1842"/>
      <c r="EZ620" s="1842"/>
      <c r="FA620" s="1421"/>
    </row>
    <row r="621" spans="1:157" ht="12.9" customHeight="1">
      <c r="B621" s="1851"/>
      <c r="C621" s="1851"/>
      <c r="D621" s="1851"/>
      <c r="E621" s="1851"/>
      <c r="F621" s="1851"/>
      <c r="G621" s="1851"/>
      <c r="H621" s="1851"/>
      <c r="I621" s="1851"/>
      <c r="J621" s="1851"/>
      <c r="K621" s="1851"/>
      <c r="L621" s="1851"/>
      <c r="M621" s="1513"/>
      <c r="N621" s="1513"/>
      <c r="O621" s="1513"/>
      <c r="P621" s="1513"/>
      <c r="Q621" s="1513"/>
      <c r="R621" s="1513"/>
      <c r="S621" s="1513"/>
      <c r="T621" s="1513"/>
      <c r="U621" s="1513"/>
      <c r="V621" s="1513"/>
      <c r="W621" s="1850"/>
      <c r="X621" s="1850"/>
      <c r="Y621" s="1850"/>
      <c r="Z621" s="1413"/>
      <c r="AA621" s="1413"/>
      <c r="AB621" s="1414"/>
      <c r="AC621" s="1739"/>
      <c r="AD621" s="1740"/>
      <c r="AE621" s="1741"/>
      <c r="AF621" s="1412"/>
      <c r="AG621" s="1413"/>
      <c r="AH621" s="1413"/>
      <c r="AI621" s="1413"/>
      <c r="AJ621" s="1414"/>
      <c r="AK621" s="1729"/>
      <c r="AL621" s="1730"/>
      <c r="AM621" s="1730"/>
      <c r="AN621" s="1731"/>
      <c r="AO621" s="1513"/>
      <c r="AP621" s="1513"/>
      <c r="AQ621" s="1513"/>
      <c r="AR621" s="1513"/>
      <c r="AS621" s="1513"/>
      <c r="AZ621" s="3"/>
      <c r="BA621" s="3"/>
      <c r="BB621" s="3"/>
      <c r="BC621" s="3"/>
      <c r="BD621" s="3"/>
      <c r="BE621" s="3"/>
      <c r="BF621" s="3"/>
      <c r="BG621" s="1420">
        <f>SUM(BG596:BH620)</f>
        <v>71</v>
      </c>
      <c r="BH621" s="1421"/>
      <c r="BI621" s="3"/>
      <c r="BJ621" s="3"/>
      <c r="BK621" s="1420">
        <f>SUM(BK596:BL620)</f>
        <v>36</v>
      </c>
      <c r="BL621" s="1421"/>
      <c r="BM621" s="3"/>
      <c r="BN621" s="1420">
        <f>SUM(BN596:BR620)</f>
        <v>0</v>
      </c>
      <c r="BO621" s="1842"/>
      <c r="BP621" s="1842"/>
      <c r="BQ621" s="1842"/>
      <c r="BR621" s="1421"/>
      <c r="BS621" s="1684">
        <f>SUM(BS596:BW620)</f>
        <v>87</v>
      </c>
      <c r="BT621" s="1684"/>
      <c r="BU621" s="1684"/>
      <c r="BV621" s="1684"/>
      <c r="BW621" s="1684"/>
      <c r="BX621" s="1684">
        <f>SUM(BX596:CB620)</f>
        <v>44</v>
      </c>
      <c r="BY621" s="1684"/>
      <c r="BZ621" s="1684"/>
      <c r="CA621" s="1684"/>
      <c r="CB621" s="1684"/>
      <c r="CC621" s="1684">
        <f>SUM(CC596:CG620)</f>
        <v>44</v>
      </c>
      <c r="CD621" s="1684"/>
      <c r="CE621" s="1684"/>
      <c r="CF621" s="1684"/>
      <c r="CG621" s="1684"/>
      <c r="CH621" s="1684">
        <f>SUM(CH596:CL620)</f>
        <v>0</v>
      </c>
      <c r="CI621" s="1684"/>
      <c r="CJ621" s="1684"/>
      <c r="CK621" s="1684"/>
      <c r="CL621" s="1684"/>
      <c r="CM621" s="1684">
        <f>SUM(CM596:CQ620)</f>
        <v>0</v>
      </c>
      <c r="CN621" s="1684"/>
      <c r="CO621" s="1684"/>
      <c r="CP621" s="1684"/>
      <c r="CQ621" s="1684"/>
      <c r="CR621" s="386"/>
      <c r="CS621" s="1684">
        <f>SUM(CS596:CW620)</f>
        <v>0</v>
      </c>
      <c r="CT621" s="1684"/>
      <c r="CU621" s="1684"/>
      <c r="CV621" s="1684"/>
      <c r="CW621" s="1684"/>
      <c r="CX621" s="1684">
        <f>SUM(CX596:DB620)</f>
        <v>18</v>
      </c>
      <c r="CY621" s="1684"/>
      <c r="CZ621" s="1684"/>
      <c r="DA621" s="1684"/>
      <c r="DB621" s="1684"/>
      <c r="DC621" s="1684">
        <f>SUM(DC596:DG620)</f>
        <v>9</v>
      </c>
      <c r="DD621" s="1684"/>
      <c r="DE621" s="1684"/>
      <c r="DF621" s="1684"/>
      <c r="DG621" s="1684"/>
      <c r="DH621" s="1684">
        <f>SUM(DH596:DL620)</f>
        <v>9</v>
      </c>
      <c r="DI621" s="1684"/>
      <c r="DJ621" s="1684"/>
      <c r="DK621" s="1684"/>
      <c r="DL621" s="1684"/>
      <c r="DM621" s="1684">
        <f>SUM(DM596:DQ620)</f>
        <v>0</v>
      </c>
      <c r="DN621" s="1684"/>
      <c r="DO621" s="1684"/>
      <c r="DP621" s="1684"/>
      <c r="DQ621" s="1684"/>
      <c r="DR621" s="1684">
        <f>SUM(DR596:DV620)</f>
        <v>0</v>
      </c>
      <c r="DS621" s="1684"/>
      <c r="DT621" s="1684"/>
      <c r="DU621" s="1684"/>
      <c r="DV621" s="1684"/>
      <c r="DX621" s="1684">
        <f>SUM(DX596:EB620)</f>
        <v>0</v>
      </c>
      <c r="DY621" s="1684"/>
      <c r="DZ621" s="1684"/>
      <c r="EA621" s="1684"/>
      <c r="EB621" s="1684"/>
      <c r="EC621" s="1684">
        <f>SUM(EC596:EG620)</f>
        <v>2112</v>
      </c>
      <c r="ED621" s="1684"/>
      <c r="EE621" s="1684"/>
      <c r="EF621" s="1684"/>
      <c r="EG621" s="1684"/>
      <c r="EH621" s="1684">
        <f>SUM(EH596:EL620)</f>
        <v>2462</v>
      </c>
      <c r="EI621" s="1684"/>
      <c r="EJ621" s="1684"/>
      <c r="EK621" s="1684"/>
      <c r="EL621" s="1684"/>
      <c r="EM621" s="1684">
        <f>SUM(EM596:EQ620)</f>
        <v>2790</v>
      </c>
      <c r="EN621" s="1684"/>
      <c r="EO621" s="1684"/>
      <c r="EP621" s="1684"/>
      <c r="EQ621" s="1684"/>
      <c r="ER621" s="1684">
        <f>SUM(ER596:EV620)</f>
        <v>0</v>
      </c>
      <c r="ES621" s="1684"/>
      <c r="ET621" s="1684"/>
      <c r="EU621" s="1684"/>
      <c r="EV621" s="1684"/>
      <c r="EW621" s="1684">
        <f>SUM(EW596:FA620)</f>
        <v>0</v>
      </c>
      <c r="EX621" s="1684"/>
      <c r="EY621" s="1684"/>
      <c r="EZ621" s="1684"/>
      <c r="FA621" s="1684"/>
    </row>
    <row r="622" spans="1:157" ht="12.9" customHeight="1">
      <c r="B622" s="1851"/>
      <c r="C622" s="1851"/>
      <c r="D622" s="1851"/>
      <c r="E622" s="1851"/>
      <c r="F622" s="1851"/>
      <c r="G622" s="1851"/>
      <c r="H622" s="1851"/>
      <c r="I622" s="1851"/>
      <c r="J622" s="1851"/>
      <c r="K622" s="1851"/>
      <c r="L622" s="1851"/>
      <c r="M622" s="1513"/>
      <c r="N622" s="1513"/>
      <c r="O622" s="1513"/>
      <c r="P622" s="1513"/>
      <c r="Q622" s="1513"/>
      <c r="R622" s="1513"/>
      <c r="S622" s="1513"/>
      <c r="T622" s="1513"/>
      <c r="U622" s="1513"/>
      <c r="V622" s="1513"/>
      <c r="W622" s="1850"/>
      <c r="X622" s="1850"/>
      <c r="Y622" s="1850"/>
      <c r="Z622" s="1416"/>
      <c r="AA622" s="1416"/>
      <c r="AB622" s="1417"/>
      <c r="AC622" s="1742"/>
      <c r="AD622" s="1743"/>
      <c r="AE622" s="1744"/>
      <c r="AF622" s="1415"/>
      <c r="AG622" s="1416"/>
      <c r="AH622" s="1416"/>
      <c r="AI622" s="1416"/>
      <c r="AJ622" s="1417"/>
      <c r="AK622" s="1732"/>
      <c r="AL622" s="1733"/>
      <c r="AM622" s="1733"/>
      <c r="AN622" s="1734"/>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0">
        <f>BN621+BS621+BX621+CC621+CH621+CM621</f>
        <v>175</v>
      </c>
      <c r="CN622" s="1842"/>
      <c r="CO622" s="1842"/>
      <c r="CP622" s="1842"/>
      <c r="CQ622" s="1421"/>
      <c r="CR622" s="386"/>
      <c r="CS622" s="3"/>
      <c r="CT622" s="3"/>
      <c r="CU622" s="3"/>
      <c r="CV622" s="3"/>
      <c r="CW622" s="3"/>
      <c r="CX622" s="3"/>
      <c r="CY622" s="3"/>
      <c r="CZ622" s="3"/>
      <c r="DA622" s="3"/>
      <c r="DB622" s="3"/>
      <c r="DC622" s="3"/>
      <c r="DD622" s="3"/>
      <c r="DE622" s="3"/>
      <c r="DF622" s="3"/>
    </row>
    <row r="623" spans="1:157" ht="12.9" customHeight="1">
      <c r="B623" s="51" t="s">
        <v>113</v>
      </c>
      <c r="C623" s="1703" t="s">
        <v>2759</v>
      </c>
      <c r="D623" s="1703"/>
      <c r="E623" s="1703"/>
      <c r="F623" s="1703"/>
      <c r="G623" s="1703"/>
      <c r="H623" s="1703"/>
      <c r="I623" s="1703"/>
      <c r="J623" s="1703"/>
      <c r="K623" s="1703"/>
      <c r="L623" s="1703"/>
      <c r="M623" s="1847" t="s">
        <v>2548</v>
      </c>
      <c r="N623" s="1847"/>
      <c r="O623" s="1847"/>
      <c r="P623" s="1847"/>
      <c r="Q623" s="1546">
        <v>360</v>
      </c>
      <c r="R623" s="1546"/>
      <c r="S623" s="1849"/>
      <c r="T623" s="1848">
        <v>360</v>
      </c>
      <c r="U623" s="1546"/>
      <c r="V623" s="1849"/>
      <c r="W623" s="1593">
        <v>6.3500000000000001E-2</v>
      </c>
      <c r="X623" s="1594"/>
      <c r="Y623" s="1595"/>
      <c r="Z623" s="1705" t="s">
        <v>2560</v>
      </c>
      <c r="AA623" s="1706"/>
      <c r="AB623" s="1707"/>
      <c r="AC623" s="1429">
        <v>1</v>
      </c>
      <c r="AD623" s="1430"/>
      <c r="AE623" s="1431"/>
      <c r="AF623" s="1578">
        <v>448010</v>
      </c>
      <c r="AG623" s="1579"/>
      <c r="AH623" s="1579"/>
      <c r="AI623" s="1579"/>
      <c r="AJ623" s="1580"/>
      <c r="AK623" s="1596"/>
      <c r="AL623" s="1597"/>
      <c r="AM623" s="1597"/>
      <c r="AN623" s="1598"/>
      <c r="AO623" s="1608">
        <v>6000000</v>
      </c>
      <c r="AP623" s="1608"/>
      <c r="AQ623" s="1608"/>
      <c r="AR623" s="1608"/>
      <c r="AS623" s="160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87</v>
      </c>
      <c r="BX623" s="3"/>
      <c r="BY623" s="3"/>
      <c r="BZ623" s="3"/>
      <c r="CA623" s="3"/>
      <c r="CB623" s="897">
        <f>BX621*2</f>
        <v>88</v>
      </c>
      <c r="CC623" s="3"/>
      <c r="CD623" s="3"/>
      <c r="CE623" s="3"/>
      <c r="CF623" s="3"/>
      <c r="CG623" s="897">
        <f>CC621*3</f>
        <v>132</v>
      </c>
      <c r="CH623" s="3"/>
      <c r="CI623" s="3"/>
      <c r="CJ623" s="3"/>
      <c r="CK623" s="3"/>
      <c r="CL623" s="897">
        <f>CH621*4</f>
        <v>0</v>
      </c>
      <c r="CM623" s="3"/>
      <c r="CN623" s="3"/>
      <c r="CO623" s="3"/>
      <c r="CP623" s="3"/>
      <c r="CQ623" s="897">
        <f>CM621*5</f>
        <v>0</v>
      </c>
      <c r="CS623" s="897">
        <f>BR623+BW623+CB623+CG623+CL623+CQ623</f>
        <v>307</v>
      </c>
      <c r="CT623" s="57" t="s">
        <v>2126</v>
      </c>
      <c r="CU623" s="3"/>
      <c r="CV623" s="3"/>
      <c r="CW623" s="3"/>
      <c r="CX623" s="3"/>
      <c r="CY623" s="3"/>
      <c r="CZ623" s="3"/>
      <c r="DA623" s="3"/>
      <c r="DB623" s="3"/>
      <c r="DC623" s="3"/>
      <c r="DD623" s="3"/>
      <c r="DE623" s="3"/>
      <c r="DF623" s="3"/>
    </row>
    <row r="624" spans="1:157" ht="12.9" customHeight="1">
      <c r="B624" s="52" t="s">
        <v>114</v>
      </c>
      <c r="C624" s="1703" t="s">
        <v>2760</v>
      </c>
      <c r="D624" s="1703"/>
      <c r="E624" s="1703"/>
      <c r="F624" s="1703"/>
      <c r="G624" s="1703"/>
      <c r="H624" s="1703"/>
      <c r="I624" s="1703"/>
      <c r="J624" s="1703"/>
      <c r="K624" s="1703"/>
      <c r="L624" s="1703"/>
      <c r="M624" s="1847" t="s">
        <v>2544</v>
      </c>
      <c r="N624" s="1847"/>
      <c r="O624" s="1847"/>
      <c r="P624" s="1847"/>
      <c r="Q624" s="1848">
        <v>660</v>
      </c>
      <c r="R624" s="1546"/>
      <c r="S624" s="1849"/>
      <c r="T624" s="1848"/>
      <c r="U624" s="1546"/>
      <c r="V624" s="1849"/>
      <c r="W624" s="1593">
        <v>0.03</v>
      </c>
      <c r="X624" s="1594"/>
      <c r="Y624" s="1595"/>
      <c r="Z624" s="1705" t="s">
        <v>2560</v>
      </c>
      <c r="AA624" s="1706"/>
      <c r="AB624" s="1707"/>
      <c r="AC624" s="1429">
        <v>2</v>
      </c>
      <c r="AD624" s="1430"/>
      <c r="AE624" s="1431"/>
      <c r="AF624" s="1578">
        <v>73185</v>
      </c>
      <c r="AG624" s="1579"/>
      <c r="AH624" s="1579"/>
      <c r="AI624" s="1579"/>
      <c r="AJ624" s="1580"/>
      <c r="AK624" s="1596"/>
      <c r="AL624" s="1597"/>
      <c r="AM624" s="1597"/>
      <c r="AN624" s="1598"/>
      <c r="AO624" s="1599">
        <v>17425000</v>
      </c>
      <c r="AP624" s="1600"/>
      <c r="AQ624" s="1600"/>
      <c r="AR624" s="1600"/>
      <c r="AS624" s="1601"/>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6" t="e">
        <f t="shared" ref="DX624:DX648" si="23">DX596*(BN596/$BN$621)</f>
        <v>#VALUE!</v>
      </c>
      <c r="DY624" s="1846"/>
      <c r="DZ624" s="1846"/>
      <c r="EA624" s="1846"/>
      <c r="EB624" s="1846"/>
      <c r="EC624" s="1846">
        <f t="shared" ref="EC624:EC648" si="24">EC596*(BS596/$BS$621)</f>
        <v>39.655172413793103</v>
      </c>
      <c r="ED624" s="1846"/>
      <c r="EE624" s="1846"/>
      <c r="EF624" s="1846"/>
      <c r="EG624" s="1846"/>
      <c r="EH624" s="1846" t="e">
        <f t="shared" ref="EH624:EH648" si="25">EH596*(BX596/$BX$621)</f>
        <v>#VALUE!</v>
      </c>
      <c r="EI624" s="1846"/>
      <c r="EJ624" s="1846"/>
      <c r="EK624" s="1846"/>
      <c r="EL624" s="1846"/>
      <c r="EM624" s="1846" t="e">
        <f t="shared" ref="EM624:EM648" si="26">EM596*(CC596/$CC$621)</f>
        <v>#VALUE!</v>
      </c>
      <c r="EN624" s="1846"/>
      <c r="EO624" s="1846"/>
      <c r="EP624" s="1846"/>
      <c r="EQ624" s="1846"/>
      <c r="ER624" s="1846" t="e">
        <f t="shared" ref="ER624:ER648" si="27">ER596*(CH596/$CH$621)</f>
        <v>#VALUE!</v>
      </c>
      <c r="ES624" s="1846"/>
      <c r="ET624" s="1846"/>
      <c r="EU624" s="1846"/>
      <c r="EV624" s="1846"/>
      <c r="EW624" s="1846" t="e">
        <f t="shared" ref="EW624:EW648" si="28">EW596*(CM596/$CM$621)</f>
        <v>#VALUE!</v>
      </c>
      <c r="EX624" s="1846"/>
      <c r="EY624" s="1846"/>
      <c r="EZ624" s="1846"/>
      <c r="FA624" s="1846"/>
    </row>
    <row r="625" spans="1:157" ht="12.9" customHeight="1">
      <c r="B625" s="52" t="s">
        <v>120</v>
      </c>
      <c r="C625" s="1703" t="s">
        <v>2731</v>
      </c>
      <c r="D625" s="1703"/>
      <c r="E625" s="1703"/>
      <c r="F625" s="1703"/>
      <c r="G625" s="1703"/>
      <c r="H625" s="1703"/>
      <c r="I625" s="1703"/>
      <c r="J625" s="1703"/>
      <c r="K625" s="1703"/>
      <c r="L625" s="1703"/>
      <c r="M625" s="1847" t="s">
        <v>2544</v>
      </c>
      <c r="N625" s="1847"/>
      <c r="O625" s="1847"/>
      <c r="P625" s="1847"/>
      <c r="Q625" s="1848">
        <v>660</v>
      </c>
      <c r="R625" s="1546"/>
      <c r="S625" s="1849"/>
      <c r="T625" s="1848"/>
      <c r="U625" s="1546"/>
      <c r="V625" s="1849"/>
      <c r="W625" s="1593">
        <v>0</v>
      </c>
      <c r="X625" s="1594"/>
      <c r="Y625" s="1595"/>
      <c r="Z625" s="1705" t="s">
        <v>467</v>
      </c>
      <c r="AA625" s="1706"/>
      <c r="AB625" s="1707"/>
      <c r="AC625" s="1429">
        <v>3</v>
      </c>
      <c r="AD625" s="1430"/>
      <c r="AE625" s="1431"/>
      <c r="AF625" s="1578"/>
      <c r="AG625" s="1579"/>
      <c r="AH625" s="1579"/>
      <c r="AI625" s="1579"/>
      <c r="AJ625" s="1580"/>
      <c r="AK625" s="1596"/>
      <c r="AL625" s="1597"/>
      <c r="AM625" s="1597"/>
      <c r="AN625" s="1598"/>
      <c r="AO625" s="1599">
        <v>3000000</v>
      </c>
      <c r="AP625" s="1600"/>
      <c r="AQ625" s="1600"/>
      <c r="AR625" s="1600"/>
      <c r="AS625" s="1601"/>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6" t="e">
        <f t="shared" si="23"/>
        <v>#VALUE!</v>
      </c>
      <c r="DY625" s="1846"/>
      <c r="DZ625" s="1846"/>
      <c r="EA625" s="1846"/>
      <c r="EB625" s="1846"/>
      <c r="EC625" s="1846">
        <f t="shared" si="24"/>
        <v>31.724137931034484</v>
      </c>
      <c r="ED625" s="1846"/>
      <c r="EE625" s="1846"/>
      <c r="EF625" s="1846"/>
      <c r="EG625" s="1846"/>
      <c r="EH625" s="1846" t="e">
        <f t="shared" si="25"/>
        <v>#VALUE!</v>
      </c>
      <c r="EI625" s="1846"/>
      <c r="EJ625" s="1846"/>
      <c r="EK625" s="1846"/>
      <c r="EL625" s="1846"/>
      <c r="EM625" s="1846" t="e">
        <f t="shared" si="26"/>
        <v>#VALUE!</v>
      </c>
      <c r="EN625" s="1846"/>
      <c r="EO625" s="1846"/>
      <c r="EP625" s="1846"/>
      <c r="EQ625" s="1846"/>
      <c r="ER625" s="1846" t="e">
        <f t="shared" si="27"/>
        <v>#VALUE!</v>
      </c>
      <c r="ES625" s="1846"/>
      <c r="ET625" s="1846"/>
      <c r="EU625" s="1846"/>
      <c r="EV625" s="1846"/>
      <c r="EW625" s="1846" t="e">
        <f t="shared" si="28"/>
        <v>#VALUE!</v>
      </c>
      <c r="EX625" s="1846"/>
      <c r="EY625" s="1846"/>
      <c r="EZ625" s="1846"/>
      <c r="FA625" s="1846"/>
    </row>
    <row r="626" spans="1:157" ht="12.9" customHeight="1">
      <c r="B626" s="52" t="s">
        <v>590</v>
      </c>
      <c r="C626" s="1703" t="s">
        <v>2719</v>
      </c>
      <c r="D626" s="1704"/>
      <c r="E626" s="1704"/>
      <c r="F626" s="1704"/>
      <c r="G626" s="1704"/>
      <c r="H626" s="1704"/>
      <c r="I626" s="1704"/>
      <c r="J626" s="1704"/>
      <c r="K626" s="1704"/>
      <c r="L626" s="1704"/>
      <c r="M626" s="1847" t="s">
        <v>2544</v>
      </c>
      <c r="N626" s="1847"/>
      <c r="O626" s="1847"/>
      <c r="P626" s="1847"/>
      <c r="Q626" s="1848">
        <v>660</v>
      </c>
      <c r="R626" s="1546"/>
      <c r="S626" s="1849"/>
      <c r="T626" s="1848"/>
      <c r="U626" s="1546"/>
      <c r="V626" s="1849"/>
      <c r="W626" s="1593">
        <v>0.03</v>
      </c>
      <c r="X626" s="1594"/>
      <c r="Y626" s="1595"/>
      <c r="Z626" s="1705" t="s">
        <v>466</v>
      </c>
      <c r="AA626" s="1706"/>
      <c r="AB626" s="1707"/>
      <c r="AC626" s="1429">
        <v>4</v>
      </c>
      <c r="AD626" s="1430"/>
      <c r="AE626" s="1431"/>
      <c r="AF626" s="1578"/>
      <c r="AG626" s="1579"/>
      <c r="AH626" s="1579"/>
      <c r="AI626" s="1579"/>
      <c r="AJ626" s="1580"/>
      <c r="AK626" s="1596"/>
      <c r="AL626" s="1597"/>
      <c r="AM626" s="1597"/>
      <c r="AN626" s="1598"/>
      <c r="AO626" s="1599">
        <v>453552</v>
      </c>
      <c r="AP626" s="1600"/>
      <c r="AQ626" s="1600"/>
      <c r="AR626" s="1600"/>
      <c r="AS626" s="1601"/>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7">
        <f>IF(J758="SRO/Studio",O758,0)</f>
        <v>0</v>
      </c>
      <c r="BO626" s="1508"/>
      <c r="BP626" s="1508"/>
      <c r="BQ626" s="1508"/>
      <c r="BR626" s="1509"/>
      <c r="BS626" s="1395">
        <f>IF(J758="1 Bedroom",O758,0)</f>
        <v>1</v>
      </c>
      <c r="BT626" s="1395"/>
      <c r="BU626" s="1395"/>
      <c r="BV626" s="1395"/>
      <c r="BW626" s="1395"/>
      <c r="BX626" s="1395">
        <f>IF(J758="2 Bedrooms",O758,0)</f>
        <v>0</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6" t="e">
        <f t="shared" si="23"/>
        <v>#VALUE!</v>
      </c>
      <c r="DY626" s="1846"/>
      <c r="DZ626" s="1846"/>
      <c r="EA626" s="1846"/>
      <c r="EB626" s="1846"/>
      <c r="EC626" s="1846">
        <f t="shared" si="24"/>
        <v>256.66666666666669</v>
      </c>
      <c r="ED626" s="1846"/>
      <c r="EE626" s="1846"/>
      <c r="EF626" s="1846"/>
      <c r="EG626" s="1846"/>
      <c r="EH626" s="1846" t="e">
        <f t="shared" si="25"/>
        <v>#VALUE!</v>
      </c>
      <c r="EI626" s="1846"/>
      <c r="EJ626" s="1846"/>
      <c r="EK626" s="1846"/>
      <c r="EL626" s="1846"/>
      <c r="EM626" s="1846" t="e">
        <f t="shared" si="26"/>
        <v>#VALUE!</v>
      </c>
      <c r="EN626" s="1846"/>
      <c r="EO626" s="1846"/>
      <c r="EP626" s="1846"/>
      <c r="EQ626" s="1846"/>
      <c r="ER626" s="1846" t="e">
        <f t="shared" si="27"/>
        <v>#VALUE!</v>
      </c>
      <c r="ES626" s="1846"/>
      <c r="ET626" s="1846"/>
      <c r="EU626" s="1846"/>
      <c r="EV626" s="1846"/>
      <c r="EW626" s="1846" t="e">
        <f t="shared" si="28"/>
        <v>#VALUE!</v>
      </c>
      <c r="EX626" s="1846"/>
      <c r="EY626" s="1846"/>
      <c r="EZ626" s="1846"/>
      <c r="FA626" s="1846"/>
    </row>
    <row r="627" spans="1:157" ht="12.9" customHeight="1">
      <c r="B627" s="52" t="s">
        <v>787</v>
      </c>
      <c r="C627" s="1703" t="s">
        <v>2720</v>
      </c>
      <c r="D627" s="1704"/>
      <c r="E627" s="1704"/>
      <c r="F627" s="1704"/>
      <c r="G627" s="1704"/>
      <c r="H627" s="1704"/>
      <c r="I627" s="1704"/>
      <c r="J627" s="1704"/>
      <c r="K627" s="1704"/>
      <c r="L627" s="1704"/>
      <c r="M627" s="1847" t="s">
        <v>2544</v>
      </c>
      <c r="N627" s="1847"/>
      <c r="O627" s="1847"/>
      <c r="P627" s="1847"/>
      <c r="Q627" s="1848">
        <v>660</v>
      </c>
      <c r="R627" s="1546"/>
      <c r="S627" s="1849"/>
      <c r="T627" s="1848"/>
      <c r="U627" s="1546"/>
      <c r="V627" s="1849"/>
      <c r="W627" s="1593">
        <v>0.03</v>
      </c>
      <c r="X627" s="1594"/>
      <c r="Y627" s="1595"/>
      <c r="Z627" s="1705" t="s">
        <v>466</v>
      </c>
      <c r="AA627" s="1706"/>
      <c r="AB627" s="1707"/>
      <c r="AC627" s="1429">
        <v>5</v>
      </c>
      <c r="AD627" s="1430"/>
      <c r="AE627" s="1431"/>
      <c r="AF627" s="1578"/>
      <c r="AG627" s="1579"/>
      <c r="AH627" s="1579"/>
      <c r="AI627" s="1579"/>
      <c r="AJ627" s="1580"/>
      <c r="AK627" s="1596"/>
      <c r="AL627" s="1597"/>
      <c r="AM627" s="1597"/>
      <c r="AN627" s="1598"/>
      <c r="AO627" s="1599">
        <v>237270</v>
      </c>
      <c r="AP627" s="1600"/>
      <c r="AQ627" s="1600"/>
      <c r="AR627" s="1600"/>
      <c r="AS627" s="1601"/>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07">
        <f>IF(J759="SRO/Studio",O759,0)</f>
        <v>0</v>
      </c>
      <c r="BO627" s="1508"/>
      <c r="BP627" s="1508"/>
      <c r="BQ627" s="1508"/>
      <c r="BR627" s="1509"/>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6" t="e">
        <f t="shared" si="23"/>
        <v>#VALUE!</v>
      </c>
      <c r="DY627" s="1846"/>
      <c r="DZ627" s="1846"/>
      <c r="EA627" s="1846"/>
      <c r="EB627" s="1846"/>
      <c r="EC627" s="1846">
        <f t="shared" si="24"/>
        <v>306.39080459770116</v>
      </c>
      <c r="ED627" s="1846"/>
      <c r="EE627" s="1846"/>
      <c r="EF627" s="1846"/>
      <c r="EG627" s="1846"/>
      <c r="EH627" s="1846" t="e">
        <f t="shared" si="25"/>
        <v>#VALUE!</v>
      </c>
      <c r="EI627" s="1846"/>
      <c r="EJ627" s="1846"/>
      <c r="EK627" s="1846"/>
      <c r="EL627" s="1846"/>
      <c r="EM627" s="1846" t="e">
        <f t="shared" si="26"/>
        <v>#VALUE!</v>
      </c>
      <c r="EN627" s="1846"/>
      <c r="EO627" s="1846"/>
      <c r="EP627" s="1846"/>
      <c r="EQ627" s="1846"/>
      <c r="ER627" s="1846" t="e">
        <f t="shared" si="27"/>
        <v>#VALUE!</v>
      </c>
      <c r="ES627" s="1846"/>
      <c r="ET627" s="1846"/>
      <c r="EU627" s="1846"/>
      <c r="EV627" s="1846"/>
      <c r="EW627" s="1846" t="e">
        <f t="shared" si="28"/>
        <v>#VALUE!</v>
      </c>
      <c r="EX627" s="1846"/>
      <c r="EY627" s="1846"/>
      <c r="EZ627" s="1846"/>
      <c r="FA627" s="1846"/>
    </row>
    <row r="628" spans="1:157" ht="12.9" customHeight="1">
      <c r="B628" s="52" t="s">
        <v>593</v>
      </c>
      <c r="C628" s="1703" t="s">
        <v>2761</v>
      </c>
      <c r="D628" s="1704"/>
      <c r="E628" s="1704"/>
      <c r="F628" s="1704"/>
      <c r="G628" s="1704"/>
      <c r="H628" s="1704"/>
      <c r="I628" s="1704"/>
      <c r="J628" s="1704"/>
      <c r="K628" s="1704"/>
      <c r="L628" s="1704"/>
      <c r="M628" s="1847" t="s">
        <v>2544</v>
      </c>
      <c r="N628" s="1847"/>
      <c r="O628" s="1847"/>
      <c r="P628" s="1847"/>
      <c r="Q628" s="1848">
        <v>660</v>
      </c>
      <c r="R628" s="1546"/>
      <c r="S628" s="1849"/>
      <c r="T628" s="1848"/>
      <c r="U628" s="1546"/>
      <c r="V628" s="1849"/>
      <c r="W628" s="1593">
        <v>0.03</v>
      </c>
      <c r="X628" s="1594"/>
      <c r="Y628" s="1595"/>
      <c r="Z628" s="1705" t="s">
        <v>466</v>
      </c>
      <c r="AA628" s="1706"/>
      <c r="AB628" s="1707"/>
      <c r="AC628" s="1429">
        <v>6</v>
      </c>
      <c r="AD628" s="1430"/>
      <c r="AE628" s="1431"/>
      <c r="AF628" s="1578"/>
      <c r="AG628" s="1579"/>
      <c r="AH628" s="1579"/>
      <c r="AI628" s="1579"/>
      <c r="AJ628" s="1580"/>
      <c r="AK628" s="1596"/>
      <c r="AL628" s="1597"/>
      <c r="AM628" s="1597"/>
      <c r="AN628" s="1598"/>
      <c r="AO628" s="1599">
        <v>1000000</v>
      </c>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7">
        <f>IF(J760="SRO/Studio",O760,0)</f>
        <v>0</v>
      </c>
      <c r="BO628" s="1508"/>
      <c r="BP628" s="1508"/>
      <c r="BQ628" s="1508"/>
      <c r="BR628" s="1509"/>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6" t="e">
        <f t="shared" si="23"/>
        <v>#VALUE!</v>
      </c>
      <c r="DY628" s="1846"/>
      <c r="DZ628" s="1846"/>
      <c r="EA628" s="1846"/>
      <c r="EB628" s="1846"/>
      <c r="EC628" s="1846" t="e">
        <f t="shared" si="24"/>
        <v>#VALUE!</v>
      </c>
      <c r="ED628" s="1846"/>
      <c r="EE628" s="1846"/>
      <c r="EF628" s="1846"/>
      <c r="EG628" s="1846"/>
      <c r="EH628" s="1846">
        <f t="shared" si="25"/>
        <v>45</v>
      </c>
      <c r="EI628" s="1846"/>
      <c r="EJ628" s="1846"/>
      <c r="EK628" s="1846"/>
      <c r="EL628" s="1846"/>
      <c r="EM628" s="1846" t="e">
        <f t="shared" si="26"/>
        <v>#VALUE!</v>
      </c>
      <c r="EN628" s="1846"/>
      <c r="EO628" s="1846"/>
      <c r="EP628" s="1846"/>
      <c r="EQ628" s="1846"/>
      <c r="ER628" s="1846" t="e">
        <f t="shared" si="27"/>
        <v>#VALUE!</v>
      </c>
      <c r="ES628" s="1846"/>
      <c r="ET628" s="1846"/>
      <c r="EU628" s="1846"/>
      <c r="EV628" s="1846"/>
      <c r="EW628" s="1846" t="e">
        <f t="shared" si="28"/>
        <v>#VALUE!</v>
      </c>
      <c r="EX628" s="1846"/>
      <c r="EY628" s="1846"/>
      <c r="EZ628" s="1846"/>
      <c r="FA628" s="1846"/>
    </row>
    <row r="629" spans="1:157" ht="12.9" customHeight="1">
      <c r="B629" s="52" t="s">
        <v>464</v>
      </c>
      <c r="C629" s="1703" t="s">
        <v>2734</v>
      </c>
      <c r="D629" s="1704"/>
      <c r="E629" s="1704"/>
      <c r="F629" s="1704"/>
      <c r="G629" s="1704"/>
      <c r="H629" s="1704"/>
      <c r="I629" s="1704"/>
      <c r="J629" s="1704"/>
      <c r="K629" s="1704"/>
      <c r="L629" s="1704"/>
      <c r="M629" s="1847" t="s">
        <v>2545</v>
      </c>
      <c r="N629" s="1847"/>
      <c r="O629" s="1847"/>
      <c r="P629" s="1847"/>
      <c r="Q629" s="1848">
        <v>660</v>
      </c>
      <c r="R629" s="1546"/>
      <c r="S629" s="1849"/>
      <c r="T629" s="1848"/>
      <c r="U629" s="1546"/>
      <c r="V629" s="1849"/>
      <c r="W629" s="1593">
        <v>0.03</v>
      </c>
      <c r="X629" s="1594"/>
      <c r="Y629" s="1595"/>
      <c r="Z629" s="1705" t="s">
        <v>466</v>
      </c>
      <c r="AA629" s="1706"/>
      <c r="AB629" s="1707"/>
      <c r="AC629" s="1429">
        <v>7</v>
      </c>
      <c r="AD629" s="1430"/>
      <c r="AE629" s="1431"/>
      <c r="AF629" s="1578"/>
      <c r="AG629" s="1579"/>
      <c r="AH629" s="1579"/>
      <c r="AI629" s="1579"/>
      <c r="AJ629" s="1580"/>
      <c r="AK629" s="1596"/>
      <c r="AL629" s="1597"/>
      <c r="AM629" s="1597"/>
      <c r="AN629" s="1598"/>
      <c r="AO629" s="1599">
        <v>2320000</v>
      </c>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7">
        <f>IF(J761="SRO/Studio",O761,0)</f>
        <v>0</v>
      </c>
      <c r="BO629" s="1508"/>
      <c r="BP629" s="1508"/>
      <c r="BQ629" s="1508"/>
      <c r="BR629" s="1509"/>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6" t="e">
        <f t="shared" si="23"/>
        <v>#VALUE!</v>
      </c>
      <c r="DY629" s="1846"/>
      <c r="DZ629" s="1846"/>
      <c r="EA629" s="1846"/>
      <c r="EB629" s="1846"/>
      <c r="EC629" s="1846" t="e">
        <f t="shared" si="24"/>
        <v>#VALUE!</v>
      </c>
      <c r="ED629" s="1846"/>
      <c r="EE629" s="1846"/>
      <c r="EF629" s="1846"/>
      <c r="EG629" s="1846"/>
      <c r="EH629" s="1846">
        <f t="shared" si="25"/>
        <v>36</v>
      </c>
      <c r="EI629" s="1846"/>
      <c r="EJ629" s="1846"/>
      <c r="EK629" s="1846"/>
      <c r="EL629" s="1846"/>
      <c r="EM629" s="1846" t="e">
        <f t="shared" si="26"/>
        <v>#VALUE!</v>
      </c>
      <c r="EN629" s="1846"/>
      <c r="EO629" s="1846"/>
      <c r="EP629" s="1846"/>
      <c r="EQ629" s="1846"/>
      <c r="ER629" s="1846" t="e">
        <f t="shared" si="27"/>
        <v>#VALUE!</v>
      </c>
      <c r="ES629" s="1846"/>
      <c r="ET629" s="1846"/>
      <c r="EU629" s="1846"/>
      <c r="EV629" s="1846"/>
      <c r="EW629" s="1846" t="e">
        <f t="shared" si="28"/>
        <v>#VALUE!</v>
      </c>
      <c r="EX629" s="1846"/>
      <c r="EY629" s="1846"/>
      <c r="EZ629" s="1846"/>
      <c r="FA629" s="1846"/>
    </row>
    <row r="630" spans="1:157" ht="12.9" customHeight="1">
      <c r="B630" s="52" t="s">
        <v>465</v>
      </c>
      <c r="C630" s="1703" t="s">
        <v>2722</v>
      </c>
      <c r="D630" s="1704"/>
      <c r="E630" s="1704"/>
      <c r="F630" s="1704"/>
      <c r="G630" s="1704"/>
      <c r="H630" s="1704"/>
      <c r="I630" s="1704"/>
      <c r="J630" s="1704"/>
      <c r="K630" s="1704"/>
      <c r="L630" s="1704"/>
      <c r="M630" s="1847" t="s">
        <v>2544</v>
      </c>
      <c r="N630" s="1847"/>
      <c r="O630" s="1847"/>
      <c r="P630" s="1847"/>
      <c r="Q630" s="1848">
        <v>660</v>
      </c>
      <c r="R630" s="1546"/>
      <c r="S630" s="1849"/>
      <c r="T630" s="1848"/>
      <c r="U630" s="1546"/>
      <c r="V630" s="1849"/>
      <c r="W630" s="1593"/>
      <c r="X630" s="1594"/>
      <c r="Y630" s="1595"/>
      <c r="Z630" s="1705" t="s">
        <v>467</v>
      </c>
      <c r="AA630" s="1706"/>
      <c r="AB630" s="1707"/>
      <c r="AC630" s="1429">
        <v>8</v>
      </c>
      <c r="AD630" s="1430"/>
      <c r="AE630" s="1431"/>
      <c r="AF630" s="1578"/>
      <c r="AG630" s="1579"/>
      <c r="AH630" s="1579"/>
      <c r="AI630" s="1579"/>
      <c r="AJ630" s="1580"/>
      <c r="AK630" s="1596"/>
      <c r="AL630" s="1597"/>
      <c r="AM630" s="1597"/>
      <c r="AN630" s="1598"/>
      <c r="AO630" s="1599">
        <v>1224388</v>
      </c>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6">
        <f>SUM(BN626:BR629)</f>
        <v>0</v>
      </c>
      <c r="BO630" s="1510"/>
      <c r="BP630" s="1510"/>
      <c r="BQ630" s="1510"/>
      <c r="BR630" s="1497"/>
      <c r="BS630" s="1697">
        <f>SUM(BS626:BW629)</f>
        <v>1</v>
      </c>
      <c r="BT630" s="1698"/>
      <c r="BU630" s="1698"/>
      <c r="BV630" s="1698"/>
      <c r="BW630" s="1699"/>
      <c r="BX630" s="1697">
        <f>SUM(BX626:CB629)</f>
        <v>0</v>
      </c>
      <c r="BY630" s="1698"/>
      <c r="BZ630" s="1698"/>
      <c r="CA630" s="1698"/>
      <c r="CB630" s="1699"/>
      <c r="CC630" s="1697">
        <f>SUM(CC626:CG629)</f>
        <v>0</v>
      </c>
      <c r="CD630" s="1698"/>
      <c r="CE630" s="1698"/>
      <c r="CF630" s="1698"/>
      <c r="CG630" s="1699"/>
      <c r="CH630" s="1697">
        <f>SUM(CH626:CL629)</f>
        <v>0</v>
      </c>
      <c r="CI630" s="1698"/>
      <c r="CJ630" s="1698"/>
      <c r="CK630" s="1698"/>
      <c r="CL630" s="1699"/>
      <c r="CM630" s="1697">
        <f>SUM(CM626:CQ629)</f>
        <v>0</v>
      </c>
      <c r="CN630" s="1698"/>
      <c r="CO630" s="1698"/>
      <c r="CP630" s="1698"/>
      <c r="CQ630" s="1699"/>
      <c r="CS630" s="897">
        <f>BN630+BS630+BX630+CC630+CH630+CM630</f>
        <v>1</v>
      </c>
      <c r="CT630" s="57" t="s">
        <v>2123</v>
      </c>
      <c r="CU630" s="3"/>
      <c r="CV630" s="3"/>
      <c r="CW630" s="3"/>
      <c r="CX630" s="3"/>
      <c r="CY630" s="3"/>
      <c r="CZ630" s="3"/>
      <c r="DA630" s="3"/>
      <c r="DB630" s="3"/>
      <c r="DC630" s="3"/>
      <c r="DD630" s="3"/>
      <c r="DE630" s="3"/>
      <c r="DF630" s="3"/>
      <c r="DX630" s="1846" t="e">
        <f t="shared" si="23"/>
        <v>#VALUE!</v>
      </c>
      <c r="DY630" s="1846"/>
      <c r="DZ630" s="1846"/>
      <c r="EA630" s="1846"/>
      <c r="EB630" s="1846"/>
      <c r="EC630" s="1846" t="e">
        <f t="shared" si="24"/>
        <v>#VALUE!</v>
      </c>
      <c r="ED630" s="1846"/>
      <c r="EE630" s="1846"/>
      <c r="EF630" s="1846"/>
      <c r="EG630" s="1846"/>
      <c r="EH630" s="1846">
        <f t="shared" si="25"/>
        <v>305.59090909090912</v>
      </c>
      <c r="EI630" s="1846"/>
      <c r="EJ630" s="1846"/>
      <c r="EK630" s="1846"/>
      <c r="EL630" s="1846"/>
      <c r="EM630" s="1846" t="e">
        <f t="shared" si="26"/>
        <v>#VALUE!</v>
      </c>
      <c r="EN630" s="1846"/>
      <c r="EO630" s="1846"/>
      <c r="EP630" s="1846"/>
      <c r="EQ630" s="1846"/>
      <c r="ER630" s="1846" t="e">
        <f t="shared" si="27"/>
        <v>#VALUE!</v>
      </c>
      <c r="ES630" s="1846"/>
      <c r="ET630" s="1846"/>
      <c r="EU630" s="1846"/>
      <c r="EV630" s="1846"/>
      <c r="EW630" s="1846" t="e">
        <f t="shared" si="28"/>
        <v>#VALUE!</v>
      </c>
      <c r="EX630" s="1846"/>
      <c r="EY630" s="1846"/>
      <c r="EZ630" s="1846"/>
      <c r="FA630" s="1846"/>
    </row>
    <row r="631" spans="1:157" ht="12.9" customHeight="1">
      <c r="B631" s="52" t="s">
        <v>470</v>
      </c>
      <c r="C631" s="1703" t="s">
        <v>2762</v>
      </c>
      <c r="D631" s="1704"/>
      <c r="E631" s="1704"/>
      <c r="F631" s="1704"/>
      <c r="G631" s="1704"/>
      <c r="H631" s="1704"/>
      <c r="I631" s="1704"/>
      <c r="J631" s="1704"/>
      <c r="K631" s="1704"/>
      <c r="L631" s="1704"/>
      <c r="M631" s="1847" t="s">
        <v>2540</v>
      </c>
      <c r="N631" s="1847"/>
      <c r="O631" s="1847"/>
      <c r="P631" s="1847"/>
      <c r="Q631" s="1848"/>
      <c r="R631" s="1546"/>
      <c r="S631" s="1849"/>
      <c r="T631" s="1848"/>
      <c r="U631" s="1546"/>
      <c r="V631" s="1849"/>
      <c r="W631" s="1593"/>
      <c r="X631" s="1594"/>
      <c r="Y631" s="1595"/>
      <c r="Z631" s="1705" t="s">
        <v>1327</v>
      </c>
      <c r="AA631" s="1706"/>
      <c r="AB631" s="1707"/>
      <c r="AC631" s="1429"/>
      <c r="AD631" s="1430"/>
      <c r="AE631" s="1431"/>
      <c r="AF631" s="1578"/>
      <c r="AG631" s="1579"/>
      <c r="AH631" s="1579"/>
      <c r="AI631" s="1579"/>
      <c r="AJ631" s="1580"/>
      <c r="AK631" s="1596"/>
      <c r="AL631" s="1597"/>
      <c r="AM631" s="1597"/>
      <c r="AN631" s="1598"/>
      <c r="AO631" s="1599">
        <v>1513600</v>
      </c>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846" t="e">
        <f t="shared" si="23"/>
        <v>#VALUE!</v>
      </c>
      <c r="DY631" s="1846"/>
      <c r="DZ631" s="1846"/>
      <c r="EA631" s="1846"/>
      <c r="EB631" s="1846"/>
      <c r="EC631" s="1846" t="e">
        <f t="shared" si="24"/>
        <v>#VALUE!</v>
      </c>
      <c r="ED631" s="1846"/>
      <c r="EE631" s="1846"/>
      <c r="EF631" s="1846"/>
      <c r="EG631" s="1846"/>
      <c r="EH631" s="1846">
        <f t="shared" si="25"/>
        <v>356.61363636363637</v>
      </c>
      <c r="EI631" s="1846"/>
      <c r="EJ631" s="1846"/>
      <c r="EK631" s="1846"/>
      <c r="EL631" s="1846"/>
      <c r="EM631" s="1846" t="e">
        <f t="shared" si="26"/>
        <v>#VALUE!</v>
      </c>
      <c r="EN631" s="1846"/>
      <c r="EO631" s="1846"/>
      <c r="EP631" s="1846"/>
      <c r="EQ631" s="1846"/>
      <c r="ER631" s="1846" t="e">
        <f t="shared" si="27"/>
        <v>#VALUE!</v>
      </c>
      <c r="ES631" s="1846"/>
      <c r="ET631" s="1846"/>
      <c r="EU631" s="1846"/>
      <c r="EV631" s="1846"/>
      <c r="EW631" s="1846" t="e">
        <f t="shared" si="28"/>
        <v>#VALUE!</v>
      </c>
      <c r="EX631" s="1846"/>
      <c r="EY631" s="1846"/>
      <c r="EZ631" s="1846"/>
      <c r="FA631" s="1846"/>
    </row>
    <row r="632" spans="1:157" ht="12.9" customHeight="1">
      <c r="B632" s="52" t="s">
        <v>655</v>
      </c>
      <c r="C632" s="1703" t="s">
        <v>2661</v>
      </c>
      <c r="D632" s="1704"/>
      <c r="E632" s="1704"/>
      <c r="F632" s="1704"/>
      <c r="G632" s="1704"/>
      <c r="H632" s="1704"/>
      <c r="I632" s="1704"/>
      <c r="J632" s="1704"/>
      <c r="K632" s="1704"/>
      <c r="L632" s="1704"/>
      <c r="M632" s="1847" t="s">
        <v>2535</v>
      </c>
      <c r="N632" s="1847"/>
      <c r="O632" s="1847"/>
      <c r="P632" s="1847"/>
      <c r="Q632" s="1848"/>
      <c r="R632" s="1546"/>
      <c r="S632" s="1849"/>
      <c r="T632" s="1848"/>
      <c r="U632" s="1546"/>
      <c r="V632" s="1849"/>
      <c r="W632" s="1593"/>
      <c r="X632" s="1594"/>
      <c r="Y632" s="1595"/>
      <c r="Z632" s="1705" t="s">
        <v>1327</v>
      </c>
      <c r="AA632" s="1706"/>
      <c r="AB632" s="1707"/>
      <c r="AC632" s="1429"/>
      <c r="AD632" s="1430"/>
      <c r="AE632" s="1431"/>
      <c r="AF632" s="1578"/>
      <c r="AG632" s="1579"/>
      <c r="AH632" s="1579"/>
      <c r="AI632" s="1579"/>
      <c r="AJ632" s="1580"/>
      <c r="AK632" s="1596"/>
      <c r="AL632" s="1597"/>
      <c r="AM632" s="1597"/>
      <c r="AN632" s="1598"/>
      <c r="AO632" s="1599">
        <v>1418520</v>
      </c>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6" t="e">
        <f t="shared" si="23"/>
        <v>#VALUE!</v>
      </c>
      <c r="DY632" s="1846"/>
      <c r="DZ632" s="1846"/>
      <c r="EA632" s="1846"/>
      <c r="EB632" s="1846"/>
      <c r="EC632" s="1846" t="e">
        <f t="shared" si="24"/>
        <v>#VALUE!</v>
      </c>
      <c r="ED632" s="1846"/>
      <c r="EE632" s="1846"/>
      <c r="EF632" s="1846"/>
      <c r="EG632" s="1846"/>
      <c r="EH632" s="1846" t="e">
        <f t="shared" si="25"/>
        <v>#VALUE!</v>
      </c>
      <c r="EI632" s="1846"/>
      <c r="EJ632" s="1846"/>
      <c r="EK632" s="1846"/>
      <c r="EL632" s="1846"/>
      <c r="EM632" s="1846">
        <f t="shared" si="26"/>
        <v>50.454545454545453</v>
      </c>
      <c r="EN632" s="1846"/>
      <c r="EO632" s="1846"/>
      <c r="EP632" s="1846"/>
      <c r="EQ632" s="1846"/>
      <c r="ER632" s="1846" t="e">
        <f t="shared" si="27"/>
        <v>#VALUE!</v>
      </c>
      <c r="ES632" s="1846"/>
      <c r="ET632" s="1846"/>
      <c r="EU632" s="1846"/>
      <c r="EV632" s="1846"/>
      <c r="EW632" s="1846" t="e">
        <f t="shared" si="28"/>
        <v>#VALUE!</v>
      </c>
      <c r="EX632" s="1846"/>
      <c r="EY632" s="1846"/>
      <c r="EZ632" s="1846"/>
      <c r="FA632" s="1846"/>
    </row>
    <row r="633" spans="1:157" ht="12.9" customHeight="1">
      <c r="B633" s="52" t="s">
        <v>363</v>
      </c>
      <c r="C633" s="1704"/>
      <c r="D633" s="1704"/>
      <c r="E633" s="1704"/>
      <c r="F633" s="1704"/>
      <c r="G633" s="1704"/>
      <c r="H633" s="1704"/>
      <c r="I633" s="1704"/>
      <c r="J633" s="1704"/>
      <c r="K633" s="1704"/>
      <c r="L633" s="1704"/>
      <c r="M633" s="1847" t="s">
        <v>1327</v>
      </c>
      <c r="N633" s="1847"/>
      <c r="O633" s="1847"/>
      <c r="P633" s="1847"/>
      <c r="Q633" s="1848"/>
      <c r="R633" s="1546"/>
      <c r="S633" s="1849"/>
      <c r="T633" s="1848"/>
      <c r="U633" s="1546"/>
      <c r="V633" s="1849"/>
      <c r="W633" s="1593"/>
      <c r="X633" s="1594"/>
      <c r="Y633" s="1595"/>
      <c r="Z633" s="1705" t="s">
        <v>1327</v>
      </c>
      <c r="AA633" s="1706"/>
      <c r="AB633" s="1707"/>
      <c r="AC633" s="1429"/>
      <c r="AD633" s="1430"/>
      <c r="AE633" s="1431"/>
      <c r="AF633" s="1578"/>
      <c r="AG633" s="1579"/>
      <c r="AH633" s="1579"/>
      <c r="AI633" s="1579"/>
      <c r="AJ633" s="1580"/>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6" t="e">
        <f t="shared" si="23"/>
        <v>#VALUE!</v>
      </c>
      <c r="DY633" s="1846"/>
      <c r="DZ633" s="1846"/>
      <c r="EA633" s="1846"/>
      <c r="EB633" s="1846"/>
      <c r="EC633" s="1846" t="e">
        <f t="shared" si="24"/>
        <v>#VALUE!</v>
      </c>
      <c r="ED633" s="1846"/>
      <c r="EE633" s="1846"/>
      <c r="EF633" s="1846"/>
      <c r="EG633" s="1846"/>
      <c r="EH633" s="1846" t="e">
        <f t="shared" si="25"/>
        <v>#VALUE!</v>
      </c>
      <c r="EI633" s="1846"/>
      <c r="EJ633" s="1846"/>
      <c r="EK633" s="1846"/>
      <c r="EL633" s="1846"/>
      <c r="EM633" s="1846">
        <f t="shared" si="26"/>
        <v>40.363636363636367</v>
      </c>
      <c r="EN633" s="1846"/>
      <c r="EO633" s="1846"/>
      <c r="EP633" s="1846"/>
      <c r="EQ633" s="1846"/>
      <c r="ER633" s="1846" t="e">
        <f t="shared" si="27"/>
        <v>#VALUE!</v>
      </c>
      <c r="ES633" s="1846"/>
      <c r="ET633" s="1846"/>
      <c r="EU633" s="1846"/>
      <c r="EV633" s="1846"/>
      <c r="EW633" s="1846" t="e">
        <f t="shared" si="28"/>
        <v>#VALUE!</v>
      </c>
      <c r="EX633" s="1846"/>
      <c r="EY633" s="1846"/>
      <c r="EZ633" s="1846"/>
      <c r="FA633" s="1846"/>
    </row>
    <row r="634" spans="1:157" ht="12.9" customHeight="1">
      <c r="B634" s="52" t="s">
        <v>364</v>
      </c>
      <c r="C634" s="1704"/>
      <c r="D634" s="1704"/>
      <c r="E634" s="1704"/>
      <c r="F634" s="1704"/>
      <c r="G634" s="1704"/>
      <c r="H634" s="1704"/>
      <c r="I634" s="1704"/>
      <c r="J634" s="1704"/>
      <c r="K634" s="1704"/>
      <c r="L634" s="1704"/>
      <c r="M634" s="1847" t="s">
        <v>1327</v>
      </c>
      <c r="N634" s="1847"/>
      <c r="O634" s="1847"/>
      <c r="P634" s="1847"/>
      <c r="Q634" s="1848"/>
      <c r="R634" s="1546"/>
      <c r="S634" s="1849"/>
      <c r="T634" s="1848"/>
      <c r="U634" s="1546"/>
      <c r="V634" s="1849"/>
      <c r="W634" s="1593"/>
      <c r="X634" s="1594"/>
      <c r="Y634" s="1595"/>
      <c r="Z634" s="1705" t="s">
        <v>1327</v>
      </c>
      <c r="AA634" s="1706"/>
      <c r="AB634" s="1707"/>
      <c r="AC634" s="1429"/>
      <c r="AD634" s="1430"/>
      <c r="AE634" s="1431"/>
      <c r="AF634" s="1578"/>
      <c r="AG634" s="1579"/>
      <c r="AH634" s="1579"/>
      <c r="AI634" s="1579"/>
      <c r="AJ634" s="1580"/>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7">
        <f t="shared" ref="BN634:BN643" si="30">IF(J772="SRO/Studio",O772,0)</f>
        <v>0</v>
      </c>
      <c r="BO634" s="1508"/>
      <c r="BP634" s="1508"/>
      <c r="BQ634" s="1508"/>
      <c r="BR634" s="1509"/>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7">
        <f>IF(AND(BN634&gt;=1,AH772&gt;=0.1,AH772&lt;=1),O772,0)</f>
        <v>0</v>
      </c>
      <c r="CT634" s="1508"/>
      <c r="CU634" s="1508"/>
      <c r="CV634" s="1508"/>
      <c r="CW634" s="1509"/>
      <c r="CX634" s="1507">
        <f>IF(AND(BS634&gt;=1,AH772&gt;=0.1,AH772&lt;=1),O772,0)</f>
        <v>0</v>
      </c>
      <c r="CY634" s="1508"/>
      <c r="CZ634" s="1508"/>
      <c r="DA634" s="1508"/>
      <c r="DB634" s="1509"/>
      <c r="DC634" s="1507">
        <f>IF(AND(BX634&gt;=1,AH772&gt;=0.1,AH772&lt;=1),O772,0)</f>
        <v>0</v>
      </c>
      <c r="DD634" s="1508"/>
      <c r="DE634" s="1508"/>
      <c r="DF634" s="1508"/>
      <c r="DG634" s="1509"/>
      <c r="DH634" s="1507">
        <f>IF(AND(CC634&gt;=1,AH772&gt;=0.1,AH772&lt;=1),O772,0)</f>
        <v>0</v>
      </c>
      <c r="DI634" s="1508"/>
      <c r="DJ634" s="1508"/>
      <c r="DK634" s="1508"/>
      <c r="DL634" s="1509"/>
      <c r="DM634" s="1507">
        <f>IF(AND(CH634&gt;=1,AH772&gt;=0.1,AH772&lt;=1),O772,0)</f>
        <v>0</v>
      </c>
      <c r="DN634" s="1508"/>
      <c r="DO634" s="1508"/>
      <c r="DP634" s="1508"/>
      <c r="DQ634" s="1509"/>
      <c r="DR634" s="1507">
        <f>IF(AND(CM634&gt;=1,AH772&gt;=0.1,AH772&lt;=1),O772,0)</f>
        <v>0</v>
      </c>
      <c r="DS634" s="1508"/>
      <c r="DT634" s="1508"/>
      <c r="DU634" s="1508"/>
      <c r="DV634" s="1509"/>
      <c r="DX634" s="1846" t="e">
        <f t="shared" si="23"/>
        <v>#VALUE!</v>
      </c>
      <c r="DY634" s="1846"/>
      <c r="DZ634" s="1846"/>
      <c r="EA634" s="1846"/>
      <c r="EB634" s="1846"/>
      <c r="EC634" s="1846" t="e">
        <f t="shared" si="24"/>
        <v>#VALUE!</v>
      </c>
      <c r="ED634" s="1846"/>
      <c r="EE634" s="1846"/>
      <c r="EF634" s="1846"/>
      <c r="EG634" s="1846"/>
      <c r="EH634" s="1846" t="e">
        <f t="shared" si="25"/>
        <v>#VALUE!</v>
      </c>
      <c r="EI634" s="1846"/>
      <c r="EJ634" s="1846"/>
      <c r="EK634" s="1846"/>
      <c r="EL634" s="1846"/>
      <c r="EM634" s="1846">
        <f t="shared" si="26"/>
        <v>347.72727272727275</v>
      </c>
      <c r="EN634" s="1846"/>
      <c r="EO634" s="1846"/>
      <c r="EP634" s="1846"/>
      <c r="EQ634" s="1846"/>
      <c r="ER634" s="1846" t="e">
        <f t="shared" si="27"/>
        <v>#VALUE!</v>
      </c>
      <c r="ES634" s="1846"/>
      <c r="ET634" s="1846"/>
      <c r="EU634" s="1846"/>
      <c r="EV634" s="1846"/>
      <c r="EW634" s="1846" t="e">
        <f t="shared" si="28"/>
        <v>#VALUE!</v>
      </c>
      <c r="EX634" s="1846"/>
      <c r="EY634" s="1846"/>
      <c r="EZ634" s="1846"/>
      <c r="FA634" s="1846"/>
    </row>
    <row r="635" spans="1:157" ht="12.9"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34592330</v>
      </c>
      <c r="AP635" s="1515"/>
      <c r="AQ635" s="1515"/>
      <c r="AR635" s="1515"/>
      <c r="AS635" s="1516"/>
      <c r="AZ635" s="3"/>
      <c r="BA635" s="3"/>
      <c r="BB635" s="3"/>
      <c r="BC635" s="3"/>
      <c r="BD635" s="3"/>
      <c r="BE635" s="3"/>
      <c r="BF635" s="3"/>
      <c r="BG635" s="3"/>
      <c r="BH635" s="3"/>
      <c r="BI635" s="3"/>
      <c r="BJ635" s="3"/>
      <c r="BK635" s="3"/>
      <c r="BL635" s="3"/>
      <c r="BM635" s="3"/>
      <c r="BN635" s="1507">
        <f t="shared" si="30"/>
        <v>0</v>
      </c>
      <c r="BO635" s="1508"/>
      <c r="BP635" s="1508"/>
      <c r="BQ635" s="1508"/>
      <c r="BR635" s="1509"/>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7">
        <f t="shared" ref="CS635:CS643" si="36">IF(AND(BN635&gt;=1,AH773&gt;=0.1,AH773&lt;=1),O773,0)</f>
        <v>0</v>
      </c>
      <c r="CT635" s="1508"/>
      <c r="CU635" s="1508"/>
      <c r="CV635" s="1508"/>
      <c r="CW635" s="1509"/>
      <c r="CX635" s="1507">
        <f t="shared" ref="CX635:CX643" si="37">IF(AND(BS635&gt;=1,AH773&gt;=0.1,AH773&lt;=1),O773,0)</f>
        <v>0</v>
      </c>
      <c r="CY635" s="1508"/>
      <c r="CZ635" s="1508"/>
      <c r="DA635" s="1508"/>
      <c r="DB635" s="1509"/>
      <c r="DC635" s="1507">
        <f t="shared" ref="DC635:DC643" si="38">IF(AND(BX635&gt;=1,AH773&gt;=0.1,AH773&lt;=1),O773,0)</f>
        <v>0</v>
      </c>
      <c r="DD635" s="1508"/>
      <c r="DE635" s="1508"/>
      <c r="DF635" s="1508"/>
      <c r="DG635" s="1509"/>
      <c r="DH635" s="1507">
        <f t="shared" ref="DH635:DH643" si="39">IF(AND(CC635&gt;=1,AH773&gt;=0.1,AH773&lt;=1),O773,0)</f>
        <v>0</v>
      </c>
      <c r="DI635" s="1508"/>
      <c r="DJ635" s="1508"/>
      <c r="DK635" s="1508"/>
      <c r="DL635" s="1509"/>
      <c r="DM635" s="1507">
        <f t="shared" ref="DM635:DM643" si="40">IF(AND(CH635&gt;=1,AH773&gt;=0.1,AH773&lt;=1),O773,0)</f>
        <v>0</v>
      </c>
      <c r="DN635" s="1508"/>
      <c r="DO635" s="1508"/>
      <c r="DP635" s="1508"/>
      <c r="DQ635" s="1509"/>
      <c r="DR635" s="1507">
        <f t="shared" ref="DR635:DR643" si="41">IF(AND(CM635&gt;=1,AH773&gt;=0.1,AH773&lt;=1),O773,0)</f>
        <v>0</v>
      </c>
      <c r="DS635" s="1508"/>
      <c r="DT635" s="1508"/>
      <c r="DU635" s="1508"/>
      <c r="DV635" s="1509"/>
      <c r="DX635" s="1846" t="e">
        <f t="shared" si="23"/>
        <v>#VALUE!</v>
      </c>
      <c r="DY635" s="1846"/>
      <c r="DZ635" s="1846"/>
      <c r="EA635" s="1846"/>
      <c r="EB635" s="1846"/>
      <c r="EC635" s="1846" t="e">
        <f t="shared" si="24"/>
        <v>#VALUE!</v>
      </c>
      <c r="ED635" s="1846"/>
      <c r="EE635" s="1846"/>
      <c r="EF635" s="1846"/>
      <c r="EG635" s="1846"/>
      <c r="EH635" s="1846" t="e">
        <f t="shared" si="25"/>
        <v>#VALUE!</v>
      </c>
      <c r="EI635" s="1846"/>
      <c r="EJ635" s="1846"/>
      <c r="EK635" s="1846"/>
      <c r="EL635" s="1846"/>
      <c r="EM635" s="1846">
        <f t="shared" si="26"/>
        <v>406.45454545454544</v>
      </c>
      <c r="EN635" s="1846"/>
      <c r="EO635" s="1846"/>
      <c r="EP635" s="1846"/>
      <c r="EQ635" s="1846"/>
      <c r="ER635" s="1846" t="e">
        <f t="shared" si="27"/>
        <v>#VALUE!</v>
      </c>
      <c r="ES635" s="1846"/>
      <c r="ET635" s="1846"/>
      <c r="EU635" s="1846"/>
      <c r="EV635" s="1846"/>
      <c r="EW635" s="1846" t="e">
        <f t="shared" si="28"/>
        <v>#VALUE!</v>
      </c>
      <c r="EX635" s="1846"/>
      <c r="EY635" s="1846"/>
      <c r="EZ635" s="1846"/>
      <c r="FA635" s="1846"/>
    </row>
    <row r="636" spans="1:157" ht="12.9" customHeight="1">
      <c r="B636" s="1517" t="s">
        <v>268</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9">
        <v>41657670</v>
      </c>
      <c r="AP636" s="1600"/>
      <c r="AQ636" s="1600"/>
      <c r="AR636" s="1600"/>
      <c r="AS636" s="1601"/>
      <c r="AZ636" s="34"/>
      <c r="BA636" s="34"/>
      <c r="BB636" s="34"/>
      <c r="BC636" s="34"/>
      <c r="BD636" s="34"/>
      <c r="BE636" s="34"/>
      <c r="BF636" s="34"/>
      <c r="BG636" s="34"/>
      <c r="BH636" s="34"/>
      <c r="BI636" s="34"/>
      <c r="BJ636" s="34"/>
      <c r="BK636" s="34"/>
      <c r="BL636" s="34"/>
      <c r="BM636" s="34"/>
      <c r="BN636" s="1507">
        <f t="shared" si="30"/>
        <v>0</v>
      </c>
      <c r="BO636" s="1508"/>
      <c r="BP636" s="1508"/>
      <c r="BQ636" s="1508"/>
      <c r="BR636" s="1509"/>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7">
        <f t="shared" si="36"/>
        <v>0</v>
      </c>
      <c r="CT636" s="1508"/>
      <c r="CU636" s="1508"/>
      <c r="CV636" s="1508"/>
      <c r="CW636" s="1509"/>
      <c r="CX636" s="1507">
        <f t="shared" si="37"/>
        <v>0</v>
      </c>
      <c r="CY636" s="1508"/>
      <c r="CZ636" s="1508"/>
      <c r="DA636" s="1508"/>
      <c r="DB636" s="1509"/>
      <c r="DC636" s="1507">
        <f t="shared" si="38"/>
        <v>0</v>
      </c>
      <c r="DD636" s="1508"/>
      <c r="DE636" s="1508"/>
      <c r="DF636" s="1508"/>
      <c r="DG636" s="1509"/>
      <c r="DH636" s="1507">
        <f t="shared" si="39"/>
        <v>0</v>
      </c>
      <c r="DI636" s="1508"/>
      <c r="DJ636" s="1508"/>
      <c r="DK636" s="1508"/>
      <c r="DL636" s="1509"/>
      <c r="DM636" s="1507">
        <f t="shared" si="40"/>
        <v>0</v>
      </c>
      <c r="DN636" s="1508"/>
      <c r="DO636" s="1508"/>
      <c r="DP636" s="1508"/>
      <c r="DQ636" s="1509"/>
      <c r="DR636" s="1507">
        <f t="shared" si="41"/>
        <v>0</v>
      </c>
      <c r="DS636" s="1508"/>
      <c r="DT636" s="1508"/>
      <c r="DU636" s="1508"/>
      <c r="DV636" s="1509"/>
      <c r="DX636" s="1846" t="e">
        <f t="shared" si="23"/>
        <v>#VALUE!</v>
      </c>
      <c r="DY636" s="1846"/>
      <c r="DZ636" s="1846"/>
      <c r="EA636" s="1846"/>
      <c r="EB636" s="1846"/>
      <c r="EC636" s="1846" t="e">
        <f t="shared" si="24"/>
        <v>#VALUE!</v>
      </c>
      <c r="ED636" s="1846"/>
      <c r="EE636" s="1846"/>
      <c r="EF636" s="1846"/>
      <c r="EG636" s="1846"/>
      <c r="EH636" s="1846" t="e">
        <f t="shared" si="25"/>
        <v>#VALUE!</v>
      </c>
      <c r="EI636" s="1846"/>
      <c r="EJ636" s="1846"/>
      <c r="EK636" s="1846"/>
      <c r="EL636" s="1846"/>
      <c r="EM636" s="1846" t="e">
        <f t="shared" si="26"/>
        <v>#VALUE!</v>
      </c>
      <c r="EN636" s="1846"/>
      <c r="EO636" s="1846"/>
      <c r="EP636" s="1846"/>
      <c r="EQ636" s="1846"/>
      <c r="ER636" s="1846" t="e">
        <f t="shared" si="27"/>
        <v>#VALUE!</v>
      </c>
      <c r="ES636" s="1846"/>
      <c r="ET636" s="1846"/>
      <c r="EU636" s="1846"/>
      <c r="EV636" s="1846"/>
      <c r="EW636" s="1846" t="e">
        <f t="shared" si="28"/>
        <v>#VALUE!</v>
      </c>
      <c r="EX636" s="1846"/>
      <c r="EY636" s="1846"/>
      <c r="EZ636" s="1846"/>
      <c r="FA636" s="1846"/>
    </row>
    <row r="637" spans="1:157" ht="12.9" customHeight="1">
      <c r="B637" s="1576" t="s">
        <v>269</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7"/>
      <c r="AO637" s="1514">
        <f>AO635+AO636</f>
        <v>76250000</v>
      </c>
      <c r="AP637" s="1515"/>
      <c r="AQ637" s="1515"/>
      <c r="AR637" s="1515"/>
      <c r="AS637" s="1516"/>
      <c r="AZ637" s="34"/>
      <c r="BA637" s="34"/>
      <c r="BB637" s="34"/>
      <c r="BC637" s="34"/>
      <c r="BD637" s="34"/>
      <c r="BE637" s="34"/>
      <c r="BF637" s="34"/>
      <c r="BG637" s="34"/>
      <c r="BH637" s="34"/>
      <c r="BI637" s="34"/>
      <c r="BJ637" s="34"/>
      <c r="BK637" s="34"/>
      <c r="BL637" s="34"/>
      <c r="BM637" s="34"/>
      <c r="BN637" s="1507">
        <f t="shared" si="30"/>
        <v>0</v>
      </c>
      <c r="BO637" s="1508"/>
      <c r="BP637" s="1508"/>
      <c r="BQ637" s="1508"/>
      <c r="BR637" s="1509"/>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7">
        <f t="shared" si="36"/>
        <v>0</v>
      </c>
      <c r="CT637" s="1508"/>
      <c r="CU637" s="1508"/>
      <c r="CV637" s="1508"/>
      <c r="CW637" s="1509"/>
      <c r="CX637" s="1507">
        <f t="shared" si="37"/>
        <v>0</v>
      </c>
      <c r="CY637" s="1508"/>
      <c r="CZ637" s="1508"/>
      <c r="DA637" s="1508"/>
      <c r="DB637" s="1509"/>
      <c r="DC637" s="1507">
        <f t="shared" si="38"/>
        <v>0</v>
      </c>
      <c r="DD637" s="1508"/>
      <c r="DE637" s="1508"/>
      <c r="DF637" s="1508"/>
      <c r="DG637" s="1509"/>
      <c r="DH637" s="1507">
        <f t="shared" si="39"/>
        <v>0</v>
      </c>
      <c r="DI637" s="1508"/>
      <c r="DJ637" s="1508"/>
      <c r="DK637" s="1508"/>
      <c r="DL637" s="1509"/>
      <c r="DM637" s="1507">
        <f t="shared" si="40"/>
        <v>0</v>
      </c>
      <c r="DN637" s="1508"/>
      <c r="DO637" s="1508"/>
      <c r="DP637" s="1508"/>
      <c r="DQ637" s="1509"/>
      <c r="DR637" s="1507">
        <f t="shared" si="41"/>
        <v>0</v>
      </c>
      <c r="DS637" s="1508"/>
      <c r="DT637" s="1508"/>
      <c r="DU637" s="1508"/>
      <c r="DV637" s="1509"/>
      <c r="DX637" s="1846" t="e">
        <f t="shared" si="23"/>
        <v>#VALUE!</v>
      </c>
      <c r="DY637" s="1846"/>
      <c r="DZ637" s="1846"/>
      <c r="EA637" s="1846"/>
      <c r="EB637" s="1846"/>
      <c r="EC637" s="1846" t="e">
        <f t="shared" si="24"/>
        <v>#VALUE!</v>
      </c>
      <c r="ED637" s="1846"/>
      <c r="EE637" s="1846"/>
      <c r="EF637" s="1846"/>
      <c r="EG637" s="1846"/>
      <c r="EH637" s="1846" t="e">
        <f t="shared" si="25"/>
        <v>#VALUE!</v>
      </c>
      <c r="EI637" s="1846"/>
      <c r="EJ637" s="1846"/>
      <c r="EK637" s="1846"/>
      <c r="EL637" s="1846"/>
      <c r="EM637" s="1846" t="e">
        <f t="shared" si="26"/>
        <v>#VALUE!</v>
      </c>
      <c r="EN637" s="1846"/>
      <c r="EO637" s="1846"/>
      <c r="EP637" s="1846"/>
      <c r="EQ637" s="1846"/>
      <c r="ER637" s="1846" t="e">
        <f t="shared" si="27"/>
        <v>#VALUE!</v>
      </c>
      <c r="ES637" s="1846"/>
      <c r="ET637" s="1846"/>
      <c r="EU637" s="1846"/>
      <c r="EV637" s="1846"/>
      <c r="EW637" s="1846" t="e">
        <f t="shared" si="28"/>
        <v>#VALUE!</v>
      </c>
      <c r="EX637" s="1846"/>
      <c r="EY637" s="1846"/>
      <c r="EZ637" s="1846"/>
      <c r="FA637" s="1846"/>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7">
        <f t="shared" si="30"/>
        <v>0</v>
      </c>
      <c r="BO638" s="1508"/>
      <c r="BP638" s="1508"/>
      <c r="BQ638" s="1508"/>
      <c r="BR638" s="1509"/>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7">
        <f t="shared" si="36"/>
        <v>0</v>
      </c>
      <c r="CT638" s="1508"/>
      <c r="CU638" s="1508"/>
      <c r="CV638" s="1508"/>
      <c r="CW638" s="1509"/>
      <c r="CX638" s="1507">
        <f t="shared" si="37"/>
        <v>0</v>
      </c>
      <c r="CY638" s="1508"/>
      <c r="CZ638" s="1508"/>
      <c r="DA638" s="1508"/>
      <c r="DB638" s="1509"/>
      <c r="DC638" s="1507">
        <f t="shared" si="38"/>
        <v>0</v>
      </c>
      <c r="DD638" s="1508"/>
      <c r="DE638" s="1508"/>
      <c r="DF638" s="1508"/>
      <c r="DG638" s="1509"/>
      <c r="DH638" s="1507">
        <f t="shared" si="39"/>
        <v>0</v>
      </c>
      <c r="DI638" s="1508"/>
      <c r="DJ638" s="1508"/>
      <c r="DK638" s="1508"/>
      <c r="DL638" s="1509"/>
      <c r="DM638" s="1507">
        <f t="shared" si="40"/>
        <v>0</v>
      </c>
      <c r="DN638" s="1508"/>
      <c r="DO638" s="1508"/>
      <c r="DP638" s="1508"/>
      <c r="DQ638" s="1509"/>
      <c r="DR638" s="1507">
        <f t="shared" si="41"/>
        <v>0</v>
      </c>
      <c r="DS638" s="1508"/>
      <c r="DT638" s="1508"/>
      <c r="DU638" s="1508"/>
      <c r="DV638" s="1509"/>
      <c r="DX638" s="1846" t="e">
        <f t="shared" si="23"/>
        <v>#VALUE!</v>
      </c>
      <c r="DY638" s="1846"/>
      <c r="DZ638" s="1846"/>
      <c r="EA638" s="1846"/>
      <c r="EB638" s="1846"/>
      <c r="EC638" s="1846" t="e">
        <f t="shared" si="24"/>
        <v>#VALUE!</v>
      </c>
      <c r="ED638" s="1846"/>
      <c r="EE638" s="1846"/>
      <c r="EF638" s="1846"/>
      <c r="EG638" s="1846"/>
      <c r="EH638" s="1846" t="e">
        <f t="shared" si="25"/>
        <v>#VALUE!</v>
      </c>
      <c r="EI638" s="1846"/>
      <c r="EJ638" s="1846"/>
      <c r="EK638" s="1846"/>
      <c r="EL638" s="1846"/>
      <c r="EM638" s="1846" t="e">
        <f t="shared" si="26"/>
        <v>#VALUE!</v>
      </c>
      <c r="EN638" s="1846"/>
      <c r="EO638" s="1846"/>
      <c r="EP638" s="1846"/>
      <c r="EQ638" s="1846"/>
      <c r="ER638" s="1846" t="e">
        <f t="shared" si="27"/>
        <v>#VALUE!</v>
      </c>
      <c r="ES638" s="1846"/>
      <c r="ET638" s="1846"/>
      <c r="EU638" s="1846"/>
      <c r="EV638" s="1846"/>
      <c r="EW638" s="1846" t="e">
        <f t="shared" si="28"/>
        <v>#VALUE!</v>
      </c>
      <c r="EX638" s="1846"/>
      <c r="EY638" s="1846"/>
      <c r="EZ638" s="1846"/>
      <c r="FA638" s="1846"/>
    </row>
    <row r="639" spans="1:157" ht="12.9" customHeight="1">
      <c r="A639" s="55" t="s">
        <v>113</v>
      </c>
      <c r="B639" t="s">
        <v>472</v>
      </c>
      <c r="G639" s="1512" t="str">
        <f>C623</f>
        <v>Pacific Western Bank</v>
      </c>
      <c r="H639" s="1512"/>
      <c r="I639" s="1512"/>
      <c r="J639" s="1512"/>
      <c r="K639" s="1512"/>
      <c r="L639" s="1512"/>
      <c r="M639" s="1512"/>
      <c r="N639" s="1512"/>
      <c r="O639" s="1512"/>
      <c r="P639" s="1512"/>
      <c r="Q639" s="1512"/>
      <c r="R639" s="1512"/>
      <c r="S639" s="8"/>
      <c r="T639" s="55" t="s">
        <v>114</v>
      </c>
      <c r="U639" t="s">
        <v>472</v>
      </c>
      <c r="Z639" s="1512" t="str">
        <f>C624</f>
        <v>HCD AHSC AHD Loan</v>
      </c>
      <c r="AA639" s="1512"/>
      <c r="AB639" s="1512"/>
      <c r="AC639" s="1512"/>
      <c r="AD639" s="1512"/>
      <c r="AE639" s="1512"/>
      <c r="AF639" s="1512"/>
      <c r="AG639" s="1512"/>
      <c r="AH639" s="1512"/>
      <c r="AI639" s="1512"/>
      <c r="AJ639" s="1512"/>
      <c r="AK639" s="1512"/>
      <c r="AZ639" s="34"/>
      <c r="BA639" s="34"/>
      <c r="BB639" s="34"/>
      <c r="BC639" s="34"/>
      <c r="BD639" s="34"/>
      <c r="BE639" s="34"/>
      <c r="BF639" s="34"/>
      <c r="BG639" s="34"/>
      <c r="BH639" s="34"/>
      <c r="BI639" s="34"/>
      <c r="BJ639" s="34"/>
      <c r="BK639" s="34"/>
      <c r="BL639" s="34"/>
      <c r="BM639" s="34"/>
      <c r="BN639" s="1507">
        <f t="shared" si="30"/>
        <v>0</v>
      </c>
      <c r="BO639" s="1508"/>
      <c r="BP639" s="1508"/>
      <c r="BQ639" s="1508"/>
      <c r="BR639" s="1509"/>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7">
        <f t="shared" si="36"/>
        <v>0</v>
      </c>
      <c r="CT639" s="1508"/>
      <c r="CU639" s="1508"/>
      <c r="CV639" s="1508"/>
      <c r="CW639" s="1509"/>
      <c r="CX639" s="1507">
        <f t="shared" si="37"/>
        <v>0</v>
      </c>
      <c r="CY639" s="1508"/>
      <c r="CZ639" s="1508"/>
      <c r="DA639" s="1508"/>
      <c r="DB639" s="1509"/>
      <c r="DC639" s="1507">
        <f t="shared" si="38"/>
        <v>0</v>
      </c>
      <c r="DD639" s="1508"/>
      <c r="DE639" s="1508"/>
      <c r="DF639" s="1508"/>
      <c r="DG639" s="1509"/>
      <c r="DH639" s="1507">
        <f t="shared" si="39"/>
        <v>0</v>
      </c>
      <c r="DI639" s="1508"/>
      <c r="DJ639" s="1508"/>
      <c r="DK639" s="1508"/>
      <c r="DL639" s="1509"/>
      <c r="DM639" s="1507">
        <f t="shared" si="40"/>
        <v>0</v>
      </c>
      <c r="DN639" s="1508"/>
      <c r="DO639" s="1508"/>
      <c r="DP639" s="1508"/>
      <c r="DQ639" s="1509"/>
      <c r="DR639" s="1507">
        <f t="shared" si="41"/>
        <v>0</v>
      </c>
      <c r="DS639" s="1508"/>
      <c r="DT639" s="1508"/>
      <c r="DU639" s="1508"/>
      <c r="DV639" s="1509"/>
      <c r="DX639" s="1846" t="e">
        <f t="shared" si="23"/>
        <v>#VALUE!</v>
      </c>
      <c r="DY639" s="1846"/>
      <c r="DZ639" s="1846"/>
      <c r="EA639" s="1846"/>
      <c r="EB639" s="1846"/>
      <c r="EC639" s="1846" t="e">
        <f t="shared" si="24"/>
        <v>#VALUE!</v>
      </c>
      <c r="ED639" s="1846"/>
      <c r="EE639" s="1846"/>
      <c r="EF639" s="1846"/>
      <c r="EG639" s="1846"/>
      <c r="EH639" s="1846" t="e">
        <f t="shared" si="25"/>
        <v>#VALUE!</v>
      </c>
      <c r="EI639" s="1846"/>
      <c r="EJ639" s="1846"/>
      <c r="EK639" s="1846"/>
      <c r="EL639" s="1846"/>
      <c r="EM639" s="1846" t="e">
        <f t="shared" si="26"/>
        <v>#VALUE!</v>
      </c>
      <c r="EN639" s="1846"/>
      <c r="EO639" s="1846"/>
      <c r="EP639" s="1846"/>
      <c r="EQ639" s="1846"/>
      <c r="ER639" s="1846" t="e">
        <f t="shared" si="27"/>
        <v>#VALUE!</v>
      </c>
      <c r="ES639" s="1846"/>
      <c r="ET639" s="1846"/>
      <c r="EU639" s="1846"/>
      <c r="EV639" s="1846"/>
      <c r="EW639" s="1846" t="e">
        <f t="shared" si="28"/>
        <v>#VALUE!</v>
      </c>
      <c r="EX639" s="1846"/>
      <c r="EY639" s="1846"/>
      <c r="EZ639" s="1846"/>
      <c r="FA639" s="1846"/>
    </row>
    <row r="640" spans="1:157" ht="12.9" customHeight="1">
      <c r="A640" s="22"/>
      <c r="B640" t="s">
        <v>86</v>
      </c>
      <c r="G640" s="1435" t="s">
        <v>2739</v>
      </c>
      <c r="H640" s="1394"/>
      <c r="I640" s="1394"/>
      <c r="J640" s="1394"/>
      <c r="K640" s="1394"/>
      <c r="L640" s="1394"/>
      <c r="M640" s="1394"/>
      <c r="N640" s="1394"/>
      <c r="O640" s="1394"/>
      <c r="P640" s="1394"/>
      <c r="Q640" s="1394"/>
      <c r="R640" s="1394"/>
      <c r="S640" s="8"/>
      <c r="T640" s="22"/>
      <c r="U640" t="s">
        <v>86</v>
      </c>
      <c r="Z640" s="1435" t="s">
        <v>2764</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7">
        <f t="shared" si="30"/>
        <v>0</v>
      </c>
      <c r="BO640" s="1508"/>
      <c r="BP640" s="1508"/>
      <c r="BQ640" s="1508"/>
      <c r="BR640" s="1509"/>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7">
        <f t="shared" si="36"/>
        <v>0</v>
      </c>
      <c r="CT640" s="1508"/>
      <c r="CU640" s="1508"/>
      <c r="CV640" s="1508"/>
      <c r="CW640" s="1509"/>
      <c r="CX640" s="1507">
        <f t="shared" si="37"/>
        <v>0</v>
      </c>
      <c r="CY640" s="1508"/>
      <c r="CZ640" s="1508"/>
      <c r="DA640" s="1508"/>
      <c r="DB640" s="1509"/>
      <c r="DC640" s="1507">
        <f t="shared" si="38"/>
        <v>0</v>
      </c>
      <c r="DD640" s="1508"/>
      <c r="DE640" s="1508"/>
      <c r="DF640" s="1508"/>
      <c r="DG640" s="1509"/>
      <c r="DH640" s="1507">
        <f t="shared" si="39"/>
        <v>0</v>
      </c>
      <c r="DI640" s="1508"/>
      <c r="DJ640" s="1508"/>
      <c r="DK640" s="1508"/>
      <c r="DL640" s="1509"/>
      <c r="DM640" s="1507">
        <f t="shared" si="40"/>
        <v>0</v>
      </c>
      <c r="DN640" s="1508"/>
      <c r="DO640" s="1508"/>
      <c r="DP640" s="1508"/>
      <c r="DQ640" s="1509"/>
      <c r="DR640" s="1507">
        <f t="shared" si="41"/>
        <v>0</v>
      </c>
      <c r="DS640" s="1508"/>
      <c r="DT640" s="1508"/>
      <c r="DU640" s="1508"/>
      <c r="DV640" s="1509"/>
      <c r="DX640" s="1846" t="e">
        <f t="shared" si="23"/>
        <v>#VALUE!</v>
      </c>
      <c r="DY640" s="1846"/>
      <c r="DZ640" s="1846"/>
      <c r="EA640" s="1846"/>
      <c r="EB640" s="1846"/>
      <c r="EC640" s="1846" t="e">
        <f t="shared" si="24"/>
        <v>#VALUE!</v>
      </c>
      <c r="ED640" s="1846"/>
      <c r="EE640" s="1846"/>
      <c r="EF640" s="1846"/>
      <c r="EG640" s="1846"/>
      <c r="EH640" s="1846" t="e">
        <f t="shared" si="25"/>
        <v>#VALUE!</v>
      </c>
      <c r="EI640" s="1846"/>
      <c r="EJ640" s="1846"/>
      <c r="EK640" s="1846"/>
      <c r="EL640" s="1846"/>
      <c r="EM640" s="1846" t="e">
        <f t="shared" si="26"/>
        <v>#VALUE!</v>
      </c>
      <c r="EN640" s="1846"/>
      <c r="EO640" s="1846"/>
      <c r="EP640" s="1846"/>
      <c r="EQ640" s="1846"/>
      <c r="ER640" s="1846" t="e">
        <f t="shared" si="27"/>
        <v>#VALUE!</v>
      </c>
      <c r="ES640" s="1846"/>
      <c r="ET640" s="1846"/>
      <c r="EU640" s="1846"/>
      <c r="EV640" s="1846"/>
      <c r="EW640" s="1846" t="e">
        <f t="shared" si="28"/>
        <v>#VALUE!</v>
      </c>
      <c r="EX640" s="1846"/>
      <c r="EY640" s="1846"/>
      <c r="EZ640" s="1846"/>
      <c r="FA640" s="1846"/>
    </row>
    <row r="641" spans="1:157" ht="12.9" customHeight="1">
      <c r="A641" s="22"/>
      <c r="B641" t="s">
        <v>589</v>
      </c>
      <c r="G641" s="1435" t="s">
        <v>204</v>
      </c>
      <c r="H641" s="1394"/>
      <c r="I641" s="1394"/>
      <c r="J641" s="1394"/>
      <c r="K641" s="1394"/>
      <c r="L641" s="1394"/>
      <c r="M641" s="1394"/>
      <c r="N641" s="1394"/>
      <c r="O641" s="1394"/>
      <c r="P641" s="1394"/>
      <c r="Q641" s="1394"/>
      <c r="R641" s="1394"/>
      <c r="T641" s="22"/>
      <c r="U641" t="s">
        <v>589</v>
      </c>
      <c r="Z641" s="1463"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7">
        <f t="shared" si="30"/>
        <v>0</v>
      </c>
      <c r="BO641" s="1508"/>
      <c r="BP641" s="1508"/>
      <c r="BQ641" s="1508"/>
      <c r="BR641" s="1509"/>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7">
        <f t="shared" si="36"/>
        <v>0</v>
      </c>
      <c r="CT641" s="1508"/>
      <c r="CU641" s="1508"/>
      <c r="CV641" s="1508"/>
      <c r="CW641" s="1509"/>
      <c r="CX641" s="1507">
        <f t="shared" si="37"/>
        <v>0</v>
      </c>
      <c r="CY641" s="1508"/>
      <c r="CZ641" s="1508"/>
      <c r="DA641" s="1508"/>
      <c r="DB641" s="1509"/>
      <c r="DC641" s="1507">
        <f t="shared" si="38"/>
        <v>0</v>
      </c>
      <c r="DD641" s="1508"/>
      <c r="DE641" s="1508"/>
      <c r="DF641" s="1508"/>
      <c r="DG641" s="1509"/>
      <c r="DH641" s="1507">
        <f t="shared" si="39"/>
        <v>0</v>
      </c>
      <c r="DI641" s="1508"/>
      <c r="DJ641" s="1508"/>
      <c r="DK641" s="1508"/>
      <c r="DL641" s="1509"/>
      <c r="DM641" s="1507">
        <f t="shared" si="40"/>
        <v>0</v>
      </c>
      <c r="DN641" s="1508"/>
      <c r="DO641" s="1508"/>
      <c r="DP641" s="1508"/>
      <c r="DQ641" s="1509"/>
      <c r="DR641" s="1507">
        <f t="shared" si="41"/>
        <v>0</v>
      </c>
      <c r="DS641" s="1508"/>
      <c r="DT641" s="1508"/>
      <c r="DU641" s="1508"/>
      <c r="DV641" s="1509"/>
      <c r="DX641" s="1846" t="e">
        <f t="shared" si="23"/>
        <v>#VALUE!</v>
      </c>
      <c r="DY641" s="1846"/>
      <c r="DZ641" s="1846"/>
      <c r="EA641" s="1846"/>
      <c r="EB641" s="1846"/>
      <c r="EC641" s="1846" t="e">
        <f t="shared" si="24"/>
        <v>#VALUE!</v>
      </c>
      <c r="ED641" s="1846"/>
      <c r="EE641" s="1846"/>
      <c r="EF641" s="1846"/>
      <c r="EG641" s="1846"/>
      <c r="EH641" s="1846" t="e">
        <f t="shared" si="25"/>
        <v>#VALUE!</v>
      </c>
      <c r="EI641" s="1846"/>
      <c r="EJ641" s="1846"/>
      <c r="EK641" s="1846"/>
      <c r="EL641" s="1846"/>
      <c r="EM641" s="1846" t="e">
        <f t="shared" si="26"/>
        <v>#VALUE!</v>
      </c>
      <c r="EN641" s="1846"/>
      <c r="EO641" s="1846"/>
      <c r="EP641" s="1846"/>
      <c r="EQ641" s="1846"/>
      <c r="ER641" s="1846" t="e">
        <f t="shared" si="27"/>
        <v>#VALUE!</v>
      </c>
      <c r="ES641" s="1846"/>
      <c r="ET641" s="1846"/>
      <c r="EU641" s="1846"/>
      <c r="EV641" s="1846"/>
      <c r="EW641" s="1846" t="e">
        <f t="shared" si="28"/>
        <v>#VALUE!</v>
      </c>
      <c r="EX641" s="1846"/>
      <c r="EY641" s="1846"/>
      <c r="EZ641" s="1846"/>
      <c r="FA641" s="1846"/>
    </row>
    <row r="642" spans="1:157" ht="12.9" customHeight="1">
      <c r="A642" s="22"/>
      <c r="B642" t="s">
        <v>17</v>
      </c>
      <c r="G642" s="1435" t="s">
        <v>2740</v>
      </c>
      <c r="H642" s="1394"/>
      <c r="I642" s="1394"/>
      <c r="J642" s="1394"/>
      <c r="K642" s="1394"/>
      <c r="L642" s="1394"/>
      <c r="M642" s="1394"/>
      <c r="N642" s="1394"/>
      <c r="O642" s="1394"/>
      <c r="P642" s="1394"/>
      <c r="Q642" s="1394"/>
      <c r="R642" s="1394"/>
      <c r="S642" s="8"/>
      <c r="T642" s="22"/>
      <c r="U642" t="s">
        <v>17</v>
      </c>
      <c r="Z642" s="1463" t="s">
        <v>2744</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7">
        <f t="shared" si="30"/>
        <v>0</v>
      </c>
      <c r="BO642" s="1508"/>
      <c r="BP642" s="1508"/>
      <c r="BQ642" s="1508"/>
      <c r="BR642" s="1509"/>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7">
        <f t="shared" si="36"/>
        <v>0</v>
      </c>
      <c r="CT642" s="1508"/>
      <c r="CU642" s="1508"/>
      <c r="CV642" s="1508"/>
      <c r="CW642" s="1509"/>
      <c r="CX642" s="1507">
        <f t="shared" si="37"/>
        <v>0</v>
      </c>
      <c r="CY642" s="1508"/>
      <c r="CZ642" s="1508"/>
      <c r="DA642" s="1508"/>
      <c r="DB642" s="1509"/>
      <c r="DC642" s="1507">
        <f t="shared" si="38"/>
        <v>0</v>
      </c>
      <c r="DD642" s="1508"/>
      <c r="DE642" s="1508"/>
      <c r="DF642" s="1508"/>
      <c r="DG642" s="1509"/>
      <c r="DH642" s="1507">
        <f t="shared" si="39"/>
        <v>0</v>
      </c>
      <c r="DI642" s="1508"/>
      <c r="DJ642" s="1508"/>
      <c r="DK642" s="1508"/>
      <c r="DL642" s="1509"/>
      <c r="DM642" s="1507">
        <f t="shared" si="40"/>
        <v>0</v>
      </c>
      <c r="DN642" s="1508"/>
      <c r="DO642" s="1508"/>
      <c r="DP642" s="1508"/>
      <c r="DQ642" s="1509"/>
      <c r="DR642" s="1507">
        <f t="shared" si="41"/>
        <v>0</v>
      </c>
      <c r="DS642" s="1508"/>
      <c r="DT642" s="1508"/>
      <c r="DU642" s="1508"/>
      <c r="DV642" s="1509"/>
      <c r="DX642" s="1846" t="e">
        <f t="shared" si="23"/>
        <v>#VALUE!</v>
      </c>
      <c r="DY642" s="1846"/>
      <c r="DZ642" s="1846"/>
      <c r="EA642" s="1846"/>
      <c r="EB642" s="1846"/>
      <c r="EC642" s="1846" t="e">
        <f t="shared" si="24"/>
        <v>#VALUE!</v>
      </c>
      <c r="ED642" s="1846"/>
      <c r="EE642" s="1846"/>
      <c r="EF642" s="1846"/>
      <c r="EG642" s="1846"/>
      <c r="EH642" s="1846" t="e">
        <f t="shared" si="25"/>
        <v>#VALUE!</v>
      </c>
      <c r="EI642" s="1846"/>
      <c r="EJ642" s="1846"/>
      <c r="EK642" s="1846"/>
      <c r="EL642" s="1846"/>
      <c r="EM642" s="1846" t="e">
        <f t="shared" si="26"/>
        <v>#VALUE!</v>
      </c>
      <c r="EN642" s="1846"/>
      <c r="EO642" s="1846"/>
      <c r="EP642" s="1846"/>
      <c r="EQ642" s="1846"/>
      <c r="ER642" s="1846" t="e">
        <f t="shared" si="27"/>
        <v>#VALUE!</v>
      </c>
      <c r="ES642" s="1846"/>
      <c r="ET642" s="1846"/>
      <c r="EU642" s="1846"/>
      <c r="EV642" s="1846"/>
      <c r="EW642" s="1846" t="e">
        <f t="shared" si="28"/>
        <v>#VALUE!</v>
      </c>
      <c r="EX642" s="1846"/>
      <c r="EY642" s="1846"/>
      <c r="EZ642" s="1846"/>
      <c r="FA642" s="1846"/>
    </row>
    <row r="643" spans="1:157" ht="12.9" customHeight="1">
      <c r="A643" s="22"/>
      <c r="B643" t="s">
        <v>317</v>
      </c>
      <c r="G643" s="1437">
        <v>8058048210</v>
      </c>
      <c r="H643" s="1437"/>
      <c r="I643" s="1437"/>
      <c r="J643" s="1437"/>
      <c r="K643" s="1437"/>
      <c r="L643" s="1437"/>
      <c r="O643" s="33" t="s">
        <v>207</v>
      </c>
      <c r="P643" s="1464"/>
      <c r="Q643" s="1464"/>
      <c r="R643" s="1464"/>
      <c r="S643" s="10"/>
      <c r="T643" s="22"/>
      <c r="U643" t="s">
        <v>317</v>
      </c>
      <c r="Z643" s="1437">
        <v>9162632771</v>
      </c>
      <c r="AA643" s="1437"/>
      <c r="AB643" s="1437"/>
      <c r="AC643" s="1437"/>
      <c r="AD643" s="1437"/>
      <c r="AE643" s="1437"/>
      <c r="AH643" s="33" t="s">
        <v>207</v>
      </c>
      <c r="AI643" s="1464"/>
      <c r="AJ643" s="1464"/>
      <c r="AK643" s="1464"/>
      <c r="AZ643" s="34"/>
      <c r="BA643" s="34"/>
      <c r="BB643" s="34"/>
      <c r="BC643" s="34"/>
      <c r="BD643" s="34"/>
      <c r="BE643" s="34"/>
      <c r="BF643" s="34"/>
      <c r="BG643" s="34"/>
      <c r="BH643" s="34"/>
      <c r="BI643" s="34"/>
      <c r="BJ643" s="34"/>
      <c r="BK643" s="34"/>
      <c r="BL643" s="34"/>
      <c r="BM643" s="34"/>
      <c r="BN643" s="1507">
        <f t="shared" si="30"/>
        <v>0</v>
      </c>
      <c r="BO643" s="1508"/>
      <c r="BP643" s="1508"/>
      <c r="BQ643" s="1508"/>
      <c r="BR643" s="1509"/>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7">
        <f t="shared" si="36"/>
        <v>0</v>
      </c>
      <c r="CT643" s="1508"/>
      <c r="CU643" s="1508"/>
      <c r="CV643" s="1508"/>
      <c r="CW643" s="1509"/>
      <c r="CX643" s="1507">
        <f t="shared" si="37"/>
        <v>0</v>
      </c>
      <c r="CY643" s="1508"/>
      <c r="CZ643" s="1508"/>
      <c r="DA643" s="1508"/>
      <c r="DB643" s="1509"/>
      <c r="DC643" s="1507">
        <f t="shared" si="38"/>
        <v>0</v>
      </c>
      <c r="DD643" s="1508"/>
      <c r="DE643" s="1508"/>
      <c r="DF643" s="1508"/>
      <c r="DG643" s="1509"/>
      <c r="DH643" s="1507">
        <f t="shared" si="39"/>
        <v>0</v>
      </c>
      <c r="DI643" s="1508"/>
      <c r="DJ643" s="1508"/>
      <c r="DK643" s="1508"/>
      <c r="DL643" s="1509"/>
      <c r="DM643" s="1507">
        <f t="shared" si="40"/>
        <v>0</v>
      </c>
      <c r="DN643" s="1508"/>
      <c r="DO643" s="1508"/>
      <c r="DP643" s="1508"/>
      <c r="DQ643" s="1509"/>
      <c r="DR643" s="1507">
        <f t="shared" si="41"/>
        <v>0</v>
      </c>
      <c r="DS643" s="1508"/>
      <c r="DT643" s="1508"/>
      <c r="DU643" s="1508"/>
      <c r="DV643" s="1509"/>
      <c r="DX643" s="1846" t="e">
        <f t="shared" si="23"/>
        <v>#VALUE!</v>
      </c>
      <c r="DY643" s="1846"/>
      <c r="DZ643" s="1846"/>
      <c r="EA643" s="1846"/>
      <c r="EB643" s="1846"/>
      <c r="EC643" s="1846" t="e">
        <f t="shared" si="24"/>
        <v>#VALUE!</v>
      </c>
      <c r="ED643" s="1846"/>
      <c r="EE643" s="1846"/>
      <c r="EF643" s="1846"/>
      <c r="EG643" s="1846"/>
      <c r="EH643" s="1846" t="e">
        <f t="shared" si="25"/>
        <v>#VALUE!</v>
      </c>
      <c r="EI643" s="1846"/>
      <c r="EJ643" s="1846"/>
      <c r="EK643" s="1846"/>
      <c r="EL643" s="1846"/>
      <c r="EM643" s="1846" t="e">
        <f t="shared" si="26"/>
        <v>#VALUE!</v>
      </c>
      <c r="EN643" s="1846"/>
      <c r="EO643" s="1846"/>
      <c r="EP643" s="1846"/>
      <c r="EQ643" s="1846"/>
      <c r="ER643" s="1846" t="e">
        <f t="shared" si="27"/>
        <v>#VALUE!</v>
      </c>
      <c r="ES643" s="1846"/>
      <c r="ET643" s="1846"/>
      <c r="EU643" s="1846"/>
      <c r="EV643" s="1846"/>
      <c r="EW643" s="1846" t="e">
        <f t="shared" si="28"/>
        <v>#VALUE!</v>
      </c>
      <c r="EX643" s="1846"/>
      <c r="EY643" s="1846"/>
      <c r="EZ643" s="1846"/>
      <c r="FA643" s="1846"/>
    </row>
    <row r="644" spans="1:157" ht="12.9" customHeight="1">
      <c r="A644" s="22"/>
      <c r="B644" t="s">
        <v>18</v>
      </c>
      <c r="H644" s="1435" t="s">
        <v>2763</v>
      </c>
      <c r="I644" s="1394"/>
      <c r="J644" s="1394"/>
      <c r="K644" s="1394"/>
      <c r="L644" s="1394"/>
      <c r="M644" s="1394"/>
      <c r="N644" s="1394"/>
      <c r="O644" s="1394"/>
      <c r="P644" s="1394"/>
      <c r="Q644" s="1394"/>
      <c r="R644" s="1394"/>
      <c r="S644" s="8"/>
      <c r="T644" s="22"/>
      <c r="U644" t="s">
        <v>18</v>
      </c>
      <c r="AA644" s="1435" t="s">
        <v>2765</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6">
        <f>SUM(BN634:BR643)</f>
        <v>0</v>
      </c>
      <c r="BO644" s="1510"/>
      <c r="BP644" s="1510"/>
      <c r="BQ644" s="1510"/>
      <c r="BR644" s="1497"/>
      <c r="BS644" s="1697">
        <f>SUM(BS634:BW643)</f>
        <v>0</v>
      </c>
      <c r="BT644" s="1698"/>
      <c r="BU644" s="1698"/>
      <c r="BV644" s="1698"/>
      <c r="BW644" s="1699"/>
      <c r="BX644" s="1697">
        <f>SUM(BX634:CB643)</f>
        <v>0</v>
      </c>
      <c r="BY644" s="1698"/>
      <c r="BZ644" s="1698"/>
      <c r="CA644" s="1698"/>
      <c r="CB644" s="1699"/>
      <c r="CC644" s="1697">
        <f>SUM(CC634:CG643)</f>
        <v>0</v>
      </c>
      <c r="CD644" s="1698"/>
      <c r="CE644" s="1698"/>
      <c r="CF644" s="1698"/>
      <c r="CG644" s="1699"/>
      <c r="CH644" s="1697">
        <f>SUM(CH634:CL643)</f>
        <v>0</v>
      </c>
      <c r="CI644" s="1698"/>
      <c r="CJ644" s="1698"/>
      <c r="CK644" s="1698"/>
      <c r="CL644" s="1699"/>
      <c r="CM644" s="1697">
        <f>SUM(CM634:CQ643)</f>
        <v>0</v>
      </c>
      <c r="CN644" s="1698"/>
      <c r="CO644" s="1698"/>
      <c r="CP644" s="1698"/>
      <c r="CQ644" s="1699"/>
      <c r="CR644" s="1049"/>
      <c r="CS644" s="1695">
        <f>SUM(CS634:CW643)</f>
        <v>0</v>
      </c>
      <c r="CT644" s="1695"/>
      <c r="CU644" s="1695"/>
      <c r="CV644" s="1695"/>
      <c r="CW644" s="1695"/>
      <c r="CX644" s="1695">
        <f>SUM(CX634:DB643)</f>
        <v>0</v>
      </c>
      <c r="CY644" s="1695"/>
      <c r="CZ644" s="1695"/>
      <c r="DA644" s="1695"/>
      <c r="DB644" s="1695"/>
      <c r="DC644" s="1695">
        <f>SUM(DC634:DG643)</f>
        <v>0</v>
      </c>
      <c r="DD644" s="1695"/>
      <c r="DE644" s="1695"/>
      <c r="DF644" s="1695"/>
      <c r="DG644" s="1695"/>
      <c r="DH644" s="1695">
        <f>SUM(DH634:DL643)</f>
        <v>0</v>
      </c>
      <c r="DI644" s="1695"/>
      <c r="DJ644" s="1695"/>
      <c r="DK644" s="1695"/>
      <c r="DL644" s="1695"/>
      <c r="DM644" s="1695">
        <f>SUM(DM634:DQ643)</f>
        <v>0</v>
      </c>
      <c r="DN644" s="1695"/>
      <c r="DO644" s="1695"/>
      <c r="DP644" s="1695"/>
      <c r="DQ644" s="1695"/>
      <c r="DR644" s="1695">
        <f>SUM(DR634:DV643)</f>
        <v>0</v>
      </c>
      <c r="DS644" s="1695"/>
      <c r="DT644" s="1695"/>
      <c r="DU644" s="1695"/>
      <c r="DV644" s="1695"/>
      <c r="DX644" s="1846" t="e">
        <f t="shared" si="23"/>
        <v>#VALUE!</v>
      </c>
      <c r="DY644" s="1846"/>
      <c r="DZ644" s="1846"/>
      <c r="EA644" s="1846"/>
      <c r="EB644" s="1846"/>
      <c r="EC644" s="1846" t="e">
        <f t="shared" si="24"/>
        <v>#VALUE!</v>
      </c>
      <c r="ED644" s="1846"/>
      <c r="EE644" s="1846"/>
      <c r="EF644" s="1846"/>
      <c r="EG644" s="1846"/>
      <c r="EH644" s="1846" t="e">
        <f t="shared" si="25"/>
        <v>#VALUE!</v>
      </c>
      <c r="EI644" s="1846"/>
      <c r="EJ644" s="1846"/>
      <c r="EK644" s="1846"/>
      <c r="EL644" s="1846"/>
      <c r="EM644" s="1846" t="e">
        <f t="shared" si="26"/>
        <v>#VALUE!</v>
      </c>
      <c r="EN644" s="1846"/>
      <c r="EO644" s="1846"/>
      <c r="EP644" s="1846"/>
      <c r="EQ644" s="1846"/>
      <c r="ER644" s="1846" t="e">
        <f t="shared" si="27"/>
        <v>#VALUE!</v>
      </c>
      <c r="ES644" s="1846"/>
      <c r="ET644" s="1846"/>
      <c r="EU644" s="1846"/>
      <c r="EV644" s="1846"/>
      <c r="EW644" s="1846" t="e">
        <f t="shared" si="28"/>
        <v>#VALUE!</v>
      </c>
      <c r="EX644" s="1846"/>
      <c r="EY644" s="1846"/>
      <c r="EZ644" s="1846"/>
      <c r="FA644" s="1846"/>
    </row>
    <row r="645" spans="1:157" ht="12.9"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6" t="e">
        <f t="shared" si="23"/>
        <v>#VALUE!</v>
      </c>
      <c r="DY645" s="1846"/>
      <c r="DZ645" s="1846"/>
      <c r="EA645" s="1846"/>
      <c r="EB645" s="1846"/>
      <c r="EC645" s="1846" t="e">
        <f t="shared" si="24"/>
        <v>#VALUE!</v>
      </c>
      <c r="ED645" s="1846"/>
      <c r="EE645" s="1846"/>
      <c r="EF645" s="1846"/>
      <c r="EG645" s="1846"/>
      <c r="EH645" s="1846" t="e">
        <f t="shared" si="25"/>
        <v>#VALUE!</v>
      </c>
      <c r="EI645" s="1846"/>
      <c r="EJ645" s="1846"/>
      <c r="EK645" s="1846"/>
      <c r="EL645" s="1846"/>
      <c r="EM645" s="1846" t="e">
        <f t="shared" si="26"/>
        <v>#VALUE!</v>
      </c>
      <c r="EN645" s="1846"/>
      <c r="EO645" s="1846"/>
      <c r="EP645" s="1846"/>
      <c r="EQ645" s="1846"/>
      <c r="ER645" s="1846" t="e">
        <f t="shared" si="27"/>
        <v>#VALUE!</v>
      </c>
      <c r="ES645" s="1846"/>
      <c r="ET645" s="1846"/>
      <c r="EU645" s="1846"/>
      <c r="EV645" s="1846"/>
      <c r="EW645" s="1846" t="e">
        <f t="shared" si="28"/>
        <v>#VALUE!</v>
      </c>
      <c r="EX645" s="1846"/>
      <c r="EY645" s="1846"/>
      <c r="EZ645" s="1846"/>
      <c r="FA645" s="1846"/>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6">
        <f>SUM(CS644:DV644)</f>
        <v>0</v>
      </c>
      <c r="DS646" s="1846"/>
      <c r="DT646" s="1846"/>
      <c r="DU646" s="1846"/>
      <c r="DV646" s="1846"/>
      <c r="DX646" s="1846" t="e">
        <f t="shared" si="23"/>
        <v>#VALUE!</v>
      </c>
      <c r="DY646" s="1846"/>
      <c r="DZ646" s="1846"/>
      <c r="EA646" s="1846"/>
      <c r="EB646" s="1846"/>
      <c r="EC646" s="1846" t="e">
        <f t="shared" si="24"/>
        <v>#VALUE!</v>
      </c>
      <c r="ED646" s="1846"/>
      <c r="EE646" s="1846"/>
      <c r="EF646" s="1846"/>
      <c r="EG646" s="1846"/>
      <c r="EH646" s="1846" t="e">
        <f t="shared" si="25"/>
        <v>#VALUE!</v>
      </c>
      <c r="EI646" s="1846"/>
      <c r="EJ646" s="1846"/>
      <c r="EK646" s="1846"/>
      <c r="EL646" s="1846"/>
      <c r="EM646" s="1846" t="e">
        <f t="shared" si="26"/>
        <v>#VALUE!</v>
      </c>
      <c r="EN646" s="1846"/>
      <c r="EO646" s="1846"/>
      <c r="EP646" s="1846"/>
      <c r="EQ646" s="1846"/>
      <c r="ER646" s="1846" t="e">
        <f t="shared" si="27"/>
        <v>#VALUE!</v>
      </c>
      <c r="ES646" s="1846"/>
      <c r="ET646" s="1846"/>
      <c r="EU646" s="1846"/>
      <c r="EV646" s="1846"/>
      <c r="EW646" s="1846" t="e">
        <f t="shared" si="28"/>
        <v>#VALUE!</v>
      </c>
      <c r="EX646" s="1846"/>
      <c r="EY646" s="1846"/>
      <c r="EZ646" s="1846"/>
      <c r="FA646" s="1846"/>
    </row>
    <row r="647" spans="1:157" ht="12.9" customHeight="1">
      <c r="A647" s="55" t="s">
        <v>120</v>
      </c>
      <c r="B647" t="s">
        <v>472</v>
      </c>
      <c r="G647" s="1512" t="str">
        <f>C625</f>
        <v>HCD AHSC HRI</v>
      </c>
      <c r="H647" s="1512"/>
      <c r="I647" s="1512"/>
      <c r="J647" s="1512"/>
      <c r="K647" s="1512"/>
      <c r="L647" s="1512"/>
      <c r="M647" s="1512"/>
      <c r="N647" s="1512"/>
      <c r="O647" s="1512"/>
      <c r="P647" s="1512"/>
      <c r="Q647" s="1512"/>
      <c r="R647" s="1512"/>
      <c r="T647" s="55" t="s">
        <v>590</v>
      </c>
      <c r="U647" t="s">
        <v>472</v>
      </c>
      <c r="Z647" s="1512" t="str">
        <f>C626</f>
        <v>Sutter County</v>
      </c>
      <c r="AA647" s="1512"/>
      <c r="AB647" s="1512"/>
      <c r="AC647" s="1512"/>
      <c r="AD647" s="1512"/>
      <c r="AE647" s="1512"/>
      <c r="AF647" s="1512"/>
      <c r="AG647" s="1512"/>
      <c r="AH647" s="1512"/>
      <c r="AI647" s="1512"/>
      <c r="AJ647" s="1512"/>
      <c r="AK647" s="151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6" t="e">
        <f t="shared" si="23"/>
        <v>#VALUE!</v>
      </c>
      <c r="DY647" s="1846"/>
      <c r="DZ647" s="1846"/>
      <c r="EA647" s="1846"/>
      <c r="EB647" s="1846"/>
      <c r="EC647" s="1846" t="e">
        <f t="shared" si="24"/>
        <v>#VALUE!</v>
      </c>
      <c r="ED647" s="1846"/>
      <c r="EE647" s="1846"/>
      <c r="EF647" s="1846"/>
      <c r="EG647" s="1846"/>
      <c r="EH647" s="1846" t="e">
        <f t="shared" si="25"/>
        <v>#VALUE!</v>
      </c>
      <c r="EI647" s="1846"/>
      <c r="EJ647" s="1846"/>
      <c r="EK647" s="1846"/>
      <c r="EL647" s="1846"/>
      <c r="EM647" s="1846" t="e">
        <f t="shared" si="26"/>
        <v>#VALUE!</v>
      </c>
      <c r="EN647" s="1846"/>
      <c r="EO647" s="1846"/>
      <c r="EP647" s="1846"/>
      <c r="EQ647" s="1846"/>
      <c r="ER647" s="1846" t="e">
        <f t="shared" si="27"/>
        <v>#VALUE!</v>
      </c>
      <c r="ES647" s="1846"/>
      <c r="ET647" s="1846"/>
      <c r="EU647" s="1846"/>
      <c r="EV647" s="1846"/>
      <c r="EW647" s="1846" t="e">
        <f t="shared" si="28"/>
        <v>#VALUE!</v>
      </c>
      <c r="EX647" s="1846"/>
      <c r="EY647" s="1846"/>
      <c r="EZ647" s="1846"/>
      <c r="FA647" s="1846"/>
    </row>
    <row r="648" spans="1:157" ht="12.9" customHeight="1">
      <c r="A648" s="22"/>
      <c r="B648" t="s">
        <v>86</v>
      </c>
      <c r="G648" s="1435" t="s">
        <v>2764</v>
      </c>
      <c r="H648" s="1394"/>
      <c r="I648" s="1394"/>
      <c r="J648" s="1394"/>
      <c r="K648" s="1394"/>
      <c r="L648" s="1394"/>
      <c r="M648" s="1394"/>
      <c r="N648" s="1394"/>
      <c r="O648" s="1394"/>
      <c r="P648" s="1394"/>
      <c r="Q648" s="1394"/>
      <c r="R648" s="1394"/>
      <c r="T648" s="22"/>
      <c r="U648" t="s">
        <v>86</v>
      </c>
      <c r="Z648" s="1435" t="s">
        <v>2766</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6" t="e">
        <f t="shared" si="23"/>
        <v>#VALUE!</v>
      </c>
      <c r="DY648" s="1846"/>
      <c r="DZ648" s="1846"/>
      <c r="EA648" s="1846"/>
      <c r="EB648" s="1846"/>
      <c r="EC648" s="1846" t="e">
        <f t="shared" si="24"/>
        <v>#VALUE!</v>
      </c>
      <c r="ED648" s="1846"/>
      <c r="EE648" s="1846"/>
      <c r="EF648" s="1846"/>
      <c r="EG648" s="1846"/>
      <c r="EH648" s="1846" t="e">
        <f t="shared" si="25"/>
        <v>#VALUE!</v>
      </c>
      <c r="EI648" s="1846"/>
      <c r="EJ648" s="1846"/>
      <c r="EK648" s="1846"/>
      <c r="EL648" s="1846"/>
      <c r="EM648" s="1846" t="e">
        <f t="shared" si="26"/>
        <v>#VALUE!</v>
      </c>
      <c r="EN648" s="1846"/>
      <c r="EO648" s="1846"/>
      <c r="EP648" s="1846"/>
      <c r="EQ648" s="1846"/>
      <c r="ER648" s="1846" t="e">
        <f t="shared" si="27"/>
        <v>#VALUE!</v>
      </c>
      <c r="ES648" s="1846"/>
      <c r="ET648" s="1846"/>
      <c r="EU648" s="1846"/>
      <c r="EV648" s="1846"/>
      <c r="EW648" s="1846" t="e">
        <f t="shared" si="28"/>
        <v>#VALUE!</v>
      </c>
      <c r="EX648" s="1846"/>
      <c r="EY648" s="1846"/>
      <c r="EZ648" s="1846"/>
      <c r="FA648" s="1846"/>
    </row>
    <row r="649" spans="1:157" ht="12.9" customHeight="1">
      <c r="A649" s="22"/>
      <c r="B649" t="s">
        <v>589</v>
      </c>
      <c r="G649" s="1463" t="s">
        <v>68</v>
      </c>
      <c r="H649" s="1366"/>
      <c r="I649" s="1366"/>
      <c r="J649" s="1366"/>
      <c r="K649" s="1366"/>
      <c r="L649" s="1366"/>
      <c r="M649" s="1366"/>
      <c r="N649" s="1366"/>
      <c r="O649" s="1366"/>
      <c r="P649" s="1366"/>
      <c r="Q649" s="1366"/>
      <c r="R649" s="1366"/>
      <c r="T649" s="22"/>
      <c r="U649" t="s">
        <v>589</v>
      </c>
      <c r="Z649" s="1463" t="s">
        <v>2630</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7">
        <f>BN621+BN630+BN644</f>
        <v>0</v>
      </c>
      <c r="BO649" s="1698"/>
      <c r="BP649" s="1698"/>
      <c r="BQ649" s="1698"/>
      <c r="BR649" s="1699"/>
      <c r="BS649" s="1697">
        <f>BS621+BS630+BS644</f>
        <v>88</v>
      </c>
      <c r="BT649" s="1698"/>
      <c r="BU649" s="1698"/>
      <c r="BV649" s="1698"/>
      <c r="BW649" s="1699"/>
      <c r="BX649" s="1697">
        <f>BX621+BX630+BX644</f>
        <v>44</v>
      </c>
      <c r="BY649" s="1698"/>
      <c r="BZ649" s="1698"/>
      <c r="CA649" s="1698"/>
      <c r="CB649" s="1699"/>
      <c r="CC649" s="1697">
        <f>CC621+CC630+CC644</f>
        <v>44</v>
      </c>
      <c r="CD649" s="1698"/>
      <c r="CE649" s="1698"/>
      <c r="CF649" s="1698"/>
      <c r="CG649" s="1699"/>
      <c r="CH649" s="1697">
        <f>CH621+CH630+CH644</f>
        <v>0</v>
      </c>
      <c r="CI649" s="1698"/>
      <c r="CJ649" s="1698"/>
      <c r="CK649" s="1698"/>
      <c r="CL649" s="1699"/>
      <c r="CM649" s="1420">
        <f>CM644+CM630+CM621</f>
        <v>0</v>
      </c>
      <c r="CN649" s="1842"/>
      <c r="CO649" s="1842"/>
      <c r="CP649" s="1842"/>
      <c r="CQ649" s="1421"/>
      <c r="CR649" s="3"/>
      <c r="CS649" s="897">
        <f>CS623+CS647</f>
        <v>307</v>
      </c>
      <c r="CT649" s="57" t="s">
        <v>2127</v>
      </c>
      <c r="CU649" s="3"/>
      <c r="CV649" s="3"/>
      <c r="CW649" s="3"/>
      <c r="CX649" s="3"/>
      <c r="CY649" s="3"/>
      <c r="CZ649" s="3"/>
      <c r="DA649" s="3"/>
      <c r="DB649" s="3"/>
      <c r="DC649" s="3"/>
      <c r="DD649" s="3"/>
      <c r="DE649" s="3"/>
      <c r="DF649" s="3"/>
      <c r="DX649" s="1846">
        <f>SUMIF(DX624:EB648,"&gt;0")</f>
        <v>0</v>
      </c>
      <c r="DY649" s="1846"/>
      <c r="DZ649" s="1846"/>
      <c r="EA649" s="1846"/>
      <c r="EB649" s="1846"/>
      <c r="EC649" s="1846">
        <f>SUMIF(EC624:EG648,"&gt;0")</f>
        <v>634.43678160919546</v>
      </c>
      <c r="ED649" s="1846"/>
      <c r="EE649" s="1846"/>
      <c r="EF649" s="1846"/>
      <c r="EG649" s="1846"/>
      <c r="EH649" s="1846">
        <f>SUMIF(EH624:EL648,"&gt;0")</f>
        <v>743.2045454545455</v>
      </c>
      <c r="EI649" s="1846"/>
      <c r="EJ649" s="1846"/>
      <c r="EK649" s="1846"/>
      <c r="EL649" s="1846"/>
      <c r="EM649" s="1846">
        <f>SUMIF(EM624:EQ648,"&gt;0")</f>
        <v>845</v>
      </c>
      <c r="EN649" s="1846"/>
      <c r="EO649" s="1846"/>
      <c r="EP649" s="1846"/>
      <c r="EQ649" s="1846"/>
      <c r="ER649" s="1846">
        <f>SUMIF(ER624:EV648,"&gt;0")</f>
        <v>0</v>
      </c>
      <c r="ES649" s="1846"/>
      <c r="ET649" s="1846"/>
      <c r="EU649" s="1846"/>
      <c r="EV649" s="1846"/>
      <c r="EW649" s="1846">
        <f>SUMIF(EW624:FA648,"&gt;0")</f>
        <v>0</v>
      </c>
      <c r="EX649" s="1846"/>
      <c r="EY649" s="1846"/>
      <c r="EZ649" s="1846"/>
      <c r="FA649" s="1846"/>
    </row>
    <row r="650" spans="1:157" ht="12.9" customHeight="1">
      <c r="A650" s="22"/>
      <c r="B650" t="s">
        <v>17</v>
      </c>
      <c r="G650" s="1463" t="s">
        <v>2744</v>
      </c>
      <c r="H650" s="1366"/>
      <c r="I650" s="1366"/>
      <c r="J650" s="1366"/>
      <c r="K650" s="1366"/>
      <c r="L650" s="1366"/>
      <c r="M650" s="1366"/>
      <c r="N650" s="1366"/>
      <c r="O650" s="1366"/>
      <c r="P650" s="1366"/>
      <c r="Q650" s="1366"/>
      <c r="R650" s="1366"/>
      <c r="T650" s="22"/>
      <c r="U650" t="s">
        <v>17</v>
      </c>
      <c r="Z650" s="1463" t="s">
        <v>2747</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317</v>
      </c>
      <c r="G651" s="1437">
        <v>9162632771</v>
      </c>
      <c r="H651" s="1437"/>
      <c r="I651" s="1437"/>
      <c r="J651" s="1437"/>
      <c r="K651" s="1437"/>
      <c r="L651" s="1437"/>
      <c r="O651" s="33" t="s">
        <v>207</v>
      </c>
      <c r="P651" s="1464"/>
      <c r="Q651" s="1464"/>
      <c r="R651" s="1464"/>
      <c r="T651" s="22"/>
      <c r="U651" t="s">
        <v>317</v>
      </c>
      <c r="Z651" s="1437">
        <v>5308227100</v>
      </c>
      <c r="AA651" s="1437"/>
      <c r="AB651" s="1437"/>
      <c r="AC651" s="1437"/>
      <c r="AD651" s="1437"/>
      <c r="AE651" s="1437"/>
      <c r="AH651" s="33" t="s">
        <v>207</v>
      </c>
      <c r="AI651" s="1464"/>
      <c r="AJ651" s="1464"/>
      <c r="AK651" s="146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435" t="s">
        <v>2745</v>
      </c>
      <c r="I652" s="1394"/>
      <c r="J652" s="1394"/>
      <c r="K652" s="1394"/>
      <c r="L652" s="1394"/>
      <c r="M652" s="1394"/>
      <c r="N652" s="1394"/>
      <c r="O652" s="1394"/>
      <c r="P652" s="1394"/>
      <c r="Q652" s="1394"/>
      <c r="R652" s="1394"/>
      <c r="T652" s="22"/>
      <c r="U652" t="s">
        <v>18</v>
      </c>
      <c r="AA652" s="1435" t="s">
        <v>2748</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512" t="str">
        <f>C627</f>
        <v>Yuba City Unified School District</v>
      </c>
      <c r="H655" s="1512"/>
      <c r="I655" s="1512"/>
      <c r="J655" s="1512"/>
      <c r="K655" s="1512"/>
      <c r="L655" s="1512"/>
      <c r="M655" s="1512"/>
      <c r="N655" s="1512"/>
      <c r="O655" s="1512"/>
      <c r="P655" s="1512"/>
      <c r="Q655" s="1512"/>
      <c r="R655" s="1512"/>
      <c r="T655" s="55" t="s">
        <v>593</v>
      </c>
      <c r="U655" t="s">
        <v>472</v>
      </c>
      <c r="Z655" s="1512" t="str">
        <f>C628</f>
        <v>RHA-City Loan</v>
      </c>
      <c r="AA655" s="1512"/>
      <c r="AB655" s="1512"/>
      <c r="AC655" s="1512"/>
      <c r="AD655" s="1512"/>
      <c r="AE655" s="1512"/>
      <c r="AF655" s="1512"/>
      <c r="AG655" s="1512"/>
      <c r="AH655" s="1512"/>
      <c r="AI655" s="1512"/>
      <c r="AJ655" s="1512"/>
      <c r="AK655" s="1512"/>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435" t="s">
        <v>2749</v>
      </c>
      <c r="H656" s="1394"/>
      <c r="I656" s="1394"/>
      <c r="J656" s="1394"/>
      <c r="K656" s="1394"/>
      <c r="L656" s="1394"/>
      <c r="M656" s="1394"/>
      <c r="N656" s="1394"/>
      <c r="O656" s="1394"/>
      <c r="P656" s="1394"/>
      <c r="Q656" s="1394"/>
      <c r="R656" s="1394"/>
      <c r="T656" s="22"/>
      <c r="U656" t="s">
        <v>86</v>
      </c>
      <c r="Z656" s="1435" t="s">
        <v>2638</v>
      </c>
      <c r="AA656" s="1394"/>
      <c r="AB656" s="1394"/>
      <c r="AC656" s="1394"/>
      <c r="AD656" s="1394"/>
      <c r="AE656" s="1394"/>
      <c r="AF656" s="1394"/>
      <c r="AG656" s="1394"/>
      <c r="AH656" s="1394"/>
      <c r="AI656" s="1394"/>
      <c r="AJ656" s="1394"/>
      <c r="AK656" s="1394"/>
      <c r="AZ656" s="3"/>
      <c r="BA656" s="118">
        <f t="shared" ref="BA656:BA680" si="42">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435" t="s">
        <v>2630</v>
      </c>
      <c r="H657" s="1394"/>
      <c r="I657" s="1394"/>
      <c r="J657" s="1394"/>
      <c r="K657" s="1394"/>
      <c r="L657" s="1394"/>
      <c r="M657" s="1394"/>
      <c r="N657" s="1394"/>
      <c r="O657" s="1394"/>
      <c r="P657" s="1394"/>
      <c r="Q657" s="1394"/>
      <c r="R657" s="1394"/>
      <c r="T657" s="22"/>
      <c r="U657" t="s">
        <v>589</v>
      </c>
      <c r="Z657" s="1463" t="s">
        <v>2630</v>
      </c>
      <c r="AA657" s="1366"/>
      <c r="AB657" s="1366"/>
      <c r="AC657" s="1366"/>
      <c r="AD657" s="1366"/>
      <c r="AE657" s="1366"/>
      <c r="AF657" s="1366"/>
      <c r="AG657" s="1366"/>
      <c r="AH657" s="1366"/>
      <c r="AI657" s="1366"/>
      <c r="AJ657" s="1366"/>
      <c r="AK657" s="1366"/>
      <c r="AZ657" s="3"/>
      <c r="BA657" s="118">
        <f t="shared" si="42"/>
        <v>1462</v>
      </c>
      <c r="BB657" s="3"/>
      <c r="BC657" s="3"/>
      <c r="BD657" s="3"/>
      <c r="BE657" s="3"/>
      <c r="BF657" s="218"/>
      <c r="BG657" s="315">
        <f t="shared" ref="BG657:BG681" si="43">G714</f>
        <v>10</v>
      </c>
      <c r="BH657" s="319">
        <f>BG657/$BG$682</f>
        <v>5.7142857142857141E-2</v>
      </c>
      <c r="BI657" s="320">
        <f t="shared" ref="BI657:BI681" si="44">IF(BH657=0," ",BH657*AC714)</f>
        <v>1.714285714285714E-2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435" t="s">
        <v>2750</v>
      </c>
      <c r="H658" s="1394"/>
      <c r="I658" s="1394"/>
      <c r="J658" s="1394"/>
      <c r="K658" s="1394"/>
      <c r="L658" s="1394"/>
      <c r="M658" s="1394"/>
      <c r="N658" s="1394"/>
      <c r="O658" s="1394"/>
      <c r="P658" s="1394"/>
      <c r="Q658" s="1394"/>
      <c r="R658" s="1394"/>
      <c r="T658" s="22"/>
      <c r="U658" t="s">
        <v>17</v>
      </c>
      <c r="Z658" s="1463" t="s">
        <v>2751</v>
      </c>
      <c r="AA658" s="1366"/>
      <c r="AB658" s="1366"/>
      <c r="AC658" s="1366"/>
      <c r="AD658" s="1366"/>
      <c r="AE658" s="1366"/>
      <c r="AF658" s="1366"/>
      <c r="AG658" s="1366"/>
      <c r="AH658" s="1366"/>
      <c r="AI658" s="1366"/>
      <c r="AJ658" s="1366"/>
      <c r="AK658" s="1366"/>
      <c r="AZ658" s="3"/>
      <c r="BA658" s="118">
        <f t="shared" si="42"/>
        <v>1462</v>
      </c>
      <c r="BB658" s="3"/>
      <c r="BC658" s="3"/>
      <c r="BD658" s="3"/>
      <c r="BE658" s="3"/>
      <c r="BF658" s="218"/>
      <c r="BG658" s="316">
        <f t="shared" si="43"/>
        <v>8</v>
      </c>
      <c r="BH658" s="319">
        <f t="shared" ref="BH658:BH681" si="45">BG658/$BG$682</f>
        <v>4.5714285714285714E-2</v>
      </c>
      <c r="BI658" s="320">
        <f t="shared" si="44"/>
        <v>1.3714285714285714E-2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317</v>
      </c>
      <c r="G659" s="1437">
        <v>5308225200</v>
      </c>
      <c r="H659" s="1437"/>
      <c r="I659" s="1437"/>
      <c r="J659" s="1437"/>
      <c r="K659" s="1437"/>
      <c r="L659" s="1437"/>
      <c r="O659" s="33" t="s">
        <v>207</v>
      </c>
      <c r="P659" s="1464"/>
      <c r="Q659" s="1464"/>
      <c r="R659" s="1464"/>
      <c r="T659" s="22"/>
      <c r="U659" t="s">
        <v>317</v>
      </c>
      <c r="Z659" s="1437">
        <v>5306710220</v>
      </c>
      <c r="AA659" s="1437"/>
      <c r="AB659" s="1437"/>
      <c r="AC659" s="1437"/>
      <c r="AD659" s="1437"/>
      <c r="AE659" s="1437"/>
      <c r="AH659" s="33" t="s">
        <v>207</v>
      </c>
      <c r="AI659" s="1464"/>
      <c r="AJ659" s="1464"/>
      <c r="AK659" s="1464"/>
      <c r="AZ659" s="3"/>
      <c r="BA659" s="118">
        <f t="shared" si="42"/>
        <v>1462</v>
      </c>
      <c r="BB659" s="3"/>
      <c r="BC659" s="3"/>
      <c r="BD659" s="3"/>
      <c r="BE659" s="3"/>
      <c r="BF659" s="218"/>
      <c r="BG659" s="316">
        <f t="shared" si="43"/>
        <v>35</v>
      </c>
      <c r="BH659" s="319">
        <f t="shared" si="45"/>
        <v>0.2</v>
      </c>
      <c r="BI659" s="320">
        <f t="shared" si="44"/>
        <v>0.1</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435" t="s">
        <v>2748</v>
      </c>
      <c r="I660" s="1394"/>
      <c r="J660" s="1394"/>
      <c r="K660" s="1394"/>
      <c r="L660" s="1394"/>
      <c r="M660" s="1394"/>
      <c r="N660" s="1394"/>
      <c r="O660" s="1394"/>
      <c r="P660" s="1394"/>
      <c r="Q660" s="1394"/>
      <c r="R660" s="1394"/>
      <c r="T660" s="22"/>
      <c r="U660" t="s">
        <v>18</v>
      </c>
      <c r="AA660" s="1435" t="s">
        <v>2767</v>
      </c>
      <c r="AB660" s="1394"/>
      <c r="AC660" s="1394"/>
      <c r="AD660" s="1394"/>
      <c r="AE660" s="1394"/>
      <c r="AF660" s="1394"/>
      <c r="AG660" s="1394"/>
      <c r="AH660" s="1394"/>
      <c r="AI660" s="1394"/>
      <c r="AJ660" s="1394"/>
      <c r="AK660" s="1394"/>
      <c r="AZ660" s="3"/>
      <c r="BA660" s="118">
        <f t="shared" si="42"/>
        <v>1754</v>
      </c>
      <c r="BB660" s="3"/>
      <c r="BC660" s="3"/>
      <c r="BD660" s="3"/>
      <c r="BE660" s="3"/>
      <c r="BF660" s="218"/>
      <c r="BG660" s="316">
        <f t="shared" si="43"/>
        <v>34</v>
      </c>
      <c r="BH660" s="319">
        <f t="shared" si="45"/>
        <v>0.19428571428571428</v>
      </c>
      <c r="BI660" s="320">
        <f t="shared" si="44"/>
        <v>0.11657142857142856</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73" t="s">
        <v>554</v>
      </c>
      <c r="O661" s="1373"/>
      <c r="T661" s="22"/>
      <c r="U661" t="s">
        <v>20</v>
      </c>
      <c r="AG661" s="1373" t="s">
        <v>554</v>
      </c>
      <c r="AH661" s="1373"/>
      <c r="AZ661" s="3"/>
      <c r="BA661" s="118">
        <f t="shared" si="42"/>
        <v>1754</v>
      </c>
      <c r="BB661" s="3"/>
      <c r="BC661" s="3"/>
      <c r="BD661" s="3"/>
      <c r="BE661" s="3"/>
      <c r="BF661" s="218"/>
      <c r="BG661" s="316">
        <f t="shared" si="43"/>
        <v>5</v>
      </c>
      <c r="BH661" s="319">
        <f t="shared" si="45"/>
        <v>2.8571428571428571E-2</v>
      </c>
      <c r="BI661" s="320">
        <f t="shared" si="44"/>
        <v>8.5714285714285701E-3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1754</v>
      </c>
      <c r="BB662" s="3"/>
      <c r="BC662" s="3"/>
      <c r="BD662" s="3"/>
      <c r="BE662" s="3"/>
      <c r="BF662" s="218"/>
      <c r="BG662" s="316">
        <f t="shared" si="43"/>
        <v>4</v>
      </c>
      <c r="BH662" s="319">
        <f t="shared" si="45"/>
        <v>2.2857142857142857E-2</v>
      </c>
      <c r="BI662" s="320">
        <f t="shared" si="44"/>
        <v>6.8571428571428568E-3</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512" t="str">
        <f>C629</f>
        <v>RHA Land Acquisition Loan</v>
      </c>
      <c r="H663" s="1512"/>
      <c r="I663" s="1512"/>
      <c r="J663" s="1512"/>
      <c r="K663" s="1512"/>
      <c r="L663" s="1512"/>
      <c r="M663" s="1512"/>
      <c r="N663" s="1512"/>
      <c r="O663" s="1512"/>
      <c r="P663" s="1512"/>
      <c r="Q663" s="1512"/>
      <c r="R663" s="1512"/>
      <c r="T663" s="55" t="s">
        <v>465</v>
      </c>
      <c r="U663" t="s">
        <v>472</v>
      </c>
      <c r="Z663" s="1512" t="str">
        <f>C630</f>
        <v>RHA BUILD Loan</v>
      </c>
      <c r="AA663" s="1512"/>
      <c r="AB663" s="1512"/>
      <c r="AC663" s="1512"/>
      <c r="AD663" s="1512"/>
      <c r="AE663" s="1512"/>
      <c r="AF663" s="1512"/>
      <c r="AG663" s="1512"/>
      <c r="AH663" s="1512"/>
      <c r="AI663" s="1512"/>
      <c r="AJ663" s="1512"/>
      <c r="AK663" s="1512"/>
      <c r="AZ663" s="3"/>
      <c r="BA663" s="118">
        <f t="shared" si="42"/>
        <v>1754</v>
      </c>
      <c r="BB663" s="3"/>
      <c r="BC663" s="3"/>
      <c r="BD663" s="3"/>
      <c r="BE663" s="3"/>
      <c r="BF663" s="218"/>
      <c r="BG663" s="316">
        <f t="shared" si="43"/>
        <v>18</v>
      </c>
      <c r="BH663" s="319">
        <f t="shared" si="45"/>
        <v>0.10285714285714286</v>
      </c>
      <c r="BI663" s="320">
        <f t="shared" si="44"/>
        <v>5.1428571428571428E-2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435" t="s">
        <v>2638</v>
      </c>
      <c r="H664" s="1394"/>
      <c r="I664" s="1394"/>
      <c r="J664" s="1394"/>
      <c r="K664" s="1394"/>
      <c r="L664" s="1394"/>
      <c r="M664" s="1394"/>
      <c r="N664" s="1394"/>
      <c r="O664" s="1394"/>
      <c r="P664" s="1394"/>
      <c r="Q664" s="1394"/>
      <c r="R664" s="1394"/>
      <c r="T664" s="22"/>
      <c r="U664" t="s">
        <v>86</v>
      </c>
      <c r="Z664" s="1435" t="s">
        <v>2638</v>
      </c>
      <c r="AA664" s="1394"/>
      <c r="AB664" s="1394"/>
      <c r="AC664" s="1394"/>
      <c r="AD664" s="1394"/>
      <c r="AE664" s="1394"/>
      <c r="AF664" s="1394"/>
      <c r="AG664" s="1394"/>
      <c r="AH664" s="1394"/>
      <c r="AI664" s="1394"/>
      <c r="AJ664" s="1394"/>
      <c r="AK664" s="1394"/>
      <c r="AZ664" s="3"/>
      <c r="BA664" s="118">
        <f t="shared" si="42"/>
        <v>2026</v>
      </c>
      <c r="BB664" s="3"/>
      <c r="BC664" s="3"/>
      <c r="BD664" s="3"/>
      <c r="BE664" s="3"/>
      <c r="BF664" s="218"/>
      <c r="BG664" s="316">
        <f t="shared" si="43"/>
        <v>17</v>
      </c>
      <c r="BH664" s="319">
        <f t="shared" si="45"/>
        <v>9.7142857142857142E-2</v>
      </c>
      <c r="BI664" s="320">
        <f t="shared" si="44"/>
        <v>5.8285714285714281E-2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435" t="s">
        <v>2630</v>
      </c>
      <c r="H665" s="1394"/>
      <c r="I665" s="1394"/>
      <c r="J665" s="1394"/>
      <c r="K665" s="1394"/>
      <c r="L665" s="1394"/>
      <c r="M665" s="1394"/>
      <c r="N665" s="1394"/>
      <c r="O665" s="1394"/>
      <c r="P665" s="1394"/>
      <c r="Q665" s="1394"/>
      <c r="R665" s="1394"/>
      <c r="T665" s="22"/>
      <c r="U665" t="s">
        <v>589</v>
      </c>
      <c r="Z665" s="1463" t="s">
        <v>2630</v>
      </c>
      <c r="AA665" s="1366"/>
      <c r="AB665" s="1366"/>
      <c r="AC665" s="1366"/>
      <c r="AD665" s="1366"/>
      <c r="AE665" s="1366"/>
      <c r="AF665" s="1366"/>
      <c r="AG665" s="1366"/>
      <c r="AH665" s="1366"/>
      <c r="AI665" s="1366"/>
      <c r="AJ665" s="1366"/>
      <c r="AK665" s="1366"/>
      <c r="AZ665" s="3"/>
      <c r="BA665" s="118">
        <f t="shared" si="42"/>
        <v>2026</v>
      </c>
      <c r="BB665" s="3"/>
      <c r="BC665" s="3"/>
      <c r="BD665" s="3"/>
      <c r="BE665" s="3"/>
      <c r="BF665" s="218"/>
      <c r="BG665" s="316">
        <f t="shared" si="43"/>
        <v>5</v>
      </c>
      <c r="BH665" s="319">
        <f t="shared" si="45"/>
        <v>2.8571428571428571E-2</v>
      </c>
      <c r="BI665" s="320">
        <f t="shared" si="44"/>
        <v>8.5714285714285701E-3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435" t="s">
        <v>2751</v>
      </c>
      <c r="H666" s="1394"/>
      <c r="I666" s="1394"/>
      <c r="J666" s="1394"/>
      <c r="K666" s="1394"/>
      <c r="L666" s="1394"/>
      <c r="M666" s="1394"/>
      <c r="N666" s="1394"/>
      <c r="O666" s="1394"/>
      <c r="P666" s="1394"/>
      <c r="Q666" s="1394"/>
      <c r="R666" s="1394"/>
      <c r="T666" s="22"/>
      <c r="U666" t="s">
        <v>17</v>
      </c>
      <c r="Z666" s="1463" t="s">
        <v>2751</v>
      </c>
      <c r="AA666" s="1366"/>
      <c r="AB666" s="1366"/>
      <c r="AC666" s="1366"/>
      <c r="AD666" s="1366"/>
      <c r="AE666" s="1366"/>
      <c r="AF666" s="1366"/>
      <c r="AG666" s="1366"/>
      <c r="AH666" s="1366"/>
      <c r="AI666" s="1366"/>
      <c r="AJ666" s="1366"/>
      <c r="AK666" s="1366"/>
      <c r="AZ666" s="3"/>
      <c r="BA666" s="118">
        <f t="shared" si="42"/>
        <v>2026</v>
      </c>
      <c r="BB666" s="3"/>
      <c r="BC666" s="3"/>
      <c r="BD666" s="3"/>
      <c r="BE666" s="3"/>
      <c r="BF666" s="218"/>
      <c r="BG666" s="316">
        <f t="shared" si="43"/>
        <v>4</v>
      </c>
      <c r="BH666" s="319">
        <f t="shared" si="45"/>
        <v>2.2857142857142857E-2</v>
      </c>
      <c r="BI666" s="320">
        <f t="shared" si="44"/>
        <v>6.8571428571428568E-3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317</v>
      </c>
      <c r="G667" s="1437">
        <v>5306710220</v>
      </c>
      <c r="H667" s="1437"/>
      <c r="I667" s="1437"/>
      <c r="J667" s="1437"/>
      <c r="K667" s="1437"/>
      <c r="L667" s="1437"/>
      <c r="O667" s="33" t="s">
        <v>207</v>
      </c>
      <c r="P667" s="1464"/>
      <c r="Q667" s="1464"/>
      <c r="R667" s="1464"/>
      <c r="T667" s="22"/>
      <c r="U667" t="s">
        <v>317</v>
      </c>
      <c r="Z667" s="1437">
        <v>5306710220</v>
      </c>
      <c r="AA667" s="1437"/>
      <c r="AB667" s="1437"/>
      <c r="AC667" s="1437"/>
      <c r="AD667" s="1437"/>
      <c r="AE667" s="1437"/>
      <c r="AH667" s="33" t="s">
        <v>207</v>
      </c>
      <c r="AI667" s="1464"/>
      <c r="AJ667" s="1464"/>
      <c r="AK667" s="1464"/>
      <c r="AZ667" s="3"/>
      <c r="BA667" s="118">
        <f t="shared" si="42"/>
        <v>2026</v>
      </c>
      <c r="BB667" s="3"/>
      <c r="BC667" s="3"/>
      <c r="BD667" s="3"/>
      <c r="BE667" s="3"/>
      <c r="BF667" s="218"/>
      <c r="BG667" s="316">
        <f t="shared" si="43"/>
        <v>18</v>
      </c>
      <c r="BH667" s="319">
        <f t="shared" si="45"/>
        <v>0.10285714285714286</v>
      </c>
      <c r="BI667" s="320">
        <f t="shared" si="44"/>
        <v>5.1428571428571428E-2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435" t="s">
        <v>2768</v>
      </c>
      <c r="I668" s="1394"/>
      <c r="J668" s="1394"/>
      <c r="K668" s="1394"/>
      <c r="L668" s="1394"/>
      <c r="M668" s="1394"/>
      <c r="N668" s="1394"/>
      <c r="O668" s="1394"/>
      <c r="P668" s="1394"/>
      <c r="Q668" s="1394"/>
      <c r="R668" s="1394"/>
      <c r="T668" s="22"/>
      <c r="U668" t="s">
        <v>18</v>
      </c>
      <c r="AA668" s="1435" t="s">
        <v>2769</v>
      </c>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17</v>
      </c>
      <c r="BH668" s="319">
        <f t="shared" si="45"/>
        <v>9.7142857142857142E-2</v>
      </c>
      <c r="BI668" s="320">
        <f t="shared" si="44"/>
        <v>5.8285714285714281E-2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73" t="s">
        <v>554</v>
      </c>
      <c r="O669" s="1373"/>
      <c r="T669" s="22"/>
      <c r="U669" t="s">
        <v>20</v>
      </c>
      <c r="AG669" s="1373" t="s">
        <v>554</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512" t="str">
        <f>C631</f>
        <v>Energy Credit Equity</v>
      </c>
      <c r="H671" s="1512"/>
      <c r="I671" s="1512"/>
      <c r="J671" s="1512"/>
      <c r="K671" s="1512"/>
      <c r="L671" s="1512"/>
      <c r="M671" s="1512"/>
      <c r="N671" s="1512"/>
      <c r="O671" s="1512"/>
      <c r="P671" s="1512"/>
      <c r="Q671" s="1512"/>
      <c r="R671" s="1512"/>
      <c r="T671" s="55" t="s">
        <v>655</v>
      </c>
      <c r="U671" t="s">
        <v>472</v>
      </c>
      <c r="Z671" s="1512" t="str">
        <f>C632</f>
        <v>Sutter Community Affordable Housing / Sage Housing Group</v>
      </c>
      <c r="AA671" s="1512"/>
      <c r="AB671" s="1512"/>
      <c r="AC671" s="1512"/>
      <c r="AD671" s="1512"/>
      <c r="AE671" s="1512"/>
      <c r="AF671" s="1512"/>
      <c r="AG671" s="1512"/>
      <c r="AH671" s="1512"/>
      <c r="AI671" s="1512"/>
      <c r="AJ671" s="1512"/>
      <c r="AK671" s="151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435" t="s">
        <v>2755</v>
      </c>
      <c r="H672" s="1394"/>
      <c r="I672" s="1394"/>
      <c r="J672" s="1394"/>
      <c r="K672" s="1394"/>
      <c r="L672" s="1394"/>
      <c r="M672" s="1394"/>
      <c r="N672" s="1394"/>
      <c r="O672" s="1394"/>
      <c r="P672" s="1394"/>
      <c r="Q672" s="1394"/>
      <c r="R672" s="1394"/>
      <c r="T672" s="22"/>
      <c r="U672" t="s">
        <v>86</v>
      </c>
      <c r="Z672" s="1435" t="s">
        <v>2638</v>
      </c>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435" t="s">
        <v>2756</v>
      </c>
      <c r="H673" s="1394"/>
      <c r="I673" s="1394"/>
      <c r="J673" s="1394"/>
      <c r="K673" s="1394"/>
      <c r="L673" s="1394"/>
      <c r="M673" s="1394"/>
      <c r="N673" s="1394"/>
      <c r="O673" s="1394"/>
      <c r="P673" s="1394"/>
      <c r="Q673" s="1394"/>
      <c r="R673" s="1394"/>
      <c r="T673" s="22"/>
      <c r="U673" t="s">
        <v>589</v>
      </c>
      <c r="Z673" s="1463" t="s">
        <v>2630</v>
      </c>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435" t="s">
        <v>2692</v>
      </c>
      <c r="H674" s="1394"/>
      <c r="I674" s="1394"/>
      <c r="J674" s="1394"/>
      <c r="K674" s="1394"/>
      <c r="L674" s="1394"/>
      <c r="M674" s="1394"/>
      <c r="N674" s="1394"/>
      <c r="O674" s="1394"/>
      <c r="P674" s="1394"/>
      <c r="Q674" s="1394"/>
      <c r="R674" s="1394"/>
      <c r="T674" s="22"/>
      <c r="U674" t="s">
        <v>17</v>
      </c>
      <c r="Z674" s="1463" t="s">
        <v>2751</v>
      </c>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317</v>
      </c>
      <c r="G675" s="1437">
        <v>4107722594</v>
      </c>
      <c r="H675" s="1437"/>
      <c r="I675" s="1437"/>
      <c r="J675" s="1437"/>
      <c r="K675" s="1437"/>
      <c r="L675" s="1437"/>
      <c r="O675" s="33" t="s">
        <v>207</v>
      </c>
      <c r="P675" s="1464"/>
      <c r="Q675" s="1464"/>
      <c r="R675" s="1464"/>
      <c r="T675" s="22"/>
      <c r="U675" t="s">
        <v>317</v>
      </c>
      <c r="Z675" s="1437">
        <v>5306710220</v>
      </c>
      <c r="AA675" s="1437"/>
      <c r="AB675" s="1437"/>
      <c r="AC675" s="1437"/>
      <c r="AD675" s="1437"/>
      <c r="AE675" s="1437"/>
      <c r="AH675" s="33" t="s">
        <v>207</v>
      </c>
      <c r="AI675" s="1464"/>
      <c r="AJ675" s="1464"/>
      <c r="AK675" s="146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435" t="s">
        <v>2762</v>
      </c>
      <c r="I676" s="1394"/>
      <c r="J676" s="1394"/>
      <c r="K676" s="1394"/>
      <c r="L676" s="1394"/>
      <c r="M676" s="1394"/>
      <c r="N676" s="1394"/>
      <c r="O676" s="1394"/>
      <c r="P676" s="1394"/>
      <c r="Q676" s="1394"/>
      <c r="R676" s="1394"/>
      <c r="T676" s="22"/>
      <c r="U676" t="s">
        <v>18</v>
      </c>
      <c r="AA676" s="1435" t="s">
        <v>1922</v>
      </c>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73" t="s">
        <v>554</v>
      </c>
      <c r="O677" s="1373"/>
      <c r="T677" s="22"/>
      <c r="U677" t="s">
        <v>20</v>
      </c>
      <c r="AG677" s="1373" t="s">
        <v>554</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363</v>
      </c>
      <c r="B679" t="s">
        <v>472</v>
      </c>
      <c r="G679" s="1512">
        <f>C633</f>
        <v>0</v>
      </c>
      <c r="H679" s="1512"/>
      <c r="I679" s="1512"/>
      <c r="J679" s="1512"/>
      <c r="K679" s="1512"/>
      <c r="L679" s="1512"/>
      <c r="M679" s="1512"/>
      <c r="N679" s="1512"/>
      <c r="O679" s="1512"/>
      <c r="P679" s="1512"/>
      <c r="Q679" s="1512"/>
      <c r="R679" s="1512"/>
      <c r="T679" s="55" t="s">
        <v>364</v>
      </c>
      <c r="U679" t="s">
        <v>472</v>
      </c>
      <c r="Z679" s="1512">
        <f>C634</f>
        <v>0</v>
      </c>
      <c r="AA679" s="1512"/>
      <c r="AB679" s="1512"/>
      <c r="AC679" s="1512"/>
      <c r="AD679" s="1512"/>
      <c r="AE679" s="1512"/>
      <c r="AF679" s="1512"/>
      <c r="AG679" s="1512"/>
      <c r="AH679" s="1512"/>
      <c r="AI679" s="1512"/>
      <c r="AJ679" s="1512"/>
      <c r="AK679" s="151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175</v>
      </c>
      <c r="BH682" s="322">
        <f>SUM(BH657:BH681)</f>
        <v>1.0000000000000002</v>
      </c>
      <c r="BI682" s="322">
        <f>SUM(BI657:BI681)</f>
        <v>0.49771428571428566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317</v>
      </c>
      <c r="G683" s="1437"/>
      <c r="H683" s="1437"/>
      <c r="I683" s="1437"/>
      <c r="J683" s="1437"/>
      <c r="K683" s="1437"/>
      <c r="L683" s="1437"/>
      <c r="O683" s="33" t="s">
        <v>207</v>
      </c>
      <c r="P683" s="1464"/>
      <c r="Q683" s="1464"/>
      <c r="R683" s="1464"/>
      <c r="U683" t="s">
        <v>317</v>
      </c>
      <c r="Z683" s="1437"/>
      <c r="AA683" s="1437"/>
      <c r="AB683" s="1437"/>
      <c r="AC683" s="1437"/>
      <c r="AD683" s="1437"/>
      <c r="AE683" s="1437"/>
      <c r="AH683" s="33" t="s">
        <v>207</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10</v>
      </c>
      <c r="BH689" s="319">
        <f>BG689/$BG$714</f>
        <v>5.7142857142857141E-2</v>
      </c>
      <c r="BI689" s="320">
        <f t="shared" ref="BI689:BI713" si="47">IF(BH689=0," ",BH689*AH714)</f>
        <v>1.7119405901895642E-2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440</v>
      </c>
      <c r="E690" s="135"/>
      <c r="F690" s="135"/>
      <c r="G690" s="135"/>
      <c r="H690" s="135"/>
      <c r="AE690" s="1373" t="s">
        <v>678</v>
      </c>
      <c r="AF690" s="1373"/>
      <c r="AZ690" s="34"/>
      <c r="BA690" s="34"/>
      <c r="BB690" s="34"/>
      <c r="BC690" s="34"/>
      <c r="BD690" s="34"/>
      <c r="BE690" s="34"/>
      <c r="BF690" s="34"/>
      <c r="BG690" s="316">
        <f t="shared" si="46"/>
        <v>8</v>
      </c>
      <c r="BH690" s="319">
        <f t="shared" ref="BH690:BH713" si="48">BG690/$BG$714</f>
        <v>4.5714285714285714E-2</v>
      </c>
      <c r="BI690" s="320">
        <f t="shared" si="47"/>
        <v>1.3695524721516514E-2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538">
        <v>44964</v>
      </c>
      <c r="AF691" s="1538"/>
      <c r="AG691" s="1538"/>
      <c r="AH691" s="1538"/>
      <c r="AI691" s="1538"/>
      <c r="AZ691" s="34"/>
      <c r="BA691" s="34"/>
      <c r="BB691" s="34"/>
      <c r="BC691" s="34"/>
      <c r="BD691" s="34"/>
      <c r="BE691" s="3"/>
      <c r="BF691" s="3"/>
      <c r="BG691" s="316">
        <f t="shared" si="46"/>
        <v>35</v>
      </c>
      <c r="BH691" s="319">
        <f t="shared" si="48"/>
        <v>0.2</v>
      </c>
      <c r="BI691" s="320">
        <f t="shared" si="47"/>
        <v>0.1</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1023</v>
      </c>
      <c r="E692" s="135"/>
      <c r="F692" s="135"/>
      <c r="G692" s="135"/>
      <c r="H692" s="135"/>
      <c r="AE692" s="1717">
        <v>45056</v>
      </c>
      <c r="AF692" s="1717"/>
      <c r="AG692" s="1717"/>
      <c r="AH692" s="1717"/>
      <c r="AI692" s="1717"/>
      <c r="AZ692" s="34"/>
      <c r="BA692" s="34"/>
      <c r="BB692" s="34"/>
      <c r="BC692" s="34"/>
      <c r="BD692" s="34"/>
      <c r="BE692" s="3"/>
      <c r="BF692" s="2"/>
      <c r="BG692" s="316">
        <f t="shared" si="46"/>
        <v>34</v>
      </c>
      <c r="BH692" s="319">
        <f t="shared" si="48"/>
        <v>0.19428571428571428</v>
      </c>
      <c r="BI692" s="320">
        <f t="shared" si="47"/>
        <v>0.11654485049833888</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5</v>
      </c>
      <c r="BH693" s="319">
        <f t="shared" si="48"/>
        <v>2.8571428571428571E-2</v>
      </c>
      <c r="BI693" s="320">
        <f t="shared" si="47"/>
        <v>8.5681707118423194E-3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538">
        <v>45214</v>
      </c>
      <c r="AF694" s="1538"/>
      <c r="AG694" s="1538"/>
      <c r="AH694" s="1538"/>
      <c r="AI694" s="1538"/>
      <c r="AZ694" s="3"/>
      <c r="BA694" s="3"/>
      <c r="BB694" s="3"/>
      <c r="BC694" s="3"/>
      <c r="BD694" s="3"/>
      <c r="BE694" s="3"/>
      <c r="BF694" s="3"/>
      <c r="BG694" s="316">
        <f t="shared" si="46"/>
        <v>4</v>
      </c>
      <c r="BH694" s="319">
        <f t="shared" si="48"/>
        <v>2.2857142857142857E-2</v>
      </c>
      <c r="BI694" s="320">
        <f t="shared" si="47"/>
        <v>6.8545365694738566E-3</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438</v>
      </c>
      <c r="E695" s="135"/>
      <c r="F695" s="135"/>
      <c r="G695" s="135"/>
      <c r="H695" s="135"/>
      <c r="AE695" s="1696">
        <v>0.54990000000000006</v>
      </c>
      <c r="AF695" s="1696"/>
      <c r="AG695" s="1696"/>
      <c r="AH695" s="1696"/>
      <c r="AI695" s="1696"/>
      <c r="AZ695" s="3"/>
      <c r="BA695" s="3"/>
      <c r="BB695" s="3"/>
      <c r="BC695" s="3"/>
      <c r="BD695" s="3"/>
      <c r="BE695" s="3"/>
      <c r="BF695" s="3"/>
      <c r="BG695" s="316">
        <f t="shared" si="46"/>
        <v>18</v>
      </c>
      <c r="BH695" s="319">
        <f t="shared" si="48"/>
        <v>0.10285714285714286</v>
      </c>
      <c r="BI695" s="320">
        <f t="shared" si="47"/>
        <v>5.1428571428571428E-2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439</v>
      </c>
      <c r="E696" s="135"/>
      <c r="F696" s="135"/>
      <c r="G696" s="135"/>
      <c r="H696" s="135"/>
      <c r="W696" s="1512" t="str">
        <f>H334</f>
        <v>California Municipal Finance Authority</v>
      </c>
      <c r="X696" s="1512"/>
      <c r="Y696" s="1512"/>
      <c r="Z696" s="1512"/>
      <c r="AA696" s="1512"/>
      <c r="AB696" s="1512"/>
      <c r="AC696" s="1512"/>
      <c r="AD696" s="1512"/>
      <c r="AE696" s="1512"/>
      <c r="AF696" s="1512"/>
      <c r="AG696" s="1512"/>
      <c r="AH696" s="1512"/>
      <c r="AI696" s="1512"/>
      <c r="AJ696" s="1512"/>
      <c r="AK696" s="1512"/>
      <c r="AZ696" s="3"/>
      <c r="BA696" s="3"/>
      <c r="BB696" s="3"/>
      <c r="BC696" s="3"/>
      <c r="BD696" s="3"/>
      <c r="BE696" s="3"/>
      <c r="BF696" s="3"/>
      <c r="BG696" s="316">
        <f t="shared" si="46"/>
        <v>17</v>
      </c>
      <c r="BH696" s="319">
        <f t="shared" si="48"/>
        <v>9.7142857142857142E-2</v>
      </c>
      <c r="BI696" s="320">
        <f t="shared" si="47"/>
        <v>5.8318944453494059E-2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5</v>
      </c>
      <c r="BH697" s="319">
        <f t="shared" si="48"/>
        <v>2.8571428571428571E-2</v>
      </c>
      <c r="BI697" s="320">
        <f t="shared" si="47"/>
        <v>8.5601466647863486E-3</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441</v>
      </c>
      <c r="E698" s="135"/>
      <c r="F698" s="135"/>
      <c r="G698" s="135"/>
      <c r="H698" s="135"/>
      <c r="AE698" s="1373" t="s">
        <v>678</v>
      </c>
      <c r="AF698" s="1373"/>
      <c r="AZ698" s="3"/>
      <c r="BA698" s="3"/>
      <c r="BB698" s="3"/>
      <c r="BC698" s="3"/>
      <c r="BD698" s="3"/>
      <c r="BE698" s="3"/>
      <c r="BF698" s="3"/>
      <c r="BG698" s="316">
        <f t="shared" si="46"/>
        <v>4</v>
      </c>
      <c r="BH698" s="319">
        <f t="shared" si="48"/>
        <v>2.2857142857142857E-2</v>
      </c>
      <c r="BI698" s="320">
        <f t="shared" si="47"/>
        <v>6.8481173318290789E-3</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18</v>
      </c>
      <c r="BH699" s="319">
        <f t="shared" si="48"/>
        <v>0.10285714285714286</v>
      </c>
      <c r="BI699" s="320">
        <f t="shared" si="47"/>
        <v>5.1428571428571428E-2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17</v>
      </c>
      <c r="BH700" s="319">
        <f t="shared" si="48"/>
        <v>9.7142857142857142E-2</v>
      </c>
      <c r="BI700" s="320">
        <f t="shared" si="47"/>
        <v>5.8256945423776615E-2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437"/>
      <c r="K701" s="1437"/>
      <c r="L701" s="1437"/>
      <c r="M701" s="1437"/>
      <c r="N701" s="1437"/>
      <c r="O701" s="1437"/>
      <c r="P701" s="4" t="s">
        <v>207</v>
      </c>
      <c r="Q701" s="4"/>
      <c r="R701" s="1464"/>
      <c r="S701" s="1464"/>
      <c r="T701" s="146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94" t="s">
        <v>335</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83" t="s">
        <v>390</v>
      </c>
      <c r="C710" s="1484"/>
      <c r="D710" s="1484"/>
      <c r="E710" s="1484"/>
      <c r="F710" s="1485"/>
      <c r="G710" s="1483" t="s">
        <v>286</v>
      </c>
      <c r="H710" s="1484"/>
      <c r="I710" s="1484"/>
      <c r="J710" s="1485"/>
      <c r="K710" s="1498" t="s">
        <v>1939</v>
      </c>
      <c r="L710" s="1499"/>
      <c r="M710" s="1499"/>
      <c r="N710" s="1500"/>
      <c r="O710" s="1483" t="s">
        <v>456</v>
      </c>
      <c r="P710" s="1484"/>
      <c r="Q710" s="1484"/>
      <c r="R710" s="1484"/>
      <c r="S710" s="1485"/>
      <c r="T710" s="1572" t="s">
        <v>2336</v>
      </c>
      <c r="U710" s="1484"/>
      <c r="V710" s="1484"/>
      <c r="W710" s="1485"/>
      <c r="X710" s="1572" t="s">
        <v>2338</v>
      </c>
      <c r="Y710" s="1484"/>
      <c r="Z710" s="1484"/>
      <c r="AA710" s="1484"/>
      <c r="AB710" s="1485"/>
      <c r="AC710" s="1572" t="s">
        <v>2337</v>
      </c>
      <c r="AD710" s="1484"/>
      <c r="AE710" s="1484"/>
      <c r="AF710" s="1484"/>
      <c r="AG710" s="1485"/>
      <c r="AH710" s="1572" t="s">
        <v>2339</v>
      </c>
      <c r="AI710" s="1484"/>
      <c r="AJ710" s="1485"/>
      <c r="AK710" s="1572" t="s">
        <v>2373</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86"/>
      <c r="C711" s="1487"/>
      <c r="D711" s="1487"/>
      <c r="E711" s="1487"/>
      <c r="F711" s="1488"/>
      <c r="G711" s="1486"/>
      <c r="H711" s="1487"/>
      <c r="I711" s="1487"/>
      <c r="J711" s="1488"/>
      <c r="K711" s="1501"/>
      <c r="L711" s="1502"/>
      <c r="M711" s="1502"/>
      <c r="N711" s="1503"/>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486"/>
      <c r="C712" s="1487"/>
      <c r="D712" s="1487"/>
      <c r="E712" s="1487"/>
      <c r="F712" s="1488"/>
      <c r="G712" s="1486"/>
      <c r="H712" s="1487"/>
      <c r="I712" s="1487"/>
      <c r="J712" s="1488"/>
      <c r="K712" s="1501"/>
      <c r="L712" s="1502"/>
      <c r="M712" s="1502"/>
      <c r="N712" s="1503"/>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89"/>
      <c r="C713" s="1490"/>
      <c r="D713" s="1490"/>
      <c r="E713" s="1490"/>
      <c r="F713" s="1491"/>
      <c r="G713" s="1489"/>
      <c r="H713" s="1490"/>
      <c r="I713" s="1490"/>
      <c r="J713" s="1491"/>
      <c r="K713" s="1501"/>
      <c r="L713" s="1502"/>
      <c r="M713" s="1502"/>
      <c r="N713" s="1503"/>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79" t="s">
        <v>326</v>
      </c>
      <c r="C714" s="1380"/>
      <c r="D714" s="1380"/>
      <c r="E714" s="1380"/>
      <c r="F714" s="1381"/>
      <c r="G714" s="1480">
        <v>10</v>
      </c>
      <c r="H714" s="1481"/>
      <c r="I714" s="1481"/>
      <c r="J714" s="1482"/>
      <c r="K714" s="1477">
        <v>597</v>
      </c>
      <c r="L714" s="1478"/>
      <c r="M714" s="1478"/>
      <c r="N714" s="1479"/>
      <c r="O714" s="1474">
        <v>345</v>
      </c>
      <c r="P714" s="1475"/>
      <c r="Q714" s="1475"/>
      <c r="R714" s="1475"/>
      <c r="S714" s="1476"/>
      <c r="T714" s="1474">
        <v>93</v>
      </c>
      <c r="U714" s="1475"/>
      <c r="V714" s="1475"/>
      <c r="W714" s="1476"/>
      <c r="X714" s="1492">
        <f t="shared" ref="X714:X738" si="49">O714+T714</f>
        <v>438</v>
      </c>
      <c r="Y714" s="1493"/>
      <c r="Z714" s="1493"/>
      <c r="AA714" s="1493"/>
      <c r="AB714" s="1494"/>
      <c r="AC714" s="1573">
        <v>0.3</v>
      </c>
      <c r="AD714" s="1574"/>
      <c r="AE714" s="1574"/>
      <c r="AF714" s="1574"/>
      <c r="AG714" s="1575"/>
      <c r="AH714" s="1569">
        <f t="shared" ref="AH714:AH738" si="50">IF($AC714&gt;0,($X714/$BA656), " ")</f>
        <v>0.29958960328317374</v>
      </c>
      <c r="AI714" s="1570"/>
      <c r="AJ714" s="1571"/>
      <c r="AK714" s="1379" t="s">
        <v>600</v>
      </c>
      <c r="AL714" s="1380"/>
      <c r="AM714" s="1380"/>
      <c r="AN714" s="1380"/>
      <c r="AO714" s="1381"/>
      <c r="AP714" s="3"/>
      <c r="AQ714" s="3"/>
      <c r="AR714" s="3"/>
      <c r="AS714" s="3"/>
      <c r="AY714" s="1134"/>
      <c r="AZ714" s="1134"/>
      <c r="BA714" s="1134"/>
      <c r="BB714" s="1134"/>
      <c r="BC714" s="1134"/>
      <c r="BD714" s="3"/>
      <c r="BE714" s="3"/>
      <c r="BF714" s="3"/>
      <c r="BG714" s="895">
        <f>SUM(BG689:BG713)</f>
        <v>175</v>
      </c>
      <c r="BH714" s="322">
        <f>SUM(BH689:BH713)</f>
        <v>1.0000000000000002</v>
      </c>
      <c r="BI714" s="322">
        <f>SUM(BI689:BI713)</f>
        <v>0.49762378513409622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79" t="s">
        <v>326</v>
      </c>
      <c r="C715" s="1380"/>
      <c r="D715" s="1380"/>
      <c r="E715" s="1380"/>
      <c r="F715" s="1381"/>
      <c r="G715" s="1480">
        <v>8</v>
      </c>
      <c r="H715" s="1481"/>
      <c r="I715" s="1481"/>
      <c r="J715" s="1482"/>
      <c r="K715" s="1477">
        <v>597</v>
      </c>
      <c r="L715" s="1478"/>
      <c r="M715" s="1478"/>
      <c r="N715" s="1479"/>
      <c r="O715" s="1474">
        <v>345</v>
      </c>
      <c r="P715" s="1475"/>
      <c r="Q715" s="1475"/>
      <c r="R715" s="1475"/>
      <c r="S715" s="1476"/>
      <c r="T715" s="1474">
        <v>93</v>
      </c>
      <c r="U715" s="1475"/>
      <c r="V715" s="1475"/>
      <c r="W715" s="1476"/>
      <c r="X715" s="1492">
        <f t="shared" si="49"/>
        <v>438</v>
      </c>
      <c r="Y715" s="1493"/>
      <c r="Z715" s="1493"/>
      <c r="AA715" s="1493"/>
      <c r="AB715" s="1494"/>
      <c r="AC715" s="1573">
        <v>0.3</v>
      </c>
      <c r="AD715" s="1574"/>
      <c r="AE715" s="1574"/>
      <c r="AF715" s="1574"/>
      <c r="AG715" s="1575"/>
      <c r="AH715" s="1569">
        <f t="shared" si="50"/>
        <v>0.29958960328317374</v>
      </c>
      <c r="AI715" s="1570"/>
      <c r="AJ715" s="1571"/>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79" t="s">
        <v>326</v>
      </c>
      <c r="C716" s="1380"/>
      <c r="D716" s="1380"/>
      <c r="E716" s="1380"/>
      <c r="F716" s="1381"/>
      <c r="G716" s="1480">
        <v>35</v>
      </c>
      <c r="H716" s="1481"/>
      <c r="I716" s="1481"/>
      <c r="J716" s="1482"/>
      <c r="K716" s="1477">
        <v>597</v>
      </c>
      <c r="L716" s="1478"/>
      <c r="M716" s="1478"/>
      <c r="N716" s="1479"/>
      <c r="O716" s="1474">
        <v>638</v>
      </c>
      <c r="P716" s="1475"/>
      <c r="Q716" s="1475"/>
      <c r="R716" s="1475"/>
      <c r="S716" s="1476"/>
      <c r="T716" s="1474">
        <v>93</v>
      </c>
      <c r="U716" s="1475"/>
      <c r="V716" s="1475"/>
      <c r="W716" s="1476"/>
      <c r="X716" s="1492">
        <f t="shared" si="49"/>
        <v>731</v>
      </c>
      <c r="Y716" s="1493"/>
      <c r="Z716" s="1493"/>
      <c r="AA716" s="1493"/>
      <c r="AB716" s="1494"/>
      <c r="AC716" s="1573">
        <v>0.5</v>
      </c>
      <c r="AD716" s="1574"/>
      <c r="AE716" s="1574"/>
      <c r="AF716" s="1574"/>
      <c r="AG716" s="1575"/>
      <c r="AH716" s="1569">
        <f t="shared" si="50"/>
        <v>0.5</v>
      </c>
      <c r="AI716" s="1570"/>
      <c r="AJ716" s="1571"/>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79" t="s">
        <v>326</v>
      </c>
      <c r="C717" s="1380"/>
      <c r="D717" s="1380"/>
      <c r="E717" s="1380"/>
      <c r="F717" s="1381"/>
      <c r="G717" s="1480">
        <v>34</v>
      </c>
      <c r="H717" s="1481"/>
      <c r="I717" s="1481"/>
      <c r="J717" s="1482"/>
      <c r="K717" s="1477">
        <v>597</v>
      </c>
      <c r="L717" s="1478"/>
      <c r="M717" s="1478"/>
      <c r="N717" s="1479"/>
      <c r="O717" s="1474">
        <v>784</v>
      </c>
      <c r="P717" s="1475"/>
      <c r="Q717" s="1475"/>
      <c r="R717" s="1475"/>
      <c r="S717" s="1476"/>
      <c r="T717" s="1474">
        <v>93</v>
      </c>
      <c r="U717" s="1475"/>
      <c r="V717" s="1475"/>
      <c r="W717" s="1476"/>
      <c r="X717" s="1492">
        <f t="shared" si="49"/>
        <v>877</v>
      </c>
      <c r="Y717" s="1493"/>
      <c r="Z717" s="1493"/>
      <c r="AA717" s="1493"/>
      <c r="AB717" s="1494"/>
      <c r="AC717" s="1573">
        <v>0.6</v>
      </c>
      <c r="AD717" s="1574"/>
      <c r="AE717" s="1574"/>
      <c r="AF717" s="1574"/>
      <c r="AG717" s="1575"/>
      <c r="AH717" s="1569">
        <f t="shared" si="50"/>
        <v>0.59986320109439129</v>
      </c>
      <c r="AI717" s="1570"/>
      <c r="AJ717" s="1571"/>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79" t="s">
        <v>164</v>
      </c>
      <c r="C718" s="1380"/>
      <c r="D718" s="1380"/>
      <c r="E718" s="1380"/>
      <c r="F718" s="1381"/>
      <c r="G718" s="1480">
        <v>5</v>
      </c>
      <c r="H718" s="1481"/>
      <c r="I718" s="1481"/>
      <c r="J718" s="1482"/>
      <c r="K718" s="1477">
        <v>805</v>
      </c>
      <c r="L718" s="1478"/>
      <c r="M718" s="1478"/>
      <c r="N718" s="1479"/>
      <c r="O718" s="1474">
        <v>396</v>
      </c>
      <c r="P718" s="1475"/>
      <c r="Q718" s="1475"/>
      <c r="R718" s="1475"/>
      <c r="S718" s="1476"/>
      <c r="T718" s="1474">
        <v>130</v>
      </c>
      <c r="U718" s="1475"/>
      <c r="V718" s="1475"/>
      <c r="W718" s="1476"/>
      <c r="X718" s="1492">
        <f t="shared" si="49"/>
        <v>526</v>
      </c>
      <c r="Y718" s="1493"/>
      <c r="Z718" s="1493"/>
      <c r="AA718" s="1493"/>
      <c r="AB718" s="1494"/>
      <c r="AC718" s="1573">
        <v>0.3</v>
      </c>
      <c r="AD718" s="1574"/>
      <c r="AE718" s="1574"/>
      <c r="AF718" s="1574"/>
      <c r="AG718" s="1575"/>
      <c r="AH718" s="1569">
        <f t="shared" si="50"/>
        <v>0.29988597491448121</v>
      </c>
      <c r="AI718" s="1570"/>
      <c r="AJ718" s="1571"/>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79" t="s">
        <v>164</v>
      </c>
      <c r="C719" s="1380"/>
      <c r="D719" s="1380"/>
      <c r="E719" s="1380"/>
      <c r="F719" s="1381"/>
      <c r="G719" s="1480">
        <v>4</v>
      </c>
      <c r="H719" s="1481"/>
      <c r="I719" s="1481"/>
      <c r="J719" s="1482"/>
      <c r="K719" s="1477">
        <v>805</v>
      </c>
      <c r="L719" s="1478"/>
      <c r="M719" s="1478"/>
      <c r="N719" s="1479"/>
      <c r="O719" s="1474">
        <v>396</v>
      </c>
      <c r="P719" s="1475"/>
      <c r="Q719" s="1475"/>
      <c r="R719" s="1475"/>
      <c r="S719" s="1476"/>
      <c r="T719" s="1474">
        <v>130</v>
      </c>
      <c r="U719" s="1475"/>
      <c r="V719" s="1475"/>
      <c r="W719" s="1476"/>
      <c r="X719" s="1492">
        <f t="shared" si="49"/>
        <v>526</v>
      </c>
      <c r="Y719" s="1493"/>
      <c r="Z719" s="1493"/>
      <c r="AA719" s="1493"/>
      <c r="AB719" s="1494"/>
      <c r="AC719" s="1573">
        <v>0.3</v>
      </c>
      <c r="AD719" s="1574"/>
      <c r="AE719" s="1574"/>
      <c r="AF719" s="1574"/>
      <c r="AG719" s="1575"/>
      <c r="AH719" s="1569">
        <f t="shared" si="50"/>
        <v>0.29988597491448121</v>
      </c>
      <c r="AI719" s="1570"/>
      <c r="AJ719" s="1571"/>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79" t="s">
        <v>164</v>
      </c>
      <c r="C720" s="1380"/>
      <c r="D720" s="1380"/>
      <c r="E720" s="1380"/>
      <c r="F720" s="1381"/>
      <c r="G720" s="1480">
        <v>18</v>
      </c>
      <c r="H720" s="1481"/>
      <c r="I720" s="1481"/>
      <c r="J720" s="1482"/>
      <c r="K720" s="1477">
        <v>805</v>
      </c>
      <c r="L720" s="1478"/>
      <c r="M720" s="1478"/>
      <c r="N720" s="1479"/>
      <c r="O720" s="1474">
        <v>747</v>
      </c>
      <c r="P720" s="1475"/>
      <c r="Q720" s="1475"/>
      <c r="R720" s="1475"/>
      <c r="S720" s="1476"/>
      <c r="T720" s="1474">
        <v>130</v>
      </c>
      <c r="U720" s="1475"/>
      <c r="V720" s="1475"/>
      <c r="W720" s="1476"/>
      <c r="X720" s="1492">
        <f t="shared" si="49"/>
        <v>877</v>
      </c>
      <c r="Y720" s="1493"/>
      <c r="Z720" s="1493"/>
      <c r="AA720" s="1493"/>
      <c r="AB720" s="1494"/>
      <c r="AC720" s="1573">
        <v>0.5</v>
      </c>
      <c r="AD720" s="1574"/>
      <c r="AE720" s="1574"/>
      <c r="AF720" s="1574"/>
      <c r="AG720" s="1575"/>
      <c r="AH720" s="1569">
        <f t="shared" si="50"/>
        <v>0.5</v>
      </c>
      <c r="AI720" s="1570"/>
      <c r="AJ720" s="1571"/>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79" t="s">
        <v>164</v>
      </c>
      <c r="C721" s="1380"/>
      <c r="D721" s="1380"/>
      <c r="E721" s="1380"/>
      <c r="F721" s="1381"/>
      <c r="G721" s="1480">
        <v>17</v>
      </c>
      <c r="H721" s="1481"/>
      <c r="I721" s="1481"/>
      <c r="J721" s="1482"/>
      <c r="K721" s="1477">
        <v>805</v>
      </c>
      <c r="L721" s="1478"/>
      <c r="M721" s="1478"/>
      <c r="N721" s="1479"/>
      <c r="O721" s="1474">
        <v>923</v>
      </c>
      <c r="P721" s="1475"/>
      <c r="Q721" s="1475"/>
      <c r="R721" s="1475"/>
      <c r="S721" s="1476"/>
      <c r="T721" s="1474">
        <v>130</v>
      </c>
      <c r="U721" s="1475"/>
      <c r="V721" s="1475"/>
      <c r="W721" s="1476"/>
      <c r="X721" s="1492">
        <f t="shared" si="49"/>
        <v>1053</v>
      </c>
      <c r="Y721" s="1493"/>
      <c r="Z721" s="1493"/>
      <c r="AA721" s="1493"/>
      <c r="AB721" s="1494"/>
      <c r="AC721" s="1573">
        <v>0.6</v>
      </c>
      <c r="AD721" s="1574"/>
      <c r="AE721" s="1574"/>
      <c r="AF721" s="1574"/>
      <c r="AG721" s="1575"/>
      <c r="AH721" s="1569">
        <f t="shared" si="50"/>
        <v>0.60034207525655647</v>
      </c>
      <c r="AI721" s="1570"/>
      <c r="AJ721" s="1571"/>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79" t="s">
        <v>165</v>
      </c>
      <c r="C722" s="1380"/>
      <c r="D722" s="1380"/>
      <c r="E722" s="1380"/>
      <c r="F722" s="1381"/>
      <c r="G722" s="1480">
        <v>5</v>
      </c>
      <c r="H722" s="1481"/>
      <c r="I722" s="1481"/>
      <c r="J722" s="1482"/>
      <c r="K722" s="1477">
        <v>1090</v>
      </c>
      <c r="L722" s="1478"/>
      <c r="M722" s="1478"/>
      <c r="N722" s="1479"/>
      <c r="O722" s="1474">
        <v>444</v>
      </c>
      <c r="P722" s="1475"/>
      <c r="Q722" s="1475"/>
      <c r="R722" s="1475"/>
      <c r="S722" s="1476"/>
      <c r="T722" s="1474">
        <v>163</v>
      </c>
      <c r="U722" s="1475"/>
      <c r="V722" s="1475"/>
      <c r="W722" s="1476"/>
      <c r="X722" s="1492">
        <f t="shared" si="49"/>
        <v>607</v>
      </c>
      <c r="Y722" s="1493"/>
      <c r="Z722" s="1493"/>
      <c r="AA722" s="1493"/>
      <c r="AB722" s="1494"/>
      <c r="AC722" s="1573">
        <v>0.3</v>
      </c>
      <c r="AD722" s="1574"/>
      <c r="AE722" s="1574"/>
      <c r="AF722" s="1574"/>
      <c r="AG722" s="1575"/>
      <c r="AH722" s="1569">
        <f t="shared" si="50"/>
        <v>0.29960513326752219</v>
      </c>
      <c r="AI722" s="1570"/>
      <c r="AJ722" s="1571"/>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79" t="s">
        <v>165</v>
      </c>
      <c r="C723" s="1380"/>
      <c r="D723" s="1380"/>
      <c r="E723" s="1380"/>
      <c r="F723" s="1381"/>
      <c r="G723" s="1480">
        <v>4</v>
      </c>
      <c r="H723" s="1481"/>
      <c r="I723" s="1481"/>
      <c r="J723" s="1482"/>
      <c r="K723" s="1477">
        <v>1090</v>
      </c>
      <c r="L723" s="1478"/>
      <c r="M723" s="1478"/>
      <c r="N723" s="1479"/>
      <c r="O723" s="1474">
        <v>444</v>
      </c>
      <c r="P723" s="1475"/>
      <c r="Q723" s="1475"/>
      <c r="R723" s="1475"/>
      <c r="S723" s="1476"/>
      <c r="T723" s="1474">
        <v>163</v>
      </c>
      <c r="U723" s="1475"/>
      <c r="V723" s="1475"/>
      <c r="W723" s="1476"/>
      <c r="X723" s="1492">
        <f t="shared" si="49"/>
        <v>607</v>
      </c>
      <c r="Y723" s="1493"/>
      <c r="Z723" s="1493"/>
      <c r="AA723" s="1493"/>
      <c r="AB723" s="1494"/>
      <c r="AC723" s="1573">
        <v>0.3</v>
      </c>
      <c r="AD723" s="1574"/>
      <c r="AE723" s="1574"/>
      <c r="AF723" s="1574"/>
      <c r="AG723" s="1575"/>
      <c r="AH723" s="1569">
        <f t="shared" si="50"/>
        <v>0.29960513326752219</v>
      </c>
      <c r="AI723" s="1570"/>
      <c r="AJ723" s="1571"/>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79" t="s">
        <v>165</v>
      </c>
      <c r="C724" s="1380"/>
      <c r="D724" s="1380"/>
      <c r="E724" s="1380"/>
      <c r="F724" s="1381"/>
      <c r="G724" s="1480">
        <v>18</v>
      </c>
      <c r="H724" s="1481"/>
      <c r="I724" s="1481"/>
      <c r="J724" s="1482"/>
      <c r="K724" s="1477">
        <v>1090</v>
      </c>
      <c r="L724" s="1478"/>
      <c r="M724" s="1478"/>
      <c r="N724" s="1479"/>
      <c r="O724" s="1474">
        <v>850</v>
      </c>
      <c r="P724" s="1475"/>
      <c r="Q724" s="1475"/>
      <c r="R724" s="1475"/>
      <c r="S724" s="1476"/>
      <c r="T724" s="1474">
        <v>163</v>
      </c>
      <c r="U724" s="1475"/>
      <c r="V724" s="1475"/>
      <c r="W724" s="1476"/>
      <c r="X724" s="1492">
        <f t="shared" si="49"/>
        <v>1013</v>
      </c>
      <c r="Y724" s="1493"/>
      <c r="Z724" s="1493"/>
      <c r="AA724" s="1493"/>
      <c r="AB724" s="1494"/>
      <c r="AC724" s="1573">
        <v>0.5</v>
      </c>
      <c r="AD724" s="1574"/>
      <c r="AE724" s="1574"/>
      <c r="AF724" s="1574"/>
      <c r="AG724" s="1575"/>
      <c r="AH724" s="1569">
        <f t="shared" si="50"/>
        <v>0.5</v>
      </c>
      <c r="AI724" s="1570"/>
      <c r="AJ724" s="1571"/>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79" t="s">
        <v>165</v>
      </c>
      <c r="C725" s="1380"/>
      <c r="D725" s="1380"/>
      <c r="E725" s="1380"/>
      <c r="F725" s="1381"/>
      <c r="G725" s="1480">
        <v>17</v>
      </c>
      <c r="H725" s="1481"/>
      <c r="I725" s="1481"/>
      <c r="J725" s="1482"/>
      <c r="K725" s="1477">
        <v>1090</v>
      </c>
      <c r="L725" s="1478"/>
      <c r="M725" s="1478"/>
      <c r="N725" s="1479"/>
      <c r="O725" s="1474">
        <v>1052</v>
      </c>
      <c r="P725" s="1475"/>
      <c r="Q725" s="1475"/>
      <c r="R725" s="1475"/>
      <c r="S725" s="1476"/>
      <c r="T725" s="1474">
        <v>163</v>
      </c>
      <c r="U725" s="1475"/>
      <c r="V725" s="1475"/>
      <c r="W725" s="1476"/>
      <c r="X725" s="1492">
        <f t="shared" si="49"/>
        <v>1215</v>
      </c>
      <c r="Y725" s="1493"/>
      <c r="Z725" s="1493"/>
      <c r="AA725" s="1493"/>
      <c r="AB725" s="1494"/>
      <c r="AC725" s="1573">
        <v>0.6</v>
      </c>
      <c r="AD725" s="1574"/>
      <c r="AE725" s="1574"/>
      <c r="AF725" s="1574"/>
      <c r="AG725" s="1575"/>
      <c r="AH725" s="1569">
        <f t="shared" si="50"/>
        <v>0.59970384995064163</v>
      </c>
      <c r="AI725" s="1570"/>
      <c r="AJ725" s="1571"/>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79"/>
      <c r="C726" s="1380"/>
      <c r="D726" s="1380"/>
      <c r="E726" s="1380"/>
      <c r="F726" s="1381"/>
      <c r="G726" s="1480"/>
      <c r="H726" s="1481"/>
      <c r="I726" s="1481"/>
      <c r="J726" s="1482"/>
      <c r="K726" s="1477"/>
      <c r="L726" s="1478"/>
      <c r="M726" s="1478"/>
      <c r="N726" s="1479"/>
      <c r="O726" s="1474"/>
      <c r="P726" s="1475"/>
      <c r="Q726" s="1475"/>
      <c r="R726" s="1475"/>
      <c r="S726" s="1476"/>
      <c r="T726" s="1474"/>
      <c r="U726" s="1475"/>
      <c r="V726" s="1475"/>
      <c r="W726" s="1476"/>
      <c r="X726" s="1492">
        <f t="shared" si="49"/>
        <v>0</v>
      </c>
      <c r="Y726" s="1493"/>
      <c r="Z726" s="1493"/>
      <c r="AA726" s="1493"/>
      <c r="AB726" s="1494"/>
      <c r="AC726" s="1573"/>
      <c r="AD726" s="1574"/>
      <c r="AE726" s="1574"/>
      <c r="AF726" s="1574"/>
      <c r="AG726" s="1575"/>
      <c r="AH726" s="1569" t="str">
        <f t="shared" si="50"/>
        <v xml:space="preserve"> </v>
      </c>
      <c r="AI726" s="1570"/>
      <c r="AJ726" s="1571"/>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79"/>
      <c r="C727" s="1380"/>
      <c r="D727" s="1380"/>
      <c r="E727" s="1380"/>
      <c r="F727" s="1381"/>
      <c r="G727" s="1480"/>
      <c r="H727" s="1481"/>
      <c r="I727" s="1481"/>
      <c r="J727" s="1482"/>
      <c r="K727" s="1477"/>
      <c r="L727" s="1478"/>
      <c r="M727" s="1478"/>
      <c r="N727" s="1479"/>
      <c r="O727" s="1474"/>
      <c r="P727" s="1475"/>
      <c r="Q727" s="1475"/>
      <c r="R727" s="1475"/>
      <c r="S727" s="1476"/>
      <c r="T727" s="1474"/>
      <c r="U727" s="1475"/>
      <c r="V727" s="1475"/>
      <c r="W727" s="1476"/>
      <c r="X727" s="1492">
        <f t="shared" si="49"/>
        <v>0</v>
      </c>
      <c r="Y727" s="1493"/>
      <c r="Z727" s="1493"/>
      <c r="AA727" s="1493"/>
      <c r="AB727" s="1494"/>
      <c r="AC727" s="1573">
        <v>0</v>
      </c>
      <c r="AD727" s="1574"/>
      <c r="AE727" s="1574"/>
      <c r="AF727" s="1574"/>
      <c r="AG727" s="1575"/>
      <c r="AH727" s="1569" t="str">
        <f t="shared" si="50"/>
        <v xml:space="preserve"> </v>
      </c>
      <c r="AI727" s="1570"/>
      <c r="AJ727" s="1571"/>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79"/>
      <c r="C728" s="1380"/>
      <c r="D728" s="1380"/>
      <c r="E728" s="1380"/>
      <c r="F728" s="1381"/>
      <c r="G728" s="1480"/>
      <c r="H728" s="1481"/>
      <c r="I728" s="1481"/>
      <c r="J728" s="1482"/>
      <c r="K728" s="1477"/>
      <c r="L728" s="1478"/>
      <c r="M728" s="1478"/>
      <c r="N728" s="1479"/>
      <c r="O728" s="1474"/>
      <c r="P728" s="1475"/>
      <c r="Q728" s="1475"/>
      <c r="R728" s="1475"/>
      <c r="S728" s="1476"/>
      <c r="T728" s="1474"/>
      <c r="U728" s="1475"/>
      <c r="V728" s="1475"/>
      <c r="W728" s="1476"/>
      <c r="X728" s="1492">
        <f t="shared" si="49"/>
        <v>0</v>
      </c>
      <c r="Y728" s="1493"/>
      <c r="Z728" s="1493"/>
      <c r="AA728" s="1493"/>
      <c r="AB728" s="1494"/>
      <c r="AC728" s="1573">
        <v>0</v>
      </c>
      <c r="AD728" s="1574"/>
      <c r="AE728" s="1574"/>
      <c r="AF728" s="1574"/>
      <c r="AG728" s="1575"/>
      <c r="AH728" s="1569" t="str">
        <f t="shared" si="50"/>
        <v xml:space="preserve"> </v>
      </c>
      <c r="AI728" s="1570"/>
      <c r="AJ728" s="1571"/>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79"/>
      <c r="C729" s="1380"/>
      <c r="D729" s="1380"/>
      <c r="E729" s="1380"/>
      <c r="F729" s="1381"/>
      <c r="G729" s="1480"/>
      <c r="H729" s="1481"/>
      <c r="I729" s="1481"/>
      <c r="J729" s="1482"/>
      <c r="K729" s="1477"/>
      <c r="L729" s="1478"/>
      <c r="M729" s="1478"/>
      <c r="N729" s="1479"/>
      <c r="O729" s="1474"/>
      <c r="P729" s="1475"/>
      <c r="Q729" s="1475"/>
      <c r="R729" s="1475"/>
      <c r="S729" s="1476"/>
      <c r="T729" s="1474"/>
      <c r="U729" s="1475"/>
      <c r="V729" s="1475"/>
      <c r="W729" s="1476"/>
      <c r="X729" s="1492">
        <f t="shared" si="49"/>
        <v>0</v>
      </c>
      <c r="Y729" s="1493"/>
      <c r="Z729" s="1493"/>
      <c r="AA729" s="1493"/>
      <c r="AB729" s="1494"/>
      <c r="AC729" s="1573">
        <v>0</v>
      </c>
      <c r="AD729" s="1574"/>
      <c r="AE729" s="1574"/>
      <c r="AF729" s="1574"/>
      <c r="AG729" s="1575"/>
      <c r="AH729" s="1569" t="str">
        <f t="shared" si="50"/>
        <v xml:space="preserve"> </v>
      </c>
      <c r="AI729" s="1570"/>
      <c r="AJ729" s="1571"/>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79"/>
      <c r="C730" s="1380"/>
      <c r="D730" s="1380"/>
      <c r="E730" s="1380"/>
      <c r="F730" s="1381"/>
      <c r="G730" s="1480"/>
      <c r="H730" s="1481"/>
      <c r="I730" s="1481"/>
      <c r="J730" s="1482"/>
      <c r="K730" s="1477"/>
      <c r="L730" s="1478"/>
      <c r="M730" s="1478"/>
      <c r="N730" s="1479"/>
      <c r="O730" s="1474"/>
      <c r="P730" s="1475"/>
      <c r="Q730" s="1475"/>
      <c r="R730" s="1475"/>
      <c r="S730" s="1476"/>
      <c r="T730" s="1474"/>
      <c r="U730" s="1475"/>
      <c r="V730" s="1475"/>
      <c r="W730" s="1476"/>
      <c r="X730" s="1492">
        <f t="shared" si="49"/>
        <v>0</v>
      </c>
      <c r="Y730" s="1493"/>
      <c r="Z730" s="1493"/>
      <c r="AA730" s="1493"/>
      <c r="AB730" s="1494"/>
      <c r="AC730" s="1573">
        <v>0</v>
      </c>
      <c r="AD730" s="1574"/>
      <c r="AE730" s="1574"/>
      <c r="AF730" s="1574"/>
      <c r="AG730" s="1575"/>
      <c r="AH730" s="1569" t="str">
        <f t="shared" si="50"/>
        <v xml:space="preserve"> </v>
      </c>
      <c r="AI730" s="1570"/>
      <c r="AJ730" s="1571"/>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79"/>
      <c r="C731" s="1380"/>
      <c r="D731" s="1380"/>
      <c r="E731" s="1380"/>
      <c r="F731" s="1381"/>
      <c r="G731" s="1480"/>
      <c r="H731" s="1481"/>
      <c r="I731" s="1481"/>
      <c r="J731" s="1482"/>
      <c r="K731" s="1477"/>
      <c r="L731" s="1478"/>
      <c r="M731" s="1478"/>
      <c r="N731" s="1479"/>
      <c r="O731" s="1474"/>
      <c r="P731" s="1475"/>
      <c r="Q731" s="1475"/>
      <c r="R731" s="1475"/>
      <c r="S731" s="1476"/>
      <c r="T731" s="1474"/>
      <c r="U731" s="1475"/>
      <c r="V731" s="1475"/>
      <c r="W731" s="1476"/>
      <c r="X731" s="1492">
        <f t="shared" si="49"/>
        <v>0</v>
      </c>
      <c r="Y731" s="1493"/>
      <c r="Z731" s="1493"/>
      <c r="AA731" s="1493"/>
      <c r="AB731" s="1494"/>
      <c r="AC731" s="1573">
        <v>0</v>
      </c>
      <c r="AD731" s="1574"/>
      <c r="AE731" s="1574"/>
      <c r="AF731" s="1574"/>
      <c r="AG731" s="1575"/>
      <c r="AH731" s="1569" t="str">
        <f t="shared" si="50"/>
        <v xml:space="preserve"> </v>
      </c>
      <c r="AI731" s="1570"/>
      <c r="AJ731" s="1571"/>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79"/>
      <c r="C732" s="1380"/>
      <c r="D732" s="1380"/>
      <c r="E732" s="1380"/>
      <c r="F732" s="1381"/>
      <c r="G732" s="1480"/>
      <c r="H732" s="1481"/>
      <c r="I732" s="1481"/>
      <c r="J732" s="1482"/>
      <c r="K732" s="1477"/>
      <c r="L732" s="1478"/>
      <c r="M732" s="1478"/>
      <c r="N732" s="1479"/>
      <c r="O732" s="1474"/>
      <c r="P732" s="1475"/>
      <c r="Q732" s="1475"/>
      <c r="R732" s="1475"/>
      <c r="S732" s="1476"/>
      <c r="T732" s="1474"/>
      <c r="U732" s="1475"/>
      <c r="V732" s="1475"/>
      <c r="W732" s="1476"/>
      <c r="X732" s="1492">
        <f t="shared" si="49"/>
        <v>0</v>
      </c>
      <c r="Y732" s="1493"/>
      <c r="Z732" s="1493"/>
      <c r="AA732" s="1493"/>
      <c r="AB732" s="1494"/>
      <c r="AC732" s="1573">
        <v>0</v>
      </c>
      <c r="AD732" s="1574"/>
      <c r="AE732" s="1574"/>
      <c r="AF732" s="1574"/>
      <c r="AG732" s="1575"/>
      <c r="AH732" s="1569" t="str">
        <f t="shared" si="50"/>
        <v xml:space="preserve"> </v>
      </c>
      <c r="AI732" s="1570"/>
      <c r="AJ732" s="1571"/>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79"/>
      <c r="C733" s="1380"/>
      <c r="D733" s="1380"/>
      <c r="E733" s="1380"/>
      <c r="F733" s="1381"/>
      <c r="G733" s="1480"/>
      <c r="H733" s="1481"/>
      <c r="I733" s="1481"/>
      <c r="J733" s="1482"/>
      <c r="K733" s="1477"/>
      <c r="L733" s="1478"/>
      <c r="M733" s="1478"/>
      <c r="N733" s="1479"/>
      <c r="O733" s="1474"/>
      <c r="P733" s="1475"/>
      <c r="Q733" s="1475"/>
      <c r="R733" s="1475"/>
      <c r="S733" s="1476"/>
      <c r="T733" s="1474"/>
      <c r="U733" s="1475"/>
      <c r="V733" s="1475"/>
      <c r="W733" s="1476"/>
      <c r="X733" s="1492">
        <f t="shared" si="49"/>
        <v>0</v>
      </c>
      <c r="Y733" s="1493"/>
      <c r="Z733" s="1493"/>
      <c r="AA733" s="1493"/>
      <c r="AB733" s="1494"/>
      <c r="AC733" s="1573">
        <v>0</v>
      </c>
      <c r="AD733" s="1574"/>
      <c r="AE733" s="1574"/>
      <c r="AF733" s="1574"/>
      <c r="AG733" s="1575"/>
      <c r="AH733" s="1569" t="str">
        <f t="shared" si="50"/>
        <v xml:space="preserve"> </v>
      </c>
      <c r="AI733" s="1570"/>
      <c r="AJ733" s="1571"/>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79"/>
      <c r="C734" s="1380"/>
      <c r="D734" s="1380"/>
      <c r="E734" s="1380"/>
      <c r="F734" s="1381"/>
      <c r="G734" s="1480"/>
      <c r="H734" s="1481"/>
      <c r="I734" s="1481"/>
      <c r="J734" s="1482"/>
      <c r="K734" s="1477"/>
      <c r="L734" s="1478"/>
      <c r="M734" s="1478"/>
      <c r="N734" s="1479"/>
      <c r="O734" s="1474"/>
      <c r="P734" s="1475"/>
      <c r="Q734" s="1475"/>
      <c r="R734" s="1475"/>
      <c r="S734" s="1476"/>
      <c r="T734" s="1474"/>
      <c r="U734" s="1475"/>
      <c r="V734" s="1475"/>
      <c r="W734" s="1476"/>
      <c r="X734" s="1492">
        <f t="shared" si="49"/>
        <v>0</v>
      </c>
      <c r="Y734" s="1493"/>
      <c r="Z734" s="1493"/>
      <c r="AA734" s="1493"/>
      <c r="AB734" s="1494"/>
      <c r="AC734" s="1573">
        <v>0</v>
      </c>
      <c r="AD734" s="1574"/>
      <c r="AE734" s="1574"/>
      <c r="AF734" s="1574"/>
      <c r="AG734" s="1575"/>
      <c r="AH734" s="1569" t="str">
        <f t="shared" si="50"/>
        <v xml:space="preserve"> </v>
      </c>
      <c r="AI734" s="1570"/>
      <c r="AJ734" s="1571"/>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79"/>
      <c r="C735" s="1380"/>
      <c r="D735" s="1380"/>
      <c r="E735" s="1380"/>
      <c r="F735" s="1381"/>
      <c r="G735" s="1480"/>
      <c r="H735" s="1481"/>
      <c r="I735" s="1481"/>
      <c r="J735" s="1482"/>
      <c r="K735" s="1477"/>
      <c r="L735" s="1478"/>
      <c r="M735" s="1478"/>
      <c r="N735" s="1479"/>
      <c r="O735" s="1474"/>
      <c r="P735" s="1475"/>
      <c r="Q735" s="1475"/>
      <c r="R735" s="1475"/>
      <c r="S735" s="1476"/>
      <c r="T735" s="1474"/>
      <c r="U735" s="1475"/>
      <c r="V735" s="1475"/>
      <c r="W735" s="1476"/>
      <c r="X735" s="1492">
        <f t="shared" si="49"/>
        <v>0</v>
      </c>
      <c r="Y735" s="1493"/>
      <c r="Z735" s="1493"/>
      <c r="AA735" s="1493"/>
      <c r="AB735" s="1494"/>
      <c r="AC735" s="1573">
        <v>0</v>
      </c>
      <c r="AD735" s="1574"/>
      <c r="AE735" s="1574"/>
      <c r="AF735" s="1574"/>
      <c r="AG735" s="1575"/>
      <c r="AH735" s="1569" t="str">
        <f t="shared" si="50"/>
        <v xml:space="preserve"> </v>
      </c>
      <c r="AI735" s="1570"/>
      <c r="AJ735" s="1571"/>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79"/>
      <c r="C736" s="1380"/>
      <c r="D736" s="1380"/>
      <c r="E736" s="1380"/>
      <c r="F736" s="1381"/>
      <c r="G736" s="1480"/>
      <c r="H736" s="1481"/>
      <c r="I736" s="1481"/>
      <c r="J736" s="1482"/>
      <c r="K736" s="1477"/>
      <c r="L736" s="1478"/>
      <c r="M736" s="1478"/>
      <c r="N736" s="1479"/>
      <c r="O736" s="1474"/>
      <c r="P736" s="1475"/>
      <c r="Q736" s="1475"/>
      <c r="R736" s="1475"/>
      <c r="S736" s="1476"/>
      <c r="T736" s="1474"/>
      <c r="U736" s="1475"/>
      <c r="V736" s="1475"/>
      <c r="W736" s="1476"/>
      <c r="X736" s="1492">
        <f t="shared" si="49"/>
        <v>0</v>
      </c>
      <c r="Y736" s="1493"/>
      <c r="Z736" s="1493"/>
      <c r="AA736" s="1493"/>
      <c r="AB736" s="1494"/>
      <c r="AC736" s="1573">
        <v>0</v>
      </c>
      <c r="AD736" s="1574"/>
      <c r="AE736" s="1574"/>
      <c r="AF736" s="1574"/>
      <c r="AG736" s="1575"/>
      <c r="AH736" s="1569" t="str">
        <f t="shared" si="50"/>
        <v xml:space="preserve"> </v>
      </c>
      <c r="AI736" s="1570"/>
      <c r="AJ736" s="1571"/>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79"/>
      <c r="C737" s="1380"/>
      <c r="D737" s="1380"/>
      <c r="E737" s="1380"/>
      <c r="F737" s="1381"/>
      <c r="G737" s="1480"/>
      <c r="H737" s="1481"/>
      <c r="I737" s="1481"/>
      <c r="J737" s="1482"/>
      <c r="K737" s="1477"/>
      <c r="L737" s="1478"/>
      <c r="M737" s="1478"/>
      <c r="N737" s="1479"/>
      <c r="O737" s="1474"/>
      <c r="P737" s="1475"/>
      <c r="Q737" s="1475"/>
      <c r="R737" s="1475"/>
      <c r="S737" s="1476"/>
      <c r="T737" s="1474"/>
      <c r="U737" s="1475"/>
      <c r="V737" s="1475"/>
      <c r="W737" s="1476"/>
      <c r="X737" s="1492">
        <f t="shared" si="49"/>
        <v>0</v>
      </c>
      <c r="Y737" s="1493"/>
      <c r="Z737" s="1493"/>
      <c r="AA737" s="1493"/>
      <c r="AB737" s="1494"/>
      <c r="AC737" s="1573">
        <v>0</v>
      </c>
      <c r="AD737" s="1574"/>
      <c r="AE737" s="1574"/>
      <c r="AF737" s="1574"/>
      <c r="AG737" s="1575"/>
      <c r="AH737" s="1569" t="str">
        <f t="shared" si="50"/>
        <v xml:space="preserve"> </v>
      </c>
      <c r="AI737" s="1570"/>
      <c r="AJ737" s="1571"/>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79"/>
      <c r="C738" s="1380"/>
      <c r="D738" s="1380"/>
      <c r="E738" s="1380"/>
      <c r="F738" s="1381"/>
      <c r="G738" s="1480"/>
      <c r="H738" s="1481"/>
      <c r="I738" s="1481"/>
      <c r="J738" s="1482"/>
      <c r="K738" s="1477"/>
      <c r="L738" s="1478"/>
      <c r="M738" s="1478"/>
      <c r="N738" s="1479"/>
      <c r="O738" s="1474"/>
      <c r="P738" s="1475"/>
      <c r="Q738" s="1475"/>
      <c r="R738" s="1475"/>
      <c r="S738" s="1476"/>
      <c r="T738" s="1474"/>
      <c r="U738" s="1475"/>
      <c r="V738" s="1475"/>
      <c r="W738" s="1476"/>
      <c r="X738" s="1492">
        <f t="shared" si="49"/>
        <v>0</v>
      </c>
      <c r="Y738" s="1493"/>
      <c r="Z738" s="1493"/>
      <c r="AA738" s="1493"/>
      <c r="AB738" s="1494"/>
      <c r="AC738" s="1573">
        <v>0</v>
      </c>
      <c r="AD738" s="1574"/>
      <c r="AE738" s="1574"/>
      <c r="AF738" s="1574"/>
      <c r="AG738" s="1575"/>
      <c r="AH738" s="1569" t="str">
        <f t="shared" si="50"/>
        <v xml:space="preserve"> </v>
      </c>
      <c r="AI738" s="1570"/>
      <c r="AJ738" s="1571"/>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7" t="s">
        <v>126</v>
      </c>
      <c r="C739" s="1518"/>
      <c r="D739" s="1518"/>
      <c r="E739" s="1518"/>
      <c r="F739" s="1520"/>
      <c r="G739" s="1747">
        <f>SUM(G714:J738)</f>
        <v>175</v>
      </c>
      <c r="H739" s="1748"/>
      <c r="I739" s="1748"/>
      <c r="J739" s="1749"/>
      <c r="K739" s="939" t="s">
        <v>125</v>
      </c>
      <c r="L739" s="5"/>
      <c r="M739" s="5"/>
      <c r="N739" s="46"/>
      <c r="O739" s="1492">
        <f>SUMPRODUCT(G714:G738,O714:O738)</f>
        <v>125077</v>
      </c>
      <c r="P739" s="1493"/>
      <c r="Q739" s="1493"/>
      <c r="R739" s="1493"/>
      <c r="S739" s="1494"/>
      <c r="X739" s="941" t="s">
        <v>933</v>
      </c>
      <c r="Y739" s="940"/>
      <c r="Z739" s="940"/>
      <c r="AA739" s="940"/>
      <c r="AB739" s="942"/>
      <c r="AC739" s="1692">
        <f>BI682</f>
        <v>0.49771428571428566</v>
      </c>
      <c r="AD739" s="1693"/>
      <c r="AE739" s="1693"/>
      <c r="AF739" s="1693"/>
      <c r="AG739" s="1694"/>
      <c r="AH739" s="1692">
        <f>BI714</f>
        <v>0.49762378513409622</v>
      </c>
      <c r="AI739" s="1693"/>
      <c r="AJ739" s="169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95" t="s">
        <v>2258</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2256</v>
      </c>
      <c r="D742" s="1076"/>
      <c r="E742" s="1076"/>
      <c r="F742" s="1076"/>
      <c r="G742" s="1077"/>
      <c r="H742" s="1077"/>
      <c r="I742" s="1077"/>
      <c r="J742" s="1077"/>
      <c r="K742" s="1076"/>
      <c r="L742" s="1076"/>
      <c r="M742" s="1076"/>
      <c r="N742" s="1076"/>
      <c r="O742" s="1684">
        <f>CS623</f>
        <v>307</v>
      </c>
      <c r="P742" s="1684"/>
      <c r="Q742" s="1684"/>
      <c r="R742" s="1684"/>
      <c r="S742" s="1006"/>
      <c r="T742" s="1006"/>
      <c r="U742" s="118" t="s">
        <v>2257</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600</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83" t="s">
        <v>390</v>
      </c>
      <c r="K754" s="1484"/>
      <c r="L754" s="1484"/>
      <c r="M754" s="1484"/>
      <c r="N754" s="1485"/>
      <c r="O754" s="1683" t="s">
        <v>286</v>
      </c>
      <c r="P754" s="1683"/>
      <c r="Q754" s="1683"/>
      <c r="R754" s="1683"/>
      <c r="S754" s="1683"/>
      <c r="T754" s="1498" t="s">
        <v>1939</v>
      </c>
      <c r="U754" s="1499"/>
      <c r="V754" s="1499"/>
      <c r="W754" s="1500"/>
      <c r="X754" s="1483" t="s">
        <v>456</v>
      </c>
      <c r="Y754" s="1484"/>
      <c r="Z754" s="1484"/>
      <c r="AA754" s="1484"/>
      <c r="AB754" s="1485"/>
      <c r="AC754" s="1483" t="s">
        <v>287</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86"/>
      <c r="K755" s="1487"/>
      <c r="L755" s="1487"/>
      <c r="M755" s="1487"/>
      <c r="N755" s="1488"/>
      <c r="O755" s="1683"/>
      <c r="P755" s="1683"/>
      <c r="Q755" s="1683"/>
      <c r="R755" s="1683"/>
      <c r="S755" s="1683"/>
      <c r="T755" s="1501"/>
      <c r="U755" s="1502"/>
      <c r="V755" s="1502"/>
      <c r="W755" s="1503"/>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86"/>
      <c r="K756" s="1487"/>
      <c r="L756" s="1487"/>
      <c r="M756" s="1487"/>
      <c r="N756" s="1488"/>
      <c r="O756" s="1683"/>
      <c r="P756" s="1683"/>
      <c r="Q756" s="1683"/>
      <c r="R756" s="1683"/>
      <c r="S756" s="1683"/>
      <c r="T756" s="1501"/>
      <c r="U756" s="1502"/>
      <c r="V756" s="1502"/>
      <c r="W756" s="1503"/>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89"/>
      <c r="K757" s="1490"/>
      <c r="L757" s="1490"/>
      <c r="M757" s="1490"/>
      <c r="N757" s="1491"/>
      <c r="O757" s="1683"/>
      <c r="P757" s="1683"/>
      <c r="Q757" s="1683"/>
      <c r="R757" s="1683"/>
      <c r="S757" s="1683"/>
      <c r="T757" s="1504"/>
      <c r="U757" s="1505"/>
      <c r="V757" s="1505"/>
      <c r="W757" s="1506"/>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79" t="s">
        <v>326</v>
      </c>
      <c r="K758" s="1380"/>
      <c r="L758" s="1380"/>
      <c r="M758" s="1380"/>
      <c r="N758" s="1381"/>
      <c r="O758" s="1372">
        <v>1</v>
      </c>
      <c r="P758" s="1372"/>
      <c r="Q758" s="1372"/>
      <c r="R758" s="1372"/>
      <c r="S758" s="1372"/>
      <c r="T758" s="1477">
        <v>597</v>
      </c>
      <c r="U758" s="1478"/>
      <c r="V758" s="1478"/>
      <c r="W758" s="1479"/>
      <c r="X758" s="1474"/>
      <c r="Y758" s="1475"/>
      <c r="Z758" s="1475"/>
      <c r="AA758" s="1475"/>
      <c r="AB758" s="1476"/>
      <c r="AC758" s="1492">
        <f>X758*O758</f>
        <v>0</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79"/>
      <c r="K759" s="1380"/>
      <c r="L759" s="1380"/>
      <c r="M759" s="1380"/>
      <c r="N759" s="1381"/>
      <c r="O759" s="1372"/>
      <c r="P759" s="1372"/>
      <c r="Q759" s="1372"/>
      <c r="R759" s="1372"/>
      <c r="S759" s="1372"/>
      <c r="T759" s="1477"/>
      <c r="U759" s="1478"/>
      <c r="V759" s="1478"/>
      <c r="W759" s="1479"/>
      <c r="X759" s="1474"/>
      <c r="Y759" s="1475"/>
      <c r="Z759" s="1475"/>
      <c r="AA759" s="1475"/>
      <c r="AB759" s="1476"/>
      <c r="AC759" s="1492">
        <f>X759*O759</f>
        <v>0</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79"/>
      <c r="K760" s="1380"/>
      <c r="L760" s="1380"/>
      <c r="M760" s="1380"/>
      <c r="N760" s="1381"/>
      <c r="O760" s="1372"/>
      <c r="P760" s="1372"/>
      <c r="Q760" s="1372"/>
      <c r="R760" s="1372"/>
      <c r="S760" s="1372"/>
      <c r="T760" s="1477"/>
      <c r="U760" s="1478"/>
      <c r="V760" s="1478"/>
      <c r="W760" s="1479"/>
      <c r="X760" s="1474"/>
      <c r="Y760" s="1475"/>
      <c r="Z760" s="1475"/>
      <c r="AA760" s="1475"/>
      <c r="AB760" s="1476"/>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79"/>
      <c r="K761" s="1380"/>
      <c r="L761" s="1380"/>
      <c r="M761" s="1380"/>
      <c r="N761" s="1381"/>
      <c r="O761" s="1372"/>
      <c r="P761" s="1372"/>
      <c r="Q761" s="1372"/>
      <c r="R761" s="1372"/>
      <c r="S761" s="1372"/>
      <c r="T761" s="1477"/>
      <c r="U761" s="1478"/>
      <c r="V761" s="1478"/>
      <c r="W761" s="1479"/>
      <c r="X761" s="1474"/>
      <c r="Y761" s="1475"/>
      <c r="Z761" s="1475"/>
      <c r="AA761" s="1475"/>
      <c r="AB761" s="1476"/>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7" t="s">
        <v>126</v>
      </c>
      <c r="K762" s="1518"/>
      <c r="L762" s="1518"/>
      <c r="M762" s="1518"/>
      <c r="N762" s="1520"/>
      <c r="O762" s="1496">
        <f>SUM(O758:S761)</f>
        <v>1</v>
      </c>
      <c r="P762" s="1510"/>
      <c r="Q762" s="1510"/>
      <c r="R762" s="1510"/>
      <c r="S762" s="1497"/>
      <c r="X762" s="1517" t="s">
        <v>125</v>
      </c>
      <c r="Y762" s="1518"/>
      <c r="Z762" s="1518"/>
      <c r="AA762" s="1518"/>
      <c r="AB762" s="1520"/>
      <c r="AC762" s="1492">
        <f>SUM(AC758:AG761)</f>
        <v>0</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83" t="s">
        <v>390</v>
      </c>
      <c r="K768" s="1484"/>
      <c r="L768" s="1484"/>
      <c r="M768" s="1484"/>
      <c r="N768" s="1485"/>
      <c r="O768" s="1683" t="s">
        <v>286</v>
      </c>
      <c r="P768" s="1683"/>
      <c r="Q768" s="1683"/>
      <c r="R768" s="1683"/>
      <c r="S768" s="1683"/>
      <c r="T768" s="1498" t="s">
        <v>1939</v>
      </c>
      <c r="U768" s="1499"/>
      <c r="V768" s="1499"/>
      <c r="W768" s="1500"/>
      <c r="X768" s="1483" t="s">
        <v>456</v>
      </c>
      <c r="Y768" s="1484"/>
      <c r="Z768" s="1484"/>
      <c r="AA768" s="1484"/>
      <c r="AB768" s="1485"/>
      <c r="AC768" s="1483" t="s">
        <v>287</v>
      </c>
      <c r="AD768" s="1484"/>
      <c r="AE768" s="1484"/>
      <c r="AF768" s="1484"/>
      <c r="AG768" s="1485"/>
      <c r="AH768" s="1609" t="s">
        <v>2132</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86"/>
      <c r="K769" s="1487"/>
      <c r="L769" s="1487"/>
      <c r="M769" s="1487"/>
      <c r="N769" s="1488"/>
      <c r="O769" s="1683"/>
      <c r="P769" s="1683"/>
      <c r="Q769" s="1683"/>
      <c r="R769" s="1683"/>
      <c r="S769" s="1683"/>
      <c r="T769" s="1501"/>
      <c r="U769" s="1502"/>
      <c r="V769" s="1502"/>
      <c r="W769" s="1503"/>
      <c r="X769" s="1486"/>
      <c r="Y769" s="1487"/>
      <c r="Z769" s="1487"/>
      <c r="AA769" s="1487"/>
      <c r="AB769" s="1488"/>
      <c r="AC769" s="1486"/>
      <c r="AD769" s="1487"/>
      <c r="AE769" s="1487"/>
      <c r="AF769" s="1487"/>
      <c r="AG769" s="1488"/>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86"/>
      <c r="K770" s="1487"/>
      <c r="L770" s="1487"/>
      <c r="M770" s="1487"/>
      <c r="N770" s="1488"/>
      <c r="O770" s="1683"/>
      <c r="P770" s="1683"/>
      <c r="Q770" s="1683"/>
      <c r="R770" s="1683"/>
      <c r="S770" s="1683"/>
      <c r="T770" s="1501"/>
      <c r="U770" s="1502"/>
      <c r="V770" s="1502"/>
      <c r="W770" s="1503"/>
      <c r="X770" s="1486"/>
      <c r="Y770" s="1487"/>
      <c r="Z770" s="1487"/>
      <c r="AA770" s="1487"/>
      <c r="AB770" s="1488"/>
      <c r="AC770" s="1486"/>
      <c r="AD770" s="1487"/>
      <c r="AE770" s="1487"/>
      <c r="AF770" s="1487"/>
      <c r="AG770" s="1488"/>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89"/>
      <c r="K771" s="1490"/>
      <c r="L771" s="1490"/>
      <c r="M771" s="1490"/>
      <c r="N771" s="1491"/>
      <c r="O771" s="1683"/>
      <c r="P771" s="1683"/>
      <c r="Q771" s="1683"/>
      <c r="R771" s="1683"/>
      <c r="S771" s="1683"/>
      <c r="T771" s="1504"/>
      <c r="U771" s="1505"/>
      <c r="V771" s="1505"/>
      <c r="W771" s="1506"/>
      <c r="X771" s="1489"/>
      <c r="Y771" s="1490"/>
      <c r="Z771" s="1490"/>
      <c r="AA771" s="1490"/>
      <c r="AB771" s="1491"/>
      <c r="AC771" s="1489"/>
      <c r="AD771" s="1490"/>
      <c r="AE771" s="1490"/>
      <c r="AF771" s="1490"/>
      <c r="AG771" s="1491"/>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79"/>
      <c r="K772" s="1380"/>
      <c r="L772" s="1380"/>
      <c r="M772" s="1380"/>
      <c r="N772" s="1381"/>
      <c r="O772" s="1372"/>
      <c r="P772" s="1372"/>
      <c r="Q772" s="1372"/>
      <c r="R772" s="1372"/>
      <c r="S772" s="1372"/>
      <c r="T772" s="1477"/>
      <c r="U772" s="1478"/>
      <c r="V772" s="1478"/>
      <c r="W772" s="1479"/>
      <c r="X772" s="1474"/>
      <c r="Y772" s="1475"/>
      <c r="Z772" s="1475"/>
      <c r="AA772" s="1475"/>
      <c r="AB772" s="1476"/>
      <c r="AC772" s="1492">
        <f t="shared" ref="AC772:AC781" si="51">X772*O772</f>
        <v>0</v>
      </c>
      <c r="AD772" s="1493"/>
      <c r="AE772" s="1493"/>
      <c r="AF772" s="1493"/>
      <c r="AG772" s="1494"/>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79"/>
      <c r="K773" s="1380"/>
      <c r="L773" s="1380"/>
      <c r="M773" s="1380"/>
      <c r="N773" s="1381"/>
      <c r="O773" s="1372"/>
      <c r="P773" s="1372"/>
      <c r="Q773" s="1372"/>
      <c r="R773" s="1372"/>
      <c r="S773" s="1372"/>
      <c r="T773" s="1477"/>
      <c r="U773" s="1478"/>
      <c r="V773" s="1478"/>
      <c r="W773" s="1479"/>
      <c r="X773" s="1474"/>
      <c r="Y773" s="1475"/>
      <c r="Z773" s="1475"/>
      <c r="AA773" s="1475"/>
      <c r="AB773" s="1476"/>
      <c r="AC773" s="1492">
        <f t="shared" si="51"/>
        <v>0</v>
      </c>
      <c r="AD773" s="1493"/>
      <c r="AE773" s="1493"/>
      <c r="AF773" s="1493"/>
      <c r="AG773" s="1494"/>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79"/>
      <c r="K774" s="1380"/>
      <c r="L774" s="1380"/>
      <c r="M774" s="1380"/>
      <c r="N774" s="1381"/>
      <c r="O774" s="1372"/>
      <c r="P774" s="1372"/>
      <c r="Q774" s="1372"/>
      <c r="R774" s="1372"/>
      <c r="S774" s="1372"/>
      <c r="T774" s="1477"/>
      <c r="U774" s="1478"/>
      <c r="V774" s="1478"/>
      <c r="W774" s="1479"/>
      <c r="X774" s="1474"/>
      <c r="Y774" s="1475"/>
      <c r="Z774" s="1475"/>
      <c r="AA774" s="1475"/>
      <c r="AB774" s="1476"/>
      <c r="AC774" s="1492">
        <f t="shared" si="51"/>
        <v>0</v>
      </c>
      <c r="AD774" s="1493"/>
      <c r="AE774" s="1493"/>
      <c r="AF774" s="1493"/>
      <c r="AG774" s="1494"/>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79"/>
      <c r="K775" s="1380"/>
      <c r="L775" s="1380"/>
      <c r="M775" s="1380"/>
      <c r="N775" s="1381"/>
      <c r="O775" s="1372"/>
      <c r="P775" s="1372"/>
      <c r="Q775" s="1372"/>
      <c r="R775" s="1372"/>
      <c r="S775" s="1372"/>
      <c r="T775" s="1477"/>
      <c r="U775" s="1478"/>
      <c r="V775" s="1478"/>
      <c r="W775" s="1479"/>
      <c r="X775" s="1474"/>
      <c r="Y775" s="1475"/>
      <c r="Z775" s="1475"/>
      <c r="AA775" s="1475"/>
      <c r="AB775" s="1476"/>
      <c r="AC775" s="1492">
        <f t="shared" si="51"/>
        <v>0</v>
      </c>
      <c r="AD775" s="1493"/>
      <c r="AE775" s="1493"/>
      <c r="AF775" s="1493"/>
      <c r="AG775" s="1494"/>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79"/>
      <c r="K776" s="1380"/>
      <c r="L776" s="1380"/>
      <c r="M776" s="1380"/>
      <c r="N776" s="1381"/>
      <c r="O776" s="1372"/>
      <c r="P776" s="1372"/>
      <c r="Q776" s="1372"/>
      <c r="R776" s="1372"/>
      <c r="S776" s="1372"/>
      <c r="T776" s="1477"/>
      <c r="U776" s="1478"/>
      <c r="V776" s="1478"/>
      <c r="W776" s="1479"/>
      <c r="X776" s="1474"/>
      <c r="Y776" s="1475"/>
      <c r="Z776" s="1475"/>
      <c r="AA776" s="1475"/>
      <c r="AB776" s="1476"/>
      <c r="AC776" s="1492">
        <f t="shared" si="51"/>
        <v>0</v>
      </c>
      <c r="AD776" s="1493"/>
      <c r="AE776" s="1493"/>
      <c r="AF776" s="1493"/>
      <c r="AG776" s="1494"/>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79"/>
      <c r="K777" s="1380"/>
      <c r="L777" s="1380"/>
      <c r="M777" s="1380"/>
      <c r="N777" s="1381"/>
      <c r="O777" s="1372"/>
      <c r="P777" s="1372"/>
      <c r="Q777" s="1372"/>
      <c r="R777" s="1372"/>
      <c r="S777" s="1372"/>
      <c r="T777" s="1477"/>
      <c r="U777" s="1478"/>
      <c r="V777" s="1478"/>
      <c r="W777" s="1479"/>
      <c r="X777" s="1474"/>
      <c r="Y777" s="1475"/>
      <c r="Z777" s="1475"/>
      <c r="AA777" s="1475"/>
      <c r="AB777" s="1476"/>
      <c r="AC777" s="1492">
        <f t="shared" si="51"/>
        <v>0</v>
      </c>
      <c r="AD777" s="1493"/>
      <c r="AE777" s="1493"/>
      <c r="AF777" s="1493"/>
      <c r="AG777" s="1494"/>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79"/>
      <c r="K778" s="1380"/>
      <c r="L778" s="1380"/>
      <c r="M778" s="1380"/>
      <c r="N778" s="1381"/>
      <c r="O778" s="1372"/>
      <c r="P778" s="1372"/>
      <c r="Q778" s="1372"/>
      <c r="R778" s="1372"/>
      <c r="S778" s="1372"/>
      <c r="T778" s="1477"/>
      <c r="U778" s="1478"/>
      <c r="V778" s="1478"/>
      <c r="W778" s="1479"/>
      <c r="X778" s="1474"/>
      <c r="Y778" s="1475"/>
      <c r="Z778" s="1475"/>
      <c r="AA778" s="1475"/>
      <c r="AB778" s="1476"/>
      <c r="AC778" s="1492">
        <f t="shared" si="51"/>
        <v>0</v>
      </c>
      <c r="AD778" s="1493"/>
      <c r="AE778" s="1493"/>
      <c r="AF778" s="1493"/>
      <c r="AG778" s="1494"/>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79"/>
      <c r="K779" s="1380"/>
      <c r="L779" s="1380"/>
      <c r="M779" s="1380"/>
      <c r="N779" s="1381"/>
      <c r="O779" s="1372"/>
      <c r="P779" s="1372"/>
      <c r="Q779" s="1372"/>
      <c r="R779" s="1372"/>
      <c r="S779" s="1372"/>
      <c r="T779" s="1477"/>
      <c r="U779" s="1478"/>
      <c r="V779" s="1478"/>
      <c r="W779" s="1479"/>
      <c r="X779" s="1474"/>
      <c r="Y779" s="1475"/>
      <c r="Z779" s="1475"/>
      <c r="AA779" s="1475"/>
      <c r="AB779" s="1476"/>
      <c r="AC779" s="1492">
        <f t="shared" si="51"/>
        <v>0</v>
      </c>
      <c r="AD779" s="1493"/>
      <c r="AE779" s="1493"/>
      <c r="AF779" s="1493"/>
      <c r="AG779" s="1494"/>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79"/>
      <c r="K780" s="1380"/>
      <c r="L780" s="1380"/>
      <c r="M780" s="1380"/>
      <c r="N780" s="1381"/>
      <c r="O780" s="1372"/>
      <c r="P780" s="1372"/>
      <c r="Q780" s="1372"/>
      <c r="R780" s="1372"/>
      <c r="S780" s="1372"/>
      <c r="T780" s="1477"/>
      <c r="U780" s="1478"/>
      <c r="V780" s="1478"/>
      <c r="W780" s="1479"/>
      <c r="X780" s="1474"/>
      <c r="Y780" s="1475"/>
      <c r="Z780" s="1475"/>
      <c r="AA780" s="1475"/>
      <c r="AB780" s="1476"/>
      <c r="AC780" s="1492">
        <f t="shared" si="51"/>
        <v>0</v>
      </c>
      <c r="AD780" s="1493"/>
      <c r="AE780" s="1493"/>
      <c r="AF780" s="1493"/>
      <c r="AG780" s="1494"/>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79"/>
      <c r="K781" s="1380"/>
      <c r="L781" s="1380"/>
      <c r="M781" s="1380"/>
      <c r="N781" s="1381"/>
      <c r="O781" s="1372"/>
      <c r="P781" s="1372"/>
      <c r="Q781" s="1372"/>
      <c r="R781" s="1372"/>
      <c r="S781" s="1372"/>
      <c r="T781" s="1477"/>
      <c r="U781" s="1478"/>
      <c r="V781" s="1478"/>
      <c r="W781" s="1479"/>
      <c r="X781" s="1474"/>
      <c r="Y781" s="1475"/>
      <c r="Z781" s="1475"/>
      <c r="AA781" s="1475"/>
      <c r="AB781" s="1476"/>
      <c r="AC781" s="1492">
        <f t="shared" si="51"/>
        <v>0</v>
      </c>
      <c r="AD781" s="1493"/>
      <c r="AE781" s="1493"/>
      <c r="AF781" s="1493"/>
      <c r="AG781" s="1494"/>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7" t="s">
        <v>126</v>
      </c>
      <c r="K782" s="1518"/>
      <c r="L782" s="1518"/>
      <c r="M782" s="1518"/>
      <c r="N782" s="1520"/>
      <c r="O782" s="1695">
        <f>SUM(O772:S781)</f>
        <v>0</v>
      </c>
      <c r="P782" s="1695"/>
      <c r="Q782" s="1695"/>
      <c r="R782" s="1695"/>
      <c r="S782" s="1695"/>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34">
        <f>O739+AC762+AC782</f>
        <v>125077</v>
      </c>
      <c r="Z784" s="1634"/>
      <c r="AA784" s="1634"/>
      <c r="AB784" s="1634"/>
      <c r="AC784" s="163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34">
        <f>(O739+AC762+AC782)*12</f>
        <v>1500924</v>
      </c>
      <c r="Z785" s="1634"/>
      <c r="AA785" s="1634"/>
      <c r="AB785" s="1634"/>
      <c r="AC785" s="1634"/>
      <c r="AZ785" s="3"/>
      <c r="BA785" s="14" t="s">
        <v>641</v>
      </c>
      <c r="BB785" s="14"/>
      <c r="BC785" s="14"/>
      <c r="BD785" s="14"/>
      <c r="BE785" s="14"/>
      <c r="BF785" s="14"/>
      <c r="BG785" s="14"/>
      <c r="BH785" s="14"/>
      <c r="BI785" s="14"/>
      <c r="BJ785" s="14"/>
      <c r="BK785" s="14"/>
      <c r="BL785" s="14"/>
      <c r="BM785" s="14"/>
      <c r="BN785" s="1690" t="s">
        <v>478</v>
      </c>
      <c r="BO785" s="1691"/>
      <c r="BP785" s="3"/>
      <c r="BQ785" s="3"/>
      <c r="BR785" s="3"/>
      <c r="BS785" s="14" t="s">
        <v>643</v>
      </c>
      <c r="BT785" s="14"/>
      <c r="BU785" s="14"/>
      <c r="BV785" s="14"/>
      <c r="BW785" s="14"/>
      <c r="BX785" s="14"/>
      <c r="BY785" s="14"/>
      <c r="BZ785" s="14"/>
      <c r="CA785" s="14"/>
      <c r="CB785" s="1687" t="str">
        <f>T189</f>
        <v>Sutter</v>
      </c>
      <c r="CC785" s="1688"/>
      <c r="CD785" s="1688"/>
      <c r="CE785" s="1688"/>
      <c r="CF785" s="1688"/>
      <c r="CG785" s="1688"/>
      <c r="CH785" s="168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3">
        <v>20</v>
      </c>
      <c r="AA790" s="1618"/>
      <c r="AB790" s="1618"/>
      <c r="AC790" s="1618"/>
      <c r="AD790" s="1618"/>
      <c r="AE790" s="161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17">
        <v>20</v>
      </c>
      <c r="AA791" s="1618"/>
      <c r="AB791" s="1618"/>
      <c r="AC791" s="1618"/>
      <c r="AD791" s="1618"/>
      <c r="AE791" s="161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t="s">
        <v>2721</v>
      </c>
      <c r="AA792" s="1588"/>
      <c r="AB792" s="1588"/>
      <c r="AC792" s="1588"/>
      <c r="AD792" s="1588"/>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247260</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v>14784</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v>12672</v>
      </c>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602" t="s">
        <v>335</v>
      </c>
      <c r="Q800" s="1603"/>
      <c r="R800" s="1603"/>
      <c r="S800" s="1603"/>
      <c r="T800" s="1603"/>
      <c r="U800" s="1603"/>
      <c r="V800" s="1603"/>
      <c r="W800" s="1603"/>
      <c r="X800" s="1603"/>
      <c r="Y800" s="1604"/>
      <c r="Z800" s="1599"/>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27456</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4">
        <f>Z801+Y785+Z793</f>
        <v>1775640</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82" t="s">
        <v>127</v>
      </c>
      <c r="N807" s="1582"/>
      <c r="O807" s="1582"/>
      <c r="P807" s="1583"/>
      <c r="Q807" s="1613" t="s">
        <v>291</v>
      </c>
      <c r="R807" s="1613"/>
      <c r="S807" s="1613"/>
      <c r="T807" s="1613"/>
      <c r="U807" s="1613" t="s">
        <v>292</v>
      </c>
      <c r="V807" s="1613"/>
      <c r="W807" s="1613"/>
      <c r="X807" s="1613"/>
      <c r="Y807" s="1613" t="s">
        <v>293</v>
      </c>
      <c r="Z807" s="1613"/>
      <c r="AA807" s="1613"/>
      <c r="AB807" s="1613"/>
      <c r="AC807" s="1613" t="s">
        <v>362</v>
      </c>
      <c r="AD807" s="1613"/>
      <c r="AE807" s="1613"/>
      <c r="AF807" s="1613"/>
      <c r="AG807" s="1626" t="s">
        <v>336</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84"/>
      <c r="N808" s="1584"/>
      <c r="O808" s="1584"/>
      <c r="P808" s="1585"/>
      <c r="Q808" s="1613"/>
      <c r="R808" s="1613"/>
      <c r="S808" s="1613"/>
      <c r="T808" s="1613"/>
      <c r="U808" s="1613"/>
      <c r="V808" s="1613"/>
      <c r="W808" s="1613"/>
      <c r="X808" s="1613"/>
      <c r="Y808" s="1613"/>
      <c r="Z808" s="1613"/>
      <c r="AA808" s="1613"/>
      <c r="AB808" s="1613"/>
      <c r="AC808" s="1613"/>
      <c r="AD808" s="1613"/>
      <c r="AE808" s="1613"/>
      <c r="AF808" s="1613"/>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586" t="s">
        <v>40</v>
      </c>
      <c r="D809" s="1512"/>
      <c r="E809" s="1512"/>
      <c r="F809" s="1512"/>
      <c r="G809" s="1512"/>
      <c r="H809" s="1512"/>
      <c r="I809" s="48"/>
      <c r="J809" s="48"/>
      <c r="K809" s="48"/>
      <c r="L809" s="49"/>
      <c r="M809" s="1581"/>
      <c r="N809" s="1581"/>
      <c r="O809" s="1581"/>
      <c r="P809" s="1581"/>
      <c r="Q809" s="1581">
        <v>25</v>
      </c>
      <c r="R809" s="1581"/>
      <c r="S809" s="1581"/>
      <c r="T809" s="1581"/>
      <c r="U809" s="1581">
        <v>30</v>
      </c>
      <c r="V809" s="1581"/>
      <c r="W809" s="1581"/>
      <c r="X809" s="1581"/>
      <c r="Y809" s="1581">
        <v>33</v>
      </c>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423" t="s">
        <v>41</v>
      </c>
      <c r="D810" s="1424"/>
      <c r="E810" s="1424"/>
      <c r="F810" s="1424"/>
      <c r="G810" s="1424"/>
      <c r="H810" s="1424"/>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423" t="s">
        <v>42</v>
      </c>
      <c r="D811" s="1424"/>
      <c r="E811" s="1424"/>
      <c r="F811" s="1424"/>
      <c r="G811" s="1424"/>
      <c r="H811" s="1424"/>
      <c r="I811" s="60"/>
      <c r="J811" s="60"/>
      <c r="K811" s="60"/>
      <c r="L811" s="61"/>
      <c r="M811" s="1581"/>
      <c r="N811" s="1581"/>
      <c r="O811" s="1581"/>
      <c r="P811" s="1581"/>
      <c r="Q811" s="1581">
        <v>12</v>
      </c>
      <c r="R811" s="1581"/>
      <c r="S811" s="1581"/>
      <c r="T811" s="1581"/>
      <c r="U811" s="1581">
        <v>18</v>
      </c>
      <c r="V811" s="1581"/>
      <c r="W811" s="1581"/>
      <c r="X811" s="1581"/>
      <c r="Y811" s="1581">
        <v>24</v>
      </c>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423" t="s">
        <v>786</v>
      </c>
      <c r="D812" s="1424"/>
      <c r="E812" s="1424"/>
      <c r="F812" s="1424"/>
      <c r="G812" s="1424"/>
      <c r="H812" s="1424"/>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423" t="s">
        <v>468</v>
      </c>
      <c r="D813" s="1424"/>
      <c r="E813" s="1424"/>
      <c r="F813" s="1424"/>
      <c r="G813" s="1424"/>
      <c r="H813" s="1424"/>
      <c r="I813" s="60"/>
      <c r="J813" s="60"/>
      <c r="K813" s="60"/>
      <c r="L813" s="61"/>
      <c r="M813" s="1581"/>
      <c r="N813" s="1581"/>
      <c r="O813" s="1581"/>
      <c r="P813" s="1581"/>
      <c r="Q813" s="1581">
        <v>40</v>
      </c>
      <c r="R813" s="1581"/>
      <c r="S813" s="1581"/>
      <c r="T813" s="1581"/>
      <c r="U813" s="1581">
        <v>59</v>
      </c>
      <c r="V813" s="1581"/>
      <c r="W813" s="1581"/>
      <c r="X813" s="1581"/>
      <c r="Y813" s="1581">
        <v>77</v>
      </c>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8" t="s">
        <v>807</v>
      </c>
      <c r="D814" s="1424"/>
      <c r="E814" s="1424"/>
      <c r="F814" s="1424"/>
      <c r="G814" s="1424"/>
      <c r="H814" s="1424"/>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294</v>
      </c>
      <c r="D815" s="60"/>
      <c r="E815" s="60"/>
      <c r="F815" s="1602" t="s">
        <v>2770</v>
      </c>
      <c r="G815" s="1603"/>
      <c r="H815" s="1603"/>
      <c r="I815" s="1603"/>
      <c r="J815" s="1603"/>
      <c r="K815" s="1603"/>
      <c r="L815" s="1603"/>
      <c r="M815" s="1581"/>
      <c r="N815" s="1581"/>
      <c r="O815" s="1581"/>
      <c r="P815" s="1581"/>
      <c r="Q815" s="1581">
        <v>16</v>
      </c>
      <c r="R815" s="1581"/>
      <c r="S815" s="1581"/>
      <c r="T815" s="1581"/>
      <c r="U815" s="1581">
        <v>23</v>
      </c>
      <c r="V815" s="1581"/>
      <c r="W815" s="1581"/>
      <c r="X815" s="1581"/>
      <c r="Y815" s="1581">
        <v>29</v>
      </c>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17" t="s">
        <v>125</v>
      </c>
      <c r="D816" s="1518"/>
      <c r="E816" s="1518"/>
      <c r="F816" s="1518"/>
      <c r="G816" s="1518"/>
      <c r="H816" s="1518"/>
      <c r="I816" s="1518"/>
      <c r="J816" s="1518"/>
      <c r="K816" s="1518"/>
      <c r="L816" s="1520"/>
      <c r="M816" s="1616">
        <f>SUM(M809:P815)</f>
        <v>0</v>
      </c>
      <c r="N816" s="1616"/>
      <c r="O816" s="1616"/>
      <c r="P816" s="1616"/>
      <c r="Q816" s="1616">
        <f>SUM(Q809:T815)</f>
        <v>93</v>
      </c>
      <c r="R816" s="1616"/>
      <c r="S816" s="1616"/>
      <c r="T816" s="1616"/>
      <c r="U816" s="1616">
        <f>SUM(U809:X815)</f>
        <v>130</v>
      </c>
      <c r="V816" s="1616"/>
      <c r="W816" s="1616"/>
      <c r="X816" s="1616"/>
      <c r="Y816" s="1616">
        <f>SUM(Y809:AB815)</f>
        <v>163</v>
      </c>
      <c r="Z816" s="1616"/>
      <c r="AA816" s="1616"/>
      <c r="AB816" s="1616"/>
      <c r="AC816" s="1616">
        <f>SUM(AC809:AF815)</f>
        <v>0</v>
      </c>
      <c r="AD816" s="1616"/>
      <c r="AE816" s="1616"/>
      <c r="AF816" s="1616"/>
      <c r="AG816" s="1616">
        <f>SUM(AG809:AJ815)</f>
        <v>0</v>
      </c>
      <c r="AH816" s="1616"/>
      <c r="AI816" s="1616"/>
      <c r="AJ816" s="161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70" t="s">
        <v>2702</v>
      </c>
      <c r="D821" s="1671"/>
      <c r="E821" s="1671"/>
      <c r="F821" s="1671"/>
      <c r="G821" s="1671"/>
      <c r="H821" s="1671"/>
      <c r="I821" s="1671"/>
      <c r="J821" s="1671"/>
      <c r="K821" s="1671"/>
      <c r="L821" s="1671"/>
      <c r="M821" s="1671"/>
      <c r="N821" s="1671"/>
      <c r="O821" s="1671"/>
      <c r="P821" s="1671"/>
      <c r="Q821" s="1671"/>
      <c r="R821" s="1671"/>
      <c r="S821" s="1671"/>
      <c r="T821" s="1671"/>
      <c r="U821" s="1671"/>
      <c r="V821" s="1671"/>
      <c r="W821" s="1671"/>
      <c r="X821" s="1671"/>
      <c r="Y821" s="1671"/>
      <c r="Z821" s="1671"/>
      <c r="AA821" s="1671"/>
      <c r="AB821" s="1671"/>
      <c r="AC821" s="1671"/>
      <c r="AD821" s="1671"/>
      <c r="AE821" s="1671"/>
      <c r="AF821" s="1671"/>
      <c r="AG821" s="1671"/>
      <c r="AH821" s="1671"/>
      <c r="AI821" s="1671"/>
      <c r="AJ821" s="16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344</v>
      </c>
      <c r="D826"/>
      <c r="E826"/>
      <c r="F826"/>
      <c r="G826"/>
      <c r="H826"/>
      <c r="I826"/>
      <c r="J826" s="45" t="s">
        <v>357</v>
      </c>
      <c r="K826" s="5"/>
      <c r="L826" s="5"/>
      <c r="M826" s="5"/>
      <c r="N826" s="5"/>
      <c r="O826" s="5"/>
      <c r="P826" s="5"/>
      <c r="Q826" s="5"/>
      <c r="R826" s="5"/>
      <c r="S826" s="5"/>
      <c r="T826" s="5"/>
      <c r="U826" s="5"/>
      <c r="V826" s="46"/>
      <c r="W826" s="1608">
        <v>6000</v>
      </c>
      <c r="X826" s="1608"/>
      <c r="Y826" s="1608"/>
      <c r="Z826" s="1608"/>
      <c r="AA826" s="1608"/>
      <c r="AB826" s="1608"/>
      <c r="AC826" s="1608"/>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356</v>
      </c>
      <c r="K827" s="5"/>
      <c r="L827" s="5"/>
      <c r="M827" s="5"/>
      <c r="N827" s="5"/>
      <c r="O827" s="5"/>
      <c r="P827" s="5"/>
      <c r="Q827" s="5"/>
      <c r="R827" s="5"/>
      <c r="S827" s="5"/>
      <c r="T827" s="5"/>
      <c r="U827" s="5"/>
      <c r="V827" s="46"/>
      <c r="W827" s="1608">
        <v>9000</v>
      </c>
      <c r="X827" s="1608"/>
      <c r="Y827" s="1608"/>
      <c r="Z827" s="1608"/>
      <c r="AA827" s="1608"/>
      <c r="AB827" s="1608"/>
      <c r="AC827" s="1608"/>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355</v>
      </c>
      <c r="K828" s="5"/>
      <c r="L828" s="5"/>
      <c r="M828" s="5"/>
      <c r="N828" s="5"/>
      <c r="O828" s="5"/>
      <c r="P828" s="5"/>
      <c r="Q828" s="5"/>
      <c r="R828" s="5"/>
      <c r="S828" s="5"/>
      <c r="T828" s="5"/>
      <c r="U828" s="5"/>
      <c r="V828" s="46"/>
      <c r="W828" s="1608">
        <v>32176</v>
      </c>
      <c r="X828" s="1608"/>
      <c r="Y828" s="1608"/>
      <c r="Z828" s="1608"/>
      <c r="AA828" s="1608"/>
      <c r="AB828" s="1608"/>
      <c r="AC828" s="160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354</v>
      </c>
      <c r="K829" s="5"/>
      <c r="L829" s="5"/>
      <c r="M829" s="5"/>
      <c r="N829" s="5"/>
      <c r="O829" s="5"/>
      <c r="P829" s="5"/>
      <c r="Q829" s="5"/>
      <c r="R829" s="5"/>
      <c r="S829" s="5"/>
      <c r="T829" s="5"/>
      <c r="U829" s="5"/>
      <c r="V829" s="46"/>
      <c r="W829" s="1608">
        <v>10000</v>
      </c>
      <c r="X829" s="1608"/>
      <c r="Y829" s="1608"/>
      <c r="Z829" s="1608"/>
      <c r="AA829" s="1608"/>
      <c r="AB829" s="1608"/>
      <c r="AC829" s="160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170</v>
      </c>
      <c r="K830" s="5"/>
      <c r="L830" s="5"/>
      <c r="M830" s="1602" t="s">
        <v>2726</v>
      </c>
      <c r="N830" s="1603"/>
      <c r="O830" s="1603"/>
      <c r="P830" s="1603"/>
      <c r="Q830" s="1603"/>
      <c r="R830" s="1603"/>
      <c r="S830" s="1603"/>
      <c r="T830" s="1603"/>
      <c r="U830" s="1603"/>
      <c r="V830" s="1604"/>
      <c r="W830" s="1608">
        <v>58000</v>
      </c>
      <c r="X830" s="1608"/>
      <c r="Y830" s="1608"/>
      <c r="Z830" s="1608"/>
      <c r="AA830" s="1608"/>
      <c r="AB830" s="1608"/>
      <c r="AC830" s="1608"/>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343</v>
      </c>
      <c r="W831" s="1514">
        <f>SUM(W826:AC830)</f>
        <v>115176</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345</v>
      </c>
      <c r="D833"/>
      <c r="E833"/>
      <c r="F833"/>
      <c r="G833"/>
      <c r="H833"/>
      <c r="I833"/>
      <c r="J833" s="1517" t="s">
        <v>346</v>
      </c>
      <c r="K833" s="1518"/>
      <c r="L833" s="1518"/>
      <c r="M833" s="1518"/>
      <c r="N833" s="1518"/>
      <c r="O833" s="1518"/>
      <c r="P833" s="1518"/>
      <c r="Q833" s="1518"/>
      <c r="R833" s="1518"/>
      <c r="S833" s="1518"/>
      <c r="T833" s="1518"/>
      <c r="U833" s="1518"/>
      <c r="V833" s="1520"/>
      <c r="W833" s="1599">
        <v>116160</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353</v>
      </c>
      <c r="K835" s="5"/>
      <c r="L835" s="5"/>
      <c r="M835" s="5"/>
      <c r="N835" s="5"/>
      <c r="O835" s="5"/>
      <c r="P835" s="5"/>
      <c r="Q835" s="5"/>
      <c r="R835" s="5"/>
      <c r="S835" s="5"/>
      <c r="T835" s="5"/>
      <c r="U835" s="5"/>
      <c r="V835" s="46"/>
      <c r="W835" s="1605"/>
      <c r="X835" s="1605"/>
      <c r="Y835" s="1605"/>
      <c r="Z835" s="1605"/>
      <c r="AA835" s="1605"/>
      <c r="AB835" s="1605"/>
      <c r="AC835" s="1605"/>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352</v>
      </c>
      <c r="K836" s="5"/>
      <c r="L836" s="5"/>
      <c r="M836" s="5"/>
      <c r="N836" s="5"/>
      <c r="O836" s="5"/>
      <c r="P836" s="5"/>
      <c r="Q836" s="5"/>
      <c r="R836" s="5"/>
      <c r="S836" s="5"/>
      <c r="T836" s="5"/>
      <c r="U836" s="5"/>
      <c r="V836" s="46"/>
      <c r="W836" s="1605"/>
      <c r="X836" s="1605"/>
      <c r="Y836" s="1605"/>
      <c r="Z836" s="1605"/>
      <c r="AA836" s="1605"/>
      <c r="AB836" s="1605"/>
      <c r="AC836" s="160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605">
        <v>12000</v>
      </c>
      <c r="X837" s="1605"/>
      <c r="Y837" s="1605"/>
      <c r="Z837" s="1605"/>
      <c r="AA837" s="1605"/>
      <c r="AB837" s="1605"/>
      <c r="AC837" s="1605"/>
      <c r="AD837"/>
      <c r="AE837"/>
      <c r="AF837"/>
      <c r="AG837"/>
      <c r="AH837"/>
      <c r="AI837"/>
      <c r="AJ837"/>
      <c r="AK837"/>
      <c r="AL837"/>
      <c r="AM837"/>
      <c r="AN837"/>
      <c r="AO837"/>
      <c r="AP837"/>
      <c r="AQ837"/>
      <c r="AR837"/>
      <c r="AS837"/>
      <c r="AT837"/>
      <c r="AU837"/>
      <c r="AV837"/>
      <c r="AW837"/>
      <c r="AX837"/>
      <c r="AY837"/>
      <c r="AZ837" s="30"/>
      <c r="BA837" s="30"/>
      <c r="BG837" s="1622"/>
      <c r="BH837" s="1622"/>
      <c r="BI837" s="1622"/>
      <c r="BJ837" s="1622"/>
      <c r="BK837" s="1622"/>
      <c r="BL837" s="1622"/>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605">
        <v>144000</v>
      </c>
      <c r="X838" s="1605"/>
      <c r="Y838" s="1605"/>
      <c r="Z838" s="1605"/>
      <c r="AA838" s="1605"/>
      <c r="AB838" s="1605"/>
      <c r="AC838" s="160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273</v>
      </c>
      <c r="W839" s="1639">
        <f>SUM(W835:AC838)</f>
        <v>156000</v>
      </c>
      <c r="X839" s="1639"/>
      <c r="Y839" s="1639"/>
      <c r="Z839" s="1639"/>
      <c r="AA839" s="1639"/>
      <c r="AB839" s="1639"/>
      <c r="AC839" s="163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0</v>
      </c>
      <c r="BA840" s="1635"/>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347</v>
      </c>
      <c r="D841"/>
      <c r="E841"/>
      <c r="F841"/>
      <c r="G841"/>
      <c r="H841"/>
      <c r="I841"/>
      <c r="J841" s="45" t="s">
        <v>628</v>
      </c>
      <c r="K841" s="5"/>
      <c r="L841" s="5"/>
      <c r="M841" s="5"/>
      <c r="N841" s="5"/>
      <c r="O841" s="5"/>
      <c r="P841" s="5"/>
      <c r="Q841" s="5"/>
      <c r="R841" s="5"/>
      <c r="S841" s="5"/>
      <c r="T841" s="5"/>
      <c r="U841" s="5"/>
      <c r="V841" s="46"/>
      <c r="W841" s="1627">
        <v>86000</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348</v>
      </c>
      <c r="D842"/>
      <c r="E842"/>
      <c r="F842"/>
      <c r="G842"/>
      <c r="H842"/>
      <c r="I842"/>
      <c r="J842" s="121" t="s">
        <v>1836</v>
      </c>
      <c r="K842" s="5"/>
      <c r="L842" s="5"/>
      <c r="M842" s="5"/>
      <c r="N842" s="5"/>
      <c r="O842" s="5"/>
      <c r="P842" s="5"/>
      <c r="Q842" s="5"/>
      <c r="R842" s="5"/>
      <c r="S842" s="5"/>
      <c r="T842" s="1677">
        <v>1</v>
      </c>
      <c r="U842" s="1528"/>
      <c r="V842" s="167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27">
        <v>84000</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1837</v>
      </c>
      <c r="K844" s="5"/>
      <c r="L844" s="5"/>
      <c r="M844" s="5"/>
      <c r="N844" s="5"/>
      <c r="O844" s="5"/>
      <c r="P844" s="5"/>
      <c r="Q844" s="5"/>
      <c r="R844" s="5"/>
      <c r="S844" s="5"/>
      <c r="T844" s="1677">
        <v>1</v>
      </c>
      <c r="U844" s="1528"/>
      <c r="V844" s="167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170</v>
      </c>
      <c r="K845" s="5"/>
      <c r="L845" s="5"/>
      <c r="M845" s="1602" t="s">
        <v>2727</v>
      </c>
      <c r="N845" s="1603"/>
      <c r="O845" s="1603"/>
      <c r="P845" s="1603"/>
      <c r="Q845" s="1603"/>
      <c r="R845" s="1603"/>
      <c r="S845" s="1603"/>
      <c r="T845" s="1603"/>
      <c r="U845" s="1603"/>
      <c r="V845" s="1604"/>
      <c r="W845" s="1627">
        <v>66000</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274</v>
      </c>
      <c r="W846" s="1636">
        <f>SUM(W841:AC845)</f>
        <v>236000</v>
      </c>
      <c r="X846" s="1637"/>
      <c r="Y846" s="1637"/>
      <c r="Z846" s="1637"/>
      <c r="AA846" s="1637"/>
      <c r="AB846" s="1637"/>
      <c r="AC846" s="163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275</v>
      </c>
      <c r="W847" s="1627">
        <v>83700</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391</v>
      </c>
      <c r="J849" s="45" t="s">
        <v>626</v>
      </c>
      <c r="K849" s="5"/>
      <c r="L849" s="5"/>
      <c r="M849" s="5"/>
      <c r="N849" s="5"/>
      <c r="O849" s="5"/>
      <c r="P849" s="5"/>
      <c r="Q849" s="5"/>
      <c r="R849" s="5"/>
      <c r="S849" s="5"/>
      <c r="T849" s="5"/>
      <c r="U849" s="5"/>
      <c r="V849" s="46"/>
      <c r="W849" s="1608">
        <v>7000</v>
      </c>
      <c r="X849" s="1608"/>
      <c r="Y849" s="1608"/>
      <c r="Z849" s="1608"/>
      <c r="AA849" s="1608"/>
      <c r="AB849" s="1608"/>
      <c r="AC849" s="160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608">
        <v>51000</v>
      </c>
      <c r="X850" s="1608"/>
      <c r="Y850" s="1608"/>
      <c r="Z850" s="1608"/>
      <c r="AA850" s="1608"/>
      <c r="AB850" s="1608"/>
      <c r="AC850" s="160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608">
        <v>70400</v>
      </c>
      <c r="X851" s="1608"/>
      <c r="Y851" s="1608"/>
      <c r="Z851" s="1608"/>
      <c r="AA851" s="1608"/>
      <c r="AB851" s="1608"/>
      <c r="AC851" s="160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608">
        <v>10000</v>
      </c>
      <c r="X852" s="1608"/>
      <c r="Y852" s="1608"/>
      <c r="Z852" s="1608"/>
      <c r="AA852" s="1608"/>
      <c r="AB852" s="1608"/>
      <c r="AC852" s="1608"/>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608">
        <v>24000</v>
      </c>
      <c r="X853" s="1608"/>
      <c r="Y853" s="1608"/>
      <c r="Z853" s="1608"/>
      <c r="AA853" s="1608"/>
      <c r="AB853" s="1608"/>
      <c r="AC853" s="160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608"/>
      <c r="X854" s="1608"/>
      <c r="Y854" s="1608"/>
      <c r="Z854" s="1608"/>
      <c r="AA854" s="1608"/>
      <c r="AB854" s="1608"/>
      <c r="AC854" s="160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170</v>
      </c>
      <c r="K855" s="5"/>
      <c r="L855" s="5"/>
      <c r="M855" s="1602" t="s">
        <v>2728</v>
      </c>
      <c r="N855" s="1603"/>
      <c r="O855" s="1603"/>
      <c r="P855" s="1603"/>
      <c r="Q855" s="1603"/>
      <c r="R855" s="1603"/>
      <c r="S855" s="1603"/>
      <c r="T855" s="1603"/>
      <c r="U855" s="1603"/>
      <c r="V855" s="1604"/>
      <c r="W855" s="1608">
        <v>32000</v>
      </c>
      <c r="X855" s="1608"/>
      <c r="Y855" s="1608"/>
      <c r="Z855" s="1608"/>
      <c r="AA855" s="1608"/>
      <c r="AB855" s="1608"/>
      <c r="AC855" s="160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276</v>
      </c>
      <c r="W856" s="1634">
        <f>SUM(W849:AC855)</f>
        <v>194400</v>
      </c>
      <c r="X856" s="1634"/>
      <c r="Y856" s="1634"/>
      <c r="Z856" s="1634"/>
      <c r="AA856" s="1634"/>
      <c r="AB856" s="1634"/>
      <c r="AC856" s="163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1391</v>
      </c>
      <c r="J858" s="45" t="s">
        <v>170</v>
      </c>
      <c r="K858" s="5"/>
      <c r="L858" s="5"/>
      <c r="M858" s="1602" t="s">
        <v>335</v>
      </c>
      <c r="N858" s="1603"/>
      <c r="O858" s="1603"/>
      <c r="P858" s="1603"/>
      <c r="Q858" s="1603"/>
      <c r="R858" s="1603"/>
      <c r="S858" s="1603"/>
      <c r="T858" s="1603"/>
      <c r="U858" s="1603"/>
      <c r="V858" s="1604"/>
      <c r="W858" s="1599"/>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1392</v>
      </c>
      <c r="J859" s="45" t="s">
        <v>170</v>
      </c>
      <c r="K859" s="5"/>
      <c r="L859" s="5"/>
      <c r="M859" s="1602" t="s">
        <v>335</v>
      </c>
      <c r="N859" s="1603"/>
      <c r="O859" s="1603"/>
      <c r="P859" s="1603"/>
      <c r="Q859" s="1603"/>
      <c r="R859" s="1603"/>
      <c r="S859" s="1603"/>
      <c r="T859" s="1603"/>
      <c r="U859" s="1603"/>
      <c r="V859" s="1604"/>
      <c r="W859" s="1599"/>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170</v>
      </c>
      <c r="K860" s="5"/>
      <c r="L860" s="5"/>
      <c r="M860" s="1602" t="s">
        <v>335</v>
      </c>
      <c r="N860" s="1603"/>
      <c r="O860" s="1603"/>
      <c r="P860" s="1603"/>
      <c r="Q860" s="1603"/>
      <c r="R860" s="1603"/>
      <c r="S860" s="1603"/>
      <c r="T860" s="1603"/>
      <c r="U860" s="1603"/>
      <c r="V860" s="1604"/>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170</v>
      </c>
      <c r="K861" s="5"/>
      <c r="L861" s="5"/>
      <c r="M861" s="1602" t="s">
        <v>335</v>
      </c>
      <c r="N861" s="1603"/>
      <c r="O861" s="1603"/>
      <c r="P861" s="1603"/>
      <c r="Q861" s="1603"/>
      <c r="R861" s="1603"/>
      <c r="S861" s="1603"/>
      <c r="T861" s="1603"/>
      <c r="U861" s="1603"/>
      <c r="V861" s="1604"/>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170</v>
      </c>
      <c r="K862" s="5"/>
      <c r="L862" s="5"/>
      <c r="M862" s="1602" t="s">
        <v>335</v>
      </c>
      <c r="N862" s="1603"/>
      <c r="O862" s="1603"/>
      <c r="P862" s="1603"/>
      <c r="Q862" s="1603"/>
      <c r="R862" s="1603"/>
      <c r="S862" s="1603"/>
      <c r="T862" s="1603"/>
      <c r="U862" s="1603"/>
      <c r="V862" s="1604"/>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277</v>
      </c>
      <c r="W863" s="1514">
        <f>SUM(W858:AC862)</f>
        <v>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5">
        <f>W831+W839+W846+W847+W856+W863+W833</f>
        <v>901436</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5">
        <f>O782+O762+G739</f>
        <v>176</v>
      </c>
      <c r="AD868" s="1675"/>
      <c r="AE868" s="1675"/>
      <c r="AF868" s="1675"/>
      <c r="AG868" s="1675"/>
      <c r="AH868" s="167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73" t="s">
        <v>32</v>
      </c>
      <c r="F869" s="1673"/>
      <c r="G869" s="1673"/>
      <c r="H869" s="1673"/>
      <c r="I869" s="1673"/>
      <c r="J869" s="1673"/>
      <c r="K869" s="1673"/>
      <c r="L869" s="1673"/>
      <c r="M869" s="1673"/>
      <c r="N869" s="1673"/>
      <c r="O869" s="1673"/>
      <c r="P869" s="1673"/>
      <c r="Q869" s="1673"/>
      <c r="R869" s="1673"/>
      <c r="S869" s="1673"/>
      <c r="T869" s="1673"/>
      <c r="U869" s="1673"/>
      <c r="V869" s="1673"/>
      <c r="W869" s="1673"/>
      <c r="X869" s="1673"/>
      <c r="Y869" s="1673"/>
      <c r="Z869" s="1673"/>
      <c r="AA869" s="1673"/>
      <c r="AB869" s="1674"/>
      <c r="AC869" s="1634">
        <f>IF(ISERROR((ROUNDDOWN(AC867/AC868,0))),0,(ROUNDDOWN(AC867/AC868,0)))</f>
        <v>5121</v>
      </c>
      <c r="AD869" s="1634"/>
      <c r="AE869" s="1634"/>
      <c r="AF869" s="1634"/>
      <c r="AG869" s="1634"/>
      <c r="AH869" s="163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06">
        <v>401000</v>
      </c>
      <c r="AD870" s="1607"/>
      <c r="AE870" s="1607"/>
      <c r="AF870" s="1607"/>
      <c r="AG870" s="1607"/>
      <c r="AH870" s="160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1"/>
      <c r="AD871" s="1608"/>
      <c r="AE871" s="1608"/>
      <c r="AF871" s="1608"/>
      <c r="AG871" s="1608"/>
      <c r="AH871" s="160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0">
        <v>25200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88000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8"/>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v>55440</v>
      </c>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0"/>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623" t="s">
        <v>996</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08"/>
      <c r="AD877" s="1608"/>
      <c r="AE877" s="1608"/>
      <c r="AF877" s="1608"/>
      <c r="AG877" s="1608"/>
      <c r="AH877" s="160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623" t="s">
        <v>996</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08"/>
      <c r="AD878" s="1608"/>
      <c r="AE878" s="1608"/>
      <c r="AF878" s="1608"/>
      <c r="AG878" s="1608"/>
      <c r="AH878" s="160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239</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240</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241</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242</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1"/>
      <c r="BE887" s="16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1"/>
      <c r="BE888" s="16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2"/>
      <c r="BE889" s="162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2"/>
      <c r="BE890" s="162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2"/>
      <c r="BE891" s="162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21"/>
      <c r="BE892" s="162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20"/>
      <c r="BE893" s="1620"/>
      <c r="BF893" s="16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2"/>
      <c r="BE895" s="162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1"/>
      <c r="BE896" s="162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804" t="s">
        <v>816</v>
      </c>
      <c r="G898" s="1805"/>
      <c r="H898" s="1805"/>
      <c r="I898" s="1805"/>
      <c r="J898" s="1805"/>
      <c r="K898" s="1805"/>
      <c r="L898" s="1805"/>
      <c r="M898" s="1805"/>
      <c r="N898" s="1805"/>
      <c r="O898" s="1805"/>
      <c r="P898" s="1805"/>
      <c r="Q898" s="1805"/>
      <c r="R898" s="1805"/>
      <c r="S898" s="1805"/>
      <c r="T898" s="1806"/>
      <c r="U898" s="1800" t="s">
        <v>31</v>
      </c>
      <c r="V898" s="1582"/>
      <c r="W898" s="1582"/>
      <c r="X898" s="1582"/>
      <c r="Y898" s="1582"/>
      <c r="Z898" s="1582"/>
      <c r="AA898" s="43"/>
      <c r="AB898" s="105"/>
      <c r="AC898" s="105"/>
      <c r="AD898" s="105"/>
      <c r="AE898" s="105"/>
      <c r="AF898" s="106"/>
      <c r="AZ898" s="34"/>
      <c r="BA898" s="34"/>
      <c r="BB898" s="30"/>
      <c r="BC898" s="30"/>
      <c r="BD898" s="1621"/>
      <c r="BE898" s="162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654" t="s">
        <v>844</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657"/>
      <c r="G900" s="1584"/>
      <c r="H900" s="1584"/>
      <c r="I900" s="1584"/>
      <c r="J900" s="1584"/>
      <c r="K900" s="1584"/>
      <c r="L900" s="1584"/>
      <c r="M900" s="1584"/>
      <c r="N900" s="1584"/>
      <c r="O900" s="1584"/>
      <c r="P900" s="1584"/>
      <c r="Q900" s="1584"/>
      <c r="R900" s="1584"/>
      <c r="S900" s="1584"/>
      <c r="T900" s="1585"/>
      <c r="U900" s="1657"/>
      <c r="V900" s="1584"/>
      <c r="W900" s="1584"/>
      <c r="X900" s="1584"/>
      <c r="Y900" s="1584"/>
      <c r="Z900" s="1584"/>
      <c r="AA900" s="108"/>
      <c r="AB900" s="1451" t="s">
        <v>392</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643" t="s">
        <v>554</v>
      </c>
      <c r="V901" s="1355"/>
      <c r="W901" s="1355"/>
      <c r="X901" s="1355"/>
      <c r="Y901" s="1355"/>
      <c r="Z901" s="1356"/>
      <c r="AA901" s="1640">
        <v>39978225</v>
      </c>
      <c r="AB901" s="1440"/>
      <c r="AC901" s="1440"/>
      <c r="AD901" s="1440"/>
      <c r="AE901" s="1440"/>
      <c r="AF901" s="16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643" t="s">
        <v>554</v>
      </c>
      <c r="V902" s="1355"/>
      <c r="W902" s="1355"/>
      <c r="X902" s="1355"/>
      <c r="Y902" s="1355"/>
      <c r="Z902" s="1356"/>
      <c r="AA902" s="1640">
        <v>18021775</v>
      </c>
      <c r="AB902" s="1440"/>
      <c r="AC902" s="1440"/>
      <c r="AD902" s="1440"/>
      <c r="AE902" s="1440"/>
      <c r="AF902" s="16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643" t="s">
        <v>600</v>
      </c>
      <c r="V903" s="1355"/>
      <c r="W903" s="1355"/>
      <c r="X903" s="1355"/>
      <c r="Y903" s="1355"/>
      <c r="Z903" s="1356"/>
      <c r="AA903" s="1640"/>
      <c r="AB903" s="1440"/>
      <c r="AC903" s="1440"/>
      <c r="AD903" s="1440"/>
      <c r="AE903" s="1440"/>
      <c r="AF903" s="16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643" t="s">
        <v>600</v>
      </c>
      <c r="V904" s="1355"/>
      <c r="W904" s="1355"/>
      <c r="X904" s="1355"/>
      <c r="Y904" s="1355"/>
      <c r="Z904" s="1356"/>
      <c r="AA904" s="1640"/>
      <c r="AB904" s="1440"/>
      <c r="AC904" s="1440"/>
      <c r="AD904" s="1440"/>
      <c r="AE904" s="1440"/>
      <c r="AF904" s="16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643" t="s">
        <v>600</v>
      </c>
      <c r="V905" s="1355"/>
      <c r="W905" s="1355"/>
      <c r="X905" s="1355"/>
      <c r="Y905" s="1355"/>
      <c r="Z905" s="1356"/>
      <c r="AA905" s="1640"/>
      <c r="AB905" s="1440"/>
      <c r="AC905" s="1440"/>
      <c r="AD905" s="1440"/>
      <c r="AE905" s="1440"/>
      <c r="AF905" s="16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643" t="s">
        <v>600</v>
      </c>
      <c r="V906" s="1355"/>
      <c r="W906" s="1355"/>
      <c r="X906" s="1355"/>
      <c r="Y906" s="1355"/>
      <c r="Z906" s="1356"/>
      <c r="AA906" s="1640"/>
      <c r="AB906" s="1440"/>
      <c r="AC906" s="1440"/>
      <c r="AD906" s="1440"/>
      <c r="AE906" s="1440"/>
      <c r="AF906" s="16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643" t="s">
        <v>600</v>
      </c>
      <c r="V907" s="1355"/>
      <c r="W907" s="1355"/>
      <c r="X907" s="1355"/>
      <c r="Y907" s="1355"/>
      <c r="Z907" s="1356"/>
      <c r="AA907" s="1640"/>
      <c r="AB907" s="1440"/>
      <c r="AC907" s="1440"/>
      <c r="AD907" s="1440"/>
      <c r="AE907" s="1440"/>
      <c r="AF907" s="16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643" t="s">
        <v>600</v>
      </c>
      <c r="V908" s="1355"/>
      <c r="W908" s="1355"/>
      <c r="X908" s="1355"/>
      <c r="Y908" s="1355"/>
      <c r="Z908" s="1356"/>
      <c r="AA908" s="1640"/>
      <c r="AB908" s="1440"/>
      <c r="AC908" s="1440"/>
      <c r="AD908" s="1440"/>
      <c r="AE908" s="1440"/>
      <c r="AF908" s="16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643" t="s">
        <v>600</v>
      </c>
      <c r="V909" s="1355"/>
      <c r="W909" s="1355"/>
      <c r="X909" s="1355"/>
      <c r="Y909" s="1355"/>
      <c r="Z909" s="1356"/>
      <c r="AA909" s="1640"/>
      <c r="AB909" s="1440"/>
      <c r="AC909" s="1440"/>
      <c r="AD909" s="1440"/>
      <c r="AE909" s="1440"/>
      <c r="AF909" s="16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643" t="s">
        <v>600</v>
      </c>
      <c r="V910" s="1355"/>
      <c r="W910" s="1355"/>
      <c r="X910" s="1355"/>
      <c r="Y910" s="1355"/>
      <c r="Z910" s="1356"/>
      <c r="AA910" s="1640"/>
      <c r="AB910" s="1440"/>
      <c r="AC910" s="1440"/>
      <c r="AD910" s="1440"/>
      <c r="AE910" s="1440"/>
      <c r="AF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1436</v>
      </c>
      <c r="G911" s="5"/>
      <c r="H911" s="5"/>
      <c r="I911" s="5"/>
      <c r="J911" s="5"/>
      <c r="K911" s="5"/>
      <c r="L911" s="5"/>
      <c r="M911" s="5"/>
      <c r="N911" s="5"/>
      <c r="O911" s="5"/>
      <c r="P911" s="5"/>
      <c r="Q911" s="5"/>
      <c r="R911" s="5"/>
      <c r="S911" s="5"/>
      <c r="T911" s="46"/>
      <c r="U911" s="1643" t="s">
        <v>600</v>
      </c>
      <c r="V911" s="1355"/>
      <c r="W911" s="1355"/>
      <c r="X911" s="1355"/>
      <c r="Y911" s="1355"/>
      <c r="Z911" s="1356"/>
      <c r="AA911" s="1640"/>
      <c r="AB911" s="1440"/>
      <c r="AC911" s="1440"/>
      <c r="AD911" s="1440"/>
      <c r="AE911" s="1440"/>
      <c r="AF911" s="16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643" t="s">
        <v>600</v>
      </c>
      <c r="V912" s="1355"/>
      <c r="W912" s="1355"/>
      <c r="X912" s="1355"/>
      <c r="Y912" s="1355"/>
      <c r="Z912" s="1356"/>
      <c r="AA912" s="1640"/>
      <c r="AB912" s="1440"/>
      <c r="AC912" s="1440"/>
      <c r="AD912" s="1440"/>
      <c r="AE912" s="1440"/>
      <c r="AF912" s="16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643" t="s">
        <v>600</v>
      </c>
      <c r="V913" s="1355"/>
      <c r="W913" s="1355"/>
      <c r="X913" s="1355"/>
      <c r="Y913" s="1355"/>
      <c r="Z913" s="1356"/>
      <c r="AA913" s="1640"/>
      <c r="AB913" s="1440"/>
      <c r="AC913" s="1440"/>
      <c r="AD913" s="1440"/>
      <c r="AE913" s="1440"/>
      <c r="AF913" s="16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1419</v>
      </c>
      <c r="G914" s="5"/>
      <c r="H914" s="5"/>
      <c r="I914" s="5"/>
      <c r="J914" s="5"/>
      <c r="K914" s="5"/>
      <c r="L914" s="5"/>
      <c r="M914" s="5"/>
      <c r="N914" s="5"/>
      <c r="O914" s="5"/>
      <c r="P914" s="5"/>
      <c r="Q914" s="5"/>
      <c r="R914" s="5"/>
      <c r="S914" s="5"/>
      <c r="T914" s="46"/>
      <c r="U914" s="1643" t="s">
        <v>600</v>
      </c>
      <c r="V914" s="1355"/>
      <c r="W914" s="1355"/>
      <c r="X914" s="1355"/>
      <c r="Y914" s="1355"/>
      <c r="Z914" s="1356"/>
      <c r="AA914" s="1640"/>
      <c r="AB914" s="1440"/>
      <c r="AC914" s="1440"/>
      <c r="AD914" s="1440"/>
      <c r="AE914" s="1440"/>
      <c r="AF914" s="16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1420</v>
      </c>
      <c r="G915" s="5"/>
      <c r="H915" s="5"/>
      <c r="I915" s="5"/>
      <c r="J915" s="5"/>
      <c r="K915" s="5"/>
      <c r="L915" s="5"/>
      <c r="M915" s="5"/>
      <c r="N915" s="5"/>
      <c r="O915" s="5"/>
      <c r="P915" s="5"/>
      <c r="Q915" s="5"/>
      <c r="R915" s="5"/>
      <c r="S915" s="5"/>
      <c r="T915" s="46"/>
      <c r="U915" s="1643" t="s">
        <v>600</v>
      </c>
      <c r="V915" s="1355"/>
      <c r="W915" s="1355"/>
      <c r="X915" s="1355"/>
      <c r="Y915" s="1355"/>
      <c r="Z915" s="1356"/>
      <c r="AA915" s="1640"/>
      <c r="AB915" s="1440"/>
      <c r="AC915" s="1440"/>
      <c r="AD915" s="1440"/>
      <c r="AE915" s="1440"/>
      <c r="AF915" s="16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643" t="s">
        <v>678</v>
      </c>
      <c r="Q916" s="1355"/>
      <c r="R916" s="1355"/>
      <c r="S916" s="1355"/>
      <c r="T916" s="1356"/>
      <c r="U916" s="1643" t="s">
        <v>600</v>
      </c>
      <c r="V916" s="1355"/>
      <c r="W916" s="1355"/>
      <c r="X916" s="1355"/>
      <c r="Y916" s="1355"/>
      <c r="Z916" s="1356"/>
      <c r="AA916" s="1640"/>
      <c r="AB916" s="1440"/>
      <c r="AC916" s="1440"/>
      <c r="AD916" s="1440"/>
      <c r="AE916" s="1440"/>
      <c r="AF916" s="16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602" t="s">
        <v>2771</v>
      </c>
      <c r="J917" s="1603"/>
      <c r="K917" s="1603"/>
      <c r="L917" s="1603"/>
      <c r="M917" s="1603"/>
      <c r="N917" s="1603"/>
      <c r="O917" s="1603"/>
      <c r="P917" s="1603"/>
      <c r="Q917" s="1603"/>
      <c r="R917" s="1603"/>
      <c r="S917" s="1603"/>
      <c r="T917" s="1604"/>
      <c r="U917" s="1643" t="s">
        <v>554</v>
      </c>
      <c r="V917" s="1355"/>
      <c r="W917" s="1355"/>
      <c r="X917" s="1355"/>
      <c r="Y917" s="1355"/>
      <c r="Z917" s="1356"/>
      <c r="AA917" s="1640">
        <v>20425000</v>
      </c>
      <c r="AB917" s="1440"/>
      <c r="AC917" s="1440"/>
      <c r="AD917" s="1440"/>
      <c r="AE917" s="1440"/>
      <c r="AF917" s="16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602" t="s">
        <v>2772</v>
      </c>
      <c r="J918" s="1652"/>
      <c r="K918" s="1652"/>
      <c r="L918" s="1652"/>
      <c r="M918" s="1652"/>
      <c r="N918" s="1652"/>
      <c r="O918" s="1652"/>
      <c r="P918" s="1652"/>
      <c r="Q918" s="1652"/>
      <c r="R918" s="1652"/>
      <c r="S918" s="1652"/>
      <c r="T918" s="1653"/>
      <c r="U918" s="1643" t="s">
        <v>554</v>
      </c>
      <c r="V918" s="1355"/>
      <c r="W918" s="1355"/>
      <c r="X918" s="1355"/>
      <c r="Y918" s="1355"/>
      <c r="Z918" s="1356"/>
      <c r="AA918" s="1640">
        <v>690822</v>
      </c>
      <c r="AB918" s="1440"/>
      <c r="AC918" s="1440"/>
      <c r="AD918" s="1440"/>
      <c r="AE918" s="1440"/>
      <c r="AF918" s="16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170</v>
      </c>
      <c r="G919" s="48"/>
      <c r="H919" s="48"/>
      <c r="I919" s="1602" t="s">
        <v>2773</v>
      </c>
      <c r="J919" s="1652"/>
      <c r="K919" s="1652"/>
      <c r="L919" s="1652"/>
      <c r="M919" s="1652"/>
      <c r="N919" s="1652"/>
      <c r="O919" s="1652"/>
      <c r="P919" s="1652"/>
      <c r="Q919" s="1652"/>
      <c r="R919" s="1652"/>
      <c r="S919" s="1652"/>
      <c r="T919" s="1653"/>
      <c r="U919" s="1643" t="s">
        <v>554</v>
      </c>
      <c r="V919" s="1355"/>
      <c r="W919" s="1355"/>
      <c r="X919" s="1355"/>
      <c r="Y919" s="1355"/>
      <c r="Z919" s="1356"/>
      <c r="AA919" s="1640">
        <v>4544388</v>
      </c>
      <c r="AB919" s="1440"/>
      <c r="AC919" s="1440"/>
      <c r="AD919" s="1440"/>
      <c r="AE919" s="1440"/>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170</v>
      </c>
      <c r="G920" s="48"/>
      <c r="H920" s="48"/>
      <c r="I920" s="1651" t="s">
        <v>335</v>
      </c>
      <c r="J920" s="1652"/>
      <c r="K920" s="1652"/>
      <c r="L920" s="1652"/>
      <c r="M920" s="1652"/>
      <c r="N920" s="1652"/>
      <c r="O920" s="1652"/>
      <c r="P920" s="1652"/>
      <c r="Q920" s="1652"/>
      <c r="R920" s="1652"/>
      <c r="S920" s="1652"/>
      <c r="T920" s="1653"/>
      <c r="U920" s="1643" t="s">
        <v>600</v>
      </c>
      <c r="V920" s="1355"/>
      <c r="W920" s="1355"/>
      <c r="X920" s="1355"/>
      <c r="Y920" s="1355"/>
      <c r="Z920" s="1356"/>
      <c r="AA920" s="1640"/>
      <c r="AB920" s="1440"/>
      <c r="AC920" s="1440"/>
      <c r="AD920" s="1440"/>
      <c r="AE920" s="1440"/>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50">
        <v>44936</v>
      </c>
      <c r="N925" s="1588"/>
      <c r="O925" s="1588"/>
      <c r="P925" s="1588"/>
      <c r="Q925" s="1588"/>
      <c r="R925" s="1588"/>
      <c r="S925" s="1615"/>
      <c r="U925" s="66" t="s">
        <v>11</v>
      </c>
      <c r="V925" s="5"/>
      <c r="W925" s="5"/>
      <c r="X925" s="5"/>
      <c r="Y925" s="5"/>
      <c r="Z925" s="5"/>
      <c r="AA925" s="5"/>
      <c r="AB925" s="5"/>
      <c r="AC925" s="5"/>
      <c r="AD925" s="46"/>
      <c r="AE925" s="1650"/>
      <c r="AF925" s="1588"/>
      <c r="AG925" s="1588"/>
      <c r="AH925" s="1588"/>
      <c r="AI925" s="1588"/>
      <c r="AJ925" s="1588"/>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406" t="s">
        <v>2702</v>
      </c>
      <c r="N926" s="1463"/>
      <c r="O926" s="1463"/>
      <c r="P926" s="1463"/>
      <c r="Q926" s="1463"/>
      <c r="R926" s="1463"/>
      <c r="S926" s="1642"/>
      <c r="U926" s="66" t="s">
        <v>12</v>
      </c>
      <c r="V926" s="5"/>
      <c r="W926" s="5"/>
      <c r="X926" s="5"/>
      <c r="Y926" s="5"/>
      <c r="Z926" s="5"/>
      <c r="AA926" s="5"/>
      <c r="AB926" s="5"/>
      <c r="AC926" s="5"/>
      <c r="AD926" s="46"/>
      <c r="AE926" s="1406"/>
      <c r="AF926" s="1463"/>
      <c r="AG926" s="1463"/>
      <c r="AH926" s="1463"/>
      <c r="AI926" s="1463"/>
      <c r="AJ926" s="1463"/>
      <c r="AK926" s="164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644" t="s">
        <v>2774</v>
      </c>
      <c r="K927" s="1645"/>
      <c r="L927" s="1645"/>
      <c r="M927" s="1645"/>
      <c r="N927" s="1645"/>
      <c r="O927" s="1645"/>
      <c r="P927" s="1645"/>
      <c r="Q927" s="1645"/>
      <c r="R927" s="1645"/>
      <c r="S927" s="1646"/>
      <c r="U927" s="66" t="s">
        <v>909</v>
      </c>
      <c r="V927" s="5"/>
      <c r="W927" s="5"/>
      <c r="AB927" s="1644" t="s">
        <v>308</v>
      </c>
      <c r="AC927" s="1645"/>
      <c r="AD927" s="1645"/>
      <c r="AE927" s="1645"/>
      <c r="AF927" s="1645"/>
      <c r="AG927" s="1645"/>
      <c r="AH927" s="1645"/>
      <c r="AI927" s="1645"/>
      <c r="AJ927" s="1645"/>
      <c r="AK927" s="164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808">
        <v>0.11</v>
      </c>
      <c r="N928" s="1661"/>
      <c r="O928" s="1661"/>
      <c r="P928" s="1661"/>
      <c r="Q928" s="1661"/>
      <c r="R928" s="1661"/>
      <c r="S928" s="1662"/>
      <c r="U928" s="66" t="s">
        <v>13</v>
      </c>
      <c r="V928" s="5"/>
      <c r="W928" s="5"/>
      <c r="X928" s="5"/>
      <c r="Y928" s="5"/>
      <c r="Z928" s="5"/>
      <c r="AA928" s="5"/>
      <c r="AB928" s="5"/>
      <c r="AC928" s="5"/>
      <c r="AD928" s="46"/>
      <c r="AE928" s="1660"/>
      <c r="AF928" s="1661"/>
      <c r="AG928" s="1661"/>
      <c r="AH928" s="1661"/>
      <c r="AI928" s="1661"/>
      <c r="AJ928" s="1661"/>
      <c r="AK928" s="166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663">
        <v>20</v>
      </c>
      <c r="N929" s="1618"/>
      <c r="O929" s="1618"/>
      <c r="P929" s="1618"/>
      <c r="Q929" s="1618"/>
      <c r="R929" s="1618"/>
      <c r="S929" s="1619"/>
      <c r="U929" s="66" t="s">
        <v>14</v>
      </c>
      <c r="V929" s="5"/>
      <c r="W929" s="5"/>
      <c r="X929" s="5"/>
      <c r="Y929" s="5"/>
      <c r="Z929" s="5"/>
      <c r="AA929" s="5"/>
      <c r="AB929" s="5"/>
      <c r="AC929" s="5"/>
      <c r="AD929" s="46"/>
      <c r="AE929" s="1663"/>
      <c r="AF929" s="1618"/>
      <c r="AG929" s="1618"/>
      <c r="AH929" s="1618"/>
      <c r="AI929" s="1618"/>
      <c r="AJ929" s="1618"/>
      <c r="AK929" s="161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640">
        <v>247260</v>
      </c>
      <c r="N930" s="1440"/>
      <c r="O930" s="1440"/>
      <c r="P930" s="1440"/>
      <c r="Q930" s="1440"/>
      <c r="R930" s="1440"/>
      <c r="S930" s="1641"/>
      <c r="U930" s="66" t="s">
        <v>15</v>
      </c>
      <c r="V930" s="5"/>
      <c r="W930" s="5"/>
      <c r="X930" s="5"/>
      <c r="Y930" s="5"/>
      <c r="Z930" s="5"/>
      <c r="AA930" s="5"/>
      <c r="AB930" s="5"/>
      <c r="AC930" s="5"/>
      <c r="AD930" s="46"/>
      <c r="AE930" s="1640"/>
      <c r="AF930" s="1440"/>
      <c r="AG930" s="1440"/>
      <c r="AH930" s="1440"/>
      <c r="AI930" s="1440"/>
      <c r="AJ930" s="1440"/>
      <c r="AK930" s="16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640">
        <v>2884728</v>
      </c>
      <c r="N931" s="1440"/>
      <c r="O931" s="1440"/>
      <c r="P931" s="1440"/>
      <c r="Q931" s="1440"/>
      <c r="R931" s="1440"/>
      <c r="S931" s="1641"/>
      <c r="U931" s="66" t="s">
        <v>16</v>
      </c>
      <c r="V931" s="5"/>
      <c r="W931" s="5"/>
      <c r="X931" s="5"/>
      <c r="Y931" s="5"/>
      <c r="Z931" s="5"/>
      <c r="AA931" s="5"/>
      <c r="AB931" s="5"/>
      <c r="AC931" s="5"/>
      <c r="AD931" s="46"/>
      <c r="AE931" s="1640"/>
      <c r="AF931" s="1440"/>
      <c r="AG931" s="1440"/>
      <c r="AH931" s="1440"/>
      <c r="AI931" s="1440"/>
      <c r="AJ931" s="1440"/>
      <c r="AK931" s="16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1843</v>
      </c>
      <c r="D932" s="5"/>
      <c r="E932" s="5"/>
      <c r="F932" s="5"/>
      <c r="G932" s="5"/>
      <c r="H932" s="5"/>
      <c r="I932" s="5"/>
      <c r="J932" s="5"/>
      <c r="K932" s="5"/>
      <c r="L932" s="46"/>
      <c r="M932" s="1658">
        <v>20</v>
      </c>
      <c r="N932" s="1589"/>
      <c r="O932" s="1589"/>
      <c r="P932" s="1589"/>
      <c r="Q932" s="1589"/>
      <c r="R932" s="1589"/>
      <c r="S932" s="1659"/>
      <c r="U932" s="121" t="s">
        <v>1843</v>
      </c>
      <c r="V932" s="5"/>
      <c r="W932" s="5"/>
      <c r="X932" s="5"/>
      <c r="Y932" s="5"/>
      <c r="Z932" s="5"/>
      <c r="AA932" s="5"/>
      <c r="AB932" s="5"/>
      <c r="AC932" s="5"/>
      <c r="AD932" s="46"/>
      <c r="AE932" s="1658"/>
      <c r="AF932" s="1589"/>
      <c r="AG932" s="1589"/>
      <c r="AH932" s="1589"/>
      <c r="AI932" s="1589"/>
      <c r="AJ932" s="1589"/>
      <c r="AK932" s="165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630"/>
      <c r="N937" s="1631"/>
      <c r="O937" s="1631"/>
      <c r="P937" s="1631"/>
      <c r="Q937" s="1631"/>
      <c r="R937" s="1631"/>
      <c r="S937" s="1632"/>
      <c r="T937" s="66" t="s">
        <v>814</v>
      </c>
      <c r="U937" s="5"/>
      <c r="V937" s="5"/>
      <c r="W937" s="5"/>
      <c r="X937" s="5"/>
      <c r="Y937" s="5"/>
      <c r="Z937" s="46"/>
      <c r="AA937" s="1630"/>
      <c r="AB937" s="1631"/>
      <c r="AC937" s="1631"/>
      <c r="AD937" s="1631"/>
      <c r="AE937" s="1631"/>
      <c r="AF937" s="1631"/>
      <c r="AG937" s="163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630"/>
      <c r="N938" s="1631"/>
      <c r="O938" s="1631"/>
      <c r="P938" s="1631"/>
      <c r="Q938" s="1631"/>
      <c r="R938" s="1631"/>
      <c r="S938" s="1632"/>
      <c r="T938" s="66" t="s">
        <v>813</v>
      </c>
      <c r="U938" s="5"/>
      <c r="V938" s="5"/>
      <c r="W938" s="5"/>
      <c r="X938" s="5"/>
      <c r="Y938" s="5"/>
      <c r="Z938" s="46"/>
      <c r="AA938" s="1630"/>
      <c r="AB938" s="1631"/>
      <c r="AC938" s="1631"/>
      <c r="AD938" s="1631"/>
      <c r="AE938" s="1631"/>
      <c r="AF938" s="1631"/>
      <c r="AG938" s="163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80" t="s">
        <v>600</v>
      </c>
      <c r="N939" s="1681"/>
      <c r="O939" s="1681"/>
      <c r="P939" s="1681"/>
      <c r="Q939" s="1681"/>
      <c r="R939" s="1681"/>
      <c r="S939" s="1682"/>
      <c r="T939" s="45" t="s">
        <v>338</v>
      </c>
      <c r="U939" s="5"/>
      <c r="V939" s="5"/>
      <c r="W939" s="5"/>
      <c r="X939" s="5"/>
      <c r="Y939" s="5"/>
      <c r="Z939" s="46"/>
      <c r="AA939" s="1630"/>
      <c r="AB939" s="1631"/>
      <c r="AC939" s="1631"/>
      <c r="AD939" s="1631"/>
      <c r="AE939" s="1631"/>
      <c r="AF939" s="1631"/>
      <c r="AG939" s="163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630"/>
      <c r="N940" s="1631"/>
      <c r="O940" s="1631"/>
      <c r="P940" s="1631"/>
      <c r="Q940" s="1631"/>
      <c r="R940" s="1631"/>
      <c r="S940" s="1632"/>
      <c r="T940" s="45" t="s">
        <v>339</v>
      </c>
      <c r="U940" s="5"/>
      <c r="V940" s="5"/>
      <c r="W940" s="5"/>
      <c r="X940" s="5"/>
      <c r="Y940" s="5"/>
      <c r="Z940" s="46"/>
      <c r="AA940" s="1630"/>
      <c r="AB940" s="1631"/>
      <c r="AC940" s="1631"/>
      <c r="AD940" s="1631"/>
      <c r="AE940" s="1631"/>
      <c r="AF940" s="1631"/>
      <c r="AG940" s="163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630"/>
      <c r="N941" s="1631"/>
      <c r="O941" s="1631"/>
      <c r="P941" s="1631"/>
      <c r="Q941" s="1631"/>
      <c r="R941" s="1631"/>
      <c r="S941" s="1632"/>
      <c r="T941" s="45" t="s">
        <v>377</v>
      </c>
      <c r="U941" s="5"/>
      <c r="V941" s="5"/>
      <c r="W941" s="5"/>
      <c r="X941" s="5"/>
      <c r="Y941" s="5"/>
      <c r="Z941" s="46"/>
      <c r="AA941" s="1630"/>
      <c r="AB941" s="1631"/>
      <c r="AC941" s="1631"/>
      <c r="AD941" s="1631"/>
      <c r="AE941" s="1631"/>
      <c r="AF941" s="1631"/>
      <c r="AG941" s="163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67" t="s">
        <v>308</v>
      </c>
      <c r="N942" s="1668"/>
      <c r="O942" s="1668"/>
      <c r="P942" s="1668"/>
      <c r="Q942" s="1668"/>
      <c r="R942" s="1668"/>
      <c r="S942" s="1669"/>
      <c r="T942" s="1647"/>
      <c r="U942" s="1648"/>
      <c r="V942" s="1648"/>
      <c r="W942" s="1648"/>
      <c r="X942" s="1648"/>
      <c r="Y942" s="1648"/>
      <c r="Z942" s="1649"/>
      <c r="AA942" s="1630"/>
      <c r="AB942" s="1631"/>
      <c r="AC942" s="1631"/>
      <c r="AD942" s="1631"/>
      <c r="AE942" s="1631"/>
      <c r="AF942" s="1631"/>
      <c r="AG942" s="163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630"/>
      <c r="N943" s="1631"/>
      <c r="O943" s="1631"/>
      <c r="P943" s="1631"/>
      <c r="Q943" s="1631"/>
      <c r="R943" s="1631"/>
      <c r="S943" s="1632"/>
      <c r="T943" s="1647"/>
      <c r="U943" s="1648"/>
      <c r="V943" s="1648"/>
      <c r="W943" s="1648"/>
      <c r="X943" s="1648"/>
      <c r="Y943" s="1648"/>
      <c r="Z943" s="1649"/>
      <c r="AA943" s="1630"/>
      <c r="AB943" s="1631"/>
      <c r="AC943" s="1631"/>
      <c r="AD943" s="1631"/>
      <c r="AE943" s="1631"/>
      <c r="AF943" s="1631"/>
      <c r="AG943" s="163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337</v>
      </c>
      <c r="G944" s="42"/>
      <c r="H944" s="42"/>
      <c r="I944" s="42"/>
      <c r="J944" s="42"/>
      <c r="K944" s="42"/>
      <c r="L944" s="42"/>
      <c r="M944" s="42"/>
      <c r="N944" s="42"/>
      <c r="O944" s="1365" t="s">
        <v>678</v>
      </c>
      <c r="P944" s="1367"/>
      <c r="Q944" s="92"/>
      <c r="R944" s="92"/>
      <c r="S944" s="93"/>
      <c r="T944" s="41" t="s">
        <v>170</v>
      </c>
      <c r="U944" s="42"/>
      <c r="V944" s="42"/>
      <c r="W944" s="1664" t="s">
        <v>335</v>
      </c>
      <c r="X944" s="1665"/>
      <c r="Y944" s="1665"/>
      <c r="Z944" s="1665"/>
      <c r="AA944" s="1665"/>
      <c r="AB944" s="1665"/>
      <c r="AC944" s="1665"/>
      <c r="AD944" s="1665"/>
      <c r="AE944" s="1665"/>
      <c r="AF944" s="1665"/>
      <c r="AG944" s="166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6" t="s">
        <v>33</v>
      </c>
      <c r="G945" s="1512"/>
      <c r="H945" s="1512"/>
      <c r="I945" s="1512"/>
      <c r="J945" s="1512"/>
      <c r="K945" s="1512"/>
      <c r="L945" s="1512"/>
      <c r="M945" s="1630"/>
      <c r="N945" s="1631"/>
      <c r="O945" s="1631"/>
      <c r="P945" s="1631"/>
      <c r="Q945" s="1631"/>
      <c r="R945" s="1631"/>
      <c r="S945" s="1632"/>
      <c r="T945" s="47"/>
      <c r="U945" s="48"/>
      <c r="V945" s="48"/>
      <c r="W945" s="48"/>
      <c r="X945" s="48"/>
      <c r="Y945" s="48"/>
      <c r="Z945" s="124" t="s">
        <v>135</v>
      </c>
      <c r="AA945" s="1801"/>
      <c r="AB945" s="1802"/>
      <c r="AC945" s="1802"/>
      <c r="AD945" s="1802"/>
      <c r="AE945" s="1802"/>
      <c r="AF945" s="1802"/>
      <c r="AG945" s="180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807" t="s">
        <v>557</v>
      </c>
      <c r="B949" s="1807"/>
      <c r="C949" s="1807"/>
      <c r="D949" s="1807"/>
      <c r="E949" s="1807"/>
      <c r="F949" s="1807"/>
      <c r="G949" s="1807"/>
      <c r="H949" s="1807"/>
      <c r="I949" s="1807"/>
      <c r="J949" s="1807"/>
      <c r="K949" s="1807"/>
      <c r="L949" s="1807"/>
      <c r="M949" s="1807"/>
      <c r="N949" s="1807"/>
      <c r="O949" s="1807"/>
      <c r="P949" s="1807"/>
      <c r="Q949" s="1807"/>
      <c r="R949" s="1807"/>
      <c r="S949" s="1807"/>
      <c r="T949" s="1807"/>
      <c r="U949" s="1807"/>
      <c r="V949" s="1807"/>
      <c r="W949" s="1807"/>
      <c r="X949" s="1807"/>
      <c r="Y949" s="1807"/>
      <c r="Z949" s="1807"/>
      <c r="AA949" s="1807"/>
      <c r="AB949" s="1807"/>
      <c r="AC949" s="1807"/>
      <c r="AD949" s="1807"/>
      <c r="AE949" s="1807"/>
      <c r="AF949" s="1807"/>
      <c r="AG949" s="1807"/>
      <c r="AH949" s="1807"/>
      <c r="AI949" s="1807"/>
      <c r="AJ949" s="1807"/>
      <c r="AK949" s="1807"/>
      <c r="AL949" s="1807"/>
      <c r="AM949" s="1807"/>
      <c r="AN949" s="1807"/>
      <c r="AO949" s="1807"/>
      <c r="AP949" s="1807"/>
      <c r="AQ949" s="1807"/>
      <c r="AR949" s="1807"/>
      <c r="AS949" s="180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807"/>
      <c r="B950" s="1807"/>
      <c r="C950" s="1807"/>
      <c r="D950" s="1807"/>
      <c r="E950" s="1807"/>
      <c r="F950" s="1807"/>
      <c r="G950" s="1807"/>
      <c r="H950" s="1807"/>
      <c r="I950" s="1807"/>
      <c r="J950" s="1807"/>
      <c r="K950" s="1807"/>
      <c r="L950" s="1807"/>
      <c r="M950" s="1807"/>
      <c r="N950" s="1807"/>
      <c r="O950" s="1807"/>
      <c r="P950" s="1807"/>
      <c r="Q950" s="1807"/>
      <c r="R950" s="1807"/>
      <c r="S950" s="1807"/>
      <c r="T950" s="1807"/>
      <c r="U950" s="1807"/>
      <c r="V950" s="1807"/>
      <c r="W950" s="1807"/>
      <c r="X950" s="1807"/>
      <c r="Y950" s="1807"/>
      <c r="Z950" s="1807"/>
      <c r="AA950" s="1807"/>
      <c r="AB950" s="1807"/>
      <c r="AC950" s="1807"/>
      <c r="AD950" s="1807"/>
      <c r="AE950" s="1807"/>
      <c r="AF950" s="1807"/>
      <c r="AG950" s="1807"/>
      <c r="AH950" s="1807"/>
      <c r="AI950" s="1807"/>
      <c r="AJ950" s="1807"/>
      <c r="AK950" s="1807"/>
      <c r="AL950" s="1807"/>
      <c r="AM950" s="1807"/>
      <c r="AN950" s="1807"/>
      <c r="AO950" s="1807"/>
      <c r="AP950" s="1807"/>
      <c r="AQ950" s="1807"/>
      <c r="AR950" s="1807"/>
      <c r="AS950" s="180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22"/>
      <c r="BH951" s="1622"/>
      <c r="BI951" s="1622"/>
      <c r="BJ951" s="1622"/>
      <c r="BK951" s="1622"/>
      <c r="BL951" s="162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794" t="s">
        <v>647</v>
      </c>
      <c r="E954" s="1795"/>
      <c r="F954" s="1795"/>
      <c r="G954" s="1795"/>
      <c r="H954" s="1795"/>
      <c r="I954" s="1795"/>
      <c r="J954" s="1795"/>
      <c r="K954" s="1795"/>
      <c r="L954" s="1795"/>
      <c r="M954" s="1795"/>
      <c r="N954" s="1795"/>
      <c r="O954" s="1795"/>
      <c r="P954" s="1795"/>
      <c r="Q954" s="1796"/>
      <c r="R954" s="1794" t="s">
        <v>648</v>
      </c>
      <c r="S954" s="1795"/>
      <c r="T954" s="1795"/>
      <c r="U954" s="1795"/>
      <c r="V954" s="1795"/>
      <c r="W954" s="1795"/>
      <c r="X954" s="1795"/>
      <c r="Y954" s="1795"/>
      <c r="Z954" s="1795"/>
      <c r="AA954" s="1796"/>
      <c r="AB954" s="1794" t="s">
        <v>649</v>
      </c>
      <c r="AC954" s="1795"/>
      <c r="AD954" s="1795"/>
      <c r="AE954" s="1795"/>
      <c r="AF954" s="1795"/>
      <c r="AG954" s="1795"/>
      <c r="AH954" s="1795"/>
      <c r="AI954" s="1796"/>
      <c r="AJ954" s="1794" t="s">
        <v>650</v>
      </c>
      <c r="AK954" s="1795"/>
      <c r="AL954" s="1795"/>
      <c r="AM954" s="1795"/>
      <c r="AN954" s="1795"/>
      <c r="AO954" s="1795"/>
      <c r="AP954" s="1795"/>
      <c r="AQ954" s="179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708" t="s">
        <v>642</v>
      </c>
      <c r="E955" s="1709"/>
      <c r="F955" s="1709"/>
      <c r="G955" s="1709"/>
      <c r="H955" s="1709"/>
      <c r="I955" s="1709"/>
      <c r="J955" s="1709"/>
      <c r="K955" s="1709"/>
      <c r="L955" s="1709"/>
      <c r="M955" s="1709"/>
      <c r="N955" s="1709"/>
      <c r="O955" s="1709"/>
      <c r="P955" s="1709"/>
      <c r="Q955" s="1710"/>
      <c r="R955" s="1686">
        <f>IF(ISNA(IF($BN$785="4%",(INDEX($BP$795:$BT$852,MATCH($CB$785,$BO$795:$BO$852,0),MATCH(D955,$BP$794:$BT$794,0))),(INDEX($BW$795:$CA$852,MATCH($CB$785,$BV$795:$BV$852,0),MATCH(D955,$BW$794:$CA$794,0))))),0,IF($BN$785="4%",(INDEX($BP$795:$BT$852,MATCH($CB$785,$BO$795:$BO$852,0),MATCH(D955,$BP$794:$BT$794,0))),(INDEX($BW$795:$CA$852,MATCH($CB$785,$BV$795:$BV$852,0),MATCH(D955,$BW$794:$CA$794,0)))))</f>
        <v>331890</v>
      </c>
      <c r="S955" s="1686"/>
      <c r="T955" s="1686"/>
      <c r="U955" s="1686"/>
      <c r="V955" s="1686"/>
      <c r="W955" s="1686"/>
      <c r="X955" s="1686"/>
      <c r="Y955" s="1686"/>
      <c r="Z955" s="1686"/>
      <c r="AA955" s="1686"/>
      <c r="AB955" s="1797">
        <f>BN649</f>
        <v>0</v>
      </c>
      <c r="AC955" s="1798"/>
      <c r="AD955" s="1798"/>
      <c r="AE955" s="1798"/>
      <c r="AF955" s="1798"/>
      <c r="AG955" s="1798"/>
      <c r="AH955" s="1798"/>
      <c r="AI955" s="1799"/>
      <c r="AJ955" s="1713">
        <f>IF(ISERROR((R955*AB955)),0,(R955*AB955))</f>
        <v>0</v>
      </c>
      <c r="AK955" s="1714"/>
      <c r="AL955" s="1714"/>
      <c r="AM955" s="1714"/>
      <c r="AN955" s="1714"/>
      <c r="AO955" s="1714"/>
      <c r="AP955" s="1714"/>
      <c r="AQ955" s="171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708" t="s">
        <v>326</v>
      </c>
      <c r="E956" s="1709"/>
      <c r="F956" s="1709"/>
      <c r="G956" s="1709"/>
      <c r="H956" s="1709"/>
      <c r="I956" s="1709"/>
      <c r="J956" s="1709"/>
      <c r="K956" s="1709"/>
      <c r="L956" s="1709"/>
      <c r="M956" s="1709"/>
      <c r="N956" s="1709"/>
      <c r="O956" s="1709"/>
      <c r="P956" s="1709"/>
      <c r="Q956" s="1710"/>
      <c r="R956" s="1686">
        <f>IF(ISNA(IF($BN$785="4%",(INDEX($BP$795:$BT$852,MATCH($CB$785,$BO$795:$BO$852,0),MATCH(D956,$BP$794:$BT$794,0))),(INDEX($BW$795:$CA$852,MATCH($CB$785,$BV$795:$BV$852,0),MATCH(D956,$BW$794:$CA$794,0))))),0,IF($BN$785="4%",(INDEX($BP$795:$BT$852,MATCH($CB$785,$BO$795:$BO$852,0),MATCH(D956,$BP$794:$BT$794,0))),(INDEX($BW$795:$CA$852,MATCH($CB$785,$BV$795:$BV$852,0),MATCH(D956,$BW$794:$CA$794,0)))))</f>
        <v>382666</v>
      </c>
      <c r="S956" s="1686"/>
      <c r="T956" s="1686"/>
      <c r="U956" s="1686"/>
      <c r="V956" s="1686"/>
      <c r="W956" s="1686"/>
      <c r="X956" s="1686"/>
      <c r="Y956" s="1686"/>
      <c r="Z956" s="1686"/>
      <c r="AA956" s="1686"/>
      <c r="AB956" s="1797">
        <f>BS649</f>
        <v>88</v>
      </c>
      <c r="AC956" s="1798"/>
      <c r="AD956" s="1798"/>
      <c r="AE956" s="1798"/>
      <c r="AF956" s="1798"/>
      <c r="AG956" s="1798"/>
      <c r="AH956" s="1798"/>
      <c r="AI956" s="1799"/>
      <c r="AJ956" s="1713">
        <f>IF(ISERROR((R956*AB956)),0,(R956*AB956))</f>
        <v>33674608</v>
      </c>
      <c r="AK956" s="1714"/>
      <c r="AL956" s="1714"/>
      <c r="AM956" s="1714"/>
      <c r="AN956" s="1714"/>
      <c r="AO956" s="1714"/>
      <c r="AP956" s="1714"/>
      <c r="AQ956" s="171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708" t="s">
        <v>164</v>
      </c>
      <c r="E957" s="1709"/>
      <c r="F957" s="1709"/>
      <c r="G957" s="1709"/>
      <c r="H957" s="1709"/>
      <c r="I957" s="1709"/>
      <c r="J957" s="1709"/>
      <c r="K957" s="1709"/>
      <c r="L957" s="1709"/>
      <c r="M957" s="1709"/>
      <c r="N957" s="1709"/>
      <c r="O957" s="1709"/>
      <c r="P957" s="1709"/>
      <c r="Q957" s="1710"/>
      <c r="R957" s="1686">
        <f>IF(ISNA(IF($BN$785="4%",(INDEX($BP$795:$BT$852,MATCH($CB$785,$BO$795:$BO$852,0),MATCH(D957,$BP$794:$BT$794,0))),(INDEX($BW$795:$CA$852,MATCH($CB$785,$BV$795:$BV$852,0),MATCH(D957,$BW$794:$CA$794,0))))),0,IF($BN$785="4%",(INDEX($BP$795:$BT$852,MATCH($CB$785,$BO$795:$BO$852,0),MATCH(D957,$BP$794:$BT$794,0))),(INDEX($BW$795:$CA$852,MATCH($CB$785,$BV$795:$BV$852,0),MATCH(D957,$BW$794:$CA$794,0)))))</f>
        <v>461600</v>
      </c>
      <c r="S957" s="1686"/>
      <c r="T957" s="1686"/>
      <c r="U957" s="1686"/>
      <c r="V957" s="1686"/>
      <c r="W957" s="1686"/>
      <c r="X957" s="1686"/>
      <c r="Y957" s="1686"/>
      <c r="Z957" s="1686"/>
      <c r="AA957" s="1686"/>
      <c r="AB957" s="1797">
        <f>BX649</f>
        <v>44</v>
      </c>
      <c r="AC957" s="1798"/>
      <c r="AD957" s="1798"/>
      <c r="AE957" s="1798"/>
      <c r="AF957" s="1798"/>
      <c r="AG957" s="1798"/>
      <c r="AH957" s="1798"/>
      <c r="AI957" s="1799"/>
      <c r="AJ957" s="1713">
        <f>IF(ISERROR((R957*AB957)),0,(R957*AB957))</f>
        <v>20310400</v>
      </c>
      <c r="AK957" s="1714"/>
      <c r="AL957" s="1714"/>
      <c r="AM957" s="1714"/>
      <c r="AN957" s="1714"/>
      <c r="AO957" s="1714"/>
      <c r="AP957" s="1714"/>
      <c r="AQ957" s="171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708" t="s">
        <v>165</v>
      </c>
      <c r="E958" s="1709"/>
      <c r="F958" s="1709"/>
      <c r="G958" s="1709"/>
      <c r="H958" s="1709"/>
      <c r="I958" s="1709"/>
      <c r="J958" s="1709"/>
      <c r="K958" s="1709"/>
      <c r="L958" s="1709"/>
      <c r="M958" s="1709"/>
      <c r="N958" s="1709"/>
      <c r="O958" s="1709"/>
      <c r="P958" s="1709"/>
      <c r="Q958" s="1710"/>
      <c r="R958" s="1686">
        <f>IF(ISNA(IF($BN$785="4%",(INDEX($BP$795:$BT$852,MATCH($CB$785,$BO$795:$BO$852,0),MATCH(D958,$BP$794:$BT$794,0))),(INDEX($BW$795:$CA$852,MATCH($CB$785,$BV$795:$BV$852,0),MATCH(D958,$BW$794:$CA$794,0))))),0,IF($BN$785="4%",(INDEX($BP$795:$BT$852,MATCH($CB$785,$BO$795:$BO$852,0),MATCH(D958,$BP$794:$BT$794,0))),(INDEX($BW$795:$CA$852,MATCH($CB$785,$BV$795:$BV$852,0),MATCH(D958,$BW$794:$CA$794,0)))))</f>
        <v>590848</v>
      </c>
      <c r="S958" s="1686"/>
      <c r="T958" s="1686"/>
      <c r="U958" s="1686"/>
      <c r="V958" s="1686"/>
      <c r="W958" s="1686"/>
      <c r="X958" s="1686"/>
      <c r="Y958" s="1686"/>
      <c r="Z958" s="1686"/>
      <c r="AA958" s="1686"/>
      <c r="AB958" s="1797">
        <f>CC649</f>
        <v>44</v>
      </c>
      <c r="AC958" s="1798"/>
      <c r="AD958" s="1798"/>
      <c r="AE958" s="1798"/>
      <c r="AF958" s="1798"/>
      <c r="AG958" s="1798"/>
      <c r="AH958" s="1798"/>
      <c r="AI958" s="1799"/>
      <c r="AJ958" s="1713">
        <f>IF(ISERROR((R958*AB958)),0,(R958*AB958))</f>
        <v>25997312</v>
      </c>
      <c r="AK958" s="1714"/>
      <c r="AL958" s="1714"/>
      <c r="AM958" s="1714"/>
      <c r="AN958" s="1714"/>
      <c r="AO958" s="1714"/>
      <c r="AP958" s="1714"/>
      <c r="AQ958" s="171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708" t="s">
        <v>469</v>
      </c>
      <c r="E959" s="1709"/>
      <c r="F959" s="1709"/>
      <c r="G959" s="1709"/>
      <c r="H959" s="1709"/>
      <c r="I959" s="1709"/>
      <c r="J959" s="1709"/>
      <c r="K959" s="1709"/>
      <c r="L959" s="1709"/>
      <c r="M959" s="1709"/>
      <c r="N959" s="1709"/>
      <c r="O959" s="1709"/>
      <c r="P959" s="1709"/>
      <c r="Q959" s="1710"/>
      <c r="R959" s="1686">
        <f>IF(ISNA(IF($BN$785="4%",(INDEX($BP$795:$BT$852,MATCH($CB$785,$BO$795:$BO$852,0),MATCH(D959,$BP$794:$BT$794,0))),(INDEX($BW$795:$CA$852,MATCH($CB$785,$BV$795:$BV$852,0),MATCH(D959,$BW$794:$CA$794,0))))),0,IF($BN$785="4%",(INDEX($BP$795:$BT$852,MATCH($CB$785,$BO$795:$BO$852,0),MATCH(D959,$BP$794:$BT$794,0))),(INDEX($BW$795:$CA$852,MATCH($CB$785,$BV$795:$BV$852,0),MATCH(D959,$BW$794:$CA$794,0)))))</f>
        <v>658242</v>
      </c>
      <c r="S959" s="1686"/>
      <c r="T959" s="1686"/>
      <c r="U959" s="1686"/>
      <c r="V959" s="1686"/>
      <c r="W959" s="1686"/>
      <c r="X959" s="1686"/>
      <c r="Y959" s="1686"/>
      <c r="Z959" s="1686"/>
      <c r="AA959" s="1686"/>
      <c r="AB959" s="1797">
        <f>CM649+CH649</f>
        <v>0</v>
      </c>
      <c r="AC959" s="1798"/>
      <c r="AD959" s="1798"/>
      <c r="AE959" s="1798"/>
      <c r="AF959" s="1798"/>
      <c r="AG959" s="1798"/>
      <c r="AH959" s="1798"/>
      <c r="AI959" s="1799"/>
      <c r="AJ959" s="1713">
        <f>IF(ISERROR((R959*AB959)),0,(R959*AB959))</f>
        <v>0</v>
      </c>
      <c r="AK959" s="1714"/>
      <c r="AL959" s="1714"/>
      <c r="AM959" s="1714"/>
      <c r="AN959" s="1714"/>
      <c r="AO959" s="1714"/>
      <c r="AP959" s="1714"/>
      <c r="AQ959" s="171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809" t="s">
        <v>815</v>
      </c>
      <c r="C960" s="1810"/>
      <c r="D960" s="1810"/>
      <c r="E960" s="1810"/>
      <c r="F960" s="1810"/>
      <c r="G960" s="1810"/>
      <c r="H960" s="1810"/>
      <c r="I960" s="1810"/>
      <c r="J960" s="1810"/>
      <c r="K960" s="1810"/>
      <c r="L960" s="1810"/>
      <c r="M960" s="1810"/>
      <c r="N960" s="1810"/>
      <c r="O960" s="1810"/>
      <c r="P960" s="1810"/>
      <c r="Q960" s="1810"/>
      <c r="R960" s="1810"/>
      <c r="S960" s="1810"/>
      <c r="T960" s="1810"/>
      <c r="U960" s="1810"/>
      <c r="V960" s="1810"/>
      <c r="W960" s="1810"/>
      <c r="X960" s="1810"/>
      <c r="Y960" s="1810"/>
      <c r="Z960" s="1810"/>
      <c r="AA960" s="1811"/>
      <c r="AB960" s="1797">
        <f>SUM(AB955:AI959)</f>
        <v>176</v>
      </c>
      <c r="AC960" s="1798"/>
      <c r="AD960" s="1798"/>
      <c r="AE960" s="1798"/>
      <c r="AF960" s="1798"/>
      <c r="AG960" s="1798"/>
      <c r="AH960" s="1798"/>
      <c r="AI960" s="1799"/>
      <c r="AJ960" s="1713"/>
      <c r="AK960" s="1714"/>
      <c r="AL960" s="1714"/>
      <c r="AM960" s="1714"/>
      <c r="AN960" s="1714"/>
      <c r="AO960" s="1714"/>
      <c r="AP960" s="1714"/>
      <c r="AQ960" s="171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827" t="s">
        <v>521</v>
      </c>
      <c r="C961" s="1828"/>
      <c r="D961" s="1828"/>
      <c r="E961" s="1828"/>
      <c r="F961" s="1828"/>
      <c r="G961" s="1828"/>
      <c r="H961" s="1828"/>
      <c r="I961" s="1828"/>
      <c r="J961" s="1828"/>
      <c r="K961" s="1828"/>
      <c r="L961" s="1828"/>
      <c r="M961" s="1828"/>
      <c r="N961" s="1828"/>
      <c r="O961" s="1828"/>
      <c r="P961" s="1828"/>
      <c r="Q961" s="1828"/>
      <c r="R961" s="1828"/>
      <c r="S961" s="1828"/>
      <c r="T961" s="1828"/>
      <c r="U961" s="1828"/>
      <c r="V961" s="1828"/>
      <c r="W961" s="1828"/>
      <c r="X961" s="1828"/>
      <c r="Y961" s="1828"/>
      <c r="Z961" s="1828"/>
      <c r="AA961" s="1828"/>
      <c r="AB961" s="1828"/>
      <c r="AC961" s="1828"/>
      <c r="AD961" s="1828"/>
      <c r="AE961" s="1828"/>
      <c r="AF961" s="1828"/>
      <c r="AG961" s="1828"/>
      <c r="AH961" s="1828"/>
      <c r="AI961" s="1829"/>
      <c r="AJ961" s="1713">
        <f>SUM(AJ955:AQ959)</f>
        <v>79982320</v>
      </c>
      <c r="AK961" s="1714"/>
      <c r="AL961" s="1714"/>
      <c r="AM961" s="1714"/>
      <c r="AN961" s="1714"/>
      <c r="AO961" s="1714"/>
      <c r="AP961" s="1714"/>
      <c r="AQ961" s="171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788"/>
      <c r="C962" s="1789"/>
      <c r="D962" s="1789"/>
      <c r="E962" s="1789"/>
      <c r="F962" s="1789"/>
      <c r="G962" s="1789"/>
      <c r="H962" s="1789"/>
      <c r="I962" s="1789"/>
      <c r="J962" s="1789"/>
      <c r="K962" s="1789"/>
      <c r="L962" s="1789"/>
      <c r="M962" s="1789"/>
      <c r="N962" s="1789"/>
      <c r="O962" s="1789"/>
      <c r="P962" s="1789"/>
      <c r="Q962" s="1789"/>
      <c r="R962" s="1789"/>
      <c r="S962" s="1789"/>
      <c r="T962" s="1789"/>
      <c r="U962" s="1789"/>
      <c r="V962" s="1789"/>
      <c r="W962" s="1789"/>
      <c r="X962" s="1789"/>
      <c r="Y962" s="1789"/>
      <c r="Z962" s="1789"/>
      <c r="AA962" s="1789"/>
      <c r="AB962" s="1789"/>
      <c r="AC962" s="1789"/>
      <c r="AD962" s="1789"/>
      <c r="AE962" s="1790"/>
      <c r="AF962" s="1830" t="s">
        <v>675</v>
      </c>
      <c r="AG962" s="1831"/>
      <c r="AH962" s="1831"/>
      <c r="AI962" s="1832"/>
      <c r="AJ962" s="1788"/>
      <c r="AK962" s="1789"/>
      <c r="AL962" s="1789"/>
      <c r="AM962" s="1789"/>
      <c r="AN962" s="1789"/>
      <c r="AO962" s="1789"/>
      <c r="AP962" s="1789"/>
      <c r="AQ962" s="179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677</v>
      </c>
      <c r="D963" s="1791" t="s">
        <v>1364</v>
      </c>
      <c r="E963" s="1792"/>
      <c r="F963" s="1792"/>
      <c r="G963" s="1792"/>
      <c r="H963" s="1792"/>
      <c r="I963" s="1792"/>
      <c r="J963" s="1792"/>
      <c r="K963" s="1792"/>
      <c r="L963" s="1792"/>
      <c r="M963" s="1792"/>
      <c r="N963" s="1792"/>
      <c r="O963" s="1792"/>
      <c r="P963" s="1792"/>
      <c r="Q963" s="1792"/>
      <c r="R963" s="1792"/>
      <c r="S963" s="1792"/>
      <c r="T963" s="1792"/>
      <c r="U963" s="1792"/>
      <c r="V963" s="1792"/>
      <c r="W963" s="1792"/>
      <c r="X963" s="1792"/>
      <c r="Y963" s="1792"/>
      <c r="Z963" s="1792"/>
      <c r="AA963" s="1792"/>
      <c r="AB963" s="1792"/>
      <c r="AC963" s="1792"/>
      <c r="AD963" s="1792"/>
      <c r="AE963" s="1793"/>
      <c r="AF963" s="79"/>
      <c r="AG963" s="1833" t="s">
        <v>554</v>
      </c>
      <c r="AH963" s="1834"/>
      <c r="AI963" s="87"/>
      <c r="AJ963" s="1771">
        <f>ROUND(IF(AND(AG963="yes",D965&gt;0),AJ961*0.2,0),0)</f>
        <v>15996464</v>
      </c>
      <c r="AK963" s="1772"/>
      <c r="AL963" s="1772"/>
      <c r="AM963" s="1772"/>
      <c r="AN963" s="1772"/>
      <c r="AO963" s="1772"/>
      <c r="AP963" s="1772"/>
      <c r="AQ963" s="177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2" t="s">
        <v>1365</v>
      </c>
      <c r="E964" s="1813"/>
      <c r="F964" s="1813"/>
      <c r="G964" s="1813"/>
      <c r="H964" s="1813"/>
      <c r="I964" s="1813"/>
      <c r="J964" s="1813"/>
      <c r="K964" s="1813"/>
      <c r="L964" s="1813"/>
      <c r="M964" s="1813"/>
      <c r="N964" s="1813"/>
      <c r="O964" s="1813"/>
      <c r="P964" s="1813"/>
      <c r="Q964" s="1813"/>
      <c r="R964" s="1813"/>
      <c r="S964" s="1813"/>
      <c r="T964" s="1813"/>
      <c r="U964" s="1813"/>
      <c r="V964" s="1813"/>
      <c r="W964" s="1813"/>
      <c r="X964" s="1813"/>
      <c r="Y964" s="1813"/>
      <c r="Z964" s="1813"/>
      <c r="AA964" s="1813"/>
      <c r="AB964" s="1813"/>
      <c r="AC964" s="1813"/>
      <c r="AD964" s="1813"/>
      <c r="AE964" s="1814"/>
      <c r="AF964" s="73"/>
      <c r="AG964" s="14"/>
      <c r="AH964" s="14"/>
      <c r="AI964" s="83"/>
      <c r="AJ964" s="1774"/>
      <c r="AK964" s="1775"/>
      <c r="AL964" s="1775"/>
      <c r="AM964" s="1775"/>
      <c r="AN964" s="1775"/>
      <c r="AO964" s="1775"/>
      <c r="AP964" s="1775"/>
      <c r="AQ964" s="177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815" t="s">
        <v>2775</v>
      </c>
      <c r="E965" s="1816"/>
      <c r="F965" s="1816"/>
      <c r="G965" s="1816"/>
      <c r="H965" s="1816"/>
      <c r="I965" s="1816"/>
      <c r="J965" s="1816"/>
      <c r="K965" s="1816"/>
      <c r="L965" s="1816"/>
      <c r="M965" s="1816"/>
      <c r="N965" s="1816"/>
      <c r="O965" s="1816"/>
      <c r="P965" s="1816"/>
      <c r="Q965" s="1816"/>
      <c r="R965" s="1816"/>
      <c r="S965" s="1816"/>
      <c r="T965" s="1816"/>
      <c r="U965" s="1816"/>
      <c r="V965" s="1816"/>
      <c r="W965" s="1816"/>
      <c r="X965" s="1816"/>
      <c r="Y965" s="1816"/>
      <c r="Z965" s="1816"/>
      <c r="AA965" s="1816"/>
      <c r="AB965" s="1816"/>
      <c r="AC965" s="1816"/>
      <c r="AD965" s="1816"/>
      <c r="AE965" s="1817"/>
      <c r="AF965" s="77"/>
      <c r="AG965" s="7"/>
      <c r="AH965" s="7"/>
      <c r="AI965" s="78"/>
      <c r="AJ965" s="1777"/>
      <c r="AK965" s="1778"/>
      <c r="AL965" s="1778"/>
      <c r="AM965" s="1778"/>
      <c r="AN965" s="1778"/>
      <c r="AO965" s="1778"/>
      <c r="AP965" s="1778"/>
      <c r="AQ965" s="177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752" t="s">
        <v>1451</v>
      </c>
      <c r="E966" s="1753"/>
      <c r="F966" s="1753"/>
      <c r="G966" s="1753"/>
      <c r="H966" s="1753"/>
      <c r="I966" s="1753"/>
      <c r="J966" s="1753"/>
      <c r="K966" s="1753"/>
      <c r="L966" s="1753"/>
      <c r="M966" s="1753"/>
      <c r="N966" s="1753"/>
      <c r="O966" s="1753"/>
      <c r="P966" s="1753"/>
      <c r="Q966" s="1753"/>
      <c r="R966" s="1753"/>
      <c r="S966" s="1753"/>
      <c r="T966" s="1753"/>
      <c r="U966" s="1753"/>
      <c r="V966" s="1753"/>
      <c r="W966" s="1753"/>
      <c r="X966" s="1753"/>
      <c r="Y966" s="1753"/>
      <c r="Z966" s="1753"/>
      <c r="AA966" s="1753"/>
      <c r="AB966" s="1753"/>
      <c r="AC966" s="1753"/>
      <c r="AD966" s="1753"/>
      <c r="AE966" s="1754"/>
      <c r="AF966" s="79"/>
      <c r="AG966" s="1764" t="s">
        <v>678</v>
      </c>
      <c r="AH966" s="1765"/>
      <c r="AI966" s="87"/>
      <c r="AJ966" s="1771">
        <f>ROUND(IF(AG966="yes",AJ961*0.05,0),0)</f>
        <v>0</v>
      </c>
      <c r="AK966" s="1772"/>
      <c r="AL966" s="1772"/>
      <c r="AM966" s="1772"/>
      <c r="AN966" s="1772"/>
      <c r="AO966" s="1772"/>
      <c r="AP966" s="1772"/>
      <c r="AQ966" s="177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812" t="s">
        <v>1449</v>
      </c>
      <c r="E967" s="1813"/>
      <c r="F967" s="1813"/>
      <c r="G967" s="1813"/>
      <c r="H967" s="1813"/>
      <c r="I967" s="1813"/>
      <c r="J967" s="1813"/>
      <c r="K967" s="1813"/>
      <c r="L967" s="1813"/>
      <c r="M967" s="1813"/>
      <c r="N967" s="1813"/>
      <c r="O967" s="1813"/>
      <c r="P967" s="1813"/>
      <c r="Q967" s="1813"/>
      <c r="R967" s="1813"/>
      <c r="S967" s="1813"/>
      <c r="T967" s="1813"/>
      <c r="U967" s="1813"/>
      <c r="V967" s="1813"/>
      <c r="W967" s="1813"/>
      <c r="X967" s="1813"/>
      <c r="Y967" s="1813"/>
      <c r="Z967" s="1813"/>
      <c r="AA967" s="1813"/>
      <c r="AB967" s="1813"/>
      <c r="AC967" s="1813"/>
      <c r="AD967" s="1813"/>
      <c r="AE967" s="1814"/>
      <c r="AF967" s="73"/>
      <c r="AG967" s="14"/>
      <c r="AH967" s="14"/>
      <c r="AI967" s="83"/>
      <c r="AJ967" s="1774"/>
      <c r="AK967" s="1775"/>
      <c r="AL967" s="1775"/>
      <c r="AM967" s="1775"/>
      <c r="AN967" s="1775"/>
      <c r="AO967" s="1775"/>
      <c r="AP967" s="1775"/>
      <c r="AQ967" s="177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812"/>
      <c r="E968" s="1813"/>
      <c r="F968" s="1813"/>
      <c r="G968" s="1813"/>
      <c r="H968" s="1813"/>
      <c r="I968" s="1813"/>
      <c r="J968" s="1813"/>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4"/>
      <c r="AF968" s="73"/>
      <c r="AG968" s="14"/>
      <c r="AH968" s="14"/>
      <c r="AI968" s="83"/>
      <c r="AJ968" s="1774"/>
      <c r="AK968" s="1775"/>
      <c r="AL968" s="1775"/>
      <c r="AM968" s="1775"/>
      <c r="AN968" s="1775"/>
      <c r="AO968" s="1775"/>
      <c r="AP968" s="1775"/>
      <c r="AQ968" s="177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812"/>
      <c r="E969" s="1813"/>
      <c r="F969" s="1813"/>
      <c r="G969" s="1813"/>
      <c r="H969" s="1813"/>
      <c r="I969" s="1813"/>
      <c r="J969" s="1813"/>
      <c r="K969" s="1813"/>
      <c r="L969" s="1813"/>
      <c r="M969" s="1813"/>
      <c r="N969" s="1813"/>
      <c r="O969" s="1813"/>
      <c r="P969" s="1813"/>
      <c r="Q969" s="1813"/>
      <c r="R969" s="1813"/>
      <c r="S969" s="1813"/>
      <c r="T969" s="1813"/>
      <c r="U969" s="1813"/>
      <c r="V969" s="1813"/>
      <c r="W969" s="1813"/>
      <c r="X969" s="1813"/>
      <c r="Y969" s="1813"/>
      <c r="Z969" s="1813"/>
      <c r="AA969" s="1813"/>
      <c r="AB969" s="1813"/>
      <c r="AC969" s="1813"/>
      <c r="AD969" s="1813"/>
      <c r="AE969" s="1814"/>
      <c r="AF969" s="73"/>
      <c r="AG969" s="14"/>
      <c r="AH969" s="14"/>
      <c r="AI969" s="83"/>
      <c r="AJ969" s="1774"/>
      <c r="AK969" s="1775"/>
      <c r="AL969" s="1775"/>
      <c r="AM969" s="1775"/>
      <c r="AN969" s="1775"/>
      <c r="AO969" s="1775"/>
      <c r="AP969" s="1775"/>
      <c r="AQ969" s="177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812"/>
      <c r="E970" s="1813"/>
      <c r="F970" s="1813"/>
      <c r="G970" s="1813"/>
      <c r="H970" s="1813"/>
      <c r="I970" s="1813"/>
      <c r="J970" s="1813"/>
      <c r="K970" s="1813"/>
      <c r="L970" s="1813"/>
      <c r="M970" s="1813"/>
      <c r="N970" s="1813"/>
      <c r="O970" s="1813"/>
      <c r="P970" s="1813"/>
      <c r="Q970" s="1813"/>
      <c r="R970" s="1813"/>
      <c r="S970" s="1813"/>
      <c r="T970" s="1813"/>
      <c r="U970" s="1813"/>
      <c r="V970" s="1813"/>
      <c r="W970" s="1813"/>
      <c r="X970" s="1813"/>
      <c r="Y970" s="1813"/>
      <c r="Z970" s="1813"/>
      <c r="AA970" s="1813"/>
      <c r="AB970" s="1813"/>
      <c r="AC970" s="1813"/>
      <c r="AD970" s="1813"/>
      <c r="AE970" s="1814"/>
      <c r="AF970" s="73"/>
      <c r="AG970" s="14"/>
      <c r="AH970" s="14"/>
      <c r="AI970" s="83"/>
      <c r="AJ970" s="1774"/>
      <c r="AK970" s="1775"/>
      <c r="AL970" s="1775"/>
      <c r="AM970" s="1775"/>
      <c r="AN970" s="1775"/>
      <c r="AO970" s="1775"/>
      <c r="AP970" s="1775"/>
      <c r="AQ970" s="177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818"/>
      <c r="E971" s="1819"/>
      <c r="F971" s="1819"/>
      <c r="G971" s="1819"/>
      <c r="H971" s="1819"/>
      <c r="I971" s="1819"/>
      <c r="J971" s="1819"/>
      <c r="K971" s="1819"/>
      <c r="L971" s="1819"/>
      <c r="M971" s="1819"/>
      <c r="N971" s="1819"/>
      <c r="O971" s="1819"/>
      <c r="P971" s="1819"/>
      <c r="Q971" s="1819"/>
      <c r="R971" s="1819"/>
      <c r="S971" s="1819"/>
      <c r="T971" s="1819"/>
      <c r="U971" s="1819"/>
      <c r="V971" s="1819"/>
      <c r="W971" s="1819"/>
      <c r="X971" s="1819"/>
      <c r="Y971" s="1819"/>
      <c r="Z971" s="1819"/>
      <c r="AA971" s="1819"/>
      <c r="AB971" s="1819"/>
      <c r="AC971" s="1819"/>
      <c r="AD971" s="1819"/>
      <c r="AE971" s="1820"/>
      <c r="AF971" s="77"/>
      <c r="AG971" s="7"/>
      <c r="AH971" s="7"/>
      <c r="AI971" s="78"/>
      <c r="AJ971" s="1777"/>
      <c r="AK971" s="1778"/>
      <c r="AL971" s="1778"/>
      <c r="AM971" s="1778"/>
      <c r="AN971" s="1778"/>
      <c r="AO971" s="1778"/>
      <c r="AP971" s="1778"/>
      <c r="AQ971" s="177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681</v>
      </c>
      <c r="D972" s="1752" t="s">
        <v>1944</v>
      </c>
      <c r="E972" s="1753"/>
      <c r="F972" s="1753"/>
      <c r="G972" s="1753"/>
      <c r="H972" s="1753"/>
      <c r="I972" s="1753"/>
      <c r="J972" s="1753"/>
      <c r="K972" s="1753"/>
      <c r="L972" s="1753"/>
      <c r="M972" s="1753"/>
      <c r="N972" s="1753"/>
      <c r="O972" s="1753"/>
      <c r="P972" s="1753"/>
      <c r="Q972" s="1753"/>
      <c r="R972" s="1753"/>
      <c r="S972" s="1753"/>
      <c r="T972" s="1753"/>
      <c r="U972" s="1753"/>
      <c r="V972" s="1753"/>
      <c r="W972" s="1753"/>
      <c r="X972" s="1753"/>
      <c r="Y972" s="1753"/>
      <c r="Z972" s="1753"/>
      <c r="AA972" s="1753"/>
      <c r="AB972" s="1753"/>
      <c r="AC972" s="1753"/>
      <c r="AD972" s="1753"/>
      <c r="AE972" s="1754"/>
      <c r="AF972" s="86"/>
      <c r="AG972" s="1764" t="s">
        <v>678</v>
      </c>
      <c r="AH972" s="1765"/>
      <c r="AI972" s="87"/>
      <c r="AJ972" s="1771">
        <f>ROUND(IF(AG972="yes",AJ961*0.1,0),0)</f>
        <v>0</v>
      </c>
      <c r="AK972" s="1772"/>
      <c r="AL972" s="1772"/>
      <c r="AM972" s="1772"/>
      <c r="AN972" s="1772"/>
      <c r="AO972" s="1772"/>
      <c r="AP972" s="1772"/>
      <c r="AQ972" s="177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755" t="s">
        <v>1450</v>
      </c>
      <c r="E973" s="1756"/>
      <c r="F973" s="1756"/>
      <c r="G973" s="1756"/>
      <c r="H973" s="1756"/>
      <c r="I973" s="1756"/>
      <c r="J973" s="1756"/>
      <c r="K973" s="1756"/>
      <c r="L973" s="1756"/>
      <c r="M973" s="1756"/>
      <c r="N973" s="1756"/>
      <c r="O973" s="1756"/>
      <c r="P973" s="1756"/>
      <c r="Q973" s="1756"/>
      <c r="R973" s="1756"/>
      <c r="S973" s="1756"/>
      <c r="T973" s="1756"/>
      <c r="U973" s="1756"/>
      <c r="V973" s="1756"/>
      <c r="W973" s="1756"/>
      <c r="X973" s="1756"/>
      <c r="Y973" s="1756"/>
      <c r="Z973" s="1756"/>
      <c r="AA973" s="1756"/>
      <c r="AB973" s="1756"/>
      <c r="AC973" s="1756"/>
      <c r="AD973" s="1756"/>
      <c r="AE973" s="1757"/>
      <c r="AF973" s="73"/>
      <c r="AI973" s="83"/>
      <c r="AJ973" s="1774"/>
      <c r="AK973" s="1775"/>
      <c r="AL973" s="1775"/>
      <c r="AM973" s="1775"/>
      <c r="AN973" s="1775"/>
      <c r="AO973" s="1775"/>
      <c r="AP973" s="1775"/>
      <c r="AQ973" s="1776"/>
      <c r="AR973" s="68"/>
      <c r="AS973" s="68"/>
      <c r="AT973" s="68"/>
      <c r="AU973" s="68"/>
      <c r="AV973" s="68"/>
      <c r="AW973" s="68"/>
      <c r="AX973" s="68"/>
      <c r="AY973" s="68"/>
      <c r="AZ973" s="34"/>
      <c r="BA973" s="951">
        <f>G739+O782</f>
        <v>175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755"/>
      <c r="E974" s="1756"/>
      <c r="F974" s="1756"/>
      <c r="G974" s="1756"/>
      <c r="H974" s="1756"/>
      <c r="I974" s="1756"/>
      <c r="J974" s="1756"/>
      <c r="K974" s="1756"/>
      <c r="L974" s="1756"/>
      <c r="M974" s="1756"/>
      <c r="N974" s="1756"/>
      <c r="O974" s="1756"/>
      <c r="P974" s="1756"/>
      <c r="Q974" s="1756"/>
      <c r="R974" s="1756"/>
      <c r="S974" s="1756"/>
      <c r="T974" s="1756"/>
      <c r="U974" s="1756"/>
      <c r="V974" s="1756"/>
      <c r="W974" s="1756"/>
      <c r="X974" s="1756"/>
      <c r="Y974" s="1756"/>
      <c r="Z974" s="1756"/>
      <c r="AA974" s="1756"/>
      <c r="AB974" s="1756"/>
      <c r="AC974" s="1756"/>
      <c r="AD974" s="1756"/>
      <c r="AE974" s="1757"/>
      <c r="AF974" s="73"/>
      <c r="AG974" s="14"/>
      <c r="AH974" s="14"/>
      <c r="AI974" s="83"/>
      <c r="AJ974" s="1774"/>
      <c r="AK974" s="1775"/>
      <c r="AL974" s="1775"/>
      <c r="AM974" s="1775"/>
      <c r="AN974" s="1775"/>
      <c r="AO974" s="1775"/>
      <c r="AP974" s="1775"/>
      <c r="AQ974" s="177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768"/>
      <c r="E975" s="1769"/>
      <c r="F975" s="1769"/>
      <c r="G975" s="1769"/>
      <c r="H975" s="1769"/>
      <c r="I975" s="1769"/>
      <c r="J975" s="1769"/>
      <c r="K975" s="1769"/>
      <c r="L975" s="1769"/>
      <c r="M975" s="1769"/>
      <c r="N975" s="1769"/>
      <c r="O975" s="1769"/>
      <c r="P975" s="1769"/>
      <c r="Q975" s="1769"/>
      <c r="R975" s="1769"/>
      <c r="S975" s="1769"/>
      <c r="T975" s="1769"/>
      <c r="U975" s="1769"/>
      <c r="V975" s="1769"/>
      <c r="W975" s="1769"/>
      <c r="X975" s="1769"/>
      <c r="Y975" s="1769"/>
      <c r="Z975" s="1769"/>
      <c r="AA975" s="1769"/>
      <c r="AB975" s="1769"/>
      <c r="AC975" s="1769"/>
      <c r="AD975" s="1769"/>
      <c r="AE975" s="1770"/>
      <c r="AF975" s="77"/>
      <c r="AG975" s="7"/>
      <c r="AH975" s="7"/>
      <c r="AI975" s="78"/>
      <c r="AJ975" s="1777"/>
      <c r="AK975" s="1778"/>
      <c r="AL975" s="1778"/>
      <c r="AM975" s="1778"/>
      <c r="AN975" s="1778"/>
      <c r="AO975" s="1778"/>
      <c r="AP975" s="1778"/>
      <c r="AQ975" s="1779"/>
      <c r="AR975" s="68"/>
      <c r="AS975" s="68"/>
      <c r="AT975" s="68"/>
      <c r="AU975" s="68"/>
      <c r="AV975" s="68"/>
      <c r="AW975" s="68"/>
      <c r="AX975" s="68"/>
      <c r="AY975" s="68"/>
      <c r="AZ975" s="34"/>
      <c r="BA975" s="950">
        <f>ROUNDDOWN(X1013/I1013,2)</f>
        <v>0.4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213</v>
      </c>
      <c r="D976" s="1752" t="s">
        <v>1452</v>
      </c>
      <c r="E976" s="1753"/>
      <c r="F976" s="1753"/>
      <c r="G976" s="1753"/>
      <c r="H976" s="1753"/>
      <c r="I976" s="1753"/>
      <c r="J976" s="1753"/>
      <c r="K976" s="1753"/>
      <c r="L976" s="1753"/>
      <c r="M976" s="1753"/>
      <c r="N976" s="1753"/>
      <c r="O976" s="1753"/>
      <c r="P976" s="1753"/>
      <c r="Q976" s="1753"/>
      <c r="R976" s="1753"/>
      <c r="S976" s="1753"/>
      <c r="T976" s="1753"/>
      <c r="U976" s="1753"/>
      <c r="V976" s="1753"/>
      <c r="W976" s="1753"/>
      <c r="X976" s="1753"/>
      <c r="Y976" s="1753"/>
      <c r="Z976" s="1753"/>
      <c r="AA976" s="1753"/>
      <c r="AB976" s="1753"/>
      <c r="AC976" s="1753"/>
      <c r="AD976" s="1753"/>
      <c r="AE976" s="1754"/>
      <c r="AF976" s="79"/>
      <c r="AG976" s="1764" t="s">
        <v>678</v>
      </c>
      <c r="AH976" s="1765"/>
      <c r="AI976" s="87"/>
      <c r="AJ976" s="1771">
        <f>ROUND(IF(AG976="yes",AJ961*0.02,0),0)</f>
        <v>0</v>
      </c>
      <c r="AK976" s="1772"/>
      <c r="AL976" s="1772"/>
      <c r="AM976" s="1772"/>
      <c r="AN976" s="1772"/>
      <c r="AO976" s="1772"/>
      <c r="AP976" s="1772"/>
      <c r="AQ976" s="1773"/>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768" t="s">
        <v>1453</v>
      </c>
      <c r="E977" s="1769"/>
      <c r="F977" s="1769"/>
      <c r="G977" s="1769"/>
      <c r="H977" s="1769"/>
      <c r="I977" s="1769"/>
      <c r="J977" s="1769"/>
      <c r="K977" s="1769"/>
      <c r="L977" s="1769"/>
      <c r="M977" s="1769"/>
      <c r="N977" s="1769"/>
      <c r="O977" s="1769"/>
      <c r="P977" s="1769"/>
      <c r="Q977" s="1769"/>
      <c r="R977" s="1769"/>
      <c r="S977" s="1769"/>
      <c r="T977" s="1769"/>
      <c r="U977" s="1769"/>
      <c r="V977" s="1769"/>
      <c r="W977" s="1769"/>
      <c r="X977" s="1769"/>
      <c r="Y977" s="1769"/>
      <c r="Z977" s="1769"/>
      <c r="AA977" s="1769"/>
      <c r="AB977" s="1769"/>
      <c r="AC977" s="1769"/>
      <c r="AD977" s="1769"/>
      <c r="AE977" s="1770"/>
      <c r="AF977" s="77"/>
      <c r="AG977" s="7"/>
      <c r="AH977" s="7"/>
      <c r="AI977" s="78"/>
      <c r="AJ977" s="1777"/>
      <c r="AK977" s="1778"/>
      <c r="AL977" s="1778"/>
      <c r="AM977" s="1778"/>
      <c r="AN977" s="1778"/>
      <c r="AO977" s="1778"/>
      <c r="AP977" s="1778"/>
      <c r="AQ977" s="1779"/>
      <c r="AR977" s="68"/>
      <c r="AS977" s="68"/>
      <c r="AT977" s="68"/>
      <c r="AU977" s="68"/>
      <c r="AV977" s="68"/>
      <c r="AW977" s="68"/>
      <c r="AX977" s="68"/>
      <c r="AY977" s="68"/>
      <c r="BB977" s="34"/>
      <c r="BC977" s="34"/>
      <c r="BD977" s="34"/>
      <c r="BE977" s="34"/>
      <c r="BF977" s="34"/>
    </row>
    <row r="978" spans="1:58" ht="12.9" customHeight="1">
      <c r="A978" s="14"/>
      <c r="B978" s="79"/>
      <c r="C978" s="80" t="s">
        <v>216</v>
      </c>
      <c r="D978" s="1752" t="s">
        <v>1454</v>
      </c>
      <c r="E978" s="1753"/>
      <c r="F978" s="1753"/>
      <c r="G978" s="1753"/>
      <c r="H978" s="1753"/>
      <c r="I978" s="1753"/>
      <c r="J978" s="1753"/>
      <c r="K978" s="1753"/>
      <c r="L978" s="1753"/>
      <c r="M978" s="1753"/>
      <c r="N978" s="1753"/>
      <c r="O978" s="1753"/>
      <c r="P978" s="1753"/>
      <c r="Q978" s="1753"/>
      <c r="R978" s="1753"/>
      <c r="S978" s="1753"/>
      <c r="T978" s="1753"/>
      <c r="U978" s="1753"/>
      <c r="V978" s="1753"/>
      <c r="W978" s="1753"/>
      <c r="X978" s="1753"/>
      <c r="Y978" s="1753"/>
      <c r="Z978" s="1753"/>
      <c r="AA978" s="1753"/>
      <c r="AB978" s="1753"/>
      <c r="AC978" s="1753"/>
      <c r="AD978" s="1753"/>
      <c r="AE978" s="1754"/>
      <c r="AF978" s="79"/>
      <c r="AG978" s="1764" t="s">
        <v>678</v>
      </c>
      <c r="AH978" s="1765"/>
      <c r="AI978" s="79"/>
      <c r="AJ978" s="1771">
        <f>ROUND(IF(AG978="yes",AJ961*0.02,0),0)</f>
        <v>0</v>
      </c>
      <c r="AK978" s="1772"/>
      <c r="AL978" s="1772"/>
      <c r="AM978" s="1772"/>
      <c r="AN978" s="1772"/>
      <c r="AO978" s="1772"/>
      <c r="AP978" s="1772"/>
      <c r="AQ978" s="1773"/>
      <c r="AR978" s="68"/>
      <c r="AS978" s="68"/>
      <c r="AT978" s="68"/>
      <c r="AU978" s="68"/>
      <c r="AV978" s="68"/>
      <c r="AW978" s="68"/>
      <c r="AX978" s="68"/>
      <c r="AY978" s="68"/>
    </row>
    <row r="979" spans="1:58" ht="12.9" customHeight="1">
      <c r="A979" s="14"/>
      <c r="B979" s="73"/>
      <c r="C979" s="74"/>
      <c r="D979" s="1755" t="s">
        <v>1455</v>
      </c>
      <c r="E979" s="1756"/>
      <c r="F979" s="1756"/>
      <c r="G979" s="1756"/>
      <c r="H979" s="1756"/>
      <c r="I979" s="1756"/>
      <c r="J979" s="1756"/>
      <c r="K979" s="1756"/>
      <c r="L979" s="1756"/>
      <c r="M979" s="1756"/>
      <c r="N979" s="1756"/>
      <c r="O979" s="1756"/>
      <c r="P979" s="1756"/>
      <c r="Q979" s="1756"/>
      <c r="R979" s="1756"/>
      <c r="S979" s="1756"/>
      <c r="T979" s="1756"/>
      <c r="U979" s="1756"/>
      <c r="V979" s="1756"/>
      <c r="W979" s="1756"/>
      <c r="X979" s="1756"/>
      <c r="Y979" s="1756"/>
      <c r="Z979" s="1756"/>
      <c r="AA979" s="1756"/>
      <c r="AB979" s="1756"/>
      <c r="AC979" s="1756"/>
      <c r="AD979" s="1756"/>
      <c r="AE979" s="1757"/>
      <c r="AF979" s="73"/>
      <c r="AI979" s="14"/>
      <c r="AJ979" s="1774"/>
      <c r="AK979" s="1775"/>
      <c r="AL979" s="1775"/>
      <c r="AM979" s="1775"/>
      <c r="AN979" s="1775"/>
      <c r="AO979" s="1775"/>
      <c r="AP979" s="1775"/>
      <c r="AQ979" s="1776"/>
      <c r="AR979" s="68"/>
      <c r="AS979" s="68"/>
      <c r="AT979" s="68"/>
      <c r="AU979" s="68"/>
      <c r="AV979" s="68"/>
      <c r="AW979" s="68"/>
      <c r="AX979" s="68"/>
      <c r="AY979" s="68"/>
    </row>
    <row r="980" spans="1:58" ht="12.9" customHeight="1">
      <c r="A980" s="14"/>
      <c r="B980" s="75"/>
      <c r="C980" s="76"/>
      <c r="D980" s="1768"/>
      <c r="E980" s="1769"/>
      <c r="F980" s="1769"/>
      <c r="G980" s="1769"/>
      <c r="H980" s="1769"/>
      <c r="I980" s="1769"/>
      <c r="J980" s="1769"/>
      <c r="K980" s="1769"/>
      <c r="L980" s="1769"/>
      <c r="M980" s="1769"/>
      <c r="N980" s="1769"/>
      <c r="O980" s="1769"/>
      <c r="P980" s="1769"/>
      <c r="Q980" s="1769"/>
      <c r="R980" s="1769"/>
      <c r="S980" s="1769"/>
      <c r="T980" s="1769"/>
      <c r="U980" s="1769"/>
      <c r="V980" s="1769"/>
      <c r="W980" s="1769"/>
      <c r="X980" s="1769"/>
      <c r="Y980" s="1769"/>
      <c r="Z980" s="1769"/>
      <c r="AA980" s="1769"/>
      <c r="AB980" s="1769"/>
      <c r="AC980" s="1769"/>
      <c r="AD980" s="1769"/>
      <c r="AE980" s="1770"/>
      <c r="AF980" s="77"/>
      <c r="AG980" s="7"/>
      <c r="AH980" s="7"/>
      <c r="AI980" s="78"/>
      <c r="AJ980" s="1777"/>
      <c r="AK980" s="1778"/>
      <c r="AL980" s="1778"/>
      <c r="AM980" s="1778"/>
      <c r="AN980" s="1778"/>
      <c r="AO980" s="1778"/>
      <c r="AP980" s="1778"/>
      <c r="AQ980" s="1779"/>
      <c r="AR980" s="68"/>
      <c r="AS980" s="68"/>
      <c r="AT980" s="68"/>
      <c r="AU980" s="68"/>
      <c r="AV980" s="68"/>
      <c r="AW980" s="68"/>
      <c r="AX980" s="68"/>
      <c r="AY980" s="68"/>
    </row>
    <row r="981" spans="1:58" ht="12.9" customHeight="1">
      <c r="A981" s="14"/>
      <c r="B981" s="79"/>
      <c r="C981" s="80" t="s">
        <v>219</v>
      </c>
      <c r="D981" s="1791" t="s">
        <v>1456</v>
      </c>
      <c r="E981" s="1792"/>
      <c r="F981" s="1792"/>
      <c r="G981" s="1792"/>
      <c r="H981" s="1792"/>
      <c r="I981" s="1792"/>
      <c r="J981" s="1792"/>
      <c r="K981" s="1792"/>
      <c r="L981" s="1792"/>
      <c r="M981" s="1792"/>
      <c r="N981" s="1792"/>
      <c r="O981" s="1792"/>
      <c r="P981" s="1792"/>
      <c r="Q981" s="1792"/>
      <c r="R981" s="1792"/>
      <c r="S981" s="1792"/>
      <c r="T981" s="1792"/>
      <c r="U981" s="1792"/>
      <c r="V981" s="1792"/>
      <c r="W981" s="1792"/>
      <c r="X981" s="1792"/>
      <c r="Y981" s="1792"/>
      <c r="Z981" s="1792"/>
      <c r="AA981" s="1792"/>
      <c r="AB981" s="1792"/>
      <c r="AC981" s="1792"/>
      <c r="AD981" s="1792"/>
      <c r="AE981" s="1793"/>
      <c r="AF981" s="79"/>
      <c r="AG981" s="1764" t="s">
        <v>678</v>
      </c>
      <c r="AH981" s="1765"/>
      <c r="AI981" s="87"/>
      <c r="AJ981" s="1771">
        <f>IF(AG981="yes",AJ961*BA981,0)</f>
        <v>0</v>
      </c>
      <c r="AK981" s="1772"/>
      <c r="AL981" s="1772"/>
      <c r="AM981" s="1772"/>
      <c r="AN981" s="1772"/>
      <c r="AO981" s="1772"/>
      <c r="AP981" s="1772"/>
      <c r="AQ981" s="1773"/>
      <c r="AR981" s="68"/>
      <c r="AS981" s="68"/>
      <c r="AT981" s="68"/>
      <c r="AU981" s="68"/>
      <c r="AV981" s="68"/>
      <c r="AW981" s="68"/>
      <c r="AX981" s="68"/>
      <c r="AY981" s="68"/>
      <c r="BA981" s="215">
        <f>IF(SUM(BA983:BA991)&lt;=0.1,SUM(BA983:BA991),0.1)</f>
        <v>0</v>
      </c>
    </row>
    <row r="982" spans="1:58" ht="12.9" customHeight="1">
      <c r="A982" s="14"/>
      <c r="B982" s="73"/>
      <c r="C982" s="74"/>
      <c r="D982" s="1755" t="s">
        <v>1457</v>
      </c>
      <c r="E982" s="1756"/>
      <c r="F982" s="1756"/>
      <c r="G982" s="1756"/>
      <c r="H982" s="1756"/>
      <c r="I982" s="1756"/>
      <c r="J982" s="1756"/>
      <c r="K982" s="1756"/>
      <c r="L982" s="1756"/>
      <c r="M982" s="1756"/>
      <c r="N982" s="1756"/>
      <c r="O982" s="1756"/>
      <c r="P982" s="1756"/>
      <c r="Q982" s="1756"/>
      <c r="R982" s="1756"/>
      <c r="S982" s="1756"/>
      <c r="T982" s="1756"/>
      <c r="U982" s="1756"/>
      <c r="V982" s="1756"/>
      <c r="W982" s="1756"/>
      <c r="X982" s="1756"/>
      <c r="Y982" s="1756"/>
      <c r="Z982" s="1756"/>
      <c r="AA982" s="1756"/>
      <c r="AB982" s="1756"/>
      <c r="AC982" s="1756"/>
      <c r="AD982" s="1756"/>
      <c r="AE982" s="1757"/>
      <c r="AF982" s="73"/>
      <c r="AG982" s="14"/>
      <c r="AH982" s="14"/>
      <c r="AI982" s="83"/>
      <c r="AJ982" s="1774"/>
      <c r="AK982" s="1775"/>
      <c r="AL982" s="1775"/>
      <c r="AM982" s="1775"/>
      <c r="AN982" s="1775"/>
      <c r="AO982" s="1775"/>
      <c r="AP982" s="1775"/>
      <c r="AQ982" s="1776"/>
      <c r="AR982" s="68"/>
      <c r="AS982" s="68"/>
      <c r="AT982" s="68"/>
      <c r="AU982" s="68"/>
      <c r="AV982" s="68"/>
      <c r="AW982" s="68"/>
      <c r="AX982" s="68"/>
      <c r="AY982" s="68"/>
    </row>
    <row r="983" spans="1:58" ht="12.9" customHeight="1">
      <c r="A983" s="14"/>
      <c r="B983" s="73"/>
      <c r="C983" s="74"/>
      <c r="D983" s="1755"/>
      <c r="E983" s="1756"/>
      <c r="F983" s="1756"/>
      <c r="G983" s="1756"/>
      <c r="H983" s="1756"/>
      <c r="I983" s="1756"/>
      <c r="J983" s="1756"/>
      <c r="K983" s="1756"/>
      <c r="L983" s="1756"/>
      <c r="M983" s="1756"/>
      <c r="N983" s="1756"/>
      <c r="O983" s="1756"/>
      <c r="P983" s="1756"/>
      <c r="Q983" s="1756"/>
      <c r="R983" s="1756"/>
      <c r="S983" s="1756"/>
      <c r="T983" s="1756"/>
      <c r="U983" s="1756"/>
      <c r="V983" s="1756"/>
      <c r="W983" s="1756"/>
      <c r="X983" s="1756"/>
      <c r="Y983" s="1756"/>
      <c r="Z983" s="1756"/>
      <c r="AA983" s="1756"/>
      <c r="AB983" s="1756"/>
      <c r="AC983" s="1756"/>
      <c r="AD983" s="1756"/>
      <c r="AE983" s="1757"/>
      <c r="AF983" s="73"/>
      <c r="AG983" s="14"/>
      <c r="AH983" s="14"/>
      <c r="AI983" s="83"/>
      <c r="AJ983" s="1774"/>
      <c r="AK983" s="1775"/>
      <c r="AL983" s="1775"/>
      <c r="AM983" s="1775"/>
      <c r="AN983" s="1775"/>
      <c r="AO983" s="1775"/>
      <c r="AP983" s="1775"/>
      <c r="AQ983" s="1776"/>
      <c r="AR983" s="68"/>
      <c r="AS983" s="68"/>
      <c r="AT983" s="68"/>
      <c r="AU983" s="68"/>
      <c r="AV983" s="68"/>
      <c r="AW983" s="68"/>
      <c r="AX983" s="68"/>
      <c r="AY983" s="68"/>
      <c r="BA983" s="213">
        <f>IF(A1030="Yes",0.05,0)</f>
        <v>0</v>
      </c>
    </row>
    <row r="984" spans="1:58" ht="12.9" customHeight="1">
      <c r="A984" s="14"/>
      <c r="B984" s="81"/>
      <c r="C984" s="82"/>
      <c r="D984" s="1768"/>
      <c r="E984" s="1769"/>
      <c r="F984" s="1769"/>
      <c r="G984" s="1769"/>
      <c r="H984" s="1769"/>
      <c r="I984" s="1769"/>
      <c r="J984" s="1769"/>
      <c r="K984" s="1769"/>
      <c r="L984" s="1769"/>
      <c r="M984" s="1769"/>
      <c r="N984" s="1769"/>
      <c r="O984" s="1769"/>
      <c r="P984" s="1769"/>
      <c r="Q984" s="1769"/>
      <c r="R984" s="1769"/>
      <c r="S984" s="1769"/>
      <c r="T984" s="1769"/>
      <c r="U984" s="1769"/>
      <c r="V984" s="1769"/>
      <c r="W984" s="1769"/>
      <c r="X984" s="1769"/>
      <c r="Y984" s="1769"/>
      <c r="Z984" s="1769"/>
      <c r="AA984" s="1769"/>
      <c r="AB984" s="1769"/>
      <c r="AC984" s="1769"/>
      <c r="AD984" s="1769"/>
      <c r="AE984" s="1770"/>
      <c r="AF984" s="77"/>
      <c r="AG984" s="7"/>
      <c r="AH984" s="7"/>
      <c r="AI984" s="78"/>
      <c r="AJ984" s="1777"/>
      <c r="AK984" s="1778"/>
      <c r="AL984" s="1778"/>
      <c r="AM984" s="1778"/>
      <c r="AN984" s="1778"/>
      <c r="AO984" s="1778"/>
      <c r="AP984" s="1778"/>
      <c r="AQ984" s="1779"/>
      <c r="AR984" s="68"/>
      <c r="AS984" s="68"/>
      <c r="AT984" s="68"/>
      <c r="AU984" s="68"/>
      <c r="AV984" s="68"/>
      <c r="AW984" s="68"/>
      <c r="AX984" s="68"/>
      <c r="AY984" s="68"/>
      <c r="BA984" s="213">
        <f>IF(A1036="Yes",0.02,0)</f>
        <v>0</v>
      </c>
    </row>
    <row r="985" spans="1:58" ht="12.9" customHeight="1">
      <c r="A985" s="14"/>
      <c r="B985" s="79"/>
      <c r="C985" s="80" t="s">
        <v>224</v>
      </c>
      <c r="D985" s="1821" t="s">
        <v>1458</v>
      </c>
      <c r="E985" s="1822"/>
      <c r="F985" s="1822"/>
      <c r="G985" s="1822"/>
      <c r="H985" s="1822"/>
      <c r="I985" s="1822"/>
      <c r="J985" s="1822"/>
      <c r="K985" s="1822"/>
      <c r="L985" s="1822"/>
      <c r="M985" s="1822"/>
      <c r="N985" s="1822"/>
      <c r="O985" s="1822"/>
      <c r="P985" s="1822"/>
      <c r="Q985" s="1822"/>
      <c r="R985" s="1822"/>
      <c r="S985" s="1822"/>
      <c r="T985" s="1822"/>
      <c r="U985" s="1822"/>
      <c r="V985" s="1822"/>
      <c r="W985" s="1822"/>
      <c r="X985" s="1822"/>
      <c r="Y985" s="1822"/>
      <c r="Z985" s="1822"/>
      <c r="AA985" s="1822"/>
      <c r="AB985" s="1822"/>
      <c r="AC985" s="1822"/>
      <c r="AD985" s="1822"/>
      <c r="AE985" s="1823"/>
      <c r="AF985" s="79"/>
      <c r="AG985" s="1764" t="s">
        <v>678</v>
      </c>
      <c r="AH985" s="1765"/>
      <c r="AI985" s="87"/>
      <c r="AJ985" s="1771">
        <f>ROUND(IF(AG985="Yes",MIN(AF988,(0.15*AJ961)),0),0)</f>
        <v>0</v>
      </c>
      <c r="AK985" s="1772"/>
      <c r="AL985" s="1772"/>
      <c r="AM985" s="1772"/>
      <c r="AN985" s="1772"/>
      <c r="AO985" s="1772"/>
      <c r="AP985" s="1772"/>
      <c r="AQ985" s="1773"/>
      <c r="AR985" s="68"/>
      <c r="AS985" s="68"/>
      <c r="AT985" s="68"/>
      <c r="AU985" s="68"/>
      <c r="AV985" s="68"/>
      <c r="AW985" s="68"/>
      <c r="AX985" s="68"/>
      <c r="AY985" s="68"/>
      <c r="BA985" s="213">
        <f>IF(A1042="Yes",0.04,0)</f>
        <v>0</v>
      </c>
    </row>
    <row r="986" spans="1:58" ht="12.9" customHeight="1">
      <c r="A986" s="14"/>
      <c r="B986" s="81"/>
      <c r="C986" s="84"/>
      <c r="D986" s="1824"/>
      <c r="E986" s="1825"/>
      <c r="F986" s="1825"/>
      <c r="G986" s="1825"/>
      <c r="H986" s="1825"/>
      <c r="I986" s="1825"/>
      <c r="J986" s="1825"/>
      <c r="K986" s="1825"/>
      <c r="L986" s="1825"/>
      <c r="M986" s="1825"/>
      <c r="N986" s="1825"/>
      <c r="O986" s="1825"/>
      <c r="P986" s="1825"/>
      <c r="Q986" s="1825"/>
      <c r="R986" s="1825"/>
      <c r="S986" s="1825"/>
      <c r="T986" s="1825"/>
      <c r="U986" s="1825"/>
      <c r="V986" s="1825"/>
      <c r="W986" s="1825"/>
      <c r="X986" s="1825"/>
      <c r="Y986" s="1825"/>
      <c r="Z986" s="1825"/>
      <c r="AA986" s="1825"/>
      <c r="AB986" s="1825"/>
      <c r="AC986" s="1825"/>
      <c r="AD986" s="1825"/>
      <c r="AE986" s="1826"/>
      <c r="AF986" s="1835" t="str">
        <f>IF(AG985="yes","Please Select Type and Enter Amount:","")</f>
        <v/>
      </c>
      <c r="AG986" s="1836"/>
      <c r="AH986" s="1836"/>
      <c r="AI986" s="1837"/>
      <c r="AJ986" s="1774"/>
      <c r="AK986" s="1775"/>
      <c r="AL986" s="1775"/>
      <c r="AM986" s="1775"/>
      <c r="AN986" s="1775"/>
      <c r="AO986" s="1775"/>
      <c r="AP986" s="1775"/>
      <c r="AQ986" s="1776"/>
      <c r="AR986" s="68"/>
      <c r="AS986" s="68"/>
      <c r="AT986" s="68"/>
      <c r="AU986" s="68"/>
      <c r="AV986" s="68"/>
      <c r="AW986" s="68"/>
      <c r="AX986" s="68"/>
      <c r="AY986" s="68"/>
      <c r="BA986" s="213">
        <f>IF(A1049="Yes",0.04,0)</f>
        <v>0</v>
      </c>
    </row>
    <row r="987" spans="1:58" ht="12.9" customHeight="1">
      <c r="A987" s="14"/>
      <c r="B987" s="81"/>
      <c r="C987" s="84"/>
      <c r="D987" s="1755" t="s">
        <v>1459</v>
      </c>
      <c r="E987" s="1756"/>
      <c r="F987" s="1756"/>
      <c r="G987" s="1756"/>
      <c r="H987" s="1756"/>
      <c r="I987" s="1756"/>
      <c r="J987" s="1756"/>
      <c r="K987" s="1756"/>
      <c r="L987" s="1756"/>
      <c r="M987" s="1756"/>
      <c r="N987" s="1756"/>
      <c r="O987" s="1756"/>
      <c r="P987" s="1756"/>
      <c r="Q987" s="1756"/>
      <c r="R987" s="1756"/>
      <c r="S987" s="1756"/>
      <c r="T987" s="1756"/>
      <c r="U987" s="1756"/>
      <c r="V987" s="1756"/>
      <c r="W987" s="1756"/>
      <c r="X987" s="1756"/>
      <c r="Y987" s="1756"/>
      <c r="Z987" s="1756"/>
      <c r="AA987" s="1756"/>
      <c r="AB987" s="1756"/>
      <c r="AC987" s="1756"/>
      <c r="AD987" s="1756"/>
      <c r="AE987" s="1757"/>
      <c r="AF987" s="1835"/>
      <c r="AG987" s="1836"/>
      <c r="AH987" s="1836"/>
      <c r="AI987" s="1837"/>
      <c r="AJ987" s="1774"/>
      <c r="AK987" s="1775"/>
      <c r="AL987" s="1775"/>
      <c r="AM987" s="1775"/>
      <c r="AN987" s="1775"/>
      <c r="AO987" s="1775"/>
      <c r="AP987" s="1775"/>
      <c r="AQ987" s="1776"/>
      <c r="AR987" s="68"/>
      <c r="AS987" s="68"/>
      <c r="AT987" s="68"/>
      <c r="AU987" s="68"/>
      <c r="AV987" s="68"/>
      <c r="AW987" s="68"/>
      <c r="AX987" s="68"/>
      <c r="AY987" s="68"/>
      <c r="BA987" s="213">
        <f>IF(A1052="Yes",0.01,0)</f>
        <v>0</v>
      </c>
    </row>
    <row r="988" spans="1:58" ht="12.9" customHeight="1">
      <c r="A988" s="14"/>
      <c r="B988" s="81"/>
      <c r="C988" s="84"/>
      <c r="D988" s="1755"/>
      <c r="E988" s="1756"/>
      <c r="F988" s="1756"/>
      <c r="G988" s="1756"/>
      <c r="H988" s="1756"/>
      <c r="I988" s="1756"/>
      <c r="J988" s="1756"/>
      <c r="K988" s="1756"/>
      <c r="L988" s="1756"/>
      <c r="M988" s="1756"/>
      <c r="N988" s="1756"/>
      <c r="O988" s="1756"/>
      <c r="P988" s="1756"/>
      <c r="Q988" s="1756"/>
      <c r="R988" s="1756"/>
      <c r="S988" s="1756"/>
      <c r="T988" s="1756"/>
      <c r="U988" s="1756"/>
      <c r="V988" s="1756"/>
      <c r="W988" s="1756"/>
      <c r="X988" s="1756"/>
      <c r="Y988" s="1756"/>
      <c r="Z988" s="1756"/>
      <c r="AA988" s="1756"/>
      <c r="AB988" s="1756"/>
      <c r="AC988" s="1756"/>
      <c r="AD988" s="1756"/>
      <c r="AE988" s="1757"/>
      <c r="AF988" s="1838"/>
      <c r="AG988" s="1838"/>
      <c r="AH988" s="1838"/>
      <c r="AI988" s="1838"/>
      <c r="AJ988" s="1774"/>
      <c r="AK988" s="1775"/>
      <c r="AL988" s="1775"/>
      <c r="AM988" s="1775"/>
      <c r="AN988" s="1775"/>
      <c r="AO988" s="1775"/>
      <c r="AP988" s="1775"/>
      <c r="AQ988" s="1776"/>
      <c r="AR988" s="68"/>
      <c r="AS988" s="68"/>
      <c r="AT988" s="68"/>
      <c r="AU988" s="68"/>
      <c r="AV988" s="68"/>
      <c r="AW988" s="68"/>
      <c r="AX988" s="68"/>
      <c r="AY988" s="68"/>
      <c r="BA988" s="213">
        <f>IF(A1057="Yes",0.01,0)</f>
        <v>0</v>
      </c>
    </row>
    <row r="989" spans="1:58" ht="12.9" customHeight="1">
      <c r="A989" s="14"/>
      <c r="B989" s="81"/>
      <c r="C989" s="84"/>
      <c r="D989" s="561" t="s">
        <v>360</v>
      </c>
      <c r="E989" s="90"/>
      <c r="F989" s="90"/>
      <c r="G989" s="104"/>
      <c r="H989" s="104"/>
      <c r="I989" s="49"/>
      <c r="J989" s="1843" t="s">
        <v>600</v>
      </c>
      <c r="K989" s="1844"/>
      <c r="L989" s="1844"/>
      <c r="M989" s="1844"/>
      <c r="N989" s="1844"/>
      <c r="O989" s="1844"/>
      <c r="P989" s="1844"/>
      <c r="Q989" s="1844"/>
      <c r="R989" s="1844"/>
      <c r="S989" s="1844"/>
      <c r="T989" s="1844"/>
      <c r="U989" s="1844"/>
      <c r="V989" s="1844"/>
      <c r="W989" s="1844"/>
      <c r="X989" s="1844"/>
      <c r="Y989" s="1844"/>
      <c r="Z989" s="1844"/>
      <c r="AA989" s="1844"/>
      <c r="AB989" s="1844"/>
      <c r="AC989" s="1844"/>
      <c r="AD989" s="1844"/>
      <c r="AE989" s="1845"/>
      <c r="AF989" s="1838"/>
      <c r="AG989" s="1838"/>
      <c r="AH989" s="1838"/>
      <c r="AI989" s="1838"/>
      <c r="AJ989" s="1777"/>
      <c r="AK989" s="1778"/>
      <c r="AL989" s="1778"/>
      <c r="AM989" s="1778"/>
      <c r="AN989" s="1778"/>
      <c r="AO989" s="1778"/>
      <c r="AP989" s="1778"/>
      <c r="AQ989" s="1779"/>
      <c r="AR989" s="68"/>
      <c r="AS989" s="68"/>
      <c r="AT989" s="68"/>
      <c r="AU989" s="68"/>
      <c r="AV989" s="68"/>
      <c r="AW989" s="68"/>
      <c r="AX989" s="68"/>
      <c r="AY989" s="68"/>
      <c r="BA989" s="213">
        <f>IF(A1060="Yes",0.01,0)</f>
        <v>0</v>
      </c>
    </row>
    <row r="990" spans="1:58" ht="12.9" customHeight="1">
      <c r="A990" s="14"/>
      <c r="B990" s="79"/>
      <c r="C990" s="80" t="s">
        <v>230</v>
      </c>
      <c r="D990" s="1752" t="s">
        <v>1460</v>
      </c>
      <c r="E990" s="1753"/>
      <c r="F990" s="1753"/>
      <c r="G990" s="1753"/>
      <c r="H990" s="1753"/>
      <c r="I990" s="1753"/>
      <c r="J990" s="1753"/>
      <c r="K990" s="1753"/>
      <c r="L990" s="1753"/>
      <c r="M990" s="1753"/>
      <c r="N990" s="1753"/>
      <c r="O990" s="1753"/>
      <c r="P990" s="1753"/>
      <c r="Q990" s="1753"/>
      <c r="R990" s="1753"/>
      <c r="S990" s="1753"/>
      <c r="T990" s="1753"/>
      <c r="U990" s="1753"/>
      <c r="V990" s="1753"/>
      <c r="W990" s="1753"/>
      <c r="X990" s="1753"/>
      <c r="Y990" s="1753"/>
      <c r="Z990" s="1753"/>
      <c r="AA990" s="1753"/>
      <c r="AB990" s="1753"/>
      <c r="AC990" s="1753"/>
      <c r="AD990" s="1753"/>
      <c r="AE990" s="1754"/>
      <c r="AF990" s="79"/>
      <c r="AG990" s="1764" t="s">
        <v>554</v>
      </c>
      <c r="AH990" s="1765"/>
      <c r="AI990" s="87"/>
      <c r="AJ990" s="1771">
        <f>ROUND(IF(AG990="Yes",AF992,0),0)</f>
        <v>4570553</v>
      </c>
      <c r="AK990" s="1772"/>
      <c r="AL990" s="1772"/>
      <c r="AM990" s="1772"/>
      <c r="AN990" s="1772"/>
      <c r="AO990" s="1772"/>
      <c r="AP990" s="1772"/>
      <c r="AQ990" s="1773"/>
      <c r="AR990" s="68"/>
      <c r="AS990" s="68"/>
      <c r="AT990" s="68"/>
      <c r="AU990" s="68"/>
      <c r="AV990" s="68"/>
      <c r="AW990" s="68"/>
      <c r="AX990" s="68"/>
      <c r="AY990" s="68"/>
      <c r="BA990" s="213">
        <f>IF(A1064="Yes",0.02,0)</f>
        <v>0</v>
      </c>
    </row>
    <row r="991" spans="1:58" ht="12.9" customHeight="1">
      <c r="A991" s="14"/>
      <c r="B991" s="73"/>
      <c r="C991" s="74"/>
      <c r="D991" s="1755" t="s">
        <v>1951</v>
      </c>
      <c r="E991" s="1756"/>
      <c r="F991" s="1756"/>
      <c r="G991" s="1756"/>
      <c r="H991" s="1756"/>
      <c r="I991" s="1756"/>
      <c r="J991" s="1756"/>
      <c r="K991" s="1756"/>
      <c r="L991" s="1756"/>
      <c r="M991" s="1756"/>
      <c r="N991" s="1756"/>
      <c r="O991" s="1756"/>
      <c r="P991" s="1756"/>
      <c r="Q991" s="1756"/>
      <c r="R991" s="1756"/>
      <c r="S991" s="1756"/>
      <c r="T991" s="1756"/>
      <c r="U991" s="1756"/>
      <c r="V991" s="1756"/>
      <c r="W991" s="1756"/>
      <c r="X991" s="1756"/>
      <c r="Y991" s="1756"/>
      <c r="Z991" s="1756"/>
      <c r="AA991" s="1756"/>
      <c r="AB991" s="1756"/>
      <c r="AC991" s="1756"/>
      <c r="AD991" s="1756"/>
      <c r="AE991" s="1757"/>
      <c r="AF991" s="1839" t="str">
        <f>IF(AG990="yes","Enter Amount:","")</f>
        <v>Enter Amount:</v>
      </c>
      <c r="AG991" s="1840"/>
      <c r="AH991" s="1840"/>
      <c r="AI991" s="1841"/>
      <c r="AJ991" s="1774"/>
      <c r="AK991" s="1775"/>
      <c r="AL991" s="1775"/>
      <c r="AM991" s="1775"/>
      <c r="AN991" s="1775"/>
      <c r="AO991" s="1775"/>
      <c r="AP991" s="1775"/>
      <c r="AQ991" s="1776"/>
      <c r="AR991" s="68"/>
      <c r="AS991" s="68"/>
      <c r="AT991" s="68"/>
      <c r="AU991" s="68"/>
      <c r="AV991" s="68"/>
      <c r="AW991" s="68"/>
      <c r="AX991" s="68"/>
      <c r="AY991" s="68"/>
      <c r="BA991" s="214">
        <f>IF(A1068="Yes",0.02,0)</f>
        <v>0</v>
      </c>
    </row>
    <row r="992" spans="1:58" ht="12.9" customHeight="1">
      <c r="A992" s="14"/>
      <c r="B992" s="73"/>
      <c r="C992" s="74"/>
      <c r="D992" s="1755"/>
      <c r="E992" s="1756"/>
      <c r="F992" s="1756"/>
      <c r="G992" s="1756"/>
      <c r="H992" s="1756"/>
      <c r="I992" s="1756"/>
      <c r="J992" s="1756"/>
      <c r="K992" s="1756"/>
      <c r="L992" s="1756"/>
      <c r="M992" s="1756"/>
      <c r="N992" s="1756"/>
      <c r="O992" s="1756"/>
      <c r="P992" s="1756"/>
      <c r="Q992" s="1756"/>
      <c r="R992" s="1756"/>
      <c r="S992" s="1756"/>
      <c r="T992" s="1756"/>
      <c r="U992" s="1756"/>
      <c r="V992" s="1756"/>
      <c r="W992" s="1756"/>
      <c r="X992" s="1756"/>
      <c r="Y992" s="1756"/>
      <c r="Z992" s="1756"/>
      <c r="AA992" s="1756"/>
      <c r="AB992" s="1756"/>
      <c r="AC992" s="1756"/>
      <c r="AD992" s="1756"/>
      <c r="AE992" s="1757"/>
      <c r="AF992" s="1838">
        <v>4570553</v>
      </c>
      <c r="AG992" s="1838"/>
      <c r="AH992" s="1838"/>
      <c r="AI992" s="1838"/>
      <c r="AJ992" s="1774"/>
      <c r="AK992" s="1775"/>
      <c r="AL992" s="1775"/>
      <c r="AM992" s="1775"/>
      <c r="AN992" s="1775"/>
      <c r="AO992" s="1775"/>
      <c r="AP992" s="1775"/>
      <c r="AQ992" s="1776"/>
      <c r="AR992" s="68"/>
      <c r="AS992" s="68"/>
      <c r="AT992" s="68"/>
      <c r="AU992" s="68"/>
      <c r="AV992" s="68"/>
      <c r="AW992" s="68"/>
      <c r="AX992" s="68"/>
      <c r="AY992" s="68"/>
    </row>
    <row r="993" spans="1:51" ht="12.9" customHeight="1">
      <c r="A993" s="14"/>
      <c r="B993" s="85"/>
      <c r="C993" s="84"/>
      <c r="D993" s="1768"/>
      <c r="E993" s="1769"/>
      <c r="F993" s="1769"/>
      <c r="G993" s="1769"/>
      <c r="H993" s="1769"/>
      <c r="I993" s="1769"/>
      <c r="J993" s="1769"/>
      <c r="K993" s="1769"/>
      <c r="L993" s="1769"/>
      <c r="M993" s="1769"/>
      <c r="N993" s="1769"/>
      <c r="O993" s="1769"/>
      <c r="P993" s="1769"/>
      <c r="Q993" s="1769"/>
      <c r="R993" s="1769"/>
      <c r="S993" s="1769"/>
      <c r="T993" s="1769"/>
      <c r="U993" s="1769"/>
      <c r="V993" s="1769"/>
      <c r="W993" s="1769"/>
      <c r="X993" s="1769"/>
      <c r="Y993" s="1769"/>
      <c r="Z993" s="1769"/>
      <c r="AA993" s="1769"/>
      <c r="AB993" s="1769"/>
      <c r="AC993" s="1769"/>
      <c r="AD993" s="1769"/>
      <c r="AE993" s="1770"/>
      <c r="AF993" s="1838"/>
      <c r="AG993" s="1838"/>
      <c r="AH993" s="1838"/>
      <c r="AI993" s="1838"/>
      <c r="AJ993" s="1777"/>
      <c r="AK993" s="1778"/>
      <c r="AL993" s="1778"/>
      <c r="AM993" s="1778"/>
      <c r="AN993" s="1778"/>
      <c r="AO993" s="1778"/>
      <c r="AP993" s="1778"/>
      <c r="AQ993" s="1779"/>
      <c r="AR993" s="68"/>
      <c r="AS993" s="68"/>
      <c r="AT993" s="68"/>
      <c r="AU993" s="68"/>
      <c r="AV993" s="68"/>
      <c r="AW993" s="68"/>
      <c r="AX993" s="68"/>
      <c r="AY993" s="68"/>
    </row>
    <row r="994" spans="1:51" ht="12.9" customHeight="1">
      <c r="A994" s="14"/>
      <c r="B994" s="79"/>
      <c r="C994" s="80" t="s">
        <v>235</v>
      </c>
      <c r="D994" s="1791" t="s">
        <v>1461</v>
      </c>
      <c r="E994" s="1792"/>
      <c r="F994" s="1792"/>
      <c r="G994" s="1792"/>
      <c r="H994" s="1792"/>
      <c r="I994" s="1792"/>
      <c r="J994" s="1792"/>
      <c r="K994" s="1792"/>
      <c r="L994" s="1792"/>
      <c r="M994" s="1792"/>
      <c r="N994" s="1792"/>
      <c r="O994" s="1792"/>
      <c r="P994" s="1792"/>
      <c r="Q994" s="1792"/>
      <c r="R994" s="1792"/>
      <c r="S994" s="1792"/>
      <c r="T994" s="1792"/>
      <c r="U994" s="1792"/>
      <c r="V994" s="1792"/>
      <c r="W994" s="1792"/>
      <c r="X994" s="1792"/>
      <c r="Y994" s="1792"/>
      <c r="Z994" s="1792"/>
      <c r="AA994" s="1792"/>
      <c r="AB994" s="1792"/>
      <c r="AC994" s="1792"/>
      <c r="AD994" s="1792"/>
      <c r="AE994" s="1793"/>
      <c r="AF994" s="79"/>
      <c r="AG994" s="1764" t="s">
        <v>678</v>
      </c>
      <c r="AH994" s="1765"/>
      <c r="AI994" s="87"/>
      <c r="AJ994" s="1771">
        <f>ROUND(IF(AG994="yes",(AJ961*0.1),0),0)</f>
        <v>0</v>
      </c>
      <c r="AK994" s="1772"/>
      <c r="AL994" s="1772"/>
      <c r="AM994" s="1772"/>
      <c r="AN994" s="1772"/>
      <c r="AO994" s="1772"/>
      <c r="AP994" s="1772"/>
      <c r="AQ994" s="1773"/>
      <c r="AR994" s="68"/>
      <c r="AS994" s="68"/>
      <c r="AT994" s="68"/>
      <c r="AU994" s="68"/>
      <c r="AV994" s="68"/>
      <c r="AW994" s="68"/>
      <c r="AX994" s="68"/>
      <c r="AY994" s="68"/>
    </row>
    <row r="995" spans="1:51" ht="12.9" customHeight="1">
      <c r="A995" s="14"/>
      <c r="B995" s="73"/>
      <c r="C995" s="74"/>
      <c r="D995" s="1755" t="s">
        <v>1462</v>
      </c>
      <c r="E995" s="1756"/>
      <c r="F995" s="1756"/>
      <c r="G995" s="1756"/>
      <c r="H995" s="1756"/>
      <c r="I995" s="1756"/>
      <c r="J995" s="1756"/>
      <c r="K995" s="1756"/>
      <c r="L995" s="1756"/>
      <c r="M995" s="1756"/>
      <c r="N995" s="1756"/>
      <c r="O995" s="1756"/>
      <c r="P995" s="1756"/>
      <c r="Q995" s="1756"/>
      <c r="R995" s="1756"/>
      <c r="S995" s="1756"/>
      <c r="T995" s="1756"/>
      <c r="U995" s="1756"/>
      <c r="V995" s="1756"/>
      <c r="W995" s="1756"/>
      <c r="X995" s="1756"/>
      <c r="Y995" s="1756"/>
      <c r="Z995" s="1756"/>
      <c r="AA995" s="1756"/>
      <c r="AB995" s="1756"/>
      <c r="AC995" s="1756"/>
      <c r="AD995" s="1756"/>
      <c r="AE995" s="1757"/>
      <c r="AF995" s="73"/>
      <c r="AG995" s="14"/>
      <c r="AH995" s="14"/>
      <c r="AI995" s="83"/>
      <c r="AJ995" s="1774"/>
      <c r="AK995" s="1775"/>
      <c r="AL995" s="1775"/>
      <c r="AM995" s="1775"/>
      <c r="AN995" s="1775"/>
      <c r="AO995" s="1775"/>
      <c r="AP995" s="1775"/>
      <c r="AQ995" s="1776"/>
      <c r="AR995" s="68"/>
      <c r="AS995" s="68"/>
      <c r="AT995" s="68"/>
      <c r="AU995" s="68"/>
      <c r="AV995" s="68"/>
      <c r="AW995" s="68"/>
      <c r="AX995" s="68"/>
      <c r="AY995" s="68"/>
    </row>
    <row r="996" spans="1:51" ht="12.9" customHeight="1">
      <c r="A996" s="14"/>
      <c r="B996" s="77"/>
      <c r="C996" s="74"/>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77"/>
      <c r="AK996" s="1778"/>
      <c r="AL996" s="1778"/>
      <c r="AM996" s="1778"/>
      <c r="AN996" s="1778"/>
      <c r="AO996" s="1778"/>
      <c r="AP996" s="1778"/>
      <c r="AQ996" s="1779"/>
      <c r="AR996" s="68"/>
      <c r="AS996" s="68"/>
      <c r="AT996" s="68"/>
      <c r="AU996" s="68"/>
      <c r="AV996" s="68"/>
      <c r="AW996" s="68"/>
      <c r="AX996" s="68"/>
      <c r="AY996" s="68"/>
    </row>
    <row r="997" spans="1:51" ht="12.9" customHeight="1">
      <c r="A997" s="14"/>
      <c r="B997" s="73"/>
      <c r="C997" s="368" t="s">
        <v>697</v>
      </c>
      <c r="D997" s="1752" t="s">
        <v>1947</v>
      </c>
      <c r="E997" s="1753"/>
      <c r="F997" s="1753"/>
      <c r="G997" s="1753"/>
      <c r="H997" s="1753"/>
      <c r="I997" s="1753"/>
      <c r="J997" s="1753"/>
      <c r="K997" s="1753"/>
      <c r="L997" s="1753"/>
      <c r="M997" s="1753"/>
      <c r="N997" s="1753"/>
      <c r="O997" s="1753"/>
      <c r="P997" s="1753"/>
      <c r="Q997" s="1753"/>
      <c r="R997" s="1753"/>
      <c r="S997" s="1753"/>
      <c r="T997" s="1753"/>
      <c r="U997" s="1753"/>
      <c r="V997" s="1753"/>
      <c r="W997" s="1753"/>
      <c r="X997" s="1753"/>
      <c r="Y997" s="1753"/>
      <c r="Z997" s="1753"/>
      <c r="AA997" s="1753"/>
      <c r="AB997" s="1753"/>
      <c r="AC997" s="1753"/>
      <c r="AD997" s="1753"/>
      <c r="AE997" s="1754"/>
      <c r="AF997" s="79"/>
      <c r="AG997" s="1764" t="s">
        <v>678</v>
      </c>
      <c r="AH997" s="1765"/>
      <c r="AI997" s="87"/>
      <c r="AJ997" s="1771">
        <f>ROUND(IF(AG997="yes",(AJ961*0.15),0),0)</f>
        <v>0</v>
      </c>
      <c r="AK997" s="1772"/>
      <c r="AL997" s="1772"/>
      <c r="AM997" s="1772"/>
      <c r="AN997" s="1772"/>
      <c r="AO997" s="1772"/>
      <c r="AP997" s="1772"/>
      <c r="AQ997" s="1773"/>
      <c r="AR997" s="68"/>
      <c r="AS997" s="68"/>
      <c r="AT997" s="68"/>
      <c r="AU997" s="68"/>
      <c r="AV997" s="68"/>
      <c r="AW997" s="68"/>
      <c r="AX997" s="68"/>
      <c r="AY997" s="68"/>
    </row>
    <row r="998" spans="1:51" ht="12.9" customHeight="1">
      <c r="A998" s="14"/>
      <c r="B998" s="73"/>
      <c r="C998" s="74"/>
      <c r="D998" s="1783"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4"/>
      <c r="AF998" s="952"/>
      <c r="AG998" s="953"/>
      <c r="AH998" s="953"/>
      <c r="AI998" s="954"/>
      <c r="AJ998" s="1774"/>
      <c r="AK998" s="1775"/>
      <c r="AL998" s="1775"/>
      <c r="AM998" s="1775"/>
      <c r="AN998" s="1775"/>
      <c r="AO998" s="1775"/>
      <c r="AP998" s="1775"/>
      <c r="AQ998" s="1776"/>
      <c r="AR998" s="68"/>
      <c r="AS998" s="68"/>
      <c r="AT998" s="68"/>
      <c r="AU998" s="68"/>
      <c r="AV998" s="68"/>
      <c r="AW998" s="68"/>
      <c r="AX998" s="68"/>
      <c r="AY998" s="68"/>
    </row>
    <row r="999" spans="1:51" ht="12.9" customHeight="1">
      <c r="A999" s="14"/>
      <c r="B999" s="73"/>
      <c r="C999" s="74"/>
      <c r="D999" s="17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4"/>
      <c r="AF999" s="952"/>
      <c r="AG999" s="953"/>
      <c r="AH999" s="953"/>
      <c r="AI999" s="954"/>
      <c r="AJ999" s="1774"/>
      <c r="AK999" s="1775"/>
      <c r="AL999" s="1775"/>
      <c r="AM999" s="1775"/>
      <c r="AN999" s="1775"/>
      <c r="AO999" s="1775"/>
      <c r="AP999" s="1775"/>
      <c r="AQ999" s="1776"/>
      <c r="AR999" s="68"/>
      <c r="AS999" s="68"/>
      <c r="AT999" s="68"/>
      <c r="AU999" s="68"/>
      <c r="AV999" s="68"/>
      <c r="AW999" s="68"/>
      <c r="AX999" s="68"/>
      <c r="AY999" s="68"/>
    </row>
    <row r="1000" spans="1:51" ht="12.9" customHeight="1">
      <c r="A1000" s="14"/>
      <c r="B1000" s="73"/>
      <c r="C1000" s="74"/>
      <c r="D1000" s="1785"/>
      <c r="E1000" s="1786"/>
      <c r="F1000" s="1786"/>
      <c r="G1000" s="1786"/>
      <c r="H1000" s="1786"/>
      <c r="I1000" s="1786"/>
      <c r="J1000" s="1786"/>
      <c r="K1000" s="1786"/>
      <c r="L1000" s="1786"/>
      <c r="M1000" s="1786"/>
      <c r="N1000" s="1786"/>
      <c r="O1000" s="1786"/>
      <c r="P1000" s="1786"/>
      <c r="Q1000" s="1786"/>
      <c r="R1000" s="1786"/>
      <c r="S1000" s="1786"/>
      <c r="T1000" s="1786"/>
      <c r="U1000" s="1786"/>
      <c r="V1000" s="1786"/>
      <c r="W1000" s="1786"/>
      <c r="X1000" s="1786"/>
      <c r="Y1000" s="1786"/>
      <c r="Z1000" s="1786"/>
      <c r="AA1000" s="1786"/>
      <c r="AB1000" s="1786"/>
      <c r="AC1000" s="1786"/>
      <c r="AD1000" s="1786"/>
      <c r="AE1000" s="1787"/>
      <c r="AF1000" s="955"/>
      <c r="AG1000" s="956"/>
      <c r="AH1000" s="956"/>
      <c r="AI1000" s="957"/>
      <c r="AJ1000" s="1777"/>
      <c r="AK1000" s="1778"/>
      <c r="AL1000" s="1778"/>
      <c r="AM1000" s="1778"/>
      <c r="AN1000" s="1778"/>
      <c r="AO1000" s="1778"/>
      <c r="AP1000" s="1778"/>
      <c r="AQ1000" s="1779"/>
      <c r="AR1000" s="68"/>
      <c r="AS1000" s="68"/>
      <c r="AT1000" s="68"/>
      <c r="AU1000" s="68"/>
      <c r="AV1000" s="68"/>
      <c r="AW1000" s="68"/>
      <c r="AX1000" s="68"/>
      <c r="AY1000" s="68"/>
    </row>
    <row r="1001" spans="1:51" ht="12.9" customHeight="1">
      <c r="A1001" s="14"/>
      <c r="B1001" s="73"/>
      <c r="C1001" s="368" t="s">
        <v>697</v>
      </c>
      <c r="D1001" s="1791" t="s">
        <v>1949</v>
      </c>
      <c r="E1001" s="1792"/>
      <c r="F1001" s="1792"/>
      <c r="G1001" s="1792"/>
      <c r="H1001" s="1792"/>
      <c r="I1001" s="1792"/>
      <c r="J1001" s="1792"/>
      <c r="K1001" s="1792"/>
      <c r="L1001" s="1792"/>
      <c r="M1001" s="1792"/>
      <c r="N1001" s="1792"/>
      <c r="O1001" s="1792"/>
      <c r="P1001" s="1792"/>
      <c r="Q1001" s="1792"/>
      <c r="R1001" s="1792"/>
      <c r="S1001" s="1792"/>
      <c r="T1001" s="1792"/>
      <c r="U1001" s="1792"/>
      <c r="V1001" s="1792"/>
      <c r="W1001" s="1792"/>
      <c r="X1001" s="1792"/>
      <c r="Y1001" s="1792"/>
      <c r="Z1001" s="1792"/>
      <c r="AA1001" s="1792"/>
      <c r="AB1001" s="1792"/>
      <c r="AC1001" s="1792"/>
      <c r="AD1001" s="1792"/>
      <c r="AE1001" s="1793"/>
      <c r="AF1001" s="73"/>
      <c r="AG1001" s="1766" t="s">
        <v>678</v>
      </c>
      <c r="AH1001" s="1767"/>
      <c r="AI1001" s="83"/>
      <c r="AJ1001" s="1771">
        <f>ROUND(IF(AND(AG1001="yes",AJ997=0),(AJ961*0.1),0),0)</f>
        <v>0</v>
      </c>
      <c r="AK1001" s="1772"/>
      <c r="AL1001" s="1772"/>
      <c r="AM1001" s="1772"/>
      <c r="AN1001" s="1772"/>
      <c r="AO1001" s="1772"/>
      <c r="AP1001" s="1772"/>
      <c r="AQ1001" s="1773"/>
      <c r="AR1001" s="68"/>
      <c r="AS1001" s="68"/>
      <c r="AT1001" s="68"/>
      <c r="AU1001" s="68"/>
      <c r="AV1001" s="68"/>
      <c r="AW1001" s="68"/>
      <c r="AX1001" s="68"/>
      <c r="AY1001" s="68"/>
    </row>
    <row r="1002" spans="1:51" ht="12.9" customHeight="1">
      <c r="A1002" s="14"/>
      <c r="B1002" s="73"/>
      <c r="C1002" s="74"/>
      <c r="D1002" s="1783"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4"/>
      <c r="AF1002" s="73"/>
      <c r="AG1002" s="14"/>
      <c r="AH1002" s="14"/>
      <c r="AI1002" s="83"/>
      <c r="AJ1002" s="1774"/>
      <c r="AK1002" s="1775"/>
      <c r="AL1002" s="1775"/>
      <c r="AM1002" s="1775"/>
      <c r="AN1002" s="1775"/>
      <c r="AO1002" s="1775"/>
      <c r="AP1002" s="1775"/>
      <c r="AQ1002" s="1776"/>
      <c r="AR1002" s="68"/>
      <c r="AS1002" s="68"/>
      <c r="AT1002" s="68"/>
      <c r="AU1002" s="68"/>
      <c r="AV1002" s="68"/>
      <c r="AW1002" s="68"/>
      <c r="AX1002" s="68"/>
      <c r="AY1002" s="68"/>
    </row>
    <row r="1003" spans="1:51" ht="12.9" customHeight="1">
      <c r="A1003" s="14"/>
      <c r="B1003" s="73"/>
      <c r="C1003" s="74"/>
      <c r="D1003" s="17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4"/>
      <c r="AF1003" s="73"/>
      <c r="AG1003" s="14"/>
      <c r="AH1003" s="14"/>
      <c r="AI1003" s="83"/>
      <c r="AJ1003" s="1774"/>
      <c r="AK1003" s="1775"/>
      <c r="AL1003" s="1775"/>
      <c r="AM1003" s="1775"/>
      <c r="AN1003" s="1775"/>
      <c r="AO1003" s="1775"/>
      <c r="AP1003" s="1775"/>
      <c r="AQ1003" s="1776"/>
      <c r="AR1003" s="68"/>
      <c r="AS1003" s="68"/>
      <c r="AT1003" s="68"/>
      <c r="AU1003" s="68"/>
      <c r="AV1003" s="68"/>
      <c r="AW1003" s="68"/>
      <c r="AX1003" s="68"/>
      <c r="AY1003" s="68"/>
    </row>
    <row r="1004" spans="1:51" ht="12.9" customHeight="1">
      <c r="A1004" s="14"/>
      <c r="B1004" s="73"/>
      <c r="C1004" s="74"/>
      <c r="D1004" s="17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4"/>
      <c r="AF1004" s="73"/>
      <c r="AG1004" s="14"/>
      <c r="AH1004" s="14"/>
      <c r="AI1004" s="83"/>
      <c r="AJ1004" s="1774"/>
      <c r="AK1004" s="1775"/>
      <c r="AL1004" s="1775"/>
      <c r="AM1004" s="1775"/>
      <c r="AN1004" s="1775"/>
      <c r="AO1004" s="1775"/>
      <c r="AP1004" s="1775"/>
      <c r="AQ1004" s="1776"/>
      <c r="AR1004" s="68"/>
      <c r="AS1004" s="68"/>
      <c r="AT1004" s="68"/>
      <c r="AU1004" s="68"/>
      <c r="AV1004" s="68"/>
      <c r="AW1004" s="68"/>
      <c r="AX1004" s="68"/>
      <c r="AY1004" s="68"/>
    </row>
    <row r="1005" spans="1:51" ht="12.9" customHeight="1">
      <c r="A1005" s="14"/>
      <c r="B1005" s="73"/>
      <c r="C1005" s="74"/>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74"/>
      <c r="AK1005" s="1775"/>
      <c r="AL1005" s="1775"/>
      <c r="AM1005" s="1775"/>
      <c r="AN1005" s="1775"/>
      <c r="AO1005" s="1775"/>
      <c r="AP1005" s="1775"/>
      <c r="AQ1005" s="1776"/>
      <c r="AR1005" s="68"/>
      <c r="AS1005" s="68"/>
      <c r="AT1005" s="68"/>
      <c r="AU1005" s="68"/>
      <c r="AV1005" s="68"/>
      <c r="AW1005" s="68"/>
      <c r="AX1005" s="68"/>
      <c r="AY1005" s="68"/>
    </row>
    <row r="1006" spans="1:51" ht="12.9" customHeight="1">
      <c r="A1006" s="14"/>
      <c r="B1006" s="79"/>
      <c r="C1006" s="131" t="s">
        <v>1067</v>
      </c>
      <c r="D1006" s="1752" t="s">
        <v>1463</v>
      </c>
      <c r="E1006" s="1753"/>
      <c r="F1006" s="1753"/>
      <c r="G1006" s="1753"/>
      <c r="H1006" s="1753"/>
      <c r="I1006" s="1753"/>
      <c r="J1006" s="1753"/>
      <c r="K1006" s="1753"/>
      <c r="L1006" s="1753"/>
      <c r="M1006" s="1753"/>
      <c r="N1006" s="1753"/>
      <c r="O1006" s="1753"/>
      <c r="P1006" s="1753"/>
      <c r="Q1006" s="1753"/>
      <c r="R1006" s="1753"/>
      <c r="S1006" s="1753"/>
      <c r="T1006" s="1753"/>
      <c r="U1006" s="1753"/>
      <c r="V1006" s="1753"/>
      <c r="W1006" s="1753"/>
      <c r="X1006" s="1753"/>
      <c r="Y1006" s="1753"/>
      <c r="Z1006" s="1753"/>
      <c r="AA1006" s="1753"/>
      <c r="AB1006" s="1753"/>
      <c r="AC1006" s="1753"/>
      <c r="AD1006" s="1753"/>
      <c r="AE1006" s="1754"/>
      <c r="AF1006" s="79"/>
      <c r="AG1006" s="1764" t="s">
        <v>678</v>
      </c>
      <c r="AH1006" s="1765"/>
      <c r="AI1006" s="87"/>
      <c r="AJ1006" s="1771">
        <f>ROUND(IF(AG1006="yes",(AJ961*0.1),0),0)</f>
        <v>0</v>
      </c>
      <c r="AK1006" s="1772"/>
      <c r="AL1006" s="1772"/>
      <c r="AM1006" s="1772"/>
      <c r="AN1006" s="1772"/>
      <c r="AO1006" s="1772"/>
      <c r="AP1006" s="1772"/>
      <c r="AQ1006" s="1773"/>
      <c r="AR1006" s="68"/>
      <c r="AS1006" s="68"/>
      <c r="AT1006" s="68"/>
      <c r="AU1006" s="68"/>
      <c r="AV1006" s="68"/>
      <c r="AW1006" s="68"/>
      <c r="AX1006" s="68"/>
      <c r="AY1006" s="68"/>
    </row>
    <row r="1007" spans="1:51" ht="12.9" customHeight="1">
      <c r="A1007" s="14"/>
      <c r="B1007" s="73"/>
      <c r="C1007" s="74"/>
      <c r="D1007" s="1755" t="s">
        <v>2516</v>
      </c>
      <c r="E1007" s="1756"/>
      <c r="F1007" s="1756"/>
      <c r="G1007" s="1756"/>
      <c r="H1007" s="1756"/>
      <c r="I1007" s="1756"/>
      <c r="J1007" s="1756"/>
      <c r="K1007" s="1756"/>
      <c r="L1007" s="1756"/>
      <c r="M1007" s="1756"/>
      <c r="N1007" s="1756"/>
      <c r="O1007" s="1756"/>
      <c r="P1007" s="1756"/>
      <c r="Q1007" s="1756"/>
      <c r="R1007" s="1756"/>
      <c r="S1007" s="1756"/>
      <c r="T1007" s="1756"/>
      <c r="U1007" s="1756"/>
      <c r="V1007" s="1756"/>
      <c r="W1007" s="1756"/>
      <c r="X1007" s="1756"/>
      <c r="Y1007" s="1756"/>
      <c r="Z1007" s="1756"/>
      <c r="AA1007" s="1756"/>
      <c r="AB1007" s="1756"/>
      <c r="AC1007" s="1756"/>
      <c r="AD1007" s="1756"/>
      <c r="AE1007" s="1757"/>
      <c r="AF1007" s="73"/>
      <c r="AG1007" s="14"/>
      <c r="AH1007" s="14"/>
      <c r="AI1007" s="83"/>
      <c r="AJ1007" s="1774"/>
      <c r="AK1007" s="1775"/>
      <c r="AL1007" s="1775"/>
      <c r="AM1007" s="1775"/>
      <c r="AN1007" s="1775"/>
      <c r="AO1007" s="1775"/>
      <c r="AP1007" s="1775"/>
      <c r="AQ1007" s="1776"/>
      <c r="AR1007" s="68"/>
      <c r="AS1007" s="68"/>
      <c r="AT1007" s="68"/>
      <c r="AU1007" s="68"/>
      <c r="AV1007" s="68"/>
      <c r="AW1007" s="68"/>
      <c r="AX1007" s="68"/>
      <c r="AY1007" s="68"/>
    </row>
    <row r="1008" spans="1:51" ht="12.9" customHeight="1">
      <c r="A1008" s="14"/>
      <c r="B1008" s="73"/>
      <c r="C1008" s="74"/>
      <c r="D1008" s="1755"/>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73"/>
      <c r="AG1008" s="14"/>
      <c r="AH1008" s="14"/>
      <c r="AI1008" s="83"/>
      <c r="AJ1008" s="1774"/>
      <c r="AK1008" s="1775"/>
      <c r="AL1008" s="1775"/>
      <c r="AM1008" s="1775"/>
      <c r="AN1008" s="1775"/>
      <c r="AO1008" s="1775"/>
      <c r="AP1008" s="1775"/>
      <c r="AQ1008" s="1776"/>
      <c r="AR1008" s="68"/>
      <c r="AS1008" s="68"/>
      <c r="AT1008" s="68"/>
      <c r="AU1008" s="68"/>
      <c r="AV1008" s="68"/>
      <c r="AW1008" s="68"/>
      <c r="AX1008" s="68"/>
      <c r="AY1008" s="68"/>
    </row>
    <row r="1009" spans="1:51" ht="12.9" customHeight="1">
      <c r="A1009" s="14"/>
      <c r="B1009" s="73"/>
      <c r="C1009" s="74"/>
      <c r="D1009" s="1768"/>
      <c r="E1009" s="1769"/>
      <c r="F1009" s="1769"/>
      <c r="G1009" s="1769"/>
      <c r="H1009" s="1769"/>
      <c r="I1009" s="1769"/>
      <c r="J1009" s="1769"/>
      <c r="K1009" s="1769"/>
      <c r="L1009" s="1769"/>
      <c r="M1009" s="1769"/>
      <c r="N1009" s="1769"/>
      <c r="O1009" s="1769"/>
      <c r="P1009" s="1769"/>
      <c r="Q1009" s="1769"/>
      <c r="R1009" s="1769"/>
      <c r="S1009" s="1769"/>
      <c r="T1009" s="1769"/>
      <c r="U1009" s="1769"/>
      <c r="V1009" s="1769"/>
      <c r="W1009" s="1769"/>
      <c r="X1009" s="1769"/>
      <c r="Y1009" s="1769"/>
      <c r="Z1009" s="1769"/>
      <c r="AA1009" s="1769"/>
      <c r="AB1009" s="1769"/>
      <c r="AC1009" s="1769"/>
      <c r="AD1009" s="1769"/>
      <c r="AE1009" s="1770"/>
      <c r="AF1009" s="73"/>
      <c r="AG1009" s="14"/>
      <c r="AH1009" s="14"/>
      <c r="AI1009" s="83"/>
      <c r="AJ1009" s="1777"/>
      <c r="AK1009" s="1778"/>
      <c r="AL1009" s="1778"/>
      <c r="AM1009" s="1778"/>
      <c r="AN1009" s="1778"/>
      <c r="AO1009" s="1778"/>
      <c r="AP1009" s="1778"/>
      <c r="AQ1009" s="1779"/>
      <c r="AR1009" s="68"/>
      <c r="AS1009" s="68"/>
      <c r="AT1009" s="68"/>
      <c r="AU1009" s="68"/>
      <c r="AV1009" s="68"/>
      <c r="AW1009" s="68"/>
      <c r="AX1009" s="68"/>
      <c r="AY1009" s="68"/>
    </row>
    <row r="1010" spans="1:51" ht="12.9" customHeight="1">
      <c r="A1010" s="14"/>
      <c r="B1010" s="79"/>
      <c r="C1010" s="131" t="s">
        <v>1945</v>
      </c>
      <c r="D1010" s="1791" t="s">
        <v>2129</v>
      </c>
      <c r="E1010" s="1792"/>
      <c r="F1010" s="1792"/>
      <c r="G1010" s="1792"/>
      <c r="H1010" s="1792"/>
      <c r="I1010" s="1792"/>
      <c r="J1010" s="1792"/>
      <c r="K1010" s="1792"/>
      <c r="L1010" s="1792"/>
      <c r="M1010" s="1792"/>
      <c r="N1010" s="1792"/>
      <c r="O1010" s="1792"/>
      <c r="P1010" s="1792"/>
      <c r="Q1010" s="1792"/>
      <c r="R1010" s="1792"/>
      <c r="S1010" s="1792"/>
      <c r="T1010" s="1792"/>
      <c r="U1010" s="1792"/>
      <c r="V1010" s="1792"/>
      <c r="W1010" s="1792"/>
      <c r="X1010" s="1792"/>
      <c r="Y1010" s="1792"/>
      <c r="Z1010" s="1792"/>
      <c r="AA1010" s="1792"/>
      <c r="AB1010" s="1792"/>
      <c r="AC1010" s="1792"/>
      <c r="AD1010" s="1792"/>
      <c r="AE1010" s="1793"/>
      <c r="AF1010" s="79"/>
      <c r="AG1010" s="1762" t="str">
        <f>IF(X1013&gt;0,"Yes","No")</f>
        <v>Yes</v>
      </c>
      <c r="AH1010" s="1763"/>
      <c r="AI1010" s="87"/>
      <c r="AJ1010" s="1771">
        <f>IF((X1013=0),0,BA975*AJ961)</f>
        <v>31992928</v>
      </c>
      <c r="AK1010" s="1772"/>
      <c r="AL1010" s="1772"/>
      <c r="AM1010" s="1772"/>
      <c r="AN1010" s="1772"/>
      <c r="AO1010" s="1772"/>
      <c r="AP1010" s="1772"/>
      <c r="AQ1010" s="1773"/>
      <c r="AR1010" s="68"/>
      <c r="AS1010" s="68"/>
      <c r="AT1010" s="68"/>
      <c r="AU1010" s="68"/>
      <c r="AV1010" s="68"/>
      <c r="AW1010" s="68"/>
      <c r="AX1010" s="68"/>
      <c r="AY1010" s="68"/>
    </row>
    <row r="1011" spans="1:51" ht="12.9" customHeight="1">
      <c r="A1011" s="14"/>
      <c r="B1011" s="73"/>
      <c r="C1011" s="477"/>
      <c r="D1011" s="1755" t="s">
        <v>1465</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3"/>
      <c r="AG1011" s="478"/>
      <c r="AH1011" s="478"/>
      <c r="AI1011" s="83"/>
      <c r="AJ1011" s="1774"/>
      <c r="AK1011" s="1775"/>
      <c r="AL1011" s="1775"/>
      <c r="AM1011" s="1775"/>
      <c r="AN1011" s="1775"/>
      <c r="AO1011" s="1775"/>
      <c r="AP1011" s="1775"/>
      <c r="AQ1011" s="1776"/>
      <c r="AR1011" s="68"/>
      <c r="AS1011" s="68"/>
      <c r="AT1011" s="68"/>
      <c r="AU1011" s="68"/>
      <c r="AV1011" s="68"/>
      <c r="AW1011" s="68"/>
      <c r="AX1011" s="68"/>
      <c r="AY1011" s="68"/>
    </row>
    <row r="1012" spans="1:51" ht="12.9" customHeight="1">
      <c r="A1012" s="14"/>
      <c r="B1012" s="73"/>
      <c r="C1012" s="477"/>
      <c r="D1012" s="1755"/>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3"/>
      <c r="AG1012" s="478"/>
      <c r="AH1012" s="478"/>
      <c r="AI1012" s="83"/>
      <c r="AJ1012" s="1774"/>
      <c r="AK1012" s="1775"/>
      <c r="AL1012" s="1775"/>
      <c r="AM1012" s="1775"/>
      <c r="AN1012" s="1775"/>
      <c r="AO1012" s="1775"/>
      <c r="AP1012" s="1775"/>
      <c r="AQ1012" s="1776"/>
      <c r="AR1012" s="68"/>
      <c r="AS1012" s="68"/>
      <c r="AT1012" s="68"/>
      <c r="AU1012" s="68"/>
      <c r="AV1012" s="68"/>
      <c r="AW1012" s="68"/>
      <c r="AX1012" s="68"/>
      <c r="AY1012" s="68"/>
    </row>
    <row r="1013" spans="1:51" ht="12.9" customHeight="1">
      <c r="A1013" s="14"/>
      <c r="B1013" s="77"/>
      <c r="C1013" s="78"/>
      <c r="D1013" s="132" t="s">
        <v>1012</v>
      </c>
      <c r="E1013" s="133"/>
      <c r="F1013" s="133"/>
      <c r="G1013" s="133"/>
      <c r="H1013" s="133"/>
      <c r="I1013" s="1760">
        <f>BA973</f>
        <v>175</v>
      </c>
      <c r="J1013" s="1761"/>
      <c r="K1013" s="7"/>
      <c r="L1013" s="133"/>
      <c r="M1013" s="133"/>
      <c r="N1013" s="133"/>
      <c r="O1013" s="133"/>
      <c r="P1013" s="133"/>
      <c r="Q1013" s="133"/>
      <c r="R1013" s="133"/>
      <c r="S1013" s="133"/>
      <c r="T1013" s="133"/>
      <c r="U1013" s="133"/>
      <c r="V1013" s="134" t="s">
        <v>1013</v>
      </c>
      <c r="W1013" s="48"/>
      <c r="X1013" s="1758">
        <f>BG621</f>
        <v>71</v>
      </c>
      <c r="Y1013" s="1759"/>
      <c r="Z1013" s="48"/>
      <c r="AA1013" s="48"/>
      <c r="AB1013" s="48"/>
      <c r="AC1013" s="48"/>
      <c r="AD1013" s="48"/>
      <c r="AE1013" s="49"/>
      <c r="AF1013" s="961"/>
      <c r="AG1013" s="962"/>
      <c r="AH1013" s="962"/>
      <c r="AI1013" s="963"/>
      <c r="AJ1013" s="1777"/>
      <c r="AK1013" s="1778"/>
      <c r="AL1013" s="1778"/>
      <c r="AM1013" s="1778"/>
      <c r="AN1013" s="1778"/>
      <c r="AO1013" s="1778"/>
      <c r="AP1013" s="1778"/>
      <c r="AQ1013" s="1779"/>
      <c r="AR1013" s="68"/>
      <c r="AS1013" s="68"/>
      <c r="AT1013" s="68"/>
      <c r="AU1013" s="68"/>
      <c r="AV1013" s="68"/>
      <c r="AW1013" s="68"/>
      <c r="AX1013" s="68"/>
      <c r="AY1013" s="68"/>
    </row>
    <row r="1014" spans="1:51" ht="12.9" customHeight="1">
      <c r="A1014" s="14"/>
      <c r="B1014" s="79"/>
      <c r="C1014" s="131" t="s">
        <v>1946</v>
      </c>
      <c r="D1014" s="1752" t="s">
        <v>2130</v>
      </c>
      <c r="E1014" s="1753"/>
      <c r="F1014" s="1753"/>
      <c r="G1014" s="1753"/>
      <c r="H1014" s="1753"/>
      <c r="I1014" s="1753"/>
      <c r="J1014" s="1753"/>
      <c r="K1014" s="1753"/>
      <c r="L1014" s="1753"/>
      <c r="M1014" s="1753"/>
      <c r="N1014" s="1753"/>
      <c r="O1014" s="1753"/>
      <c r="P1014" s="1753"/>
      <c r="Q1014" s="1753"/>
      <c r="R1014" s="1753"/>
      <c r="S1014" s="1753"/>
      <c r="T1014" s="1753"/>
      <c r="U1014" s="1753"/>
      <c r="V1014" s="1753"/>
      <c r="W1014" s="1753"/>
      <c r="X1014" s="1753"/>
      <c r="Y1014" s="1753"/>
      <c r="Z1014" s="1753"/>
      <c r="AA1014" s="1753"/>
      <c r="AB1014" s="1753"/>
      <c r="AC1014" s="1753"/>
      <c r="AD1014" s="1753"/>
      <c r="AE1014" s="1754"/>
      <c r="AF1014" s="73"/>
      <c r="AG1014" s="1762" t="str">
        <f>IF(X1017&gt;0,"Yes","No")</f>
        <v>Yes</v>
      </c>
      <c r="AH1014" s="1763"/>
      <c r="AI1014" s="83"/>
      <c r="AJ1014" s="1771">
        <f>IF((X1017=0),0,(2*BA976)*AJ961)</f>
        <v>31992928</v>
      </c>
      <c r="AK1014" s="1772"/>
      <c r="AL1014" s="1772"/>
      <c r="AM1014" s="1772"/>
      <c r="AN1014" s="1772"/>
      <c r="AO1014" s="1772"/>
      <c r="AP1014" s="1772"/>
      <c r="AQ1014" s="1773"/>
      <c r="AR1014" s="68"/>
      <c r="AS1014" s="68"/>
      <c r="AT1014" s="68"/>
      <c r="AU1014" s="68"/>
      <c r="AV1014" s="68"/>
      <c r="AW1014" s="68"/>
      <c r="AX1014" s="68"/>
      <c r="AY1014" s="68"/>
    </row>
    <row r="1015" spans="1:51" ht="12.9" customHeight="1">
      <c r="A1015" s="14"/>
      <c r="B1015" s="73"/>
      <c r="C1015" s="477"/>
      <c r="D1015" s="1755" t="s">
        <v>1464</v>
      </c>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73"/>
      <c r="AG1015" s="478"/>
      <c r="AH1015" s="478"/>
      <c r="AI1015" s="83"/>
      <c r="AJ1015" s="1774"/>
      <c r="AK1015" s="1775"/>
      <c r="AL1015" s="1775"/>
      <c r="AM1015" s="1775"/>
      <c r="AN1015" s="1775"/>
      <c r="AO1015" s="1775"/>
      <c r="AP1015" s="1775"/>
      <c r="AQ1015" s="1776"/>
      <c r="AR1015" s="68"/>
      <c r="AS1015" s="68"/>
      <c r="AT1015" s="68"/>
      <c r="AU1015" s="68"/>
      <c r="AV1015" s="68"/>
      <c r="AW1015" s="68"/>
      <c r="AX1015" s="68"/>
      <c r="AY1015" s="68"/>
    </row>
    <row r="1016" spans="1:51" ht="12.9" customHeight="1">
      <c r="A1016" s="14"/>
      <c r="B1016" s="73"/>
      <c r="C1016" s="83"/>
      <c r="D1016" s="1755"/>
      <c r="E1016" s="1756"/>
      <c r="F1016" s="1756"/>
      <c r="G1016" s="1756"/>
      <c r="H1016" s="1756"/>
      <c r="I1016" s="1756"/>
      <c r="J1016" s="1756"/>
      <c r="K1016" s="1756"/>
      <c r="L1016" s="1756"/>
      <c r="M1016" s="1756"/>
      <c r="N1016" s="1756"/>
      <c r="O1016" s="1756"/>
      <c r="P1016" s="1756"/>
      <c r="Q1016" s="1756"/>
      <c r="R1016" s="1756"/>
      <c r="S1016" s="1756"/>
      <c r="T1016" s="1756"/>
      <c r="U1016" s="1756"/>
      <c r="V1016" s="1756"/>
      <c r="W1016" s="1756"/>
      <c r="X1016" s="1756"/>
      <c r="Y1016" s="1756"/>
      <c r="Z1016" s="1756"/>
      <c r="AA1016" s="1756"/>
      <c r="AB1016" s="1756"/>
      <c r="AC1016" s="1756"/>
      <c r="AD1016" s="1756"/>
      <c r="AE1016" s="1757"/>
      <c r="AF1016" s="958"/>
      <c r="AG1016" s="959"/>
      <c r="AH1016" s="959"/>
      <c r="AI1016" s="960"/>
      <c r="AJ1016" s="1774"/>
      <c r="AK1016" s="1775"/>
      <c r="AL1016" s="1775"/>
      <c r="AM1016" s="1775"/>
      <c r="AN1016" s="1775"/>
      <c r="AO1016" s="1775"/>
      <c r="AP1016" s="1775"/>
      <c r="AQ1016" s="1776"/>
      <c r="AR1016" s="68"/>
      <c r="AS1016" s="68"/>
      <c r="AT1016" s="68"/>
      <c r="AU1016" s="68"/>
      <c r="AV1016" s="68"/>
      <c r="AW1016" s="68"/>
      <c r="AX1016" s="68"/>
      <c r="AY1016" s="68"/>
    </row>
    <row r="1017" spans="1:51" ht="12.9" customHeight="1">
      <c r="A1017" s="14"/>
      <c r="B1017" s="77"/>
      <c r="C1017" s="78"/>
      <c r="D1017" s="132" t="s">
        <v>1012</v>
      </c>
      <c r="E1017" s="133"/>
      <c r="F1017" s="133"/>
      <c r="G1017" s="133"/>
      <c r="H1017" s="133"/>
      <c r="I1017" s="1760">
        <f>BA973</f>
        <v>175</v>
      </c>
      <c r="J1017" s="1761"/>
      <c r="K1017" s="14"/>
      <c r="L1017" s="133"/>
      <c r="M1017" s="133"/>
      <c r="N1017" s="133"/>
      <c r="O1017" s="133"/>
      <c r="P1017" s="133"/>
      <c r="Q1017" s="133"/>
      <c r="R1017" s="133"/>
      <c r="S1017" s="133"/>
      <c r="T1017" s="133"/>
      <c r="U1017" s="133"/>
      <c r="V1017" s="134" t="s">
        <v>1014</v>
      </c>
      <c r="X1017" s="1758">
        <f>BK621</f>
        <v>36</v>
      </c>
      <c r="Y1017" s="1759"/>
      <c r="AF1017" s="961"/>
      <c r="AG1017" s="962"/>
      <c r="AH1017" s="962"/>
      <c r="AI1017" s="963"/>
      <c r="AJ1017" s="1777"/>
      <c r="AK1017" s="1778"/>
      <c r="AL1017" s="1778"/>
      <c r="AM1017" s="1778"/>
      <c r="AN1017" s="1778"/>
      <c r="AO1017" s="1778"/>
      <c r="AP1017" s="1778"/>
      <c r="AQ1017" s="1779"/>
      <c r="AR1017" s="68"/>
      <c r="AS1017" s="68"/>
      <c r="AT1017" s="68"/>
      <c r="AU1017" s="68"/>
      <c r="AV1017" s="68"/>
      <c r="AW1017" s="68"/>
      <c r="AX1017" s="68"/>
      <c r="AY1017" s="68"/>
    </row>
    <row r="1018" spans="1:51" ht="12.9" customHeight="1">
      <c r="A1018" s="14"/>
      <c r="B1018" s="102"/>
      <c r="C1018" s="103"/>
      <c r="D1018" s="1750" t="s">
        <v>522</v>
      </c>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0"/>
      <c r="AF1018" s="1750"/>
      <c r="AG1018" s="1750"/>
      <c r="AH1018" s="1750"/>
      <c r="AI1018" s="1751"/>
      <c r="AJ1018" s="1780">
        <f>SUM(AJ961:AQ1017)</f>
        <v>164535193</v>
      </c>
      <c r="AK1018" s="1781"/>
      <c r="AL1018" s="1781"/>
      <c r="AM1018" s="1781"/>
      <c r="AN1018" s="1781"/>
      <c r="AO1018" s="1781"/>
      <c r="AP1018" s="1781"/>
      <c r="AQ1018" s="1782"/>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716">
        <f>IF(ISNA(IF((AJ985&gt;(AJ961*0.15)),"(f) cannot be greater than 15% of unadjusted eligible basis.",0)),"",(IF((AJ985&gt;(AJ961*0.15)),"(f) cannot be greater than 15% of unadjusted eligible basis.",0)))</f>
        <v>0</v>
      </c>
      <c r="C1025" s="1716"/>
      <c r="D1025" s="1716"/>
      <c r="E1025" s="1716"/>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68"/>
      <c r="AM1025" s="68"/>
      <c r="AN1025" s="68"/>
      <c r="AO1025" s="68"/>
      <c r="AP1025" s="68"/>
      <c r="AQ1025" s="68"/>
      <c r="AR1025" s="68"/>
      <c r="AS1025" s="68"/>
      <c r="AT1025" s="68"/>
      <c r="AU1025" s="68"/>
      <c r="AV1025" s="68"/>
      <c r="AW1025" s="68"/>
      <c r="AX1025" s="68"/>
      <c r="AY1025" s="68"/>
    </row>
    <row r="1026" spans="1:51" ht="12.9" customHeight="1" thickBot="1">
      <c r="A1026" s="1679" t="s">
        <v>818</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 customHeight="1">
      <c r="A1042" s="1373" t="s">
        <v>600</v>
      </c>
      <c r="B1042" s="1373"/>
      <c r="C1042" s="8">
        <v>3</v>
      </c>
      <c r="D1042" s="1260" t="s">
        <v>2567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 customHeight="1">
      <c r="A1052" s="1373" t="s">
        <v>600</v>
      </c>
      <c r="B1052" s="1373"/>
      <c r="C1052" s="8">
        <v>5</v>
      </c>
      <c r="D1052" s="1260" t="s">
        <v>2568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A77" zoomScaleNormal="100" zoomScaleSheetLayoutView="90" workbookViewId="0">
      <selection activeCell="E101" sqref="E101"/>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375</v>
      </c>
      <c r="D2" s="138" t="s">
        <v>374</v>
      </c>
      <c r="E2" s="138" t="s">
        <v>24</v>
      </c>
      <c r="F2" s="139" t="str">
        <f>Application!B623&amp;Application!C623</f>
        <v>1)Pacific Western Bank</v>
      </c>
      <c r="G2" s="139" t="str">
        <f>Application!B624&amp;Application!C624</f>
        <v>2)HCD AHSC AHD Loan</v>
      </c>
      <c r="H2" s="139" t="str">
        <f>Application!B625&amp;Application!C625</f>
        <v>3)HCD AHSC HRI</v>
      </c>
      <c r="I2" s="139" t="str">
        <f>Application!B626&amp;Application!C626</f>
        <v>4)Sutter County</v>
      </c>
      <c r="J2" s="139" t="str">
        <f>Application!B627&amp;Application!C627</f>
        <v>5)Yuba City Unified School District</v>
      </c>
      <c r="K2" s="139" t="str">
        <f>Application!B628&amp;Application!C628</f>
        <v>6)RHA-City Loan</v>
      </c>
      <c r="L2" s="139" t="str">
        <f>Application!B629&amp;Application!C629</f>
        <v>7)RHA Land Acquisition Loan</v>
      </c>
      <c r="M2" s="139" t="str">
        <f>Application!B630&amp;Application!C630</f>
        <v>8)RHA BUILD Loan</v>
      </c>
      <c r="N2" s="139" t="str">
        <f>Application!B631&amp;Application!C631</f>
        <v>9)Energy Credit Equity</v>
      </c>
      <c r="O2" s="139" t="str">
        <f>Application!B632&amp;Application!C632</f>
        <v>10)Sutter Community Affordable Housing / Sage Housing Group</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2320000</v>
      </c>
      <c r="C4" s="147">
        <v>2320000</v>
      </c>
      <c r="D4" s="147"/>
      <c r="E4" s="147"/>
      <c r="F4" s="147"/>
      <c r="G4" s="147"/>
      <c r="H4" s="147"/>
      <c r="I4" s="147"/>
      <c r="J4" s="147"/>
      <c r="K4" s="147"/>
      <c r="L4" s="147">
        <v>2320000</v>
      </c>
      <c r="M4" s="147"/>
      <c r="N4" s="147"/>
      <c r="O4" s="147"/>
      <c r="P4" s="147"/>
      <c r="Q4" s="147"/>
      <c r="R4" s="551">
        <f>SUM(E4:Q4)</f>
        <v>2320000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602</v>
      </c>
      <c r="B8" s="146">
        <f>SUM(C8:D8)</f>
        <v>2320000</v>
      </c>
      <c r="C8" s="146">
        <f t="shared" ref="C8:Q8" si="0">SUM(C4:C7)</f>
        <v>2320000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2320000</v>
      </c>
      <c r="M8" s="146">
        <f t="shared" si="0"/>
        <v>0</v>
      </c>
      <c r="N8" s="146">
        <f t="shared" si="0"/>
        <v>0</v>
      </c>
      <c r="O8" s="146">
        <f t="shared" si="0"/>
        <v>0</v>
      </c>
      <c r="P8" s="146"/>
      <c r="Q8" s="146">
        <f t="shared" si="0"/>
        <v>0</v>
      </c>
      <c r="R8" s="371">
        <f>SUM(R4:R7)</f>
        <v>2320000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2320000</v>
      </c>
      <c r="C12" s="146">
        <f t="shared" si="2"/>
        <v>2320000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2320000</v>
      </c>
      <c r="M12" s="146">
        <f t="shared" si="2"/>
        <v>0</v>
      </c>
      <c r="N12" s="146">
        <f t="shared" si="2"/>
        <v>0</v>
      </c>
      <c r="O12" s="146">
        <f t="shared" si="2"/>
        <v>0</v>
      </c>
      <c r="P12" s="146"/>
      <c r="Q12" s="146">
        <f t="shared" si="2"/>
        <v>0</v>
      </c>
      <c r="R12" s="371">
        <f>SUM(R8+R11)</f>
        <v>2320000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338122</v>
      </c>
      <c r="C27" s="147">
        <v>338122</v>
      </c>
      <c r="D27" s="147"/>
      <c r="E27" s="147">
        <v>338122</v>
      </c>
      <c r="F27" s="147"/>
      <c r="G27" s="147"/>
      <c r="H27" s="147"/>
      <c r="I27" s="147"/>
      <c r="J27" s="147"/>
      <c r="K27" s="147"/>
      <c r="L27" s="147"/>
      <c r="M27" s="147"/>
      <c r="N27" s="147"/>
      <c r="O27" s="147"/>
      <c r="P27" s="147"/>
      <c r="Q27" s="147"/>
      <c r="R27" s="551">
        <f t="shared" si="4"/>
        <v>338122</v>
      </c>
      <c r="S27" s="147">
        <v>338122</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5656243</v>
      </c>
      <c r="C29" s="147">
        <v>5656243</v>
      </c>
      <c r="D29" s="147"/>
      <c r="E29" s="147">
        <v>2656243</v>
      </c>
      <c r="F29" s="147"/>
      <c r="G29" s="147"/>
      <c r="H29" s="147">
        <v>3000000</v>
      </c>
      <c r="I29" s="147"/>
      <c r="J29" s="147"/>
      <c r="K29" s="147"/>
      <c r="L29" s="147"/>
      <c r="M29" s="147"/>
      <c r="N29" s="147"/>
      <c r="O29" s="147"/>
      <c r="P29" s="147"/>
      <c r="Q29" s="147"/>
      <c r="R29" s="551">
        <f t="shared" ref="R29:R37" si="7">SUM(E29:Q29)</f>
        <v>5656243</v>
      </c>
      <c r="S29" s="147">
        <v>5656243</v>
      </c>
      <c r="T29" s="147"/>
      <c r="U29" s="143"/>
    </row>
    <row r="30" spans="1:21" s="144" customFormat="1">
      <c r="A30" s="145" t="s">
        <v>608</v>
      </c>
      <c r="B30" s="146">
        <f t="shared" si="6"/>
        <v>41384531</v>
      </c>
      <c r="C30" s="147">
        <v>41384531</v>
      </c>
      <c r="D30" s="147"/>
      <c r="E30" s="147">
        <v>14221543</v>
      </c>
      <c r="F30" s="147">
        <v>6000000</v>
      </c>
      <c r="G30" s="147">
        <v>17425000</v>
      </c>
      <c r="H30" s="147"/>
      <c r="I30" s="147"/>
      <c r="J30" s="147"/>
      <c r="K30" s="147">
        <v>1000000</v>
      </c>
      <c r="L30" s="147"/>
      <c r="M30" s="147">
        <v>1224388</v>
      </c>
      <c r="N30" s="147">
        <v>1513600</v>
      </c>
      <c r="O30" s="147"/>
      <c r="P30" s="147"/>
      <c r="Q30" s="147"/>
      <c r="R30" s="551">
        <f t="shared" si="7"/>
        <v>41384531</v>
      </c>
      <c r="S30" s="147">
        <v>41384531</v>
      </c>
      <c r="T30" s="147"/>
      <c r="U30" s="143"/>
    </row>
    <row r="31" spans="1:21" s="144" customFormat="1">
      <c r="A31" s="145" t="s">
        <v>609</v>
      </c>
      <c r="B31" s="146">
        <f t="shared" si="6"/>
        <v>1560000</v>
      </c>
      <c r="C31" s="147">
        <v>1560000</v>
      </c>
      <c r="D31" s="147"/>
      <c r="E31" s="147">
        <v>1560000</v>
      </c>
      <c r="F31" s="147"/>
      <c r="G31" s="147"/>
      <c r="H31" s="147"/>
      <c r="I31" s="147"/>
      <c r="J31" s="147"/>
      <c r="K31" s="147"/>
      <c r="L31" s="147"/>
      <c r="M31" s="147"/>
      <c r="N31" s="147"/>
      <c r="O31" s="147"/>
      <c r="P31" s="147"/>
      <c r="Q31" s="147"/>
      <c r="R31" s="551">
        <f t="shared" si="7"/>
        <v>1560000</v>
      </c>
      <c r="S31" s="147">
        <v>1560000</v>
      </c>
      <c r="T31" s="147"/>
      <c r="U31" s="143"/>
    </row>
    <row r="32" spans="1:21" s="144" customFormat="1">
      <c r="A32" s="145" t="s">
        <v>138</v>
      </c>
      <c r="B32" s="146">
        <f t="shared" si="6"/>
        <v>1243750</v>
      </c>
      <c r="C32" s="147">
        <v>1243750</v>
      </c>
      <c r="D32" s="147"/>
      <c r="E32" s="147">
        <v>1243750</v>
      </c>
      <c r="F32" s="147"/>
      <c r="G32" s="147"/>
      <c r="H32" s="147"/>
      <c r="I32" s="147"/>
      <c r="J32" s="147"/>
      <c r="K32" s="147"/>
      <c r="L32" s="147"/>
      <c r="M32" s="147"/>
      <c r="N32" s="147"/>
      <c r="O32" s="147"/>
      <c r="P32" s="147"/>
      <c r="Q32" s="147"/>
      <c r="R32" s="551">
        <f t="shared" si="7"/>
        <v>1243750</v>
      </c>
      <c r="S32" s="147">
        <v>1243750</v>
      </c>
      <c r="T32" s="147"/>
      <c r="U32" s="143"/>
    </row>
    <row r="33" spans="1:21" s="144" customFormat="1">
      <c r="A33" s="145" t="s">
        <v>139</v>
      </c>
      <c r="B33" s="146">
        <f t="shared" si="6"/>
        <v>1243750</v>
      </c>
      <c r="C33" s="147">
        <v>1243750</v>
      </c>
      <c r="D33" s="147"/>
      <c r="E33" s="147">
        <v>1243750</v>
      </c>
      <c r="F33" s="147"/>
      <c r="G33" s="147"/>
      <c r="H33" s="147"/>
      <c r="I33" s="147"/>
      <c r="J33" s="147"/>
      <c r="K33" s="147"/>
      <c r="L33" s="147"/>
      <c r="M33" s="147"/>
      <c r="N33" s="147"/>
      <c r="O33" s="147"/>
      <c r="P33" s="147"/>
      <c r="Q33" s="147"/>
      <c r="R33" s="551">
        <f t="shared" si="7"/>
        <v>1243750</v>
      </c>
      <c r="S33" s="147">
        <v>1243750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783563</v>
      </c>
      <c r="C35" s="147">
        <v>783563</v>
      </c>
      <c r="D35" s="147"/>
      <c r="E35" s="147">
        <v>783563</v>
      </c>
      <c r="F35" s="147"/>
      <c r="G35" s="147"/>
      <c r="H35" s="147"/>
      <c r="I35" s="147"/>
      <c r="J35" s="147"/>
      <c r="K35" s="147"/>
      <c r="L35" s="147"/>
      <c r="M35" s="147"/>
      <c r="N35" s="147"/>
      <c r="O35" s="147"/>
      <c r="P35" s="147"/>
      <c r="Q35" s="147"/>
      <c r="R35" s="551">
        <f t="shared" si="7"/>
        <v>783563</v>
      </c>
      <c r="S35" s="147">
        <v>783563</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2723</v>
      </c>
      <c r="B37" s="146">
        <f t="shared" si="6"/>
        <v>365663</v>
      </c>
      <c r="C37" s="147">
        <v>365663</v>
      </c>
      <c r="D37" s="147"/>
      <c r="E37" s="147">
        <v>365663</v>
      </c>
      <c r="F37" s="147"/>
      <c r="G37" s="147"/>
      <c r="H37" s="147"/>
      <c r="I37" s="147"/>
      <c r="J37" s="147"/>
      <c r="K37" s="147"/>
      <c r="L37" s="147"/>
      <c r="M37" s="147"/>
      <c r="N37" s="147"/>
      <c r="O37" s="147"/>
      <c r="P37" s="147"/>
      <c r="Q37" s="147"/>
      <c r="R37" s="551">
        <f t="shared" si="7"/>
        <v>365663</v>
      </c>
      <c r="S37" s="147">
        <v>365663</v>
      </c>
      <c r="T37" s="147"/>
      <c r="U37" s="143"/>
    </row>
    <row r="38" spans="1:21" s="144" customFormat="1" ht="12">
      <c r="A38" s="149" t="s">
        <v>144</v>
      </c>
      <c r="B38" s="146">
        <f t="shared" si="6"/>
        <v>52237500</v>
      </c>
      <c r="C38" s="146">
        <f>SUM(C29:C37)</f>
        <v>52237500</v>
      </c>
      <c r="D38" s="146">
        <f t="shared" ref="D38:Q38" si="8">SUM(D29:D37)</f>
        <v>0</v>
      </c>
      <c r="E38" s="146">
        <f t="shared" si="8"/>
        <v>22074512</v>
      </c>
      <c r="F38" s="146">
        <f t="shared" si="8"/>
        <v>6000000</v>
      </c>
      <c r="G38" s="146">
        <f t="shared" si="8"/>
        <v>17425000</v>
      </c>
      <c r="H38" s="146">
        <f t="shared" si="8"/>
        <v>3000000</v>
      </c>
      <c r="I38" s="146">
        <f t="shared" si="8"/>
        <v>0</v>
      </c>
      <c r="J38" s="146">
        <f t="shared" si="8"/>
        <v>0</v>
      </c>
      <c r="K38" s="146">
        <f t="shared" si="8"/>
        <v>1000000</v>
      </c>
      <c r="L38" s="146">
        <f t="shared" si="8"/>
        <v>0</v>
      </c>
      <c r="M38" s="146">
        <f t="shared" si="8"/>
        <v>1224388</v>
      </c>
      <c r="N38" s="146">
        <f t="shared" si="8"/>
        <v>1513600</v>
      </c>
      <c r="O38" s="146">
        <f t="shared" si="8"/>
        <v>0</v>
      </c>
      <c r="P38" s="146">
        <f t="shared" si="8"/>
        <v>0</v>
      </c>
      <c r="Q38" s="146">
        <f t="shared" si="8"/>
        <v>0</v>
      </c>
      <c r="R38" s="371">
        <f>SUM(R29:R37)</f>
        <v>52237500</v>
      </c>
      <c r="S38" s="150">
        <f>SUM(S29:S37)</f>
        <v>52237500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600000</v>
      </c>
      <c r="C40" s="147">
        <v>600000</v>
      </c>
      <c r="D40" s="147"/>
      <c r="E40" s="147">
        <v>600000</v>
      </c>
      <c r="F40" s="147"/>
      <c r="G40" s="147"/>
      <c r="H40" s="147"/>
      <c r="I40" s="147"/>
      <c r="J40" s="147"/>
      <c r="K40" s="147"/>
      <c r="L40" s="147"/>
      <c r="M40" s="147"/>
      <c r="N40" s="147"/>
      <c r="O40" s="147"/>
      <c r="P40" s="147"/>
      <c r="Q40" s="147"/>
      <c r="R40" s="551">
        <f>SUM(E40:Q40)</f>
        <v>600000</v>
      </c>
      <c r="S40" s="147">
        <v>600000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v>200000</v>
      </c>
      <c r="T41" s="147"/>
      <c r="U41" s="143"/>
    </row>
    <row r="42" spans="1:21" s="144" customFormat="1" ht="12">
      <c r="A42" s="149" t="s">
        <v>148</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800000</v>
      </c>
      <c r="S42" s="150">
        <f t="shared" si="9"/>
        <v>800000</v>
      </c>
      <c r="T42" s="150">
        <f t="shared" si="9"/>
        <v>0</v>
      </c>
      <c r="U42" s="143"/>
    </row>
    <row r="43" spans="1:21" s="144" customFormat="1" ht="12">
      <c r="A43" s="149" t="s">
        <v>149</v>
      </c>
      <c r="B43" s="146">
        <f>SUM(C43:D43)</f>
        <v>165000</v>
      </c>
      <c r="C43" s="147">
        <v>165000</v>
      </c>
      <c r="D43" s="147"/>
      <c r="E43" s="147">
        <v>165000</v>
      </c>
      <c r="F43" s="147"/>
      <c r="G43" s="147"/>
      <c r="H43" s="147"/>
      <c r="I43" s="147"/>
      <c r="J43" s="147"/>
      <c r="K43" s="147"/>
      <c r="L43" s="147"/>
      <c r="M43" s="147"/>
      <c r="N43" s="147"/>
      <c r="O43" s="147"/>
      <c r="P43" s="147"/>
      <c r="Q43" s="147"/>
      <c r="R43" s="551">
        <f>SUM(E43:Q43)</f>
        <v>165000</v>
      </c>
      <c r="S43" s="147">
        <v>165000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5670000</v>
      </c>
      <c r="C45" s="147">
        <v>5670000</v>
      </c>
      <c r="D45" s="147"/>
      <c r="E45" s="147">
        <v>5670000</v>
      </c>
      <c r="F45" s="147"/>
      <c r="G45" s="147"/>
      <c r="H45" s="147"/>
      <c r="I45" s="147"/>
      <c r="J45" s="147"/>
      <c r="K45" s="147"/>
      <c r="L45" s="147"/>
      <c r="M45" s="147"/>
      <c r="N45" s="147"/>
      <c r="O45" s="147"/>
      <c r="P45" s="147"/>
      <c r="Q45" s="147"/>
      <c r="R45" s="551">
        <f t="shared" ref="R45:R53" si="11">SUM(E45:Q45)</f>
        <v>5670000</v>
      </c>
      <c r="S45" s="147">
        <v>3740443</v>
      </c>
      <c r="T45" s="147"/>
      <c r="U45" s="143"/>
    </row>
    <row r="46" spans="1:21" s="144" customFormat="1">
      <c r="A46" s="145" t="s">
        <v>152</v>
      </c>
      <c r="B46" s="146">
        <f t="shared" si="10"/>
        <v>580000</v>
      </c>
      <c r="C46" s="147">
        <v>580000</v>
      </c>
      <c r="D46" s="147"/>
      <c r="E46" s="147">
        <v>580000</v>
      </c>
      <c r="F46" s="147"/>
      <c r="G46" s="147"/>
      <c r="H46" s="147"/>
      <c r="I46" s="147"/>
      <c r="J46" s="147"/>
      <c r="K46" s="147"/>
      <c r="L46" s="147"/>
      <c r="M46" s="147"/>
      <c r="N46" s="147"/>
      <c r="O46" s="147"/>
      <c r="P46" s="147"/>
      <c r="Q46" s="147"/>
      <c r="R46" s="551">
        <f t="shared" si="11"/>
        <v>580000</v>
      </c>
      <c r="S46" s="147">
        <v>464000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16579</v>
      </c>
      <c r="C48" s="147">
        <v>16579</v>
      </c>
      <c r="D48" s="147"/>
      <c r="E48" s="147">
        <v>16579</v>
      </c>
      <c r="F48" s="147"/>
      <c r="G48" s="147"/>
      <c r="H48" s="147"/>
      <c r="I48" s="147"/>
      <c r="J48" s="147"/>
      <c r="K48" s="147"/>
      <c r="L48" s="147"/>
      <c r="M48" s="147"/>
      <c r="N48" s="147"/>
      <c r="O48" s="147"/>
      <c r="P48" s="147"/>
      <c r="Q48" s="147"/>
      <c r="R48" s="551">
        <f t="shared" si="11"/>
        <v>16579</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220000</v>
      </c>
      <c r="C50" s="147">
        <v>220000</v>
      </c>
      <c r="D50" s="147"/>
      <c r="E50" s="147">
        <v>220000</v>
      </c>
      <c r="F50" s="147"/>
      <c r="G50" s="147"/>
      <c r="H50" s="147"/>
      <c r="I50" s="147"/>
      <c r="J50" s="147"/>
      <c r="K50" s="147"/>
      <c r="L50" s="147"/>
      <c r="M50" s="147"/>
      <c r="N50" s="147"/>
      <c r="O50" s="147"/>
      <c r="P50" s="147"/>
      <c r="Q50" s="147"/>
      <c r="R50" s="551">
        <f t="shared" si="11"/>
        <v>220000</v>
      </c>
      <c r="S50" s="147">
        <v>176000</v>
      </c>
      <c r="T50" s="147"/>
      <c r="U50" s="143"/>
    </row>
    <row r="51" spans="1:21" s="144" customFormat="1">
      <c r="A51" s="304" t="s">
        <v>155</v>
      </c>
      <c r="B51" s="146">
        <f t="shared" si="10"/>
        <v>25000</v>
      </c>
      <c r="C51" s="147">
        <v>25000</v>
      </c>
      <c r="D51" s="147"/>
      <c r="E51" s="147">
        <v>25000</v>
      </c>
      <c r="F51" s="147"/>
      <c r="G51" s="147"/>
      <c r="H51" s="147"/>
      <c r="I51" s="147"/>
      <c r="J51" s="147"/>
      <c r="K51" s="147"/>
      <c r="L51" s="147"/>
      <c r="M51" s="147"/>
      <c r="N51" s="147"/>
      <c r="O51" s="147"/>
      <c r="P51" s="147"/>
      <c r="Q51" s="147"/>
      <c r="R51" s="551">
        <f t="shared" si="11"/>
        <v>25000</v>
      </c>
      <c r="S51" s="147">
        <v>25000</v>
      </c>
      <c r="T51" s="147"/>
      <c r="U51" s="143"/>
    </row>
    <row r="52" spans="1:21" s="144" customFormat="1">
      <c r="A52" s="145" t="s">
        <v>156</v>
      </c>
      <c r="B52" s="146">
        <f t="shared" si="10"/>
        <v>400000</v>
      </c>
      <c r="C52" s="147">
        <v>400000</v>
      </c>
      <c r="D52" s="147"/>
      <c r="E52" s="147">
        <v>400000</v>
      </c>
      <c r="F52" s="147"/>
      <c r="G52" s="147"/>
      <c r="H52" s="147"/>
      <c r="I52" s="147"/>
      <c r="J52" s="147"/>
      <c r="K52" s="147"/>
      <c r="L52" s="147"/>
      <c r="M52" s="147"/>
      <c r="N52" s="147"/>
      <c r="O52" s="147"/>
      <c r="P52" s="147"/>
      <c r="Q52" s="147"/>
      <c r="R52" s="551">
        <f t="shared" si="11"/>
        <v>400000</v>
      </c>
      <c r="S52" s="147">
        <v>400000</v>
      </c>
      <c r="T52" s="147"/>
      <c r="U52" s="143"/>
    </row>
    <row r="53" spans="1:21" s="144" customFormat="1" ht="22.8">
      <c r="A53" s="1202" t="s">
        <v>2724</v>
      </c>
      <c r="B53" s="146">
        <f t="shared" si="10"/>
        <v>260000</v>
      </c>
      <c r="C53" s="147">
        <v>260000</v>
      </c>
      <c r="D53" s="147"/>
      <c r="E53" s="147">
        <v>260000</v>
      </c>
      <c r="F53" s="147"/>
      <c r="G53" s="147"/>
      <c r="H53" s="147"/>
      <c r="I53" s="147"/>
      <c r="J53" s="147"/>
      <c r="K53" s="147"/>
      <c r="L53" s="147"/>
      <c r="M53" s="147"/>
      <c r="N53" s="147"/>
      <c r="O53" s="147"/>
      <c r="P53" s="147"/>
      <c r="Q53" s="147"/>
      <c r="R53" s="551">
        <f t="shared" si="11"/>
        <v>260000</v>
      </c>
      <c r="S53" s="147">
        <v>260000</v>
      </c>
      <c r="T53" s="147"/>
      <c r="U53" s="143"/>
    </row>
    <row r="54" spans="1:21" s="153" customFormat="1" ht="12">
      <c r="A54" s="149" t="s">
        <v>158</v>
      </c>
      <c r="B54" s="150">
        <f>SUM(C54:D54)</f>
        <v>7171579</v>
      </c>
      <c r="C54" s="150">
        <f t="shared" ref="C54:T54" si="12">SUM(C45:C53)</f>
        <v>7171579</v>
      </c>
      <c r="D54" s="150">
        <f t="shared" si="12"/>
        <v>0</v>
      </c>
      <c r="E54" s="150">
        <f t="shared" si="12"/>
        <v>7171579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7171579</v>
      </c>
      <c r="S54" s="150">
        <f t="shared" si="12"/>
        <v>5065443</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75000</v>
      </c>
      <c r="C58" s="147">
        <v>75000</v>
      </c>
      <c r="D58" s="147"/>
      <c r="E58" s="147">
        <v>75000</v>
      </c>
      <c r="F58" s="147"/>
      <c r="G58" s="147"/>
      <c r="H58" s="147"/>
      <c r="I58" s="147"/>
      <c r="J58" s="147"/>
      <c r="K58" s="147"/>
      <c r="L58" s="147"/>
      <c r="M58" s="147"/>
      <c r="N58" s="147"/>
      <c r="O58" s="147"/>
      <c r="P58" s="147"/>
      <c r="Q58" s="147"/>
      <c r="R58" s="551">
        <f t="shared" si="14"/>
        <v>75000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2776</v>
      </c>
      <c r="B61" s="146">
        <f t="shared" si="13"/>
        <v>121019</v>
      </c>
      <c r="C61" s="147">
        <v>121019</v>
      </c>
      <c r="D61" s="147"/>
      <c r="E61" s="147">
        <v>121019</v>
      </c>
      <c r="F61" s="147"/>
      <c r="G61" s="147"/>
      <c r="H61" s="147"/>
      <c r="I61" s="147"/>
      <c r="J61" s="147"/>
      <c r="K61" s="147"/>
      <c r="L61" s="147"/>
      <c r="M61" s="147"/>
      <c r="N61" s="147"/>
      <c r="O61" s="147"/>
      <c r="P61" s="147"/>
      <c r="Q61" s="147"/>
      <c r="R61" s="551">
        <f t="shared" si="14"/>
        <v>121019</v>
      </c>
      <c r="S61" s="148"/>
      <c r="T61" s="148"/>
      <c r="U61" s="143"/>
    </row>
    <row r="62" spans="1:21" s="144" customFormat="1" ht="13.65" customHeight="1">
      <c r="A62" s="149" t="s">
        <v>302</v>
      </c>
      <c r="B62" s="146">
        <f>SUM(C62:D62)</f>
        <v>196019</v>
      </c>
      <c r="C62" s="146">
        <f t="shared" ref="C62:R62" si="15">SUM(C56:C61)</f>
        <v>196019</v>
      </c>
      <c r="D62" s="146">
        <f t="shared" si="15"/>
        <v>0</v>
      </c>
      <c r="E62" s="146">
        <f t="shared" si="15"/>
        <v>196019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196019</v>
      </c>
      <c r="S62" s="148"/>
      <c r="T62" s="148"/>
      <c r="U62" s="143"/>
    </row>
    <row r="63" spans="1:21" s="144" customFormat="1">
      <c r="A63" s="154" t="s">
        <v>303</v>
      </c>
      <c r="B63" s="146">
        <f t="shared" ref="B63:R63" si="16">SUM(B8+B11+B13+B14+B15+B26+B27+B38+B42+B43+B54+B62)</f>
        <v>63228220</v>
      </c>
      <c r="C63" s="146">
        <f t="shared" si="16"/>
        <v>63228220</v>
      </c>
      <c r="D63" s="146">
        <f t="shared" si="16"/>
        <v>0</v>
      </c>
      <c r="E63" s="146">
        <f t="shared" si="16"/>
        <v>30745232</v>
      </c>
      <c r="F63" s="146">
        <f t="shared" si="16"/>
        <v>6000000</v>
      </c>
      <c r="G63" s="146">
        <f t="shared" si="16"/>
        <v>17425000</v>
      </c>
      <c r="H63" s="146">
        <f t="shared" si="16"/>
        <v>3000000</v>
      </c>
      <c r="I63" s="146">
        <f t="shared" si="16"/>
        <v>0</v>
      </c>
      <c r="J63" s="146">
        <f t="shared" si="16"/>
        <v>0</v>
      </c>
      <c r="K63" s="146">
        <f t="shared" si="16"/>
        <v>1000000</v>
      </c>
      <c r="L63" s="146">
        <f t="shared" si="16"/>
        <v>2320000</v>
      </c>
      <c r="M63" s="146">
        <f t="shared" si="16"/>
        <v>1224388</v>
      </c>
      <c r="N63" s="146">
        <f t="shared" si="16"/>
        <v>1513600</v>
      </c>
      <c r="O63" s="146">
        <f t="shared" si="16"/>
        <v>0</v>
      </c>
      <c r="P63" s="146">
        <f t="shared" si="16"/>
        <v>0</v>
      </c>
      <c r="Q63" s="146">
        <f t="shared" si="16"/>
        <v>0</v>
      </c>
      <c r="R63" s="371">
        <f t="shared" si="16"/>
        <v>63228220</v>
      </c>
      <c r="S63" s="146">
        <f>SUM(S10+S13+S14+S15+S26+S27+S38+S42+S43+S54)</f>
        <v>58606065</v>
      </c>
      <c r="T63" s="146">
        <f>SUM(T11+T13+T14+T15+T26+T27+T38+T42+T43+T54)</f>
        <v>0</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v>175000</v>
      </c>
      <c r="F65" s="147"/>
      <c r="G65" s="147"/>
      <c r="H65" s="147"/>
      <c r="I65" s="147"/>
      <c r="J65" s="147"/>
      <c r="K65" s="147"/>
      <c r="L65" s="147"/>
      <c r="M65" s="147"/>
      <c r="N65" s="147"/>
      <c r="O65" s="147"/>
      <c r="P65" s="147"/>
      <c r="Q65" s="147"/>
      <c r="R65" s="551">
        <f>SUM(E65:Q65)</f>
        <v>175000</v>
      </c>
      <c r="S65" s="147">
        <v>40000</v>
      </c>
      <c r="T65" s="147"/>
      <c r="U65" s="143"/>
    </row>
    <row r="66" spans="1:21" s="144" customFormat="1" ht="24" customHeight="1">
      <c r="A66" s="304" t="s">
        <v>1822</v>
      </c>
      <c r="B66" s="146">
        <f>SUM(C66+D66)</f>
        <v>120000</v>
      </c>
      <c r="C66" s="147">
        <v>120000</v>
      </c>
      <c r="D66" s="147"/>
      <c r="E66" s="147">
        <v>120000</v>
      </c>
      <c r="F66" s="147"/>
      <c r="G66" s="147"/>
      <c r="H66" s="147"/>
      <c r="I66" s="147"/>
      <c r="J66" s="147"/>
      <c r="K66" s="147"/>
      <c r="L66" s="147"/>
      <c r="M66" s="147"/>
      <c r="N66" s="147"/>
      <c r="O66" s="147"/>
      <c r="P66" s="147"/>
      <c r="Q66" s="147"/>
      <c r="R66" s="551">
        <f>SUM(E66:Q66)</f>
        <v>120000</v>
      </c>
      <c r="S66" s="147">
        <v>80000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1826</v>
      </c>
      <c r="B70" s="146">
        <f>SUM(C70:D70)</f>
        <v>295000</v>
      </c>
      <c r="C70" s="146">
        <f>SUM(C65:C69)</f>
        <v>295000</v>
      </c>
      <c r="D70" s="146">
        <f>SUM(D65:D69)</f>
        <v>0</v>
      </c>
      <c r="E70" s="146">
        <f t="shared" ref="E70:T70" si="17">SUM(E65:E69)</f>
        <v>295000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295000</v>
      </c>
      <c r="S70" s="150">
        <f t="shared" si="17"/>
        <v>120000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401000</v>
      </c>
      <c r="C75" s="147">
        <v>401000</v>
      </c>
      <c r="D75" s="147"/>
      <c r="E75" s="147">
        <v>401000</v>
      </c>
      <c r="F75" s="147"/>
      <c r="G75" s="147"/>
      <c r="H75" s="147"/>
      <c r="I75" s="147"/>
      <c r="J75" s="147"/>
      <c r="K75" s="147"/>
      <c r="L75" s="147"/>
      <c r="M75" s="147"/>
      <c r="N75" s="147"/>
      <c r="O75" s="147"/>
      <c r="P75" s="147"/>
      <c r="Q75" s="147"/>
      <c r="R75" s="551">
        <f>SUM(E75:Q75)</f>
        <v>401000</v>
      </c>
      <c r="S75" s="148"/>
      <c r="T75" s="148"/>
      <c r="U75" s="143"/>
    </row>
    <row r="76" spans="1:21" s="144" customFormat="1" ht="22.8">
      <c r="A76" s="1202" t="s">
        <v>2777</v>
      </c>
      <c r="B76" s="146">
        <f>SUM(C76+D76)</f>
        <v>452000</v>
      </c>
      <c r="C76" s="147">
        <v>452000</v>
      </c>
      <c r="D76" s="147"/>
      <c r="E76" s="147">
        <v>452000</v>
      </c>
      <c r="F76" s="147"/>
      <c r="G76" s="147"/>
      <c r="H76" s="147"/>
      <c r="I76" s="147"/>
      <c r="J76" s="147"/>
      <c r="K76" s="147"/>
      <c r="L76" s="147"/>
      <c r="M76" s="147"/>
      <c r="N76" s="147"/>
      <c r="O76" s="147"/>
      <c r="P76" s="147"/>
      <c r="Q76" s="147"/>
      <c r="R76" s="551">
        <f>SUM(E76:Q76)</f>
        <v>452000</v>
      </c>
      <c r="S76" s="148"/>
      <c r="T76" s="148"/>
      <c r="U76" s="143"/>
    </row>
    <row r="77" spans="1:21" s="144" customFormat="1" ht="12">
      <c r="A77" s="149" t="s">
        <v>615</v>
      </c>
      <c r="B77" s="146">
        <f>SUM(C77:D77)</f>
        <v>853000</v>
      </c>
      <c r="C77" s="146">
        <f>SUM(C72:C76)</f>
        <v>853000</v>
      </c>
      <c r="D77" s="146">
        <f>SUM(D72:D76)</f>
        <v>0</v>
      </c>
      <c r="E77" s="146">
        <f t="shared" ref="E77:Q77" si="18">SUM(E72:E76)</f>
        <v>853000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853000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2611875</v>
      </c>
      <c r="C79" s="147">
        <v>2611875</v>
      </c>
      <c r="D79" s="147"/>
      <c r="E79" s="147">
        <v>2611875</v>
      </c>
      <c r="F79" s="147"/>
      <c r="G79" s="147"/>
      <c r="H79" s="147"/>
      <c r="I79" s="147"/>
      <c r="J79" s="147"/>
      <c r="K79" s="147"/>
      <c r="L79" s="147"/>
      <c r="M79" s="147"/>
      <c r="N79" s="147"/>
      <c r="O79" s="147"/>
      <c r="P79" s="147"/>
      <c r="Q79" s="147"/>
      <c r="R79" s="551">
        <f>SUM(E79:Q79)</f>
        <v>2611875</v>
      </c>
      <c r="S79" s="147">
        <v>2611875</v>
      </c>
      <c r="T79" s="147"/>
      <c r="U79" s="143"/>
    </row>
    <row r="80" spans="1:21" s="144" customFormat="1">
      <c r="A80" s="304" t="s">
        <v>58</v>
      </c>
      <c r="B80" s="146">
        <f>SUM(C80:D80)</f>
        <v>474222</v>
      </c>
      <c r="C80" s="147">
        <v>474222</v>
      </c>
      <c r="D80" s="147"/>
      <c r="E80" s="147">
        <v>474222</v>
      </c>
      <c r="F80" s="147"/>
      <c r="G80" s="147"/>
      <c r="H80" s="147"/>
      <c r="I80" s="147"/>
      <c r="J80" s="147"/>
      <c r="K80" s="147"/>
      <c r="L80" s="147"/>
      <c r="M80" s="147"/>
      <c r="N80" s="147"/>
      <c r="O80" s="147"/>
      <c r="P80" s="147"/>
      <c r="Q80" s="147"/>
      <c r="R80" s="551">
        <f>SUM(E80:Q80)</f>
        <v>474222</v>
      </c>
      <c r="S80" s="147">
        <v>474222</v>
      </c>
      <c r="T80" s="147"/>
      <c r="U80" s="143"/>
    </row>
    <row r="81" spans="1:21" s="144" customFormat="1" ht="12">
      <c r="A81" s="149" t="s">
        <v>1352</v>
      </c>
      <c r="B81" s="146">
        <f>SUM(C81:D81)</f>
        <v>3086097</v>
      </c>
      <c r="C81" s="544">
        <f>SUM(C79:C80)</f>
        <v>3086097</v>
      </c>
      <c r="D81" s="544">
        <f t="shared" ref="D81:T81" si="19">SUM(D79:D80)</f>
        <v>0</v>
      </c>
      <c r="E81" s="544">
        <f t="shared" si="19"/>
        <v>3086097</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3086097</v>
      </c>
      <c r="S81" s="544">
        <f t="shared" si="19"/>
        <v>3086097</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2519</v>
      </c>
      <c r="B83" s="146">
        <f t="shared" ref="B83:B95" si="20">SUM(C83+D83)</f>
        <v>132160</v>
      </c>
      <c r="C83" s="147">
        <v>132160</v>
      </c>
      <c r="D83" s="147"/>
      <c r="E83" s="147">
        <v>132160</v>
      </c>
      <c r="F83" s="147"/>
      <c r="G83" s="147"/>
      <c r="H83" s="147"/>
      <c r="I83" s="147"/>
      <c r="J83" s="147"/>
      <c r="K83" s="147"/>
      <c r="L83" s="147"/>
      <c r="M83" s="147"/>
      <c r="N83" s="147"/>
      <c r="O83" s="147"/>
      <c r="P83" s="147"/>
      <c r="Q83" s="147"/>
      <c r="R83" s="551">
        <f t="shared" ref="R83:R95" si="21">SUM(E83:Q83)</f>
        <v>132160</v>
      </c>
      <c r="S83" s="148"/>
      <c r="T83" s="148"/>
      <c r="U83" s="143"/>
    </row>
    <row r="84" spans="1:21" s="144" customFormat="1">
      <c r="A84" s="145" t="s">
        <v>791</v>
      </c>
      <c r="B84" s="146">
        <f t="shared" si="20"/>
        <v>86000</v>
      </c>
      <c r="C84" s="147">
        <v>86000</v>
      </c>
      <c r="D84" s="147"/>
      <c r="E84" s="147">
        <v>86000</v>
      </c>
      <c r="F84" s="147"/>
      <c r="G84" s="147"/>
      <c r="H84" s="147"/>
      <c r="I84" s="147"/>
      <c r="J84" s="147"/>
      <c r="K84" s="147"/>
      <c r="L84" s="147"/>
      <c r="M84" s="147"/>
      <c r="N84" s="147"/>
      <c r="O84" s="147"/>
      <c r="P84" s="147"/>
      <c r="Q84" s="147"/>
      <c r="R84" s="551">
        <f t="shared" si="21"/>
        <v>86000</v>
      </c>
      <c r="S84" s="147">
        <v>86000</v>
      </c>
      <c r="T84" s="147"/>
      <c r="U84" s="143"/>
    </row>
    <row r="85" spans="1:21" s="144" customFormat="1">
      <c r="A85" s="145" t="s">
        <v>792</v>
      </c>
      <c r="B85" s="146">
        <f t="shared" si="20"/>
        <v>4570553</v>
      </c>
      <c r="C85" s="147">
        <v>4570553</v>
      </c>
      <c r="D85" s="147"/>
      <c r="E85" s="147">
        <v>3879731</v>
      </c>
      <c r="F85" s="147"/>
      <c r="G85" s="147"/>
      <c r="H85" s="147"/>
      <c r="I85" s="147">
        <v>453552</v>
      </c>
      <c r="J85" s="147">
        <v>237270</v>
      </c>
      <c r="K85" s="147"/>
      <c r="L85" s="147"/>
      <c r="M85" s="147"/>
      <c r="N85" s="147"/>
      <c r="O85" s="147"/>
      <c r="P85" s="147"/>
      <c r="Q85" s="147"/>
      <c r="R85" s="551">
        <f t="shared" si="21"/>
        <v>4570553</v>
      </c>
      <c r="S85" s="147">
        <v>4570553</v>
      </c>
      <c r="T85" s="147"/>
      <c r="U85" s="143"/>
    </row>
    <row r="86" spans="1:21" s="144" customFormat="1">
      <c r="A86" s="145" t="s">
        <v>793</v>
      </c>
      <c r="B86" s="146">
        <f t="shared" si="20"/>
        <v>256970</v>
      </c>
      <c r="C86" s="147">
        <v>256970</v>
      </c>
      <c r="D86" s="147"/>
      <c r="E86" s="147">
        <v>256970</v>
      </c>
      <c r="F86" s="147"/>
      <c r="G86" s="147"/>
      <c r="H86" s="147"/>
      <c r="I86" s="147"/>
      <c r="J86" s="147"/>
      <c r="K86" s="147"/>
      <c r="L86" s="147"/>
      <c r="M86" s="147"/>
      <c r="N86" s="147"/>
      <c r="O86" s="147"/>
      <c r="P86" s="147"/>
      <c r="Q86" s="147"/>
      <c r="R86" s="551">
        <f t="shared" si="21"/>
        <v>256970</v>
      </c>
      <c r="S86" s="147">
        <v>256970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100000</v>
      </c>
      <c r="C88" s="147">
        <v>100000</v>
      </c>
      <c r="D88" s="147"/>
      <c r="E88" s="147">
        <v>100000</v>
      </c>
      <c r="F88" s="147"/>
      <c r="G88" s="147"/>
      <c r="H88" s="147"/>
      <c r="I88" s="147"/>
      <c r="J88" s="147"/>
      <c r="K88" s="147"/>
      <c r="L88" s="147"/>
      <c r="M88" s="147"/>
      <c r="N88" s="147"/>
      <c r="O88" s="147"/>
      <c r="P88" s="147"/>
      <c r="Q88" s="147"/>
      <c r="R88" s="551">
        <f t="shared" si="21"/>
        <v>100000</v>
      </c>
      <c r="S88" s="148"/>
      <c r="T88" s="148"/>
      <c r="U88" s="143"/>
    </row>
    <row r="89" spans="1:21" s="144" customFormat="1">
      <c r="A89" s="145" t="s">
        <v>796</v>
      </c>
      <c r="B89" s="146">
        <f t="shared" si="20"/>
        <v>85000</v>
      </c>
      <c r="C89" s="147">
        <v>85000</v>
      </c>
      <c r="D89" s="147"/>
      <c r="E89" s="147">
        <v>85000</v>
      </c>
      <c r="F89" s="147"/>
      <c r="G89" s="147"/>
      <c r="H89" s="147"/>
      <c r="I89" s="147"/>
      <c r="J89" s="147"/>
      <c r="K89" s="147"/>
      <c r="L89" s="147"/>
      <c r="M89" s="147"/>
      <c r="N89" s="147"/>
      <c r="O89" s="147"/>
      <c r="P89" s="147"/>
      <c r="Q89" s="147"/>
      <c r="R89" s="551">
        <f t="shared" si="21"/>
        <v>85000</v>
      </c>
      <c r="S89" s="147">
        <v>85000</v>
      </c>
      <c r="T89" s="147"/>
      <c r="U89" s="143"/>
    </row>
    <row r="90" spans="1:21" s="144" customFormat="1">
      <c r="A90" s="145" t="s">
        <v>797</v>
      </c>
      <c r="B90" s="146">
        <f t="shared" si="20"/>
        <v>12000</v>
      </c>
      <c r="C90" s="147">
        <v>12000</v>
      </c>
      <c r="D90" s="147"/>
      <c r="E90" s="147">
        <v>12000</v>
      </c>
      <c r="F90" s="147"/>
      <c r="G90" s="147"/>
      <c r="H90" s="147"/>
      <c r="I90" s="147"/>
      <c r="J90" s="147"/>
      <c r="K90" s="147"/>
      <c r="L90" s="147"/>
      <c r="M90" s="147"/>
      <c r="N90" s="147"/>
      <c r="O90" s="147"/>
      <c r="P90" s="147"/>
      <c r="Q90" s="147"/>
      <c r="R90" s="551">
        <f t="shared" si="21"/>
        <v>12000</v>
      </c>
      <c r="S90" s="147">
        <v>12000</v>
      </c>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1354</v>
      </c>
      <c r="B92" s="146">
        <f t="shared" si="20"/>
        <v>25000</v>
      </c>
      <c r="C92" s="147">
        <v>25000</v>
      </c>
      <c r="D92" s="147"/>
      <c r="E92" s="147">
        <v>25000</v>
      </c>
      <c r="F92" s="147"/>
      <c r="G92" s="147"/>
      <c r="H92" s="147"/>
      <c r="I92" s="147"/>
      <c r="J92" s="147"/>
      <c r="K92" s="147"/>
      <c r="L92" s="147"/>
      <c r="M92" s="147"/>
      <c r="N92" s="147"/>
      <c r="O92" s="147"/>
      <c r="P92" s="147"/>
      <c r="Q92" s="147"/>
      <c r="R92" s="551">
        <f t="shared" si="21"/>
        <v>25000</v>
      </c>
      <c r="S92" s="147">
        <v>25000</v>
      </c>
      <c r="T92" s="147"/>
      <c r="U92" s="143"/>
    </row>
    <row r="93" spans="1:21" s="144" customFormat="1" ht="22.8">
      <c r="A93" s="1202" t="s">
        <v>2725</v>
      </c>
      <c r="B93" s="146">
        <f t="shared" si="20"/>
        <v>20000</v>
      </c>
      <c r="C93" s="147">
        <v>20000</v>
      </c>
      <c r="D93" s="147"/>
      <c r="E93" s="147">
        <v>20000</v>
      </c>
      <c r="F93" s="147"/>
      <c r="G93" s="147"/>
      <c r="H93" s="147"/>
      <c r="I93" s="147"/>
      <c r="J93" s="147"/>
      <c r="K93" s="147"/>
      <c r="L93" s="147"/>
      <c r="M93" s="147"/>
      <c r="N93" s="147"/>
      <c r="O93" s="147"/>
      <c r="P93" s="147"/>
      <c r="Q93" s="147"/>
      <c r="R93" s="551">
        <f t="shared" si="21"/>
        <v>20000</v>
      </c>
      <c r="S93" s="147">
        <v>20000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798</v>
      </c>
      <c r="B96" s="146">
        <f>SUM(C96:D96)</f>
        <v>5287683</v>
      </c>
      <c r="C96" s="146">
        <f t="shared" ref="C96:R96" si="22">SUM(C83:C95)</f>
        <v>5287683</v>
      </c>
      <c r="D96" s="146">
        <f t="shared" si="22"/>
        <v>0</v>
      </c>
      <c r="E96" s="146">
        <f t="shared" si="22"/>
        <v>4596861</v>
      </c>
      <c r="F96" s="146">
        <f t="shared" si="22"/>
        <v>0</v>
      </c>
      <c r="G96" s="146">
        <f t="shared" si="22"/>
        <v>0</v>
      </c>
      <c r="H96" s="146">
        <f t="shared" si="22"/>
        <v>0</v>
      </c>
      <c r="I96" s="146">
        <f t="shared" si="22"/>
        <v>453552</v>
      </c>
      <c r="J96" s="146">
        <f t="shared" si="22"/>
        <v>237270</v>
      </c>
      <c r="K96" s="146">
        <f t="shared" si="22"/>
        <v>0</v>
      </c>
      <c r="L96" s="146">
        <f t="shared" si="22"/>
        <v>0</v>
      </c>
      <c r="M96" s="146">
        <f t="shared" si="22"/>
        <v>0</v>
      </c>
      <c r="N96" s="146">
        <f t="shared" si="22"/>
        <v>0</v>
      </c>
      <c r="O96" s="146">
        <f t="shared" si="22"/>
        <v>0</v>
      </c>
      <c r="P96" s="146">
        <f t="shared" si="22"/>
        <v>0</v>
      </c>
      <c r="Q96" s="146">
        <f t="shared" si="22"/>
        <v>0</v>
      </c>
      <c r="R96" s="371">
        <f t="shared" si="22"/>
        <v>5287683</v>
      </c>
      <c r="S96" s="150">
        <f>SUM(S84:S87,S89:S95)</f>
        <v>5055523</v>
      </c>
      <c r="T96" s="146">
        <f>SUM(T84:T87,T89:T95)</f>
        <v>0</v>
      </c>
      <c r="U96" s="143"/>
    </row>
    <row r="97" spans="1:21" s="144" customFormat="1" ht="12">
      <c r="A97" s="149" t="s">
        <v>799</v>
      </c>
      <c r="B97" s="146">
        <f>SUM(C97:D97)</f>
        <v>72750000</v>
      </c>
      <c r="C97" s="146">
        <f t="shared" ref="C97:R97" si="23">SUM(C63+C70+C77+C81+C96)</f>
        <v>72750000</v>
      </c>
      <c r="D97" s="146">
        <f t="shared" si="23"/>
        <v>0</v>
      </c>
      <c r="E97" s="146">
        <f t="shared" si="23"/>
        <v>39576190</v>
      </c>
      <c r="F97" s="146">
        <f t="shared" si="23"/>
        <v>6000000</v>
      </c>
      <c r="G97" s="146">
        <f t="shared" si="23"/>
        <v>17425000</v>
      </c>
      <c r="H97" s="146">
        <f t="shared" si="23"/>
        <v>3000000</v>
      </c>
      <c r="I97" s="146">
        <f t="shared" si="23"/>
        <v>453552</v>
      </c>
      <c r="J97" s="146">
        <f t="shared" si="23"/>
        <v>237270</v>
      </c>
      <c r="K97" s="146">
        <f t="shared" si="23"/>
        <v>1000000</v>
      </c>
      <c r="L97" s="146">
        <f t="shared" si="23"/>
        <v>2320000</v>
      </c>
      <c r="M97" s="146">
        <f t="shared" si="23"/>
        <v>1224388</v>
      </c>
      <c r="N97" s="146">
        <f t="shared" si="23"/>
        <v>1513600</v>
      </c>
      <c r="O97" s="146">
        <f t="shared" si="23"/>
        <v>0</v>
      </c>
      <c r="P97" s="146">
        <f t="shared" si="23"/>
        <v>0</v>
      </c>
      <c r="Q97" s="146">
        <f t="shared" si="23"/>
        <v>0</v>
      </c>
      <c r="R97" s="146">
        <f t="shared" si="23"/>
        <v>72750000</v>
      </c>
      <c r="S97" s="146">
        <f>SUM(S63+S70+S81+S96)</f>
        <v>66867685</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3500000</v>
      </c>
      <c r="C99" s="1016">
        <v>3500000</v>
      </c>
      <c r="D99" s="1016"/>
      <c r="E99" s="1016">
        <v>2081480</v>
      </c>
      <c r="F99" s="147"/>
      <c r="G99" s="147"/>
      <c r="H99" s="147"/>
      <c r="I99" s="147"/>
      <c r="J99" s="147"/>
      <c r="K99" s="147"/>
      <c r="L99" s="147"/>
      <c r="M99" s="147"/>
      <c r="N99" s="147"/>
      <c r="O99" s="147">
        <v>1418520</v>
      </c>
      <c r="P99" s="147"/>
      <c r="Q99" s="147"/>
      <c r="R99" s="551">
        <f>SUM(E99:Q99)</f>
        <v>3500000</v>
      </c>
      <c r="S99" s="147">
        <v>3500000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803</v>
      </c>
      <c r="B104" s="146">
        <f>SUM(C104:D104)</f>
        <v>3500000</v>
      </c>
      <c r="C104" s="146">
        <f>SUM(C99:C103)</f>
        <v>3500000</v>
      </c>
      <c r="D104" s="146">
        <f t="shared" ref="D104:T104" si="24">SUM(D99:D103)</f>
        <v>0</v>
      </c>
      <c r="E104" s="146">
        <f t="shared" si="24"/>
        <v>2081480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1418520</v>
      </c>
      <c r="P104" s="146">
        <f t="shared" si="24"/>
        <v>0</v>
      </c>
      <c r="Q104" s="146">
        <f t="shared" si="24"/>
        <v>0</v>
      </c>
      <c r="R104" s="371">
        <f t="shared" si="24"/>
        <v>3500000</v>
      </c>
      <c r="S104" s="150">
        <f t="shared" si="24"/>
        <v>3500000</v>
      </c>
      <c r="T104" s="150">
        <f t="shared" si="24"/>
        <v>0</v>
      </c>
      <c r="U104" s="143"/>
    </row>
    <row r="105" spans="1:21" s="144" customFormat="1" ht="12">
      <c r="A105" s="149" t="s">
        <v>804</v>
      </c>
      <c r="B105" s="150">
        <f>SUM(C105:D105)</f>
        <v>76250000</v>
      </c>
      <c r="C105" s="150">
        <f t="shared" ref="C105:R105" si="25">SUM(C97+C104)</f>
        <v>76250000</v>
      </c>
      <c r="D105" s="150">
        <f t="shared" si="25"/>
        <v>0</v>
      </c>
      <c r="E105" s="150">
        <f t="shared" si="25"/>
        <v>41657670</v>
      </c>
      <c r="F105" s="150">
        <f t="shared" si="25"/>
        <v>6000000</v>
      </c>
      <c r="G105" s="150">
        <f t="shared" si="25"/>
        <v>17425000</v>
      </c>
      <c r="H105" s="150">
        <f t="shared" si="25"/>
        <v>3000000</v>
      </c>
      <c r="I105" s="150">
        <f t="shared" si="25"/>
        <v>453552</v>
      </c>
      <c r="J105" s="150">
        <f t="shared" si="25"/>
        <v>237270</v>
      </c>
      <c r="K105" s="150">
        <f t="shared" si="25"/>
        <v>1000000</v>
      </c>
      <c r="L105" s="150">
        <f t="shared" si="25"/>
        <v>2320000</v>
      </c>
      <c r="M105" s="150">
        <f t="shared" si="25"/>
        <v>1224388</v>
      </c>
      <c r="N105" s="150">
        <f t="shared" si="25"/>
        <v>1513600</v>
      </c>
      <c r="O105" s="150">
        <f t="shared" si="25"/>
        <v>1418520</v>
      </c>
      <c r="P105" s="150">
        <f t="shared" si="25"/>
        <v>0</v>
      </c>
      <c r="Q105" s="150">
        <f t="shared" si="25"/>
        <v>0</v>
      </c>
      <c r="R105" s="371">
        <f t="shared" si="25"/>
        <v>76250000</v>
      </c>
      <c r="S105" s="150">
        <f>S97+S104</f>
        <v>70367685</v>
      </c>
      <c r="T105" s="150">
        <f>T97+T104</f>
        <v>0</v>
      </c>
      <c r="U105" s="143"/>
    </row>
    <row r="106" spans="1:21" ht="12">
      <c r="A106" s="549" t="s">
        <v>1081</v>
      </c>
      <c r="B106" s="157"/>
      <c r="C106" s="157"/>
      <c r="D106" s="157"/>
      <c r="H106" s="159" t="s">
        <v>93</v>
      </c>
      <c r="I106" s="159"/>
      <c r="J106" s="159"/>
      <c r="R106" s="160" t="s">
        <v>94</v>
      </c>
      <c r="S106" s="147"/>
      <c r="T106" s="147"/>
    </row>
    <row r="107" spans="1:21" ht="12">
      <c r="A107" s="157" t="s">
        <v>184</v>
      </c>
      <c r="C107" s="157"/>
      <c r="D107" s="157"/>
      <c r="I107" s="162" t="s">
        <v>351</v>
      </c>
      <c r="J107" s="162"/>
      <c r="R107" s="160" t="s">
        <v>95</v>
      </c>
      <c r="S107" s="150">
        <f>S105+S106</f>
        <v>70367685</v>
      </c>
      <c r="T107" s="150">
        <f>T105+T106</f>
        <v>0</v>
      </c>
    </row>
    <row r="108" spans="1:21" s="201" customFormat="1" ht="12">
      <c r="A108" s="162" t="s">
        <v>908</v>
      </c>
      <c r="B108" s="157"/>
      <c r="C108" s="157"/>
      <c r="D108" s="157"/>
      <c r="E108" s="323">
        <f>Application!AO636</f>
        <v>41657670</v>
      </c>
      <c r="F108" s="323">
        <f>Application!AO623</f>
        <v>6000000</v>
      </c>
      <c r="G108" s="323">
        <f>Application!AO624</f>
        <v>17425000</v>
      </c>
      <c r="H108" s="323">
        <f>Application!AO625</f>
        <v>3000000</v>
      </c>
      <c r="I108" s="323">
        <f>Application!AO626</f>
        <v>453552</v>
      </c>
      <c r="J108" s="323">
        <f>Application!AO627</f>
        <v>237270</v>
      </c>
      <c r="K108" s="323">
        <f>Application!AO628</f>
        <v>1000000</v>
      </c>
      <c r="L108" s="323">
        <f>Application!AO629</f>
        <v>2320000</v>
      </c>
      <c r="M108" s="323">
        <f>Application!AO630</f>
        <v>1224388</v>
      </c>
      <c r="N108" s="323">
        <f>Application!AO631</f>
        <v>1513600</v>
      </c>
      <c r="O108" s="323">
        <f>Application!AO632</f>
        <v>1418520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1077</v>
      </c>
      <c r="B113" s="157"/>
      <c r="C113" s="157"/>
      <c r="D113" s="157"/>
    </row>
    <row r="114" spans="1:21" ht="12">
      <c r="A114" s="156" t="s">
        <v>2520</v>
      </c>
      <c r="B114" s="157"/>
      <c r="C114" s="157"/>
      <c r="D114" s="157"/>
    </row>
    <row r="115" spans="1:21" ht="12" customHeight="1">
      <c r="A115" s="336"/>
      <c r="B115" s="157"/>
      <c r="C115" s="157"/>
      <c r="D115" s="157"/>
    </row>
    <row r="116" spans="1:21" ht="12">
      <c r="A116" s="374" t="s">
        <v>1083</v>
      </c>
      <c r="B116" s="157"/>
      <c r="C116" s="157"/>
      <c r="D116" s="157"/>
    </row>
    <row r="117" spans="1:21" ht="12">
      <c r="A117" s="374" t="s">
        <v>1370</v>
      </c>
      <c r="B117" s="157"/>
      <c r="C117" s="157"/>
      <c r="D117" s="157"/>
    </row>
    <row r="118" spans="1:21" ht="12">
      <c r="A118" s="374" t="s">
        <v>1082</v>
      </c>
      <c r="B118" s="157"/>
      <c r="C118" s="157"/>
      <c r="D118" s="157"/>
    </row>
    <row r="119" spans="1:21" ht="12">
      <c r="A119" s="374" t="s">
        <v>1084</v>
      </c>
      <c r="B119" s="157"/>
      <c r="C119" s="157"/>
      <c r="D119" s="157"/>
    </row>
    <row r="120" spans="1:21" ht="12" customHeight="1">
      <c r="A120" s="373"/>
      <c r="B120" s="157"/>
      <c r="C120" s="157"/>
      <c r="D120" s="157"/>
    </row>
    <row r="121" spans="1:21" ht="15.6">
      <c r="A121" s="367" t="s">
        <v>1062</v>
      </c>
      <c r="B121" s="157"/>
      <c r="C121" s="157"/>
      <c r="D121" s="157"/>
    </row>
    <row r="122" spans="1:21">
      <c r="A122" s="354" t="s">
        <v>1046</v>
      </c>
      <c r="B122" s="353"/>
      <c r="C122" s="353"/>
      <c r="D122" s="1863" t="s">
        <v>1047</v>
      </c>
      <c r="E122" s="1863"/>
      <c r="F122" s="1863"/>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4" t="s">
        <v>1371</v>
      </c>
      <c r="E123" s="1855"/>
      <c r="F123" s="1855"/>
      <c r="G123" s="1855"/>
      <c r="H123" s="1855"/>
      <c r="I123" s="1855"/>
      <c r="J123" s="1855"/>
      <c r="K123" s="1855"/>
      <c r="L123" s="1855"/>
      <c r="M123" s="1855"/>
      <c r="N123" s="1855"/>
      <c r="O123" s="1855"/>
      <c r="P123" s="1855"/>
      <c r="Q123" s="1855"/>
      <c r="R123" s="1855"/>
      <c r="S123" s="1855"/>
      <c r="T123" s="353"/>
      <c r="U123" s="355"/>
    </row>
    <row r="124" spans="1:21" ht="13.2">
      <c r="A124" s="117" t="s">
        <v>1049</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3.2">
      <c r="A125" s="117" t="s">
        <v>1050</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3.2">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1053</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3.2">
      <c r="A129" s="117" t="s">
        <v>301</v>
      </c>
      <c r="B129" s="362"/>
      <c r="C129" s="117"/>
      <c r="D129" s="1862" t="s">
        <v>1054</v>
      </c>
      <c r="E129" s="1862"/>
      <c r="F129" s="1862"/>
      <c r="G129" s="1862"/>
      <c r="H129" s="1862"/>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1056</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56" t="s">
        <v>1057</v>
      </c>
      <c r="E132" s="1856"/>
      <c r="F132" s="1856"/>
      <c r="G132" s="1856"/>
      <c r="H132" s="1856"/>
      <c r="I132" s="117"/>
      <c r="J132" s="1856" t="s">
        <v>1058</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3.2">
      <c r="A139" s="1852" t="s">
        <v>1061</v>
      </c>
      <c r="B139" s="1852"/>
      <c r="C139" s="1852"/>
      <c r="D139" s="357"/>
      <c r="E139" s="117" t="s">
        <v>1055</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6" t="s">
        <v>1374</v>
      </c>
      <c r="B1" s="1867"/>
      <c r="C1" s="1867"/>
      <c r="D1" s="1867"/>
      <c r="E1" s="1867"/>
      <c r="F1" s="1867"/>
      <c r="G1" s="1867"/>
      <c r="H1" s="1867"/>
      <c r="I1" s="1867"/>
      <c r="J1" s="1868"/>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2320000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2320000</v>
      </c>
      <c r="C8" s="393">
        <f>SUM(C4:C7)</f>
        <v>0</v>
      </c>
      <c r="D8" s="393">
        <f>SUM(D4:D7)</f>
        <v>0</v>
      </c>
      <c r="E8" s="395"/>
      <c r="F8" s="395"/>
      <c r="G8" s="395"/>
      <c r="H8" s="395"/>
      <c r="I8" s="395"/>
      <c r="J8" s="395"/>
      <c r="K8" s="391"/>
    </row>
    <row r="9" spans="1:11" s="392" customFormat="1" ht="11.4">
      <c r="A9" s="396" t="s">
        <v>603</v>
      </c>
      <c r="B9" s="393">
        <f>'Sources and Uses Budget'!C9</f>
        <v>0</v>
      </c>
      <c r="C9" s="394"/>
      <c r="D9" s="394"/>
      <c r="E9" s="395"/>
      <c r="F9" s="395"/>
      <c r="G9" s="395"/>
      <c r="H9" s="393">
        <f>'Sources and Uses Budget'!T9</f>
        <v>0</v>
      </c>
      <c r="I9" s="394"/>
      <c r="J9" s="394"/>
      <c r="K9" s="391"/>
    </row>
    <row r="10" spans="1:11" s="392" customFormat="1" ht="11.4">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2320000</v>
      </c>
      <c r="C12" s="393">
        <f>SUM(C8+C11)</f>
        <v>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338122</v>
      </c>
      <c r="C27" s="394"/>
      <c r="D27" s="394"/>
      <c r="E27" s="393">
        <f>'Sources and Uses Budget'!S27</f>
        <v>338122</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5656243</v>
      </c>
      <c r="C29" s="394"/>
      <c r="D29" s="394"/>
      <c r="E29" s="393">
        <f>'Sources and Uses Budget'!S29</f>
        <v>5656243</v>
      </c>
      <c r="F29" s="394"/>
      <c r="G29" s="394"/>
      <c r="H29" s="393">
        <f>'Sources and Uses Budget'!T29</f>
        <v>0</v>
      </c>
      <c r="I29" s="394"/>
      <c r="J29" s="394"/>
      <c r="K29" s="391"/>
    </row>
    <row r="30" spans="1:11" s="392" customFormat="1" ht="11.4">
      <c r="A30" s="145" t="s">
        <v>608</v>
      </c>
      <c r="B30" s="393">
        <f>'Sources and Uses Budget'!C30</f>
        <v>41384531</v>
      </c>
      <c r="C30" s="394"/>
      <c r="D30" s="394"/>
      <c r="E30" s="393">
        <f>'Sources and Uses Budget'!S30</f>
        <v>41384531</v>
      </c>
      <c r="F30" s="394"/>
      <c r="G30" s="394"/>
      <c r="H30" s="393">
        <f>'Sources and Uses Budget'!T30</f>
        <v>0</v>
      </c>
      <c r="I30" s="394"/>
      <c r="J30" s="394"/>
      <c r="K30" s="391"/>
    </row>
    <row r="31" spans="1:11" s="392" customFormat="1" ht="11.4">
      <c r="A31" s="145" t="s">
        <v>609</v>
      </c>
      <c r="B31" s="393">
        <f>'Sources and Uses Budget'!C31</f>
        <v>1560000</v>
      </c>
      <c r="C31" s="394"/>
      <c r="D31" s="394"/>
      <c r="E31" s="393">
        <f>'Sources and Uses Budget'!S31</f>
        <v>1560000</v>
      </c>
      <c r="F31" s="394"/>
      <c r="G31" s="394"/>
      <c r="H31" s="393">
        <f>'Sources and Uses Budget'!T31</f>
        <v>0</v>
      </c>
      <c r="I31" s="394"/>
      <c r="J31" s="394"/>
      <c r="K31" s="391"/>
    </row>
    <row r="32" spans="1:11" s="392" customFormat="1" ht="11.4">
      <c r="A32" s="145" t="s">
        <v>138</v>
      </c>
      <c r="B32" s="393">
        <f>'Sources and Uses Budget'!C32</f>
        <v>1243750</v>
      </c>
      <c r="C32" s="394"/>
      <c r="D32" s="394"/>
      <c r="E32" s="393">
        <f>'Sources and Uses Budget'!S32</f>
        <v>1243750</v>
      </c>
      <c r="F32" s="394"/>
      <c r="G32" s="394"/>
      <c r="H32" s="393">
        <f>'Sources and Uses Budget'!T32</f>
        <v>0</v>
      </c>
      <c r="I32" s="394"/>
      <c r="J32" s="394"/>
      <c r="K32" s="391"/>
    </row>
    <row r="33" spans="1:11" s="392" customFormat="1" ht="11.4">
      <c r="A33" s="145" t="s">
        <v>139</v>
      </c>
      <c r="B33" s="393">
        <f>'Sources and Uses Budget'!C33</f>
        <v>1243750</v>
      </c>
      <c r="C33" s="394"/>
      <c r="D33" s="394"/>
      <c r="E33" s="393">
        <f>'Sources and Uses Budget'!S33</f>
        <v>1243750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783563</v>
      </c>
      <c r="C35" s="394"/>
      <c r="D35" s="394"/>
      <c r="E35" s="393">
        <f>'Sources and Uses Budget'!S35</f>
        <v>783563</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Payment and Preformance Bonds</v>
      </c>
      <c r="B37" s="393">
        <f>'Sources and Uses Budget'!C37</f>
        <v>365663</v>
      </c>
      <c r="C37" s="394"/>
      <c r="D37" s="394"/>
      <c r="E37" s="393">
        <f>'Sources and Uses Budget'!S37</f>
        <v>365663</v>
      </c>
      <c r="F37" s="394"/>
      <c r="G37" s="394"/>
      <c r="H37" s="393">
        <f>'Sources and Uses Budget'!T37</f>
        <v>0</v>
      </c>
      <c r="I37" s="394"/>
      <c r="J37" s="394"/>
      <c r="K37" s="391"/>
    </row>
    <row r="38" spans="1:11" s="392" customFormat="1">
      <c r="A38" s="397" t="s">
        <v>144</v>
      </c>
      <c r="B38" s="393">
        <f>'Sources and Uses Budget'!C38</f>
        <v>52237500</v>
      </c>
      <c r="C38" s="393">
        <f>SUM(C29:C37)</f>
        <v>0</v>
      </c>
      <c r="D38" s="393">
        <f>SUM(D29:D37)</f>
        <v>0</v>
      </c>
      <c r="E38" s="393">
        <f>'Sources and Uses Budget'!S38</f>
        <v>52237500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600000</v>
      </c>
      <c r="C40" s="394"/>
      <c r="D40" s="394"/>
      <c r="E40" s="393">
        <f>'Sources and Uses Budget'!S40</f>
        <v>600000</v>
      </c>
      <c r="F40" s="394"/>
      <c r="G40" s="394"/>
      <c r="H40" s="393">
        <f>'Sources and Uses Budget'!T40</f>
        <v>0</v>
      </c>
      <c r="I40" s="394"/>
      <c r="J40" s="394"/>
      <c r="K40" s="391"/>
    </row>
    <row r="41" spans="1:11" s="392" customFormat="1" ht="11.4">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800000</v>
      </c>
      <c r="C42" s="393">
        <f>SUM(C39:C41)</f>
        <v>0</v>
      </c>
      <c r="D42" s="393">
        <f>SUM(D39:D41)</f>
        <v>0</v>
      </c>
      <c r="E42" s="393">
        <f>'Sources and Uses Budget'!S42</f>
        <v>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165000</v>
      </c>
      <c r="C43" s="394"/>
      <c r="D43" s="394"/>
      <c r="E43" s="393">
        <f>'Sources and Uses Budget'!S43</f>
        <v>165000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5670000</v>
      </c>
      <c r="C45" s="394"/>
      <c r="D45" s="394"/>
      <c r="E45" s="393">
        <f>'Sources and Uses Budget'!S45</f>
        <v>3740443</v>
      </c>
      <c r="F45" s="394"/>
      <c r="G45" s="394"/>
      <c r="H45" s="393">
        <f>'Sources and Uses Budget'!T45</f>
        <v>0</v>
      </c>
      <c r="I45" s="394"/>
      <c r="J45" s="394"/>
      <c r="K45" s="391"/>
    </row>
    <row r="46" spans="1:11" s="392" customFormat="1" ht="11.4">
      <c r="A46" s="396" t="s">
        <v>152</v>
      </c>
      <c r="B46" s="393">
        <f>'Sources and Uses Budget'!C46</f>
        <v>580000</v>
      </c>
      <c r="C46" s="394"/>
      <c r="D46" s="394"/>
      <c r="E46" s="393">
        <f>'Sources and Uses Budget'!S46</f>
        <v>464000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16579</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220000</v>
      </c>
      <c r="C50" s="394"/>
      <c r="D50" s="394"/>
      <c r="E50" s="393">
        <f>'Sources and Uses Budget'!S50</f>
        <v>176000</v>
      </c>
      <c r="F50" s="394"/>
      <c r="G50" s="394"/>
      <c r="H50" s="393">
        <f>'Sources and Uses Budget'!T50</f>
        <v>0</v>
      </c>
      <c r="I50" s="394"/>
      <c r="J50" s="394"/>
      <c r="K50" s="391"/>
    </row>
    <row r="51" spans="1:11" s="392" customFormat="1" ht="11.4">
      <c r="A51" s="396" t="s">
        <v>155</v>
      </c>
      <c r="B51" s="393">
        <f>'Sources and Uses Budget'!C51</f>
        <v>25000</v>
      </c>
      <c r="C51" s="394"/>
      <c r="D51" s="394"/>
      <c r="E51" s="393">
        <f>'Sources and Uses Budget'!S51</f>
        <v>25000</v>
      </c>
      <c r="F51" s="394"/>
      <c r="G51" s="394"/>
      <c r="H51" s="393">
        <f>'Sources and Uses Budget'!T51</f>
        <v>0</v>
      </c>
      <c r="I51" s="394"/>
      <c r="J51" s="394"/>
      <c r="K51" s="391"/>
    </row>
    <row r="52" spans="1:11" s="392" customFormat="1" ht="11.4">
      <c r="A52" s="396" t="s">
        <v>156</v>
      </c>
      <c r="B52" s="393">
        <f>'Sources and Uses Budget'!C52</f>
        <v>400000</v>
      </c>
      <c r="C52" s="394"/>
      <c r="D52" s="394"/>
      <c r="E52" s="393">
        <f>'Sources and Uses Budget'!S52</f>
        <v>400000</v>
      </c>
      <c r="F52" s="394"/>
      <c r="G52" s="394"/>
      <c r="H52" s="393">
        <f>'Sources and Uses Budget'!T52</f>
        <v>0</v>
      </c>
      <c r="I52" s="394"/>
      <c r="J52" s="394"/>
      <c r="K52" s="391"/>
    </row>
    <row r="53" spans="1:11" s="392" customFormat="1" ht="22.8">
      <c r="A53" s="396" t="str">
        <f>'Sources and Uses Budget'!$A53</f>
        <v>Other: Lender Inspection Fees, Const. Mgmt &amp; Testing+ Prev Wage Monitoring</v>
      </c>
      <c r="B53" s="393">
        <f>'Sources and Uses Budget'!C53</f>
        <v>260000</v>
      </c>
      <c r="C53" s="394"/>
      <c r="D53" s="394"/>
      <c r="E53" s="393">
        <f>'Sources and Uses Budget'!S53</f>
        <v>260000</v>
      </c>
      <c r="F53" s="394"/>
      <c r="G53" s="394"/>
      <c r="H53" s="393">
        <f>'Sources and Uses Budget'!T53</f>
        <v>0</v>
      </c>
      <c r="I53" s="394"/>
      <c r="J53" s="394"/>
      <c r="K53" s="391"/>
    </row>
    <row r="54" spans="1:11" s="401" customFormat="1">
      <c r="A54" s="397" t="s">
        <v>158</v>
      </c>
      <c r="B54" s="393">
        <f>'Sources and Uses Budget'!C54</f>
        <v>7171579</v>
      </c>
      <c r="C54" s="399">
        <f>SUM(C45:C53)</f>
        <v>0</v>
      </c>
      <c r="D54" s="399">
        <f>SUM(D45:D53)</f>
        <v>0</v>
      </c>
      <c r="E54" s="393">
        <f>'Sources and Uses Budget'!S54</f>
        <v>5065443</v>
      </c>
      <c r="F54" s="399">
        <f>SUM(F45:F53)</f>
        <v>0</v>
      </c>
      <c r="G54" s="399">
        <f>SUM(G45:G53)</f>
        <v>0</v>
      </c>
      <c r="H54" s="393">
        <f>'Sources and Uses Budget'!T54</f>
        <v>0</v>
      </c>
      <c r="I54" s="399">
        <f>SUM(I45:I53)</f>
        <v>0</v>
      </c>
      <c r="J54" s="399">
        <f>SUM(J45:J53)</f>
        <v>0</v>
      </c>
      <c r="K54" s="400"/>
    </row>
    <row r="55" spans="1:11" s="392" customFormat="1" ht="11.4">
      <c r="A55" s="389" t="s">
        <v>419</v>
      </c>
      <c r="B55" s="390"/>
      <c r="C55" s="390"/>
      <c r="D55" s="390"/>
      <c r="E55" s="390"/>
      <c r="F55" s="390"/>
      <c r="G55" s="390"/>
      <c r="H55" s="390"/>
      <c r="I55" s="390"/>
      <c r="J55" s="390"/>
      <c r="K55" s="391"/>
    </row>
    <row r="56" spans="1:11" s="392" customFormat="1" ht="11.4">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75000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Costs of Issuance</v>
      </c>
      <c r="B61" s="393">
        <f>'Sources and Uses Budget'!C61</f>
        <v>121019</v>
      </c>
      <c r="C61" s="394"/>
      <c r="D61" s="394"/>
      <c r="E61" s="395"/>
      <c r="F61" s="395"/>
      <c r="G61" s="395"/>
      <c r="H61" s="395"/>
      <c r="I61" s="395"/>
      <c r="J61" s="395"/>
      <c r="K61" s="391"/>
    </row>
    <row r="62" spans="1:11" s="392" customFormat="1" ht="13.65" customHeight="1">
      <c r="A62" s="397" t="s">
        <v>302</v>
      </c>
      <c r="B62" s="393">
        <f>'Sources and Uses Budget'!C62</f>
        <v>196019</v>
      </c>
      <c r="C62" s="393">
        <f>SUM(C56:C61)</f>
        <v>0</v>
      </c>
      <c r="D62" s="393">
        <f>SUM(D56:D61)</f>
        <v>0</v>
      </c>
      <c r="E62" s="395"/>
      <c r="F62" s="395"/>
      <c r="G62" s="395"/>
      <c r="H62" s="395"/>
      <c r="I62" s="395"/>
      <c r="J62" s="395"/>
      <c r="K62" s="391"/>
    </row>
    <row r="63" spans="1:11" s="392" customFormat="1" ht="11.4">
      <c r="A63" s="402" t="s">
        <v>303</v>
      </c>
      <c r="B63" s="393">
        <f>'Sources and Uses Budget'!C63</f>
        <v>63228220</v>
      </c>
      <c r="C63" s="393">
        <f>SUM(C8+C11+C13+C14+C15+C26+C27+C38+C42+C43+C54+C62)</f>
        <v>0</v>
      </c>
      <c r="D63" s="393">
        <f>SUM(D8+D11+D13+D14+D15+D26+D27+D38+D42+D43+D54+D62)</f>
        <v>0</v>
      </c>
      <c r="E63" s="393">
        <f>'Sources and Uses Budget'!S63</f>
        <v>58606065</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171</v>
      </c>
      <c r="B65" s="393">
        <f>'Sources and Uses Budget'!C65</f>
        <v>175000</v>
      </c>
      <c r="C65" s="394"/>
      <c r="D65" s="394"/>
      <c r="E65" s="393">
        <f>'Sources and Uses Budget'!S65</f>
        <v>40000</v>
      </c>
      <c r="F65" s="394"/>
      <c r="G65" s="394"/>
      <c r="H65" s="393">
        <f>'Sources and Uses Budget'!T65</f>
        <v>0</v>
      </c>
      <c r="I65" s="394"/>
      <c r="J65" s="394"/>
      <c r="K65" s="391"/>
    </row>
    <row r="66" spans="1:11" s="392" customFormat="1" ht="22.8">
      <c r="A66" s="304" t="s">
        <v>1822</v>
      </c>
      <c r="B66" s="393">
        <f>'Sources and Uses Budget'!C66</f>
        <v>120000</v>
      </c>
      <c r="C66" s="394"/>
      <c r="D66" s="394"/>
      <c r="E66" s="393">
        <f>'Sources and Uses Budget'!S66</f>
        <v>80000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295000</v>
      </c>
      <c r="C70" s="393">
        <f>SUM(C64:C69)</f>
        <v>0</v>
      </c>
      <c r="D70" s="393">
        <f>SUM(D64:D69)</f>
        <v>0</v>
      </c>
      <c r="E70" s="393">
        <f>'Sources and Uses Budget'!S70</f>
        <v>120000</v>
      </c>
      <c r="F70" s="399">
        <f>SUM(F65:F69)</f>
        <v>0</v>
      </c>
      <c r="G70" s="399">
        <f>SUM(G65:G69)</f>
        <v>0</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1040</v>
      </c>
      <c r="B74" s="393">
        <f>'Sources and Uses Budget'!C74</f>
        <v>0</v>
      </c>
      <c r="C74" s="394"/>
      <c r="D74" s="394"/>
      <c r="E74" s="395"/>
      <c r="F74" s="395"/>
      <c r="G74" s="395"/>
      <c r="H74" s="395"/>
      <c r="I74" s="395"/>
      <c r="J74" s="395"/>
      <c r="K74" s="391"/>
    </row>
    <row r="75" spans="1:11" s="392" customFormat="1" ht="11.4">
      <c r="A75" s="396" t="s">
        <v>614</v>
      </c>
      <c r="B75" s="393">
        <f>'Sources and Uses Budget'!C75</f>
        <v>401000</v>
      </c>
      <c r="C75" s="394"/>
      <c r="D75" s="394"/>
      <c r="E75" s="395"/>
      <c r="F75" s="395"/>
      <c r="G75" s="395"/>
      <c r="H75" s="395"/>
      <c r="I75" s="395"/>
      <c r="J75" s="395"/>
      <c r="K75" s="391"/>
    </row>
    <row r="76" spans="1:11" s="392" customFormat="1" ht="22.8">
      <c r="A76" s="396" t="str">
        <f>'Sources and Uses Budget'!$A76</f>
        <v>Other: Transition Reserve &amp; Investor Operating Reserve</v>
      </c>
      <c r="B76" s="393">
        <f>'Sources and Uses Budget'!C76</f>
        <v>452000</v>
      </c>
      <c r="C76" s="394"/>
      <c r="D76" s="394"/>
      <c r="E76" s="395"/>
      <c r="F76" s="395"/>
      <c r="G76" s="395"/>
      <c r="H76" s="395"/>
      <c r="I76" s="395"/>
      <c r="J76" s="395"/>
      <c r="K76" s="391"/>
    </row>
    <row r="77" spans="1:11" s="392" customFormat="1">
      <c r="A77" s="397" t="s">
        <v>615</v>
      </c>
      <c r="B77" s="393">
        <f>'Sources and Uses Budget'!C77</f>
        <v>853000</v>
      </c>
      <c r="C77" s="393">
        <f>SUM(C72:C76)</f>
        <v>0</v>
      </c>
      <c r="D77" s="393">
        <f>SUM(D72:D76)</f>
        <v>0</v>
      </c>
      <c r="E77" s="395"/>
      <c r="F77" s="395"/>
      <c r="G77" s="395"/>
      <c r="H77" s="395"/>
      <c r="I77" s="395"/>
      <c r="J77" s="395"/>
      <c r="K77" s="391"/>
    </row>
    <row r="78" spans="1:11" s="392" customFormat="1" ht="11.4">
      <c r="A78" s="389" t="s">
        <v>1353</v>
      </c>
      <c r="B78" s="390"/>
      <c r="C78" s="390"/>
      <c r="D78" s="390"/>
      <c r="E78" s="390"/>
      <c r="F78" s="390"/>
      <c r="G78" s="390"/>
      <c r="H78" s="390"/>
      <c r="I78" s="390"/>
      <c r="J78" s="390"/>
      <c r="K78" s="391"/>
    </row>
    <row r="79" spans="1:11" s="392" customFormat="1" ht="11.4">
      <c r="A79" s="396" t="s">
        <v>1355</v>
      </c>
      <c r="B79" s="393">
        <f>'Sources and Uses Budget'!C79</f>
        <v>2611875</v>
      </c>
      <c r="C79" s="394"/>
      <c r="D79" s="394"/>
      <c r="E79" s="393">
        <f>'Sources and Uses Budget'!S79</f>
        <v>2611875</v>
      </c>
      <c r="F79" s="394"/>
      <c r="G79" s="394"/>
      <c r="H79" s="393">
        <f>'Sources and Uses Budget'!T79</f>
        <v>0</v>
      </c>
      <c r="I79" s="394"/>
      <c r="J79" s="394"/>
      <c r="K79" s="391"/>
    </row>
    <row r="80" spans="1:11" s="392" customFormat="1" ht="11.4">
      <c r="A80" s="396" t="s">
        <v>58</v>
      </c>
      <c r="B80" s="393">
        <f>'Sources and Uses Budget'!C80</f>
        <v>474222</v>
      </c>
      <c r="C80" s="394"/>
      <c r="D80" s="394"/>
      <c r="E80" s="393">
        <f>'Sources and Uses Budget'!S80</f>
        <v>474222</v>
      </c>
      <c r="F80" s="394"/>
      <c r="G80" s="394"/>
      <c r="H80" s="393">
        <f>'Sources and Uses Budget'!T80</f>
        <v>0</v>
      </c>
      <c r="I80" s="394"/>
      <c r="J80" s="394"/>
      <c r="K80" s="391"/>
    </row>
    <row r="81" spans="1:11" s="392" customFormat="1">
      <c r="A81" s="397" t="s">
        <v>1352</v>
      </c>
      <c r="B81" s="393">
        <f>'Sources and Uses Budget'!C81</f>
        <v>3086097</v>
      </c>
      <c r="C81" s="393">
        <f>SUM(C79:C80)</f>
        <v>0</v>
      </c>
      <c r="D81" s="393">
        <f>SUM(D79:D80)</f>
        <v>0</v>
      </c>
      <c r="E81" s="393">
        <f>'Sources and Uses Budget'!S81</f>
        <v>3086097</v>
      </c>
      <c r="F81" s="393">
        <f>SUM(F79:F80)</f>
        <v>0</v>
      </c>
      <c r="G81" s="393">
        <f>SUM(G79:G80)</f>
        <v>0</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65" customHeight="1">
      <c r="A83" s="145" t="s">
        <v>2519</v>
      </c>
      <c r="B83" s="393">
        <f>'Sources and Uses Budget'!C83</f>
        <v>132160</v>
      </c>
      <c r="C83" s="394"/>
      <c r="D83" s="394"/>
      <c r="E83" s="395"/>
      <c r="F83" s="395"/>
      <c r="G83" s="395"/>
      <c r="H83" s="395"/>
      <c r="I83" s="395"/>
      <c r="J83" s="395"/>
      <c r="K83" s="391"/>
    </row>
    <row r="84" spans="1:11" s="392" customFormat="1" ht="11.4">
      <c r="A84" s="145" t="s">
        <v>791</v>
      </c>
      <c r="B84" s="393">
        <f>'Sources and Uses Budget'!C84</f>
        <v>86000</v>
      </c>
      <c r="C84" s="394"/>
      <c r="D84" s="394"/>
      <c r="E84" s="393">
        <f>'Sources and Uses Budget'!S84</f>
        <v>86000</v>
      </c>
      <c r="F84" s="394"/>
      <c r="G84" s="394"/>
      <c r="H84" s="393">
        <f>'Sources and Uses Budget'!T84</f>
        <v>0</v>
      </c>
      <c r="I84" s="394"/>
      <c r="J84" s="394"/>
      <c r="K84" s="391"/>
    </row>
    <row r="85" spans="1:11" s="392" customFormat="1" ht="11.4">
      <c r="A85" s="145" t="s">
        <v>792</v>
      </c>
      <c r="B85" s="393">
        <f>'Sources and Uses Budget'!C85</f>
        <v>4570553</v>
      </c>
      <c r="C85" s="394"/>
      <c r="D85" s="394"/>
      <c r="E85" s="393">
        <f>'Sources and Uses Budget'!S85</f>
        <v>4570553</v>
      </c>
      <c r="F85" s="394"/>
      <c r="G85" s="394"/>
      <c r="H85" s="393">
        <f>'Sources and Uses Budget'!T85</f>
        <v>0</v>
      </c>
      <c r="I85" s="394"/>
      <c r="J85" s="394"/>
      <c r="K85" s="391"/>
    </row>
    <row r="86" spans="1:11" s="392" customFormat="1" ht="11.4">
      <c r="A86" s="145" t="s">
        <v>793</v>
      </c>
      <c r="B86" s="393">
        <f>'Sources and Uses Budget'!C86</f>
        <v>256970</v>
      </c>
      <c r="C86" s="394"/>
      <c r="D86" s="394"/>
      <c r="E86" s="393">
        <f>'Sources and Uses Budget'!S86</f>
        <v>256970</v>
      </c>
      <c r="F86" s="394"/>
      <c r="G86" s="394"/>
      <c r="H86" s="393">
        <f>'Sources and Uses Budget'!T86</f>
        <v>0</v>
      </c>
      <c r="I86" s="394"/>
      <c r="J86" s="394"/>
      <c r="K86" s="391"/>
    </row>
    <row r="87" spans="1:11" s="392" customFormat="1" ht="11.4">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795</v>
      </c>
      <c r="B88" s="393">
        <f>'Sources and Uses Budget'!C88</f>
        <v>100000</v>
      </c>
      <c r="C88" s="394"/>
      <c r="D88" s="394"/>
      <c r="E88" s="395"/>
      <c r="F88" s="395"/>
      <c r="G88" s="395"/>
      <c r="H88" s="395"/>
      <c r="I88" s="395"/>
      <c r="J88" s="395"/>
      <c r="K88" s="391"/>
    </row>
    <row r="89" spans="1:11" s="392" customFormat="1" ht="11.4">
      <c r="A89" s="145" t="s">
        <v>796</v>
      </c>
      <c r="B89" s="393">
        <f>'Sources and Uses Budget'!C89</f>
        <v>85000</v>
      </c>
      <c r="C89" s="394"/>
      <c r="D89" s="394"/>
      <c r="E89" s="393">
        <f>'Sources and Uses Budget'!S89</f>
        <v>85000</v>
      </c>
      <c r="F89" s="394"/>
      <c r="G89" s="394"/>
      <c r="H89" s="393">
        <f>'Sources and Uses Budget'!T89</f>
        <v>0</v>
      </c>
      <c r="I89" s="394"/>
      <c r="J89" s="394"/>
      <c r="K89" s="391"/>
    </row>
    <row r="90" spans="1:11" s="392" customFormat="1" ht="11.4">
      <c r="A90" s="145" t="s">
        <v>797</v>
      </c>
      <c r="B90" s="393">
        <f>'Sources and Uses Budget'!C90</f>
        <v>12000</v>
      </c>
      <c r="C90" s="394"/>
      <c r="D90" s="394"/>
      <c r="E90" s="393">
        <f>'Sources and Uses Budget'!S90</f>
        <v>12000</v>
      </c>
      <c r="F90" s="394"/>
      <c r="G90" s="394"/>
      <c r="H90" s="393">
        <f>'Sources and Uses Budget'!T90</f>
        <v>0</v>
      </c>
      <c r="I90" s="394"/>
      <c r="J90" s="394"/>
      <c r="K90" s="391"/>
    </row>
    <row r="91" spans="1:11" s="392" customFormat="1" ht="11.4">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ht="11.4">
      <c r="A92" s="543" t="s">
        <v>1354</v>
      </c>
      <c r="B92" s="393">
        <f>'Sources and Uses Budget'!C92</f>
        <v>25000</v>
      </c>
      <c r="C92" s="394"/>
      <c r="D92" s="394"/>
      <c r="E92" s="393">
        <f>'Sources and Uses Budget'!S92</f>
        <v>25000</v>
      </c>
      <c r="F92" s="394"/>
      <c r="G92" s="394"/>
      <c r="H92" s="393">
        <f>'Sources and Uses Budget'!T92</f>
        <v>0</v>
      </c>
      <c r="I92" s="394"/>
      <c r="J92" s="394"/>
      <c r="K92" s="391"/>
    </row>
    <row r="93" spans="1:11" s="392" customFormat="1" ht="22.8">
      <c r="A93" s="396" t="str">
        <f>'Sources and Uses Budget'!$A93</f>
        <v xml:space="preserve">Other: NEPA/Relocation/Energy Consultants + Accounting </v>
      </c>
      <c r="B93" s="393">
        <f>'Sources and Uses Budget'!C93</f>
        <v>20000</v>
      </c>
      <c r="C93" s="394"/>
      <c r="D93" s="394"/>
      <c r="E93" s="393">
        <f>'Sources and Uses Budget'!S93</f>
        <v>20000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5287683</v>
      </c>
      <c r="C96" s="393">
        <f>SUM(C83:C95)</f>
        <v>0</v>
      </c>
      <c r="D96" s="393">
        <f>SUM(D83:D95)</f>
        <v>0</v>
      </c>
      <c r="E96" s="393">
        <f>'Sources and Uses Budget'!S96</f>
        <v>5055523</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72750000</v>
      </c>
      <c r="C97" s="393">
        <f>SUM(C63+C70+C77+C81+C96)</f>
        <v>0</v>
      </c>
      <c r="D97" s="393">
        <f>SUM(D63+D70+D77+D81+D96)</f>
        <v>0</v>
      </c>
      <c r="E97" s="393">
        <f>'Sources and Uses Budget'!S97</f>
        <v>66867685</v>
      </c>
      <c r="F97" s="399">
        <f>SUM(+F63+F70+F81+F96)</f>
        <v>0</v>
      </c>
      <c r="G97" s="399">
        <f>SUM(+G63+G70+G81+G96)</f>
        <v>0</v>
      </c>
      <c r="H97" s="393">
        <f>'Sources and Uses Budget'!T97</f>
        <v>0</v>
      </c>
      <c r="I97" s="399">
        <f>SUM(I63+I70+I81+I96)</f>
        <v>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3500000</v>
      </c>
      <c r="C99" s="394"/>
      <c r="D99" s="394"/>
      <c r="E99" s="393">
        <f>'Sources and Uses Budget'!S99</f>
        <v>3500000</v>
      </c>
      <c r="F99" s="394"/>
      <c r="G99" s="394"/>
      <c r="H99" s="393">
        <f>'Sources and Uses Budget'!T99</f>
        <v>0</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3500000</v>
      </c>
      <c r="C104" s="393">
        <f>SUM(C99:C103)</f>
        <v>0</v>
      </c>
      <c r="D104" s="393">
        <f>SUM(D99:D103)</f>
        <v>0</v>
      </c>
      <c r="E104" s="393">
        <f>'Sources and Uses Budget'!S104</f>
        <v>3500000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76250000</v>
      </c>
      <c r="C105" s="399">
        <f>SUM(C97+C104)</f>
        <v>0</v>
      </c>
      <c r="D105" s="399">
        <f>SUM(D97+D104)</f>
        <v>0</v>
      </c>
      <c r="E105" s="393">
        <f>'Sources and Uses Budget'!S105</f>
        <v>70367685</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70367685</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4"/>
      <c r="E124" s="1337"/>
      <c r="F124" s="1337"/>
      <c r="G124" s="1337"/>
      <c r="H124" s="1337"/>
      <c r="I124" s="1337"/>
      <c r="J124" s="408"/>
      <c r="K124" s="391"/>
    </row>
    <row r="125" spans="1:11" s="392" customFormat="1" ht="13.2">
      <c r="A125" s="417"/>
      <c r="B125" s="416"/>
      <c r="C125" s="417"/>
      <c r="D125" s="1337"/>
      <c r="E125" s="1337"/>
      <c r="F125" s="1337"/>
      <c r="G125" s="1337"/>
      <c r="H125" s="1337"/>
      <c r="I125" s="1337"/>
      <c r="J125" s="408"/>
      <c r="K125" s="391"/>
    </row>
    <row r="126" spans="1:11" s="392" customFormat="1" ht="13.2">
      <c r="A126" s="417"/>
      <c r="B126" s="416"/>
      <c r="C126" s="417"/>
      <c r="D126" s="1337"/>
      <c r="E126" s="1337"/>
      <c r="F126" s="1337"/>
      <c r="G126" s="1337"/>
      <c r="H126" s="1337"/>
      <c r="I126" s="1337"/>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T122" sqref="T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093" t="s">
        <v>1473</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1478</v>
      </c>
      <c r="AF7" s="1909"/>
      <c r="AG7" s="1909"/>
      <c r="AH7" s="1909"/>
      <c r="AI7" s="1909"/>
      <c r="AJ7" s="1909"/>
      <c r="AK7" s="1909"/>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600</v>
      </c>
      <c r="C13" s="2087"/>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600</v>
      </c>
      <c r="C16" s="2087"/>
      <c r="D16" s="582"/>
      <c r="E16" s="2079" t="s">
        <v>1480</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1481</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600</v>
      </c>
      <c r="C22" s="2087"/>
      <c r="D22" s="582"/>
      <c r="E22" s="2097" t="s">
        <v>1483</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1481</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600</v>
      </c>
      <c r="C25" s="2087"/>
      <c r="D25" s="582"/>
      <c r="E25" s="2015" t="s">
        <v>2432</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1481</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7" t="s">
        <v>600</v>
      </c>
      <c r="C30" s="2087"/>
      <c r="D30" s="582"/>
      <c r="E30" s="2097" t="s">
        <v>2404</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600</v>
      </c>
      <c r="C33" s="2087"/>
      <c r="D33" s="582"/>
      <c r="E33" s="2015" t="s">
        <v>2405</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600</v>
      </c>
      <c r="C39" s="2087"/>
      <c r="D39" s="1195"/>
      <c r="E39" s="2015" t="s">
        <v>2406</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600</v>
      </c>
      <c r="C46" s="2087"/>
      <c r="D46" s="575"/>
      <c r="E46" s="2015" t="s">
        <v>2411</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600</v>
      </c>
      <c r="C50" s="2087"/>
      <c r="D50" s="575"/>
      <c r="E50" s="2113" t="s">
        <v>2412</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600</v>
      </c>
      <c r="C52" s="2087"/>
      <c r="D52" s="575"/>
      <c r="E52" s="2015" t="s">
        <v>2413</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1487</v>
      </c>
      <c r="AF59" s="1909"/>
      <c r="AG59" s="1909"/>
      <c r="AH59" s="1909"/>
      <c r="AI59" s="1909"/>
      <c r="AJ59" s="1909"/>
      <c r="AK59" s="1909"/>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600</v>
      </c>
      <c r="C62" s="2087"/>
      <c r="D62" s="582" t="s">
        <v>1488</v>
      </c>
      <c r="E62" s="2079" t="s">
        <v>2414</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10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10</v>
      </c>
      <c r="AP65" s="609" t="s">
        <v>1489</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554</v>
      </c>
      <c r="C68" s="2087"/>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600</v>
      </c>
      <c r="F69" s="2087"/>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600</v>
      </c>
      <c r="F70" s="2108"/>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600</v>
      </c>
      <c r="F71" s="2108"/>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554</v>
      </c>
      <c r="F73" s="2087"/>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600</v>
      </c>
      <c r="C75" s="2087"/>
      <c r="D75" s="582" t="s">
        <v>1493</v>
      </c>
      <c r="E75" s="2015" t="s">
        <v>2001</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1">
        <f>IF(AK56&gt;0,0,AO65)</f>
        <v>10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1478</v>
      </c>
      <c r="AF81" s="1909"/>
      <c r="AG81" s="1909"/>
      <c r="AH81" s="1909"/>
      <c r="AI81" s="1909"/>
      <c r="AJ81" s="1909"/>
      <c r="AK81" s="1909"/>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600</v>
      </c>
      <c r="C84" s="2087"/>
      <c r="D84" s="582" t="s">
        <v>1488</v>
      </c>
      <c r="E84" s="2079" t="s">
        <v>1498</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0.49771428571428566</v>
      </c>
      <c r="F87" s="2076"/>
      <c r="G87" s="2076"/>
      <c r="H87" s="2076"/>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9.9999999999999978E-2</v>
      </c>
      <c r="F88" s="1883"/>
      <c r="G88" s="1883"/>
      <c r="H88" s="1883"/>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19.999999999999996</v>
      </c>
      <c r="F89" s="2092"/>
      <c r="G89" s="2092"/>
      <c r="H89" s="2092"/>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554</v>
      </c>
      <c r="C92" s="2087"/>
      <c r="D92" s="582" t="s">
        <v>1490</v>
      </c>
      <c r="E92" s="2079" t="s">
        <v>1986</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0.49771428571428566</v>
      </c>
      <c r="F97" s="2076"/>
      <c r="G97" s="2076"/>
      <c r="H97" s="2076"/>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0.20571428571428571</v>
      </c>
      <c r="F98" s="2076"/>
      <c r="G98" s="2076"/>
      <c r="H98" s="2076"/>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0.40571428571428569</v>
      </c>
      <c r="F99" s="2076"/>
      <c r="G99" s="2076"/>
      <c r="H99" s="2076"/>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1">
        <f ca="1">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1487</v>
      </c>
      <c r="AF106" s="1909"/>
      <c r="AG106" s="1909"/>
      <c r="AH106" s="1909"/>
      <c r="AI106" s="1909"/>
      <c r="AJ106" s="1909"/>
      <c r="AK106" s="1909"/>
      <c r="AL106" s="575"/>
      <c r="AM106" s="575"/>
      <c r="AN106" s="570"/>
      <c r="AO106" s="571" t="str">
        <f>Application!B714</f>
        <v>1 Bedroom</v>
      </c>
      <c r="AQ106" s="571">
        <f>Application!O714</f>
        <v>345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345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638</v>
      </c>
    </row>
    <row r="109" spans="1:49" s="571" customFormat="1" ht="12.75" customHeight="1">
      <c r="A109" s="575"/>
      <c r="B109" s="2087" t="s">
        <v>600</v>
      </c>
      <c r="C109" s="2087"/>
      <c r="D109" s="582" t="s">
        <v>1488</v>
      </c>
      <c r="E109" s="2079" t="s">
        <v>2121</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t="str">
        <f>Application!B717</f>
        <v>1 Bedroom</v>
      </c>
      <c r="AQ109" s="571">
        <f>Application!O717</f>
        <v>784</v>
      </c>
      <c r="AU109" s="571" t="s">
        <v>2103</v>
      </c>
      <c r="AV109" s="630" t="s">
        <v>2104</v>
      </c>
      <c r="AW109" s="571" t="s">
        <v>2105</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t="str">
        <f>Application!B718</f>
        <v>2 Bedrooms</v>
      </c>
      <c r="AQ110" s="571">
        <f>Application!O718</f>
        <v>396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t="str">
        <f>Application!B719</f>
        <v>2 Bedrooms</v>
      </c>
      <c r="AQ111" s="571">
        <f>Application!O719</f>
        <v>396</v>
      </c>
      <c r="AU111" s="892" t="str">
        <f>J118</f>
        <v>1-bedroom</v>
      </c>
      <c r="AV111" s="571">
        <f t="array" ref="AV111">SUM(IF(Application!B714:F738="1 Bedroom",Application!G714:J738))</f>
        <v>87</v>
      </c>
      <c r="AW111" s="1048">
        <f>AV111/AV116</f>
        <v>0.49714285714285716</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t="str">
        <f>Application!B720</f>
        <v>2 Bedrooms</v>
      </c>
      <c r="AQ112" s="571">
        <f>Application!O720</f>
        <v>747</v>
      </c>
      <c r="AU112" s="892" t="str">
        <f>O118</f>
        <v>2-bedroom</v>
      </c>
      <c r="AV112" s="571">
        <f t="array" ref="AV112">SUM(IF(Application!B714:F738="2 Bedrooms",Application!G714:J738))</f>
        <v>44</v>
      </c>
      <c r="AW112" s="1048">
        <f>AV112/AV116</f>
        <v>0.25142857142857145</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t="str">
        <f>Application!B721</f>
        <v>2 Bedrooms</v>
      </c>
      <c r="AQ113" s="571">
        <f>Application!O721</f>
        <v>923</v>
      </c>
      <c r="AU113" s="892" t="str">
        <f>T118</f>
        <v>3-bedroom</v>
      </c>
      <c r="AV113" s="571">
        <f t="array" ref="AV113">SUM(IF(Application!B714:F738="3 Bedrooms",Application!G714:J738))</f>
        <v>44</v>
      </c>
      <c r="AW113" s="1048">
        <f>AV113/AV116</f>
        <v>0.25142857142857145</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t="str">
        <f>Application!B722</f>
        <v>3 Bedrooms</v>
      </c>
      <c r="AQ114" s="571">
        <f>Application!O722</f>
        <v>444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t="str">
        <f>Application!B723</f>
        <v>3 Bedrooms</v>
      </c>
      <c r="AQ115" s="571">
        <f>Application!O723</f>
        <v>444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t="str">
        <f>Application!B724</f>
        <v>3 Bedrooms</v>
      </c>
      <c r="AQ116" s="571">
        <f>Application!O724</f>
        <v>850</v>
      </c>
      <c r="AV116" s="571">
        <f>SUM(AV110:AV115)</f>
        <v>175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1052</v>
      </c>
    </row>
    <row r="118" spans="1:52" s="571" customFormat="1" ht="12.75" customHeight="1">
      <c r="A118" s="575"/>
      <c r="B118" s="574"/>
      <c r="C118" s="575"/>
      <c r="D118" s="575"/>
      <c r="E118" s="2075" t="s">
        <v>1766</v>
      </c>
      <c r="F118" s="2076"/>
      <c r="G118" s="2076"/>
      <c r="H118" s="2076"/>
      <c r="I118" s="612"/>
      <c r="J118" s="2076" t="s">
        <v>1811</v>
      </c>
      <c r="K118" s="2076"/>
      <c r="L118" s="2076"/>
      <c r="M118" s="2076"/>
      <c r="N118" s="612"/>
      <c r="O118" s="2076" t="s">
        <v>1812</v>
      </c>
      <c r="P118" s="2076"/>
      <c r="Q118" s="2076"/>
      <c r="R118" s="2076"/>
      <c r="S118" s="612"/>
      <c r="T118" s="2076" t="s">
        <v>1507</v>
      </c>
      <c r="U118" s="2076"/>
      <c r="V118" s="2076"/>
      <c r="W118" s="2076"/>
      <c r="X118" s="612"/>
      <c r="Y118" s="2076" t="s">
        <v>1813</v>
      </c>
      <c r="Z118" s="2076"/>
      <c r="AA118" s="2076"/>
      <c r="AB118" s="2076"/>
      <c r="AC118" s="612"/>
      <c r="AD118" s="2076" t="s">
        <v>1814</v>
      </c>
      <c r="AE118" s="2076"/>
      <c r="AF118" s="2076"/>
      <c r="AG118" s="20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1362</v>
      </c>
      <c r="K121" s="2078"/>
      <c r="L121" s="2078"/>
      <c r="M121" s="2078"/>
      <c r="N121" s="900"/>
      <c r="O121" s="2078">
        <v>1566</v>
      </c>
      <c r="P121" s="2078"/>
      <c r="Q121" s="2078"/>
      <c r="R121" s="2078"/>
      <c r="S121" s="900"/>
      <c r="T121" s="2078">
        <v>1862</v>
      </c>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634.43678160919546</v>
      </c>
      <c r="K124" s="2086"/>
      <c r="L124" s="2086"/>
      <c r="M124" s="2086"/>
      <c r="N124" s="900"/>
      <c r="O124" s="2086">
        <f>Application!EH649</f>
        <v>743.2045454545455</v>
      </c>
      <c r="P124" s="2086"/>
      <c r="Q124" s="2086"/>
      <c r="R124" s="2086"/>
      <c r="S124" s="904"/>
      <c r="T124" s="2086">
        <f>Application!EM649</f>
        <v>845</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0.53418738501527496</v>
      </c>
      <c r="K127" s="1883"/>
      <c r="L127" s="1883"/>
      <c r="M127" s="1884"/>
      <c r="N127" s="612"/>
      <c r="O127" s="1882">
        <f>(O121-O124)/O121</f>
        <v>0.52541216765354692</v>
      </c>
      <c r="P127" s="1883"/>
      <c r="Q127" s="1883"/>
      <c r="R127" s="1884"/>
      <c r="S127" s="612"/>
      <c r="T127" s="1882">
        <f>(T121-T124)/T121</f>
        <v>0.54618689581095592</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0.21585315712187958</v>
      </c>
      <c r="K130" s="2089"/>
      <c r="L130" s="2089"/>
      <c r="M130" s="2090"/>
      <c r="N130" s="612"/>
      <c r="O130" s="2088">
        <f>IF(((O127-0.1)*AW112)&gt;0,((O127-0.1)*AW112),0)</f>
        <v>0.10696077358146323</v>
      </c>
      <c r="P130" s="2089"/>
      <c r="Q130" s="2089"/>
      <c r="R130" s="2090"/>
      <c r="S130" s="612"/>
      <c r="T130" s="2088">
        <f>IF(((T127-0.1)*AW113)&gt;0,((T127-0.1)*AW113),0)</f>
        <v>0.1121841338038975</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0.43</v>
      </c>
      <c r="F132" s="1883"/>
      <c r="G132" s="1883"/>
      <c r="H132" s="1884"/>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9" t="s">
        <v>1487</v>
      </c>
      <c r="AF140" s="1909"/>
      <c r="AG140" s="1909"/>
      <c r="AH140" s="1909"/>
      <c r="AI140" s="1909"/>
      <c r="AJ140" s="1909"/>
      <c r="AK140" s="1909"/>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1511</v>
      </c>
      <c r="AG142" s="1976"/>
      <c r="AH142" s="1976"/>
      <c r="AI142" s="1976"/>
      <c r="AJ142" s="1976"/>
      <c r="AK142" s="1976"/>
      <c r="AL142" s="197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2778</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7" t="s">
        <v>1514</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1514</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1" t="s">
        <v>600</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7" t="s">
        <v>1516</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1525</v>
      </c>
      <c r="AG157" s="1976"/>
      <c r="AH157" s="1976"/>
      <c r="AI157" s="1976"/>
      <c r="AJ157" s="1976"/>
      <c r="AK157" s="1976"/>
      <c r="AL157" s="1976"/>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1523</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308</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600</v>
      </c>
      <c r="AD161" s="2011"/>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7" t="s">
        <v>1516</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6" t="s">
        <v>2698</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1487</v>
      </c>
      <c r="AF175" s="1909"/>
      <c r="AG175" s="1909"/>
      <c r="AH175" s="1909"/>
      <c r="AI175" s="1909"/>
      <c r="AJ175" s="1909"/>
      <c r="AK175" s="1909"/>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4" t="s">
        <v>1542</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1536</v>
      </c>
      <c r="AG177" s="1976"/>
      <c r="AH177" s="1976"/>
      <c r="AI177" s="1976"/>
      <c r="AJ177" s="1976"/>
      <c r="AK177" s="1976"/>
      <c r="AL177" s="1976"/>
      <c r="AN177" s="632"/>
      <c r="AP177" s="585" t="s">
        <v>1104</v>
      </c>
      <c r="AQ177" s="585">
        <v>10</v>
      </c>
    </row>
    <row r="178" spans="1:45" s="585" customFormat="1" ht="12.75" customHeight="1">
      <c r="A178" s="571"/>
      <c r="B178" s="2065" t="s">
        <v>1987</v>
      </c>
      <c r="C178" s="2065"/>
      <c r="D178" s="2065"/>
      <c r="E178" s="2065"/>
      <c r="F178" s="2065"/>
      <c r="G178" s="2065"/>
      <c r="H178" s="2065"/>
      <c r="I178" s="2065"/>
      <c r="J178" s="2065"/>
      <c r="K178" s="2065"/>
      <c r="L178" s="2065"/>
      <c r="M178" s="2065"/>
      <c r="N178" s="2065"/>
      <c r="O178" s="2065"/>
      <c r="P178" s="2065"/>
      <c r="Q178" s="2065"/>
      <c r="R178" s="2065"/>
      <c r="S178" s="2065"/>
      <c r="T178" s="2066" t="s">
        <v>600</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3">
        <f>IF(AK78&gt;0,VLOOKUP($B$177,AP174:AQ180,2,FALSE),0)</f>
        <v>10</v>
      </c>
      <c r="AL180" s="1904"/>
      <c r="AM180" s="1905"/>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1545</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
        <v>2779</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v>3000000</v>
      </c>
      <c r="AE188" s="2048"/>
      <c r="AF188" s="2048"/>
      <c r="AG188" s="2048"/>
      <c r="AH188" s="2048"/>
      <c r="AI188" s="2048"/>
      <c r="AJ188" s="2048"/>
      <c r="AK188" s="645"/>
    </row>
    <row r="189" spans="1:45">
      <c r="A189" s="640"/>
      <c r="B189" s="2058" t="s">
        <v>2780</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v>17425000</v>
      </c>
      <c r="AE189" s="2048"/>
      <c r="AF189" s="2048"/>
      <c r="AG189" s="2048"/>
      <c r="AH189" s="2048"/>
      <c r="AI189" s="2048"/>
      <c r="AJ189" s="2048"/>
      <c r="AK189" s="645"/>
    </row>
    <row r="190" spans="1:45">
      <c r="A190" s="640"/>
      <c r="B190" s="2058" t="s">
        <v>2781</v>
      </c>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v>453552</v>
      </c>
      <c r="AE190" s="2048"/>
      <c r="AF190" s="2048"/>
      <c r="AG190" s="2048"/>
      <c r="AH190" s="2048"/>
      <c r="AI190" s="2048"/>
      <c r="AJ190" s="2048"/>
      <c r="AK190" s="645"/>
    </row>
    <row r="191" spans="1:45">
      <c r="A191" s="640"/>
      <c r="B191" s="2058" t="s">
        <v>2782</v>
      </c>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v>237270</v>
      </c>
      <c r="AE191" s="2048"/>
      <c r="AF191" s="2048"/>
      <c r="AG191" s="2048"/>
      <c r="AH191" s="2048"/>
      <c r="AI191" s="2048"/>
      <c r="AJ191" s="2048"/>
      <c r="AK191" s="645"/>
    </row>
    <row r="192" spans="1:45">
      <c r="A192" s="640"/>
      <c r="B192" s="2058" t="s">
        <v>2783</v>
      </c>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v>1000000</v>
      </c>
      <c r="AE192" s="2048"/>
      <c r="AF192" s="2048"/>
      <c r="AG192" s="2048"/>
      <c r="AH192" s="2048"/>
      <c r="AI192" s="2048"/>
      <c r="AJ192" s="2048"/>
      <c r="AK192" s="645"/>
    </row>
    <row r="193" spans="1:37">
      <c r="A193" s="640"/>
      <c r="B193" s="2058" t="s">
        <v>2784</v>
      </c>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v>2320000</v>
      </c>
      <c r="AE193" s="2048"/>
      <c r="AF193" s="2048"/>
      <c r="AG193" s="2048"/>
      <c r="AH193" s="2048"/>
      <c r="AI193" s="2048"/>
      <c r="AJ193" s="2048"/>
      <c r="AK193" s="645"/>
    </row>
    <row r="194" spans="1:37">
      <c r="A194" s="640"/>
      <c r="B194" s="2058" t="s">
        <v>2785</v>
      </c>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v>1224388</v>
      </c>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1805</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1657896.5865184818</v>
      </c>
      <c r="AE198" s="2046"/>
      <c r="AF198" s="2046"/>
      <c r="AG198" s="2046"/>
      <c r="AH198" s="2046"/>
      <c r="AI198" s="2046"/>
      <c r="AJ198" s="2046"/>
      <c r="AK198" s="645"/>
    </row>
    <row r="199" spans="1:37">
      <c r="A199" s="640"/>
      <c r="B199" s="1921" t="s">
        <v>1768</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2">
        <f>SUM(AD188:AJ198)-AD199</f>
        <v>27318106.586518481</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1785</v>
      </c>
      <c r="J211" s="2071"/>
      <c r="K211" s="2071"/>
      <c r="L211" s="571"/>
      <c r="M211" s="571"/>
      <c r="N211" s="571"/>
      <c r="O211" s="571"/>
      <c r="P211" s="571"/>
      <c r="Q211" s="571"/>
      <c r="R211" s="571"/>
      <c r="S211" s="571"/>
      <c r="T211" s="1887" t="s">
        <v>1779</v>
      </c>
      <c r="U211" s="1887"/>
      <c r="V211" s="1887"/>
      <c r="W211" s="1887"/>
      <c r="X211" s="1887"/>
      <c r="Y211" s="1887"/>
      <c r="Z211" s="885"/>
      <c r="AA211" s="524"/>
      <c r="AB211" s="2068" t="s">
        <v>1780</v>
      </c>
      <c r="AC211" s="2068"/>
      <c r="AD211" s="2068"/>
      <c r="AE211" s="2068"/>
      <c r="AF211" s="2068"/>
      <c r="AG211" s="2068"/>
      <c r="AH211" s="863"/>
      <c r="AI211" s="863"/>
      <c r="AJ211" s="863"/>
      <c r="AK211" s="645"/>
    </row>
    <row r="212" spans="1:37">
      <c r="A212" s="640"/>
      <c r="B212" s="2069" t="s">
        <v>1765</v>
      </c>
      <c r="C212" s="2069"/>
      <c r="D212" s="2069"/>
      <c r="E212" s="2069"/>
      <c r="F212" s="2069"/>
      <c r="G212" s="2069"/>
      <c r="I212" s="2070" t="s">
        <v>1786</v>
      </c>
      <c r="J212" s="2070"/>
      <c r="K212" s="2070"/>
      <c r="L212" s="1045"/>
      <c r="N212" s="1922" t="s">
        <v>1781</v>
      </c>
      <c r="O212" s="1922"/>
      <c r="P212" s="1922"/>
      <c r="Q212" s="1922"/>
      <c r="R212" s="1922"/>
      <c r="T212" s="1922" t="s">
        <v>1782</v>
      </c>
      <c r="U212" s="1922"/>
      <c r="V212" s="1922"/>
      <c r="W212" s="1922"/>
      <c r="X212" s="1922"/>
      <c r="Y212" s="1922"/>
      <c r="Z212" s="886"/>
      <c r="AA212" s="524"/>
      <c r="AB212" s="1925" t="s">
        <v>1783</v>
      </c>
      <c r="AC212" s="1925"/>
      <c r="AD212" s="1925"/>
      <c r="AE212" s="1925"/>
      <c r="AF212" s="1925"/>
      <c r="AG212" s="1925"/>
      <c r="AH212" s="863"/>
      <c r="AI212" s="863"/>
      <c r="AJ212" s="863"/>
      <c r="AK212" s="645"/>
    </row>
    <row r="213" spans="1:37">
      <c r="A213" s="640"/>
      <c r="B213" s="1924" t="s">
        <v>2786</v>
      </c>
      <c r="C213" s="1924"/>
      <c r="D213" s="1924"/>
      <c r="E213" s="1924"/>
      <c r="F213" s="1924"/>
      <c r="G213" s="1924"/>
      <c r="H213" s="888"/>
      <c r="I213" s="1892">
        <v>10</v>
      </c>
      <c r="J213" s="1892"/>
      <c r="K213" s="1892"/>
      <c r="L213" s="1045"/>
      <c r="N213" s="1889">
        <v>585</v>
      </c>
      <c r="O213" s="1889"/>
      <c r="P213" s="1889"/>
      <c r="Q213" s="1889"/>
      <c r="R213" s="1889"/>
      <c r="T213" s="1888">
        <v>1111</v>
      </c>
      <c r="U213" s="1888"/>
      <c r="V213" s="1888"/>
      <c r="W213" s="1888"/>
      <c r="X213" s="1888"/>
      <c r="Y213" s="1888"/>
      <c r="Z213" s="887"/>
      <c r="AA213" s="887"/>
      <c r="AB213" s="1886">
        <f t="shared" ref="AB213:AB222" si="0">MAX(($T213-$N213)*$I213*12,0)</f>
        <v>63120</v>
      </c>
      <c r="AC213" s="1886"/>
      <c r="AD213" s="1886"/>
      <c r="AE213" s="1886"/>
      <c r="AF213" s="1886"/>
      <c r="AG213" s="1886"/>
      <c r="AH213" s="863"/>
      <c r="AI213" s="863"/>
      <c r="AJ213" s="863"/>
      <c r="AK213" s="645"/>
    </row>
    <row r="214" spans="1:37">
      <c r="A214" s="640"/>
      <c r="B214" s="1924" t="s">
        <v>2787</v>
      </c>
      <c r="C214" s="1924"/>
      <c r="D214" s="1924"/>
      <c r="E214" s="1924"/>
      <c r="F214" s="1924"/>
      <c r="G214" s="1924"/>
      <c r="I214" s="1892">
        <v>5</v>
      </c>
      <c r="J214" s="1892"/>
      <c r="K214" s="1892"/>
      <c r="L214" s="1045"/>
      <c r="N214" s="1889">
        <v>702</v>
      </c>
      <c r="O214" s="1889"/>
      <c r="P214" s="1889"/>
      <c r="Q214" s="1889"/>
      <c r="R214" s="1889"/>
      <c r="T214" s="1888">
        <v>1416</v>
      </c>
      <c r="U214" s="1888"/>
      <c r="V214" s="1888"/>
      <c r="W214" s="1888"/>
      <c r="X214" s="1888"/>
      <c r="Y214" s="1888"/>
      <c r="Z214" s="887"/>
      <c r="AA214" s="887"/>
      <c r="AB214" s="1886">
        <f t="shared" si="0"/>
        <v>42840</v>
      </c>
      <c r="AC214" s="1886"/>
      <c r="AD214" s="1886"/>
      <c r="AE214" s="1886"/>
      <c r="AF214" s="1886"/>
      <c r="AG214" s="1886"/>
      <c r="AH214" s="863"/>
      <c r="AI214" s="863"/>
      <c r="AJ214" s="863"/>
      <c r="AK214" s="645"/>
    </row>
    <row r="215" spans="1:37">
      <c r="A215" s="640"/>
      <c r="B215" s="1924" t="s">
        <v>2788</v>
      </c>
      <c r="C215" s="1924"/>
      <c r="D215" s="1924"/>
      <c r="E215" s="1924"/>
      <c r="F215" s="1924"/>
      <c r="G215" s="1924"/>
      <c r="I215" s="1892">
        <v>5</v>
      </c>
      <c r="J215" s="1892"/>
      <c r="K215" s="1892"/>
      <c r="L215" s="1045"/>
      <c r="N215" s="1889">
        <v>810</v>
      </c>
      <c r="O215" s="1889"/>
      <c r="P215" s="1889"/>
      <c r="Q215" s="1889"/>
      <c r="R215" s="1889"/>
      <c r="T215" s="1888">
        <v>2013</v>
      </c>
      <c r="U215" s="1888"/>
      <c r="V215" s="1888"/>
      <c r="W215" s="1888"/>
      <c r="X215" s="1888"/>
      <c r="Y215" s="1888"/>
      <c r="Z215" s="887"/>
      <c r="AA215" s="887"/>
      <c r="AB215" s="1886">
        <f t="shared" si="0"/>
        <v>72180</v>
      </c>
      <c r="AC215" s="1886"/>
      <c r="AD215" s="1886"/>
      <c r="AE215" s="1886"/>
      <c r="AF215" s="1886"/>
      <c r="AG215" s="1886"/>
      <c r="AH215" s="863"/>
      <c r="AI215" s="863"/>
      <c r="AJ215" s="863"/>
      <c r="AK215" s="645"/>
    </row>
    <row r="216" spans="1:37">
      <c r="A216" s="640"/>
      <c r="B216" s="1924" t="s">
        <v>1327</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1327</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1327</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1327</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1327</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1327</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1327</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6">
        <f>SUM(AB213:AB222)</f>
        <v>178140</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c r="AC232" s="1926"/>
      <c r="AD232" s="1926"/>
      <c r="AE232" s="1926"/>
      <c r="AF232" s="1926"/>
      <c r="AG232" s="1926"/>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c r="AC233" s="1885"/>
      <c r="AD233" s="1885"/>
      <c r="AE233" s="1885"/>
      <c r="AF233" s="1885"/>
      <c r="AG233" s="1885"/>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0</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0</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178140</v>
      </c>
      <c r="AC239" s="1886"/>
      <c r="AD239" s="1886"/>
      <c r="AE239" s="1886"/>
      <c r="AF239" s="1886"/>
      <c r="AG239" s="188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169233</v>
      </c>
      <c r="AC241" s="2057"/>
      <c r="AD241" s="2057"/>
      <c r="AE241" s="2057"/>
      <c r="AF241" s="2057"/>
      <c r="AG241" s="2057"/>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147159.13043478262</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1657896.5865184818</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27318106.586518481</v>
      </c>
      <c r="AH257" s="1900"/>
      <c r="AI257" s="1900"/>
      <c r="AJ257" s="1900"/>
      <c r="AK257" s="1900"/>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76250000</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0.35</v>
      </c>
      <c r="AH259" s="2045"/>
      <c r="AI259" s="2045"/>
      <c r="AJ259" s="2045"/>
      <c r="AK259" s="2045"/>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4">
        <f>IFERROR(IF(AG259=0,0,IF((AG259*100)&gt;8,8,(AG259*100))),0)</f>
        <v>8</v>
      </c>
      <c r="AL262" s="2034"/>
      <c r="AM262" s="2035"/>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18" t="s">
        <v>554</v>
      </c>
      <c r="D267" s="1918"/>
      <c r="E267" s="582"/>
      <c r="F267" s="1869" t="s">
        <v>2423</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1536</v>
      </c>
      <c r="AH267" s="2043"/>
      <c r="AI267" s="2043"/>
      <c r="AJ267" s="2043"/>
      <c r="AK267" s="585"/>
      <c r="AL267" s="585"/>
      <c r="AM267" s="585"/>
      <c r="AO267" s="585"/>
    </row>
    <row r="268" spans="1:52" ht="13.65"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65"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4">
        <f>IF($C$267="yes",10,0)</f>
        <v>10</v>
      </c>
      <c r="AL274" s="2034"/>
      <c r="AM274" s="2035"/>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2" t="s">
        <v>1555</v>
      </c>
      <c r="B281" s="1622"/>
      <c r="C281" s="2011" t="s">
        <v>600</v>
      </c>
      <c r="D281" s="1918"/>
      <c r="E281" s="582"/>
      <c r="F281" s="2036" t="s">
        <v>1556</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2416</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5" t="s">
        <v>2424</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1557</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1558</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2" t="s">
        <v>1559</v>
      </c>
      <c r="B291" s="1622"/>
      <c r="C291" s="1918" t="s">
        <v>554</v>
      </c>
      <c r="D291" s="1918"/>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8" t="s">
        <v>2418</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2" t="s">
        <v>1562</v>
      </c>
      <c r="B299" s="1622"/>
      <c r="C299" s="1918" t="s">
        <v>600</v>
      </c>
      <c r="D299" s="1918"/>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5" t="s">
        <v>2425</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1327</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1327</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7" t="s">
        <v>1327</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7" t="s">
        <v>1327</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2" t="s">
        <v>1565</v>
      </c>
      <c r="B322" s="1622"/>
      <c r="C322" s="1918" t="s">
        <v>600</v>
      </c>
      <c r="D322" s="1918"/>
      <c r="E322" s="582"/>
      <c r="F322" s="2015" t="s">
        <v>2426</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3">
        <f>IF(NOT(OR(Application!M354="Yes",Application!M355="Yes")),0,AP284)</f>
        <v>9</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09" t="s">
        <v>1487</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1627</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45"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2517</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2128</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1628</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2"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0</v>
      </c>
      <c r="AS346" s="574" t="s">
        <v>1629</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7</v>
      </c>
      <c r="AS348" s="574" t="s">
        <v>1630</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0</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590</v>
      </c>
      <c r="AP350" s="731">
        <f>IF(C396="Yes",5,0)</f>
        <v>0</v>
      </c>
      <c r="AS350" s="574" t="s">
        <v>2145</v>
      </c>
    </row>
    <row r="351" spans="1:46" s="585" customFormat="1" ht="12.75" customHeight="1">
      <c r="A351" s="638"/>
      <c r="B351" s="646"/>
      <c r="C351" s="2007" t="s">
        <v>1631</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3</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5"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228</v>
      </c>
      <c r="AP355" s="735">
        <f>SUM(AP346:AP354)</f>
        <v>10</v>
      </c>
      <c r="AQ355" s="1916">
        <f>IF(AP355&gt;0,AP355,0)</f>
        <v>10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3" t="s">
        <v>1632</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465</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470</v>
      </c>
      <c r="AP359" s="731">
        <f>IF(C438="Yes",5,0)</f>
        <v>0</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655</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4">
        <f>Application!CS649-U363</f>
        <v>307</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5">
        <f>Application!AG742</f>
        <v>0</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16">
        <f>IF(AP364&gt;0,AP364,0)</f>
        <v>0</v>
      </c>
      <c r="AR364" s="191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7" t="s">
        <v>1637</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600</v>
      </c>
      <c r="D370" s="1918"/>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1639</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7" t="s">
        <v>1640</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600</v>
      </c>
      <c r="D378" s="1918"/>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1639</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7" t="s">
        <v>1642</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554</v>
      </c>
      <c r="D386" s="1918"/>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1644</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600</v>
      </c>
      <c r="D388" s="1918"/>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1639</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7" t="s">
        <v>1648</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600</v>
      </c>
      <c r="D396" s="1918"/>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1639</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554</v>
      </c>
      <c r="D398" s="1918"/>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1651</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600</v>
      </c>
      <c r="D401" s="1918"/>
      <c r="E401" s="750" t="s">
        <v>1652</v>
      </c>
      <c r="F401" s="1907" t="s">
        <v>1653</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1639</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7" t="s">
        <v>1655</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600</v>
      </c>
      <c r="D410" s="1918"/>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1639</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600</v>
      </c>
      <c r="D412" s="1918"/>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1651</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7" t="s">
        <v>1660</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45"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600</v>
      </c>
      <c r="D419" s="1918"/>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1639</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07" t="s">
        <v>1663</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600</v>
      </c>
      <c r="D431" s="1918"/>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1639</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7" t="s">
        <v>1666</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1669</v>
      </c>
      <c r="AP437" s="585">
        <v>5</v>
      </c>
      <c r="AQ437" s="571"/>
    </row>
    <row r="438" spans="1:54" s="585" customFormat="1" ht="12.75" customHeight="1">
      <c r="A438" s="571"/>
      <c r="B438" s="14"/>
      <c r="C438" s="1917" t="s">
        <v>600</v>
      </c>
      <c r="D438" s="1918"/>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1639</v>
      </c>
      <c r="AG438" s="1976"/>
      <c r="AH438" s="1976"/>
      <c r="AI438" s="1976"/>
      <c r="AJ438" s="1976"/>
      <c r="AK438" s="1976"/>
      <c r="AL438" s="2006"/>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1" t="s">
        <v>600</v>
      </c>
      <c r="D442" s="2032"/>
      <c r="E442" s="750" t="s">
        <v>1675</v>
      </c>
      <c r="F442" s="1907" t="s">
        <v>1676</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1639</v>
      </c>
      <c r="AG442" s="2002"/>
      <c r="AH442" s="2002"/>
      <c r="AI442" s="2002"/>
      <c r="AJ442" s="2002"/>
      <c r="AK442" s="2002"/>
      <c r="AL442" s="2003"/>
      <c r="AM442" s="605"/>
      <c r="AN442" s="789"/>
      <c r="AO442" s="585" t="s">
        <v>1677</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7" t="s">
        <v>600</v>
      </c>
      <c r="D446" s="1918"/>
      <c r="E446" s="750" t="s">
        <v>1681</v>
      </c>
      <c r="F446" s="1907" t="s">
        <v>1682</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1639</v>
      </c>
      <c r="AG446" s="2002"/>
      <c r="AH446" s="2002"/>
      <c r="AI446" s="2002"/>
      <c r="AJ446" s="2002"/>
      <c r="AK446" s="2002"/>
      <c r="AL446" s="2003"/>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7" t="s">
        <v>1685</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600</v>
      </c>
      <c r="D455" s="1918"/>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1639</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6" t="s">
        <v>1689</v>
      </c>
      <c r="AF461" s="1906"/>
      <c r="AG461" s="1906"/>
      <c r="AH461" s="1906"/>
      <c r="AI461" s="1906"/>
      <c r="AJ461" s="1906"/>
      <c r="AK461" s="1906"/>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3" t="s">
        <v>600</v>
      </c>
      <c r="D467" s="1984"/>
      <c r="E467" s="797" t="s">
        <v>516</v>
      </c>
      <c r="F467" s="2004" t="s">
        <v>1695</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1677</v>
      </c>
      <c r="AP468" s="585">
        <v>1</v>
      </c>
    </row>
    <row r="469" spans="1:50" s="585" customFormat="1" ht="12.75" hidden="1" customHeight="1">
      <c r="C469" s="800"/>
      <c r="D469" s="762"/>
      <c r="E469" s="801"/>
      <c r="F469" s="1999" t="s">
        <v>600</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0" t="s">
        <v>554</v>
      </c>
      <c r="D471" s="2001"/>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2" t="s">
        <v>600</v>
      </c>
      <c r="W474" s="1912"/>
      <c r="X474" s="191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2" t="s">
        <v>600</v>
      </c>
      <c r="W476" s="1912"/>
      <c r="X476" s="191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2" t="s">
        <v>600</v>
      </c>
      <c r="W481" s="1912"/>
      <c r="X481" s="191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6"/>
      <c r="E484" s="1986"/>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2" t="s">
        <v>600</v>
      </c>
      <c r="W485" s="1912"/>
      <c r="X485" s="191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2" t="s">
        <v>600</v>
      </c>
      <c r="W487" s="1912"/>
      <c r="X487" s="191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600</v>
      </c>
      <c r="D490" s="1984"/>
      <c r="E490" s="797" t="s">
        <v>516</v>
      </c>
      <c r="F490" s="2004" t="s">
        <v>1695</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600</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600</v>
      </c>
      <c r="D494" s="1984"/>
      <c r="E494" s="797" t="s">
        <v>769</v>
      </c>
      <c r="F494" s="1992" t="s">
        <v>1717</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4" t="s">
        <v>600</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3" t="s">
        <v>600</v>
      </c>
      <c r="D499" s="1984"/>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85"/>
      <c r="D501" s="1986"/>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87" t="s">
        <v>600</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600</v>
      </c>
      <c r="D504" s="1989"/>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600</v>
      </c>
      <c r="D508" s="1989"/>
      <c r="F508" s="831" t="s">
        <v>1725</v>
      </c>
      <c r="G508" s="1908" t="s">
        <v>1726</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600</v>
      </c>
      <c r="D512" s="1996"/>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600</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1738</v>
      </c>
      <c r="AF527" s="1909"/>
      <c r="AG527" s="1909"/>
      <c r="AH527" s="1909"/>
      <c r="AI527" s="1909"/>
      <c r="AJ527" s="1909"/>
      <c r="AK527" s="1909"/>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554</v>
      </c>
      <c r="D530" s="1918"/>
      <c r="E530" s="586"/>
      <c r="F530" s="1977" t="s">
        <v>1739</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600</v>
      </c>
      <c r="D533" s="1918"/>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1741</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1742</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79982320</v>
      </c>
      <c r="AQ539" s="1890"/>
      <c r="AR539" s="1890"/>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70367685</v>
      </c>
      <c r="AG540" s="1900"/>
      <c r="AH540" s="1900"/>
      <c r="AI540" s="1900"/>
      <c r="AJ540" s="1900"/>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164535193</v>
      </c>
      <c r="AG541" s="1901"/>
      <c r="AH541" s="1901"/>
      <c r="AI541" s="1901"/>
      <c r="AJ541" s="1901"/>
      <c r="AK541" s="630"/>
      <c r="AL541" s="630"/>
      <c r="AM541" s="630"/>
      <c r="AN541" s="632"/>
      <c r="AP541" s="1890">
        <f>Application!AJ1010</f>
        <v>31992928</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0.56999999999999995</v>
      </c>
      <c r="AG542" s="1902"/>
      <c r="AH542" s="1902"/>
      <c r="AI542" s="1902"/>
      <c r="AJ542" s="1902"/>
      <c r="AK542" s="630"/>
      <c r="AL542" s="630"/>
      <c r="AM542" s="630"/>
      <c r="AN542" s="632"/>
      <c r="AP542" s="1891">
        <f>Application!AJ1014</f>
        <v>31992928</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0.8</v>
      </c>
      <c r="AQ543" s="1910"/>
      <c r="AR543" s="1910"/>
    </row>
    <row r="544" spans="1:49" s="585" customFormat="1" ht="12.75" customHeight="1">
      <c r="A544" s="659"/>
      <c r="B544" s="1956" t="s">
        <v>2430</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100549337</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164535193</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5">
        <f>IFERROR(IF(AND(C530="N/A",C533="N/A"),0,IF(AF542=0,0,IF((AF542*100)&gt;12,12,(AF542*100)))),0)</f>
        <v>12</v>
      </c>
      <c r="AL548" s="1965"/>
      <c r="AM548" s="1966"/>
      <c r="AN548" s="632"/>
      <c r="AP548" s="1879">
        <f>AP545+(AP539*AP543)</f>
        <v>164535193</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1487</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2421</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1511</v>
      </c>
      <c r="AG567" s="1976"/>
      <c r="AH567" s="1976"/>
      <c r="AI567" s="1976"/>
      <c r="AJ567" s="1976"/>
      <c r="AK567" s="1976"/>
      <c r="AL567" s="1976"/>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1569</v>
      </c>
      <c r="AG574" s="1976"/>
      <c r="AH574" s="1976"/>
      <c r="AI574" s="1976"/>
      <c r="AJ574" s="1976"/>
      <c r="AK574" s="1976"/>
      <c r="AL574" s="1976"/>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1551</v>
      </c>
      <c r="AG580" s="1976"/>
      <c r="AH580" s="1976"/>
      <c r="AI580" s="1976"/>
      <c r="AJ580" s="1976"/>
      <c r="AK580" s="1976"/>
      <c r="AL580" s="1976"/>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1572</v>
      </c>
      <c r="AG586" s="1976"/>
      <c r="AH586" s="1976"/>
      <c r="AI586" s="1976"/>
      <c r="AJ586" s="1976"/>
      <c r="AK586" s="1976"/>
      <c r="AL586" s="1976"/>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4" t="s">
        <v>1327</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1525</v>
      </c>
      <c r="AG592" s="1976"/>
      <c r="AH592" s="1976"/>
      <c r="AI592" s="1976"/>
      <c r="AJ592" s="1976"/>
      <c r="AK592" s="1976"/>
      <c r="AL592" s="1976"/>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0" t="s">
        <v>697</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1" t="s">
        <v>600</v>
      </c>
      <c r="C605" s="2011"/>
      <c r="D605" s="677"/>
      <c r="E605" s="1896" t="s">
        <v>1576</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3">
        <f>VLOOKUP($H$595,$AO$575:$AP$580,2,FALSE)+VLOOKUP($I$603,$AO$602:$AP$604,2,FALSE)</f>
        <v>7</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2" t="s">
        <v>1955</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1525</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1" t="s">
        <v>600</v>
      </c>
      <c r="Y623" s="201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1581</v>
      </c>
      <c r="AG625" s="1976"/>
      <c r="AH625" s="1976"/>
      <c r="AI625" s="1976"/>
      <c r="AJ625" s="1976"/>
      <c r="AK625" s="1976"/>
      <c r="AL625" s="1976"/>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0" t="s">
        <v>697</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3">
        <f>VLOOKUP($H$627,$AO$594:$AP$596,2,FALSE)</f>
        <v>3</v>
      </c>
      <c r="AK629" s="1905"/>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6" t="s">
        <v>2525</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1525</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1581</v>
      </c>
      <c r="AG636" s="1976"/>
      <c r="AH636" s="1976"/>
      <c r="AI636" s="1976"/>
      <c r="AJ636" s="1976"/>
      <c r="AK636" s="1976"/>
      <c r="AL636" s="1976"/>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0" t="s">
        <v>600</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3">
        <f>VLOOKUP(H639,AT594:AU596,2,FALSE)</f>
        <v>0</v>
      </c>
      <c r="AK641" s="1905"/>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6" t="s">
        <v>1591</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1551</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6" t="s">
        <v>1592</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1572</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6" t="s">
        <v>1593</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1525</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600</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6" t="s">
        <v>1594</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1572</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6" t="s">
        <v>1595</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1525</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6" t="s">
        <v>1596</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1581</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6" t="s">
        <v>1597</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1598</v>
      </c>
      <c r="AG670" s="1976"/>
      <c r="AH670" s="1976"/>
      <c r="AI670" s="1976"/>
      <c r="AJ670" s="1976"/>
      <c r="AK670" s="1976"/>
      <c r="AL670" s="1976"/>
      <c r="AM670" s="631"/>
      <c r="AN670" s="632"/>
      <c r="AO670" s="646" t="s">
        <v>697</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0" t="s">
        <v>600</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3">
        <f>VLOOKUP($H$674,$AO$622:$AP$629,2,FALSE)</f>
        <v>0</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6" t="s">
        <v>2562</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1525</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6" t="s">
        <v>2563</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1581</v>
      </c>
      <c r="AG685" s="1976"/>
      <c r="AH685" s="1976"/>
      <c r="AI685" s="1976"/>
      <c r="AJ685" s="1976"/>
      <c r="AK685" s="1976"/>
      <c r="AL685" s="1976"/>
      <c r="AN685" s="632"/>
      <c r="AO685" s="646" t="s">
        <v>518</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1954</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0" t="s">
        <v>697</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3">
        <f>VLOOKUP($H$694,$AO$641:$AP$643,2,FALSE)</f>
        <v>3</v>
      </c>
      <c r="AK696" s="1905"/>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9" t="s">
        <v>1956</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1525</v>
      </c>
      <c r="AG700" s="1976"/>
      <c r="AH700" s="1976"/>
      <c r="AI700" s="1976"/>
      <c r="AJ700" s="1976"/>
      <c r="AK700" s="1976"/>
      <c r="AL700" s="1976"/>
      <c r="AM700" s="585"/>
      <c r="AN700" s="719"/>
      <c r="AP700" s="605" t="s">
        <v>1605</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518</v>
      </c>
      <c r="E704" s="2010" t="s">
        <v>1608</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1581</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1573</v>
      </c>
      <c r="E708" s="973"/>
      <c r="F708" s="973"/>
      <c r="G708" s="973"/>
      <c r="H708" s="1920" t="s">
        <v>600</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3">
        <f>VLOOKUP($H$708,$AO$641:$AP$643,2,FALSE)</f>
        <v>0</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6" t="s">
        <v>1957</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1525</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6" t="s">
        <v>1612</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1581</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0" t="s">
        <v>600</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3">
        <f>VLOOKUP($H$720,$AO$655:$AP$657,2,FALSE)</f>
        <v>0</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6" t="s">
        <v>1615</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1525</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6" t="s">
        <v>1616</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1581</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0" t="s">
        <v>697</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3">
        <f>VLOOKUP($H$736,$AO$669:$AP$671,2,FALSE)</f>
        <v>3</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6" t="s">
        <v>1618</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1581</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6" t="s">
        <v>1619</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1598</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0" t="s">
        <v>600</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3">
        <f>VLOOKUP($H$748,$AO$683:$AP$685,2,FALSE)</f>
        <v>0</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697</v>
      </c>
      <c r="E754" s="1896" t="s">
        <v>1953</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1581</v>
      </c>
      <c r="AG754" s="1976"/>
      <c r="AH754" s="1976"/>
      <c r="AI754" s="1976"/>
      <c r="AJ754" s="1976"/>
      <c r="AK754" s="1976"/>
      <c r="AL754" s="1976"/>
      <c r="AM754" s="648"/>
      <c r="AN754" s="719"/>
    </row>
    <row r="755" spans="1:81" s="605" customFormat="1" ht="13.65"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8" t="s">
        <v>1958</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1525</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0" t="s">
        <v>600</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697</v>
      </c>
      <c r="E770" s="1896" t="s">
        <v>2431</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1525</v>
      </c>
      <c r="AG770" s="1976"/>
      <c r="AH770" s="1976"/>
      <c r="AI770" s="1976"/>
      <c r="AJ770" s="1976"/>
      <c r="AK770" s="1976"/>
      <c r="AL770" s="1976"/>
      <c r="AM770" s="648"/>
      <c r="AN770" s="719"/>
      <c r="AO770" s="646" t="s">
        <v>554</v>
      </c>
      <c r="AP770" s="585">
        <v>3</v>
      </c>
      <c r="AT770" s="709"/>
      <c r="AU770" s="709"/>
      <c r="AV770" s="709"/>
      <c r="AW770" s="709"/>
      <c r="AX770" s="709"/>
      <c r="AY770" s="709"/>
      <c r="AZ770" s="709"/>
    </row>
    <row r="771" spans="1:81" s="605" customFormat="1" ht="13.65"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0" t="s">
        <v>600</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3">
        <f>VLOOKUP($H$775,$AO$769:$AP$770,2,FALSE)</f>
        <v>0</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1746</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1747</v>
      </c>
      <c r="U787" s="1971"/>
      <c r="V787" s="1971"/>
      <c r="W787" s="1971"/>
      <c r="X787" s="1971"/>
      <c r="Y787" s="1972"/>
      <c r="Z787" s="1970" t="s">
        <v>1748</v>
      </c>
      <c r="AA787" s="1971"/>
      <c r="AB787" s="1971"/>
      <c r="AC787" s="1971"/>
      <c r="AD787" s="1971"/>
      <c r="AE787" s="1972"/>
      <c r="AF787" s="1970" t="s">
        <v>1749</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769</v>
      </c>
      <c r="B789" s="1927" t="s">
        <v>1477</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1719</v>
      </c>
      <c r="B790" s="1927" t="s">
        <v>1486</v>
      </c>
      <c r="C790" s="1927"/>
      <c r="D790" s="1927"/>
      <c r="E790" s="1927"/>
      <c r="F790" s="1927"/>
      <c r="G790" s="1927"/>
      <c r="H790" s="1927"/>
      <c r="I790" s="1927"/>
      <c r="J790" s="1927"/>
      <c r="K790" s="1927"/>
      <c r="L790" s="1927"/>
      <c r="M790" s="1927"/>
      <c r="N790" s="1927"/>
      <c r="O790" s="1927"/>
      <c r="P790" s="1927"/>
      <c r="Q790" s="1927"/>
      <c r="R790" s="1927"/>
      <c r="S790" s="1928"/>
      <c r="T790" s="1955">
        <f>AK78</f>
        <v>10</v>
      </c>
      <c r="U790" s="1931"/>
      <c r="V790" s="1931"/>
      <c r="W790" s="1931"/>
      <c r="X790" s="1931"/>
      <c r="Y790" s="1932"/>
      <c r="Z790" s="1930">
        <v>10</v>
      </c>
      <c r="AA790" s="1931"/>
      <c r="AB790" s="1931"/>
      <c r="AC790" s="1931"/>
      <c r="AD790" s="1931"/>
      <c r="AE790" s="1932"/>
      <c r="AF790" s="1916">
        <f>IF(T790&gt;Z790,Z790,T790)</f>
        <v>10</v>
      </c>
      <c r="AG790" s="1916"/>
      <c r="AH790" s="1916"/>
      <c r="AI790" s="1916"/>
      <c r="AJ790" s="1916"/>
      <c r="AK790" s="1916"/>
      <c r="AL790" s="854"/>
      <c r="AM790" s="631"/>
      <c r="AO790" s="852"/>
      <c r="AP790" s="852"/>
      <c r="AQ790" s="852"/>
    </row>
    <row r="791" spans="1:81">
      <c r="A791" s="855" t="s">
        <v>1728</v>
      </c>
      <c r="B791" s="1927" t="s">
        <v>1496</v>
      </c>
      <c r="C791" s="1927"/>
      <c r="D791" s="1927"/>
      <c r="E791" s="1927"/>
      <c r="F791" s="1927"/>
      <c r="G791" s="1927"/>
      <c r="H791" s="1927"/>
      <c r="I791" s="1927"/>
      <c r="J791" s="1927"/>
      <c r="K791" s="1927"/>
      <c r="L791" s="1927"/>
      <c r="M791" s="1927"/>
      <c r="N791" s="1927"/>
      <c r="O791" s="1927"/>
      <c r="P791" s="1927"/>
      <c r="Q791" s="1927"/>
      <c r="R791" s="1927"/>
      <c r="S791" s="1928"/>
      <c r="T791" s="1955">
        <f ca="1">AK103</f>
        <v>20</v>
      </c>
      <c r="U791" s="1931"/>
      <c r="V791" s="1931"/>
      <c r="W791" s="1931"/>
      <c r="X791" s="1931"/>
      <c r="Y791" s="1932"/>
      <c r="Z791" s="1930">
        <v>20</v>
      </c>
      <c r="AA791" s="1931"/>
      <c r="AB791" s="1931"/>
      <c r="AC791" s="1931"/>
      <c r="AD791" s="1931"/>
      <c r="AE791" s="1932"/>
      <c r="AF791" s="1916">
        <f ca="1">IF(T791&gt;Z791,Z791,T791)</f>
        <v>20</v>
      </c>
      <c r="AG791" s="1916"/>
      <c r="AH791" s="1916"/>
      <c r="AI791" s="1916"/>
      <c r="AJ791" s="1916"/>
      <c r="AK791" s="1916"/>
      <c r="AL791" s="854"/>
      <c r="AM791" s="631"/>
      <c r="AO791" s="852"/>
      <c r="AP791" s="852"/>
      <c r="AQ791" s="852"/>
    </row>
    <row r="792" spans="1:81">
      <c r="A792" s="855" t="s">
        <v>1750</v>
      </c>
      <c r="B792" s="1927" t="s">
        <v>1506</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1751</v>
      </c>
      <c r="B793" s="1927" t="s">
        <v>1752</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1753</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1754</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1534</v>
      </c>
      <c r="B796" s="1927" t="s">
        <v>1755</v>
      </c>
      <c r="C796" s="1927"/>
      <c r="D796" s="1927"/>
      <c r="E796" s="1927"/>
      <c r="F796" s="1927"/>
      <c r="G796" s="1927"/>
      <c r="H796" s="1927"/>
      <c r="I796" s="1927"/>
      <c r="J796" s="1927"/>
      <c r="K796" s="1927"/>
      <c r="L796" s="1927"/>
      <c r="M796" s="1927"/>
      <c r="N796" s="1927"/>
      <c r="O796" s="1927"/>
      <c r="P796" s="1927"/>
      <c r="Q796" s="1927"/>
      <c r="R796" s="1927"/>
      <c r="S796" s="1928"/>
      <c r="T796" s="1929">
        <f>AK180</f>
        <v>10</v>
      </c>
      <c r="U796" s="1929"/>
      <c r="V796" s="1929"/>
      <c r="W796" s="1929"/>
      <c r="X796" s="1929"/>
      <c r="Y796" s="1929"/>
      <c r="Z796" s="1916">
        <v>10</v>
      </c>
      <c r="AA796" s="1916"/>
      <c r="AB796" s="1916"/>
      <c r="AC796" s="1916"/>
      <c r="AD796" s="1916"/>
      <c r="AE796" s="1916"/>
      <c r="AF796" s="1916">
        <f>IF(T796&gt;Z796,Z796,T796)</f>
        <v>10</v>
      </c>
      <c r="AG796" s="1916"/>
      <c r="AH796" s="1916"/>
      <c r="AI796" s="1916"/>
      <c r="AJ796" s="1916"/>
      <c r="AK796" s="1916"/>
      <c r="AL796" s="854"/>
      <c r="AM796" s="631"/>
    </row>
    <row r="797" spans="1:81">
      <c r="A797" s="855" t="s">
        <v>1543</v>
      </c>
      <c r="B797" s="1927" t="s">
        <v>1544</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598</v>
      </c>
      <c r="B798" s="1927" t="s">
        <v>1756</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7" t="s">
        <v>1757</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7" t="s">
        <v>1554</v>
      </c>
      <c r="C800" s="1927"/>
      <c r="D800" s="1927"/>
      <c r="E800" s="1927"/>
      <c r="F800" s="1927"/>
      <c r="G800" s="1927"/>
      <c r="H800" s="1927"/>
      <c r="I800" s="1927"/>
      <c r="J800" s="1927"/>
      <c r="K800" s="1927"/>
      <c r="L800" s="1927"/>
      <c r="M800" s="1927"/>
      <c r="N800" s="1927"/>
      <c r="O800" s="1927"/>
      <c r="P800" s="1927"/>
      <c r="Q800" s="1927"/>
      <c r="R800" s="1927"/>
      <c r="S800" s="1928"/>
      <c r="T800" s="1929">
        <f>AK327</f>
        <v>9</v>
      </c>
      <c r="U800" s="1929"/>
      <c r="V800" s="1929"/>
      <c r="W800" s="1929"/>
      <c r="X800" s="1929"/>
      <c r="Y800" s="1929"/>
      <c r="Z800" s="1938">
        <v>10</v>
      </c>
      <c r="AA800" s="1939"/>
      <c r="AB800" s="1939"/>
      <c r="AC800" s="1939"/>
      <c r="AD800" s="1939"/>
      <c r="AE800" s="1940"/>
      <c r="AF800" s="1938">
        <f>IF(T800&gt;Z800,Z800,T800)</f>
        <v>9</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5">
        <f>AK327</f>
        <v>9</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7" t="s">
        <v>873</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7" t="s">
        <v>1737</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7" t="s">
        <v>1759</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1760</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1761</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3" t="s">
        <v>1762</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 ca="1">SUM(AF789:AK804)-AF805</f>
        <v>119</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89" sqref="H89"/>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5" t="s">
        <v>1763</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35330452</v>
      </c>
      <c r="I3" s="1154"/>
    </row>
    <row r="4" spans="1:13" s="1095" customFormat="1" ht="20.100000000000001" customHeight="1">
      <c r="B4" s="1143"/>
      <c r="D4" s="1157"/>
      <c r="F4" s="1141" t="s">
        <v>2386</v>
      </c>
      <c r="G4" s="1140" t="s">
        <v>2385</v>
      </c>
      <c r="H4" s="1142">
        <f>I16</f>
        <v>52798657.634722218</v>
      </c>
      <c r="I4" s="1144"/>
      <c r="K4" s="1099"/>
    </row>
    <row r="5" spans="1:13" s="1095" customFormat="1" ht="20.100000000000001" customHeight="1" thickBot="1">
      <c r="B5" s="1145"/>
      <c r="C5" s="1146"/>
      <c r="D5" s="1158"/>
      <c r="E5" s="1147"/>
      <c r="F5" s="1158" t="s">
        <v>2326</v>
      </c>
      <c r="G5" s="1159"/>
      <c r="H5" s="1155">
        <f>H3/H4</f>
        <v>0.66915436078748858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2324</v>
      </c>
      <c r="C8" s="2127"/>
      <c r="D8" s="2127"/>
      <c r="E8" s="2128"/>
      <c r="G8" s="2129" t="s">
        <v>2325</v>
      </c>
      <c r="H8" s="2130"/>
      <c r="I8" s="2131"/>
      <c r="K8" s="1101"/>
    </row>
    <row r="9" spans="1:13" ht="15" customHeight="1">
      <c r="A9" s="1090"/>
      <c r="B9" s="2120" t="s">
        <v>2363</v>
      </c>
      <c r="C9" s="2120"/>
      <c r="D9" s="2120"/>
      <c r="E9" s="1103">
        <f>G31</f>
        <v>10400000</v>
      </c>
      <c r="G9" s="2123" t="s">
        <v>2361</v>
      </c>
      <c r="H9" s="2123"/>
      <c r="I9" s="1104">
        <f>Application!AM550</f>
        <v>39978225</v>
      </c>
      <c r="K9" s="1105"/>
      <c r="M9" s="1106"/>
    </row>
    <row r="10" spans="1:13" ht="15" customHeight="1" thickBot="1">
      <c r="A10" s="1090"/>
      <c r="B10" s="2120" t="s">
        <v>2364</v>
      </c>
      <c r="C10" s="2120"/>
      <c r="D10" s="2120"/>
      <c r="E10" s="1104">
        <f>G40</f>
        <v>10690452.000000002</v>
      </c>
      <c r="G10" s="2123" t="s">
        <v>2327</v>
      </c>
      <c r="H10" s="2123"/>
      <c r="I10" s="1191">
        <f>'Basis &amp; Credits'!AB77</f>
        <v>21110306</v>
      </c>
      <c r="M10" s="1106"/>
    </row>
    <row r="11" spans="1:13" ht="15" customHeight="1">
      <c r="A11" s="1107"/>
      <c r="B11" s="2120" t="s">
        <v>2365</v>
      </c>
      <c r="C11" s="2120"/>
      <c r="D11" s="2120"/>
      <c r="E11" s="1104">
        <f>G49</f>
        <v>0</v>
      </c>
      <c r="G11" s="2123" t="s">
        <v>2376</v>
      </c>
      <c r="H11" s="2123"/>
      <c r="I11" s="1190">
        <f>I9+I10</f>
        <v>61088531</v>
      </c>
      <c r="M11" s="1106"/>
    </row>
    <row r="12" spans="1:13" ht="15" customHeight="1">
      <c r="A12" s="1093"/>
      <c r="B12" s="2120" t="s">
        <v>2366</v>
      </c>
      <c r="C12" s="2120"/>
      <c r="D12" s="2120"/>
      <c r="E12" s="1104">
        <f>G58</f>
        <v>720000</v>
      </c>
      <c r="G12" s="1192" t="s">
        <v>2401</v>
      </c>
      <c r="H12" s="1193"/>
      <c r="M12" s="1106"/>
    </row>
    <row r="13" spans="1:13" ht="15" customHeight="1">
      <c r="A13" s="1090"/>
      <c r="B13" s="2120" t="s">
        <v>2367</v>
      </c>
      <c r="C13" s="2120"/>
      <c r="D13" s="2120"/>
      <c r="E13" s="1109">
        <f>G83</f>
        <v>13520000</v>
      </c>
      <c r="G13" s="2124" t="s">
        <v>140</v>
      </c>
      <c r="H13" s="2124"/>
      <c r="I13" s="1108">
        <f>15%*(Application!AJ963&gt;0)</f>
        <v>0.15</v>
      </c>
      <c r="M13" s="1106"/>
    </row>
    <row r="14" spans="1:13" ht="15" customHeight="1">
      <c r="A14" s="1090"/>
      <c r="B14" s="2120" t="s">
        <v>2368</v>
      </c>
      <c r="C14" s="2120"/>
      <c r="D14" s="2120"/>
      <c r="E14" s="1104">
        <f>IF(G96&gt;G106,G96,0)</f>
        <v>0</v>
      </c>
      <c r="G14" s="1188" t="s">
        <v>2377</v>
      </c>
      <c r="H14" s="1188"/>
      <c r="I14" s="1108">
        <f>IF(Application!AJ997&gt;0,10%,IF(Application!AJ1001&gt;0,5%,0))</f>
        <v>0</v>
      </c>
      <c r="M14" s="1106"/>
    </row>
    <row r="15" spans="1:13" ht="15" customHeight="1" thickBot="1">
      <c r="A15" s="1090"/>
      <c r="B15" s="2121" t="s">
        <v>2387</v>
      </c>
      <c r="C15" s="2121"/>
      <c r="D15" s="2121"/>
      <c r="E15" s="1160">
        <f>IF(E14&gt;0,0,G106)</f>
        <v>0</v>
      </c>
      <c r="G15" s="2118" t="s">
        <v>2378</v>
      </c>
      <c r="H15" s="2119"/>
      <c r="I15" s="1162">
        <f>G114</f>
        <v>-1.4297385620915032E-2</v>
      </c>
      <c r="M15" s="1106"/>
    </row>
    <row r="16" spans="1:13" ht="15" customHeight="1">
      <c r="A16" s="1090"/>
      <c r="B16" s="2122" t="s">
        <v>2323</v>
      </c>
      <c r="C16" s="2122"/>
      <c r="D16" s="2122"/>
      <c r="E16" s="1161">
        <f>SUM(E9:E15)</f>
        <v>35330452</v>
      </c>
      <c r="G16" s="1189" t="s">
        <v>2362</v>
      </c>
      <c r="H16" s="1189"/>
      <c r="I16" s="1163">
        <f>I11-((I11*I13)+(I11*I14)+(I11*I15))</f>
        <v>52798657.634722218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175</v>
      </c>
      <c r="O18" s="1133" t="s">
        <v>591</v>
      </c>
      <c r="P18" s="1088">
        <f>MATCH(Application!T189,Application!BP656:BP713,0)</f>
        <v>51</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16" t="s">
        <v>2380</v>
      </c>
      <c r="D20" s="2116" t="s">
        <v>2381</v>
      </c>
      <c r="E20" s="2116" t="s">
        <v>2382</v>
      </c>
      <c r="F20" s="2116" t="s">
        <v>2383</v>
      </c>
      <c r="G20" s="2116" t="s">
        <v>2379</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926</v>
      </c>
      <c r="R20" s="1110">
        <f>IF(Cdlac[[#This Row],[Quantity]]&gt;0,MAX(0,Cdlac[[#This Row],[Fair Market Rent]]-Cdlac[[#This Row],[Restricted Rent]]),"")</f>
        <v>487.40000000000003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7"/>
      <c r="D21" s="2117"/>
      <c r="E21" s="2117"/>
      <c r="F21" s="2117"/>
      <c r="G21" s="2117"/>
      <c r="H21" s="1117"/>
      <c r="I21" s="1116"/>
      <c r="L21" s="1088">
        <f>IFERROR(MIN(4,MATCH(Application!B715,UnitSizes,0)-1),"")</f>
        <v>1</v>
      </c>
      <c r="M21" s="1110">
        <f>Application!G715</f>
        <v>8</v>
      </c>
      <c r="N21" s="1118">
        <f>Application!AC715</f>
        <v>0.3</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926</v>
      </c>
      <c r="R21" s="1110">
        <f>IF(Cdlac[[#This Row],[Quantity]]&gt;0,MAX(0,Cdlac[[#This Row],[Fair Market Rent]]-Cdlac[[#This Row],[Restricted Rent]]),"")</f>
        <v>487.40000000000003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35</v>
      </c>
      <c r="N22" s="1118">
        <f>Application!AC716</f>
        <v>0.5</v>
      </c>
      <c r="O22" s="1118">
        <f>IF(Cdlac[[#This Row],[Quantity]]&gt;0,IF(Cdlac[[#This Row],[Federal]],30%,IF($G$36,40%,Cdlac[[#This Row],[iAMI]])),"")</f>
        <v>0.5</v>
      </c>
      <c r="P22" s="1110" cm="1">
        <f t="array" ref="P22">IF(Cdlac[[#This Row],[Quantity]]&gt;0,INDEX(TcacRents,$P$18,Cdlac[[#This Row],[Bedrooms]]+1)*Cdlac[[#This Row],[AMI]],"")</f>
        <v>731</v>
      </c>
      <c r="Q22" s="1110" cm="1">
        <f t="array" ref="Q22">IF(Cdlac[[#This Row],[Quantity]]&gt;0,INDEX(HudFmrs,$P$18,Cdlac[[#This Row],[Bedrooms]]+1),"")</f>
        <v>926</v>
      </c>
      <c r="R22" s="1110">
        <f>IF(Cdlac[[#This Row],[Quantity]]&gt;0,MAX(0,Cdlac[[#This Row],[Fair Market Rent]]-Cdlac[[#This Row],[Restricted Rent]]),"")</f>
        <v>195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87</v>
      </c>
      <c r="F23" s="1119">
        <f>E23</f>
        <v>87</v>
      </c>
      <c r="G23" s="1119">
        <f>D23*F23</f>
        <v>87</v>
      </c>
      <c r="L23" s="1088">
        <f>IFERROR(MIN(4,MATCH(Application!B717,UnitSizes,0)-1),"")</f>
        <v>1</v>
      </c>
      <c r="M23" s="1110">
        <f>Application!G717</f>
        <v>34</v>
      </c>
      <c r="N23" s="1118">
        <f>Application!AC717</f>
        <v>0.6</v>
      </c>
      <c r="O23" s="1118">
        <f>IF(Cdlac[[#This Row],[Quantity]]&gt;0,IF(Cdlac[[#This Row],[Federal]],30%,IF($G$36,40%,Cdlac[[#This Row],[iAMI]])),"")</f>
        <v>0.6</v>
      </c>
      <c r="P23" s="1110" cm="1">
        <f t="array" ref="P23">IF(Cdlac[[#This Row],[Quantity]]&gt;0,INDEX(TcacRents,$P$18,Cdlac[[#This Row],[Bedrooms]]+1)*Cdlac[[#This Row],[AMI]],"")</f>
        <v>877.19999999999993</v>
      </c>
      <c r="Q23" s="1110" cm="1">
        <f t="array" ref="Q23">IF(Cdlac[[#This Row],[Quantity]]&gt;0,INDEX(HudFmrs,$P$18,Cdlac[[#This Row],[Bedrooms]]+1),"")</f>
        <v>926</v>
      </c>
      <c r="R23" s="1110">
        <f>IF(Cdlac[[#This Row],[Quantity]]&gt;0,MAX(0,Cdlac[[#This Row],[Fair Market Rent]]-Cdlac[[#This Row],[Restricted Rent]]),"")</f>
        <v>48.800000000000068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44</v>
      </c>
      <c r="F24" s="1122">
        <f>SUM(E24:E26)-SUM(F25:F26)</f>
        <v>44</v>
      </c>
      <c r="G24" s="1119">
        <f>D24*F24</f>
        <v>55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1173</v>
      </c>
      <c r="R24" s="1110">
        <f>IF(Cdlac[[#This Row],[Quantity]]&gt;0,MAX(0,Cdlac[[#This Row],[Fair Market Rent]]-Cdlac[[#This Row],[Restricted Rent]]),"")</f>
        <v>646.80000000000007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44</v>
      </c>
      <c r="F25" s="1122">
        <f>MIN(E25,ROUNDDOWN(E27*30%,0))</f>
        <v>44</v>
      </c>
      <c r="G25" s="1119">
        <f>D25*F25</f>
        <v>66</v>
      </c>
      <c r="H25" s="1121"/>
      <c r="I25" s="1121"/>
      <c r="L25" s="1088">
        <f>IFERROR(MIN(4,MATCH(Application!B719,UnitSizes,0)-1),"")</f>
        <v>2</v>
      </c>
      <c r="M25" s="1110">
        <f>Application!G719</f>
        <v>4</v>
      </c>
      <c r="N25" s="1118">
        <f>Application!AC719</f>
        <v>0.3</v>
      </c>
      <c r="O25" s="1118">
        <f>IF(Cdlac[[#This Row],[Quantity]]&gt;0,IF(Cdlac[[#This Row],[Federal]],30%,IF($G$36,40%,Cdlac[[#This Row],[iAMI]])),"")</f>
        <v>0.3</v>
      </c>
      <c r="P25" s="1110" cm="1">
        <f t="array" ref="P25">IF(Cdlac[[#This Row],[Quantity]]&gt;0,INDEX(TcacRents,$P$18,Cdlac[[#This Row],[Bedrooms]]+1)*Cdlac[[#This Row],[AMI]],"")</f>
        <v>526.19999999999993</v>
      </c>
      <c r="Q25" s="1110" cm="1">
        <f t="array" ref="Q25">IF(Cdlac[[#This Row],[Quantity]]&gt;0,INDEX(HudFmrs,$P$18,Cdlac[[#This Row],[Bedrooms]]+1),"")</f>
        <v>1173</v>
      </c>
      <c r="R25" s="1110">
        <f>IF(Cdlac[[#This Row],[Quantity]]&gt;0,MAX(0,Cdlac[[#This Row],[Fair Market Rent]]-Cdlac[[#This Row],[Restricted Rent]]),"")</f>
        <v>646.80000000000007</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18</v>
      </c>
      <c r="N26" s="1118">
        <f>Application!AC720</f>
        <v>0.5</v>
      </c>
      <c r="O26" s="1118">
        <f>IF(Cdlac[[#This Row],[Quantity]]&gt;0,IF(Cdlac[[#This Row],[Federal]],30%,IF($G$36,40%,Cdlac[[#This Row],[iAMI]])),"")</f>
        <v>0.5</v>
      </c>
      <c r="P26" s="1110" cm="1">
        <f t="array" ref="P26">IF(Cdlac[[#This Row],[Quantity]]&gt;0,INDEX(TcacRents,$P$18,Cdlac[[#This Row],[Bedrooms]]+1)*Cdlac[[#This Row],[AMI]],"")</f>
        <v>877</v>
      </c>
      <c r="Q26" s="1110" cm="1">
        <f t="array" ref="Q26">IF(Cdlac[[#This Row],[Quantity]]&gt;0,INDEX(HudFmrs,$P$18,Cdlac[[#This Row],[Bedrooms]]+1),"")</f>
        <v>1173</v>
      </c>
      <c r="R26" s="1110">
        <f>IF(Cdlac[[#This Row],[Quantity]]&gt;0,MAX(0,Cdlac[[#This Row],[Fair Market Rent]]-Cdlac[[#This Row],[Restricted Rent]]),"")</f>
        <v>296</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2" t="s">
        <v>1764</v>
      </c>
      <c r="D27" s="2133"/>
      <c r="E27" s="1138">
        <f>SUM(E22:E26)</f>
        <v>175</v>
      </c>
      <c r="F27" s="1138">
        <f>SUM(F22:F26)</f>
        <v>175</v>
      </c>
      <c r="G27" s="1139">
        <f>SUMPRODUCT(D22:D26,F22:F26)</f>
        <v>208</v>
      </c>
      <c r="H27" s="1121"/>
      <c r="I27" s="1121"/>
      <c r="L27" s="1088">
        <f>IFERROR(MIN(4,MATCH(Application!B721,UnitSizes,0)-1),"")</f>
        <v>2</v>
      </c>
      <c r="M27" s="1110">
        <f>Application!G721</f>
        <v>17</v>
      </c>
      <c r="N27" s="1118">
        <f>Application!AC721</f>
        <v>0.6</v>
      </c>
      <c r="O27" s="1118">
        <f>IF(Cdlac[[#This Row],[Quantity]]&gt;0,IF(Cdlac[[#This Row],[Federal]],30%,IF($G$36,40%,Cdlac[[#This Row],[iAMI]])),"")</f>
        <v>0.6</v>
      </c>
      <c r="P27" s="1110" cm="1">
        <f t="array" ref="P27">IF(Cdlac[[#This Row],[Quantity]]&gt;0,INDEX(TcacRents,$P$18,Cdlac[[#This Row],[Bedrooms]]+1)*Cdlac[[#This Row],[AMI]],"")</f>
        <v>1052.3999999999999</v>
      </c>
      <c r="Q27" s="1110" cm="1">
        <f t="array" ref="Q27">IF(Cdlac[[#This Row],[Quantity]]&gt;0,INDEX(HudFmrs,$P$18,Cdlac[[#This Row],[Bedrooms]]+1),"")</f>
        <v>1173</v>
      </c>
      <c r="R27" s="1110">
        <f>IF(Cdlac[[#This Row],[Quantity]]&gt;0,MAX(0,Cdlac[[#This Row],[Fair Market Rent]]-Cdlac[[#This Row],[Restricted Rent]]),"")</f>
        <v>120.60000000000014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607.79999999999995</v>
      </c>
      <c r="Q28" s="1110" cm="1">
        <f t="array" ref="Q28">IF(Cdlac[[#This Row],[Quantity]]&gt;0,INDEX(HudFmrs,$P$18,Cdlac[[#This Row],[Bedrooms]]+1),"")</f>
        <v>1666</v>
      </c>
      <c r="R28" s="1110">
        <f>IF(Cdlac[[#This Row],[Quantity]]&gt;0,MAX(0,Cdlac[[#This Row],[Fair Market Rent]]-Cdlac[[#This Row],[Restricted Rent]]),"")</f>
        <v>1058.2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2379</v>
      </c>
      <c r="G29" s="1165">
        <f>G27</f>
        <v>208</v>
      </c>
      <c r="H29" s="1121"/>
      <c r="I29" s="1121"/>
      <c r="L29" s="1088">
        <f>IFERROR(MIN(4,MATCH(Application!B723,UnitSizes,0)-1),"")</f>
        <v>3</v>
      </c>
      <c r="M29" s="1110">
        <f>Application!G723</f>
        <v>4</v>
      </c>
      <c r="N29" s="1118">
        <f>Application!AC723</f>
        <v>0.3</v>
      </c>
      <c r="O29" s="1118">
        <f>IF(Cdlac[[#This Row],[Quantity]]&gt;0,IF(Cdlac[[#This Row],[Federal]],30%,IF($G$36,40%,Cdlac[[#This Row],[iAMI]])),"")</f>
        <v>0.3</v>
      </c>
      <c r="P29" s="1110" cm="1">
        <f t="array" ref="P29">IF(Cdlac[[#This Row],[Quantity]]&gt;0,INDEX(TcacRents,$P$18,Cdlac[[#This Row],[Bedrooms]]+1)*Cdlac[[#This Row],[AMI]],"")</f>
        <v>607.79999999999995</v>
      </c>
      <c r="Q29" s="1110" cm="1">
        <f t="array" ref="Q29">IF(Cdlac[[#This Row],[Quantity]]&gt;0,INDEX(HudFmrs,$P$18,Cdlac[[#This Row],[Bedrooms]]+1),"")</f>
        <v>1666</v>
      </c>
      <c r="R29" s="1110">
        <f>IF(Cdlac[[#This Row],[Quantity]]&gt;0,MAX(0,Cdlac[[#This Row],[Fair Market Rent]]-Cdlac[[#This Row],[Restricted Rent]]),"")</f>
        <v>1058.2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3</v>
      </c>
      <c r="M30" s="1110">
        <f>Application!G724</f>
        <v>18</v>
      </c>
      <c r="N30" s="1118">
        <f>Application!AC724</f>
        <v>0.5</v>
      </c>
      <c r="O30" s="1118">
        <f>IF(Cdlac[[#This Row],[Quantity]]&gt;0,IF(Cdlac[[#This Row],[Federal]],30%,IF($G$36,40%,Cdlac[[#This Row],[iAMI]])),"")</f>
        <v>0.5</v>
      </c>
      <c r="P30" s="1110" cm="1">
        <f t="array" ref="P30">IF(Cdlac[[#This Row],[Quantity]]&gt;0,INDEX(TcacRents,$P$18,Cdlac[[#This Row],[Bedrooms]]+1)*Cdlac[[#This Row],[AMI]],"")</f>
        <v>1013</v>
      </c>
      <c r="Q30" s="1110" cm="1">
        <f t="array" ref="Q30">IF(Cdlac[[#This Row],[Quantity]]&gt;0,INDEX(HudFmrs,$P$18,Cdlac[[#This Row],[Bedrooms]]+1),"")</f>
        <v>1666</v>
      </c>
      <c r="R30" s="1110">
        <f>IF(Cdlac[[#This Row],[Quantity]]&gt;0,MAX(0,Cdlac[[#This Row],[Fair Market Rent]]-Cdlac[[#This Row],[Restricted Rent]]),"")</f>
        <v>653</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10400000</v>
      </c>
      <c r="H31" s="1121"/>
      <c r="I31" s="1121"/>
      <c r="L31" s="1088">
        <f>IFERROR(MIN(4,MATCH(Application!B725,UnitSizes,0)-1),"")</f>
        <v>3</v>
      </c>
      <c r="M31" s="1110">
        <f>Application!G725</f>
        <v>17</v>
      </c>
      <c r="N31" s="1118">
        <f>Application!AC725</f>
        <v>0.6</v>
      </c>
      <c r="O31" s="1118">
        <f>IF(Cdlac[[#This Row],[Quantity]]&gt;0,IF(Cdlac[[#This Row],[Federal]],30%,IF($G$36,40%,Cdlac[[#This Row],[iAMI]])),"")</f>
        <v>0.6</v>
      </c>
      <c r="P31" s="1110" cm="1">
        <f t="array" ref="P31">IF(Cdlac[[#This Row],[Quantity]]&gt;0,INDEX(TcacRents,$P$18,Cdlac[[#This Row],[Bedrooms]]+1)*Cdlac[[#This Row],[AMI]],"")</f>
        <v>1215.5999999999999</v>
      </c>
      <c r="Q31" s="1110" cm="1">
        <f t="array" ref="Q31">IF(Cdlac[[#This Row],[Quantity]]&gt;0,INDEX(HudFmrs,$P$18,Cdlac[[#This Row],[Bedrooms]]+1),"")</f>
        <v>1666</v>
      </c>
      <c r="R31" s="1110">
        <f>IF(Cdlac[[#This Row],[Quantity]]&gt;0,MAX(0,Cdlac[[#This Row],[Fair Market Rent]]-Cdlac[[#This Row],[Restricted Rent]]),"")</f>
        <v>450.40000000000009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0.52322580645161298</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59391.400000000009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10690452.000000002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87</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36</v>
      </c>
    </row>
    <row r="54" spans="2:14" ht="15" customHeight="1">
      <c r="E54" s="1168" t="s">
        <v>2390</v>
      </c>
      <c r="G54" s="1126">
        <f>ROUNDDOWN(E27*50%,0)</f>
        <v>87</v>
      </c>
    </row>
    <row r="55" spans="2:14" ht="15" customHeight="1">
      <c r="E55" s="1168"/>
      <c r="G55" s="1126"/>
    </row>
    <row r="56" spans="2:14" ht="15" customHeight="1">
      <c r="E56" s="1168" t="s">
        <v>2341</v>
      </c>
      <c r="G56" s="1165">
        <f>MIN(G53:G54)</f>
        <v>36</v>
      </c>
    </row>
    <row r="57" spans="2:14" ht="15" customHeight="1">
      <c r="E57" s="1168" t="s">
        <v>2331</v>
      </c>
      <c r="F57" s="1164" t="s">
        <v>2388</v>
      </c>
      <c r="G57" s="1175">
        <v>20000</v>
      </c>
    </row>
    <row r="58" spans="2:14" ht="15" customHeight="1">
      <c r="E58" s="1169" t="s">
        <v>2370</v>
      </c>
      <c r="F58" s="1090"/>
      <c r="G58" s="1174">
        <f>G56*G57</f>
        <v>720000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4" t="s">
        <v>1578</v>
      </c>
      <c r="N62" s="2135"/>
    </row>
    <row r="63" spans="2:14" ht="15" customHeight="1">
      <c r="E63" s="1133" t="s">
        <v>2331</v>
      </c>
      <c r="F63" s="1164" t="s">
        <v>2388</v>
      </c>
      <c r="G63" s="1123">
        <v>4000</v>
      </c>
      <c r="L63" s="1179" t="str">
        <f>'Points System'!H639</f>
        <v>N/A</v>
      </c>
      <c r="M63" s="2136" t="s">
        <v>2345</v>
      </c>
      <c r="N63" s="2137"/>
    </row>
    <row r="64" spans="2:14" ht="15" customHeight="1">
      <c r="E64" s="1133" t="s">
        <v>2392</v>
      </c>
      <c r="F64" s="1164" t="s">
        <v>2388</v>
      </c>
      <c r="G64" s="1177">
        <f>G27</f>
        <v>208</v>
      </c>
      <c r="L64" s="1179" t="str">
        <f>'Points System'!H674</f>
        <v>N/A</v>
      </c>
      <c r="M64" s="2136" t="s">
        <v>2346</v>
      </c>
      <c r="N64" s="2137"/>
    </row>
    <row r="65" spans="2:14" ht="15" customHeight="1">
      <c r="E65" s="1169" t="s">
        <v>2350</v>
      </c>
      <c r="F65" s="1090"/>
      <c r="G65" s="1174">
        <f>G62*G63*G64</f>
        <v>5824000</v>
      </c>
      <c r="L65" s="1179" t="str">
        <f>'Points System'!H694</f>
        <v>(i)</v>
      </c>
      <c r="M65" s="2136" t="s">
        <v>2347</v>
      </c>
      <c r="N65" s="2137"/>
    </row>
    <row r="66" spans="2:14" ht="15" customHeight="1">
      <c r="C66" s="1124"/>
      <c r="G66" s="1165"/>
      <c r="L66" s="1180" t="str">
        <f>'Points System'!H708</f>
        <v>N/A</v>
      </c>
      <c r="M66" s="2136" t="s">
        <v>1604</v>
      </c>
      <c r="N66" s="2137"/>
    </row>
    <row r="67" spans="2:14" ht="15" customHeight="1">
      <c r="E67" s="1133" t="s">
        <v>2393</v>
      </c>
      <c r="G67" s="1177">
        <f>COUNTIFS(L62:L69,"(i)")</f>
        <v>3</v>
      </c>
      <c r="L67" s="1179" t="str">
        <f>'Points System'!H720</f>
        <v>N/A</v>
      </c>
      <c r="M67" s="2136" t="s">
        <v>2348</v>
      </c>
      <c r="N67" s="2137"/>
    </row>
    <row r="68" spans="2:14" ht="15" customHeight="1">
      <c r="E68" s="1133" t="s">
        <v>2331</v>
      </c>
      <c r="F68" s="1164" t="s">
        <v>2388</v>
      </c>
      <c r="G68" s="1175">
        <v>4000</v>
      </c>
      <c r="L68" s="1179" t="str">
        <f>'Points System'!H736</f>
        <v>(i)</v>
      </c>
      <c r="M68" s="2136" t="s">
        <v>2349</v>
      </c>
      <c r="N68" s="2137"/>
    </row>
    <row r="69" spans="2:14" ht="15" customHeight="1" thickBot="1">
      <c r="E69" s="1169" t="s">
        <v>2351</v>
      </c>
      <c r="F69" s="1090"/>
      <c r="G69" s="1174">
        <f>G64*G67*G68</f>
        <v>2496000</v>
      </c>
      <c r="L69" s="1181" t="str">
        <f>'Points System'!H748</f>
        <v>N/A</v>
      </c>
      <c r="M69" s="2142" t="s">
        <v>1607</v>
      </c>
      <c r="N69" s="2143"/>
    </row>
    <row r="70" spans="2:14" ht="15" customHeight="1"/>
    <row r="71" spans="2:14" ht="15" customHeight="1">
      <c r="C71" s="1127" t="s">
        <v>2353</v>
      </c>
    </row>
    <row r="72" spans="2:14" ht="15" customHeight="1">
      <c r="C72" s="1124" t="s">
        <v>2354</v>
      </c>
      <c r="G72" s="1087"/>
    </row>
    <row r="73" spans="2:14" ht="15" customHeight="1">
      <c r="C73" s="1124" t="s">
        <v>2355</v>
      </c>
      <c r="G73" s="1087" t="s">
        <v>554</v>
      </c>
    </row>
    <row r="74" spans="2:14" ht="15" customHeight="1">
      <c r="C74" s="1124" t="s">
        <v>2616</v>
      </c>
      <c r="G74" s="1087" t="s">
        <v>554</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208</v>
      </c>
    </row>
    <row r="80" spans="2:14" ht="15" customHeight="1">
      <c r="E80" s="1133" t="s">
        <v>2331</v>
      </c>
      <c r="F80" s="1164" t="s">
        <v>2388</v>
      </c>
      <c r="G80" s="1175">
        <v>25000</v>
      </c>
    </row>
    <row r="81" spans="2:14" ht="15" customHeight="1">
      <c r="E81" s="1169" t="s">
        <v>2352</v>
      </c>
      <c r="F81" s="1090"/>
      <c r="G81" s="1174">
        <f>G77*G80*G64</f>
        <v>5200000</v>
      </c>
    </row>
    <row r="82" spans="2:14" ht="15" customHeight="1">
      <c r="C82" s="1124"/>
      <c r="E82" s="1124"/>
    </row>
    <row r="83" spans="2:14" ht="15" customHeight="1">
      <c r="E83" s="1169" t="s">
        <v>2329</v>
      </c>
      <c r="G83" s="1174">
        <f>G81+G69+G65</f>
        <v>13520000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44" t="s">
        <v>2358</v>
      </c>
      <c r="M87" s="2145"/>
      <c r="N87" s="1182">
        <v>30000</v>
      </c>
    </row>
    <row r="88" spans="2:14" ht="15" customHeight="1">
      <c r="C88" s="1124" t="s">
        <v>2375</v>
      </c>
      <c r="G88" s="1128" t="str">
        <f>IF(Application!D210="Large Family","Yes","No")</f>
        <v>Yes</v>
      </c>
      <c r="L88" s="2138" t="s">
        <v>2322</v>
      </c>
      <c r="M88" s="2139"/>
      <c r="N88" s="1183">
        <v>20000</v>
      </c>
    </row>
    <row r="89" spans="2:14" ht="15" customHeight="1" thickBot="1">
      <c r="C89" s="1124" t="s">
        <v>2356</v>
      </c>
      <c r="G89" s="1087"/>
      <c r="L89" s="2140" t="s">
        <v>2359</v>
      </c>
      <c r="M89" s="2141"/>
      <c r="N89" s="1184">
        <v>10000</v>
      </c>
    </row>
    <row r="90" spans="2:14" ht="15" customHeight="1">
      <c r="C90" s="1124" t="s">
        <v>2357</v>
      </c>
      <c r="G90" s="1088" t="str">
        <f>Application!T193</f>
        <v>Low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208</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208</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Sutter</v>
      </c>
    </row>
    <row r="111" spans="2:9" ht="15" customHeight="1">
      <c r="E111" s="1133"/>
      <c r="G111" s="1125"/>
    </row>
    <row r="112" spans="2:9" ht="15" customHeight="1">
      <c r="E112" s="1133" t="str">
        <f>"2-Bedroom "&amp;G110&amp;" County Basis Limit"</f>
        <v>2-Bedroom Sutter County Basis Limit</v>
      </c>
      <c r="G112" s="1125">
        <f>Application!R957</f>
        <v>461600</v>
      </c>
    </row>
    <row r="113" spans="4:9" ht="15" customHeight="1">
      <c r="E113" s="1133" t="s">
        <v>2396</v>
      </c>
      <c r="G113" s="1125">
        <f>MEDIAN((Application!BR795:BR852))</f>
        <v>489600</v>
      </c>
    </row>
    <row r="114" spans="4:9" ht="15" customHeight="1">
      <c r="D114" s="1090"/>
      <c r="E114" s="1169" t="s">
        <v>2398</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2022-06-02T00:41:49Z</cp:lastPrinted>
  <dcterms:created xsi:type="dcterms:W3CDTF">2007-12-27T18:26:28Z</dcterms:created>
  <dcterms:modified xsi:type="dcterms:W3CDTF">2023-02-02T01:27:06Z</dcterms:modified>
</cp:coreProperties>
</file>