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showInkAnnotation="0" codeName="ThisWorkbook" defaultThemeVersion="124226"/>
  <mc:AlternateContent xmlns:mc="http://schemas.openxmlformats.org/markup-compatibility/2006">
    <mc:Choice Requires="x15">
      <x15ac:absPath xmlns:x15ac="http://schemas.microsoft.com/office/spreadsheetml/2010/11/ac" url="Z:\2. ACTIVE PROJECTS\Dan Horn - Palm Desert - Millennium\CDLAC-CTCAC Folder\1. Millenium I - CDLAC-CTCAC E-App\"/>
    </mc:Choice>
  </mc:AlternateContent>
  <xr:revisionPtr revIDLastSave="0" documentId="8_{E788276C-A90B-44FA-B2B7-BDEE5C121FE4}" xr6:coauthVersionLast="47" xr6:coauthVersionMax="47" xr10:uidLastSave="{00000000-0000-0000-0000-000000000000}"/>
  <bookViews>
    <workbookView xWindow="1050" yWindow="-120" windowWidth="27870" windowHeight="16440" tabRatio="905" firstSheet="2"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720" i="3" l="1"/>
  <c r="AM558" i="3"/>
  <c r="E30" i="4"/>
  <c r="F30" i="4"/>
  <c r="AA902" i="3"/>
  <c r="AA901" i="3"/>
  <c r="AA316" i="3"/>
  <c r="AA313" i="3"/>
  <c r="AA312" i="3"/>
  <c r="AA311" i="3"/>
  <c r="AO626" i="3"/>
  <c r="I99" i="4"/>
  <c r="E99" i="4"/>
  <c r="S52" i="4"/>
  <c r="G577" i="3"/>
  <c r="G576" i="3"/>
  <c r="G575" i="3"/>
  <c r="G574" i="3"/>
  <c r="F10" i="8"/>
  <c r="F8" i="8"/>
  <c r="F6" i="8"/>
  <c r="F5" i="8"/>
  <c r="F4" i="8"/>
  <c r="AA918" i="3"/>
  <c r="Z651" i="3"/>
  <c r="Z650" i="3"/>
  <c r="Z649" i="3"/>
  <c r="Z648" i="3"/>
  <c r="G651" i="3"/>
  <c r="G650" i="3"/>
  <c r="G649" i="3"/>
  <c r="G648" i="3"/>
  <c r="Z643" i="3"/>
  <c r="Z641" i="3"/>
  <c r="Z640" i="3"/>
  <c r="G643" i="3"/>
  <c r="G641" i="3"/>
  <c r="G640" i="3"/>
  <c r="G593" i="3"/>
  <c r="G592" i="3"/>
  <c r="G591" i="3"/>
  <c r="G590" i="3"/>
  <c r="Z585" i="3"/>
  <c r="Z584" i="3"/>
  <c r="Z583" i="3"/>
  <c r="Z582" i="3"/>
  <c r="Z567" i="3"/>
  <c r="Z566" i="3"/>
  <c r="Z565" i="3"/>
  <c r="AD189" i="20"/>
  <c r="B189" i="20"/>
  <c r="AD188" i="20"/>
  <c r="B188" i="20"/>
  <c r="E61" i="4"/>
  <c r="C61" i="4"/>
  <c r="E53" i="4"/>
  <c r="C53" i="4"/>
  <c r="W841" i="3"/>
  <c r="H321" i="3"/>
  <c r="H320" i="3"/>
  <c r="H319" i="3"/>
  <c r="H318" i="3"/>
  <c r="H308" i="3"/>
  <c r="H305" i="3"/>
  <c r="H304" i="3"/>
  <c r="H303" i="3"/>
  <c r="H302" i="3"/>
  <c r="H300" i="3"/>
  <c r="H324" i="3" s="1"/>
  <c r="H299" i="3"/>
  <c r="H307" i="3" s="1"/>
  <c r="H298" i="3"/>
  <c r="H306" i="3" s="1"/>
  <c r="H322" i="3" l="1"/>
  <c r="H323"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5" i="26"/>
  <c r="J27"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G30" i="7" s="1"/>
  <c r="I30" i="7" s="1"/>
  <c r="K30" i="7" s="1"/>
  <c r="M30" i="7" s="1"/>
  <c r="O30" i="7" s="1"/>
  <c r="Q30" i="7" s="1"/>
  <c r="S30" i="7" s="1"/>
  <c r="U30" i="7" s="1"/>
  <c r="W30" i="7" s="1"/>
  <c r="Y30" i="7" s="1"/>
  <c r="AA30" i="7" s="1"/>
  <c r="AC30" i="7" s="1"/>
  <c r="AE30" i="7" s="1"/>
  <c r="AG30" i="7" s="1"/>
  <c r="E29" i="7"/>
  <c r="S29" i="7" s="1"/>
  <c r="E28" i="7"/>
  <c r="AG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7"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DX607" i="3" s="1"/>
  <c r="BN608" i="3"/>
  <c r="DX608" i="3" s="1"/>
  <c r="BN609" i="3"/>
  <c r="DX609" i="3" s="1"/>
  <c r="BN610" i="3"/>
  <c r="DX610" i="3" s="1"/>
  <c r="BN611" i="3"/>
  <c r="BN612" i="3"/>
  <c r="BN613" i="3"/>
  <c r="BN614" i="3"/>
  <c r="DX614" i="3" s="1"/>
  <c r="BN615" i="3"/>
  <c r="DX615" i="3" s="1"/>
  <c r="BN616" i="3"/>
  <c r="DX616" i="3" s="1"/>
  <c r="BN617" i="3"/>
  <c r="BN618" i="3"/>
  <c r="BN619" i="3"/>
  <c r="BN620" i="3"/>
  <c r="BN626" i="3"/>
  <c r="BN627" i="3"/>
  <c r="BN628" i="3"/>
  <c r="BN629" i="3"/>
  <c r="BN634" i="3"/>
  <c r="BN635" i="3"/>
  <c r="CS635" i="3" s="1"/>
  <c r="BN636" i="3"/>
  <c r="CS636" i="3" s="1"/>
  <c r="BN637" i="3"/>
  <c r="BN638" i="3"/>
  <c r="BN639" i="3"/>
  <c r="CS639" i="3" s="1"/>
  <c r="BN640" i="3"/>
  <c r="CS640" i="3" s="1"/>
  <c r="BN641" i="3"/>
  <c r="CS641" i="3" s="1"/>
  <c r="BN642" i="3"/>
  <c r="CS642" i="3" s="1"/>
  <c r="BN643" i="3"/>
  <c r="CS643" i="3" s="1"/>
  <c r="BS596" i="3"/>
  <c r="BS597" i="3"/>
  <c r="BS598" i="3"/>
  <c r="EC598" i="3" s="1"/>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CX641" i="3" s="1"/>
  <c r="BS642" i="3"/>
  <c r="CX642" i="3" s="1"/>
  <c r="BS643" i="3"/>
  <c r="CX643" i="3" s="1"/>
  <c r="BX596" i="3"/>
  <c r="BX597" i="3"/>
  <c r="BX598" i="3"/>
  <c r="BX599" i="3"/>
  <c r="BX600" i="3"/>
  <c r="EH600" i="3" s="1"/>
  <c r="BX601" i="3"/>
  <c r="EH601" i="3" s="1"/>
  <c r="BX602" i="3"/>
  <c r="BX603" i="3"/>
  <c r="BX604" i="3"/>
  <c r="BX605" i="3"/>
  <c r="BX606" i="3"/>
  <c r="BX607" i="3"/>
  <c r="BX608" i="3"/>
  <c r="BX609" i="3"/>
  <c r="EH609" i="3" s="1"/>
  <c r="BX610" i="3"/>
  <c r="EH610" i="3" s="1"/>
  <c r="BX611" i="3"/>
  <c r="BX612" i="3"/>
  <c r="BX613" i="3"/>
  <c r="BX614" i="3"/>
  <c r="BX615" i="3"/>
  <c r="EH615" i="3" s="1"/>
  <c r="BX616" i="3"/>
  <c r="EH616" i="3" s="1"/>
  <c r="BX617" i="3"/>
  <c r="EH617" i="3" s="1"/>
  <c r="BX618" i="3"/>
  <c r="EH618" i="3" s="1"/>
  <c r="BX619" i="3"/>
  <c r="BX620" i="3"/>
  <c r="BX626" i="3"/>
  <c r="BX627" i="3"/>
  <c r="BX628" i="3"/>
  <c r="BX629" i="3"/>
  <c r="BX634" i="3"/>
  <c r="DC634" i="3" s="1"/>
  <c r="BX635" i="3"/>
  <c r="DC635" i="3" s="1"/>
  <c r="BX636" i="3"/>
  <c r="DC636" i="3" s="1"/>
  <c r="BX637" i="3"/>
  <c r="DC637" i="3" s="1"/>
  <c r="BX638" i="3"/>
  <c r="DC638" i="3" s="1"/>
  <c r="BX639" i="3"/>
  <c r="BX640" i="3"/>
  <c r="DC640" i="3" s="1"/>
  <c r="BX641" i="3"/>
  <c r="BX642" i="3"/>
  <c r="DC642" i="3" s="1"/>
  <c r="BX643" i="3"/>
  <c r="DC643" i="3" s="1"/>
  <c r="CC596" i="3"/>
  <c r="CC597" i="3"/>
  <c r="CC598" i="3"/>
  <c r="CC599" i="3"/>
  <c r="CC600" i="3"/>
  <c r="CC601" i="3"/>
  <c r="EM601" i="3" s="1"/>
  <c r="CC602" i="3"/>
  <c r="EM602" i="3" s="1"/>
  <c r="CC603" i="3"/>
  <c r="EM603" i="3" s="1"/>
  <c r="CC604" i="3"/>
  <c r="EM604" i="3" s="1"/>
  <c r="CC605" i="3"/>
  <c r="CC606" i="3"/>
  <c r="EM606" i="3" s="1"/>
  <c r="CC607" i="3"/>
  <c r="CC608" i="3"/>
  <c r="CC609" i="3"/>
  <c r="EM609" i="3" s="1"/>
  <c r="CC610" i="3"/>
  <c r="EM610" i="3" s="1"/>
  <c r="CC611" i="3"/>
  <c r="EM611" i="3" s="1"/>
  <c r="CC612" i="3"/>
  <c r="EM612" i="3" s="1"/>
  <c r="CC613" i="3"/>
  <c r="EM613" i="3" s="1"/>
  <c r="CC614" i="3"/>
  <c r="CC615" i="3"/>
  <c r="CC616" i="3"/>
  <c r="CC617" i="3"/>
  <c r="EM617" i="3" s="1"/>
  <c r="CC618" i="3"/>
  <c r="EM618" i="3" s="1"/>
  <c r="CC619" i="3"/>
  <c r="EM619" i="3" s="1"/>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ER604" i="3" s="1"/>
  <c r="CH605" i="3"/>
  <c r="ER605" i="3" s="1"/>
  <c r="CH606" i="3"/>
  <c r="ER606" i="3" s="1"/>
  <c r="CH607" i="3"/>
  <c r="ER607" i="3" s="1"/>
  <c r="CH608" i="3"/>
  <c r="CH609" i="3"/>
  <c r="CH610" i="3"/>
  <c r="CH611" i="3"/>
  <c r="ER611" i="3" s="1"/>
  <c r="CH612" i="3"/>
  <c r="ER612" i="3" s="1"/>
  <c r="CH613" i="3"/>
  <c r="ER613" i="3" s="1"/>
  <c r="CH614" i="3"/>
  <c r="CH615" i="3"/>
  <c r="CH616" i="3"/>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B4" i="8"/>
  <c r="G4" i="8" s="1"/>
  <c r="B5" i="8"/>
  <c r="G5" i="8" s="1"/>
  <c r="B6" i="8"/>
  <c r="G6" i="8" s="1"/>
  <c r="G102" i="21"/>
  <c r="G88" i="21"/>
  <c r="G92" i="21" s="1"/>
  <c r="B10" i="8"/>
  <c r="G10" i="8" s="1"/>
  <c r="CS634" i="3"/>
  <c r="CS638" i="3"/>
  <c r="CX636" i="3"/>
  <c r="CX638" i="3"/>
  <c r="DC639" i="3"/>
  <c r="DH636"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D88" i="11" s="1"/>
  <c r="C89" i="11"/>
  <c r="C90" i="11"/>
  <c r="C91" i="11"/>
  <c r="C92" i="11"/>
  <c r="C93" i="11"/>
  <c r="C94" i="11"/>
  <c r="C95" i="11"/>
  <c r="C96" i="11"/>
  <c r="D96" i="11" s="1"/>
  <c r="B85" i="11"/>
  <c r="B86" i="11"/>
  <c r="B87" i="11"/>
  <c r="B88" i="11"/>
  <c r="B89" i="11"/>
  <c r="B90" i="11"/>
  <c r="B91" i="11"/>
  <c r="B92" i="11"/>
  <c r="D92" i="11" s="1"/>
  <c r="B93" i="11"/>
  <c r="D93" i="11" s="1"/>
  <c r="B94" i="11"/>
  <c r="B95" i="11"/>
  <c r="B96" i="11"/>
  <c r="A70" i="11"/>
  <c r="C67" i="11"/>
  <c r="C68" i="11"/>
  <c r="C69" i="11"/>
  <c r="C71" i="11" s="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O29" i="7"/>
  <c r="AA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G63" i="13" s="1"/>
  <c r="G97" i="13" s="1"/>
  <c r="G105" i="13" s="1"/>
  <c r="G107" i="13" s="1"/>
  <c r="D38" i="13"/>
  <c r="C38" i="13"/>
  <c r="J26" i="13"/>
  <c r="I26" i="13"/>
  <c r="I11" i="13"/>
  <c r="G26" i="13"/>
  <c r="D26" i="13"/>
  <c r="C26" i="13"/>
  <c r="C63" i="13" s="1"/>
  <c r="C97" i="13" s="1"/>
  <c r="C105" i="13" s="1"/>
  <c r="J11" i="13"/>
  <c r="D11" i="13"/>
  <c r="C11" i="13"/>
  <c r="C8" i="13"/>
  <c r="D8" i="13"/>
  <c r="T104" i="4"/>
  <c r="H104" i="13" s="1"/>
  <c r="R103" i="4"/>
  <c r="R102" i="4"/>
  <c r="R101" i="4"/>
  <c r="R99" i="4"/>
  <c r="R95" i="4"/>
  <c r="R94" i="4"/>
  <c r="R93" i="4"/>
  <c r="R92" i="4"/>
  <c r="R90" i="4"/>
  <c r="R89" i="4"/>
  <c r="R88" i="4"/>
  <c r="R87" i="4"/>
  <c r="R86" i="4"/>
  <c r="R85" i="4"/>
  <c r="R83" i="4"/>
  <c r="R76" i="4"/>
  <c r="R75" i="4"/>
  <c r="R77" i="4" s="1"/>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R8" i="4" s="1"/>
  <c r="B5" i="11"/>
  <c r="C5" i="11"/>
  <c r="B6" i="11"/>
  <c r="C6" i="11"/>
  <c r="B7" i="11"/>
  <c r="C7" i="11"/>
  <c r="D7" i="11" s="1"/>
  <c r="C8" i="11"/>
  <c r="B8" i="11"/>
  <c r="B9" i="11" s="1"/>
  <c r="B10" i="11"/>
  <c r="B11" i="11"/>
  <c r="C10" i="11"/>
  <c r="C11" i="11"/>
  <c r="B14" i="11"/>
  <c r="C14" i="11"/>
  <c r="D14" i="11" s="1"/>
  <c r="B15" i="11"/>
  <c r="C15" i="11"/>
  <c r="D15" i="11" s="1"/>
  <c r="B16" i="11"/>
  <c r="C16" i="11"/>
  <c r="B18" i="11"/>
  <c r="C18" i="11"/>
  <c r="B19" i="11"/>
  <c r="C19" i="11"/>
  <c r="B20" i="11"/>
  <c r="C20" i="11"/>
  <c r="D20" i="11" s="1"/>
  <c r="B21" i="11"/>
  <c r="C21" i="11"/>
  <c r="B22" i="11"/>
  <c r="C22" i="11"/>
  <c r="B23" i="11"/>
  <c r="C23" i="11"/>
  <c r="B24" i="11"/>
  <c r="B28" i="11"/>
  <c r="C28" i="11"/>
  <c r="B30" i="11"/>
  <c r="C30" i="11"/>
  <c r="D33" i="11"/>
  <c r="D34" i="11"/>
  <c r="B41" i="11"/>
  <c r="B43" i="11" s="1"/>
  <c r="C41" i="11"/>
  <c r="C42" i="11"/>
  <c r="C43" i="11" s="1"/>
  <c r="D43" i="11" s="1"/>
  <c r="B42" i="11"/>
  <c r="B44" i="11"/>
  <c r="C44" i="11"/>
  <c r="B46" i="11"/>
  <c r="C46" i="11"/>
  <c r="B47" i="11"/>
  <c r="C47" i="11"/>
  <c r="B48" i="11"/>
  <c r="B49" i="11"/>
  <c r="B50" i="11"/>
  <c r="B51" i="11"/>
  <c r="B52" i="11"/>
  <c r="B53" i="11"/>
  <c r="C48" i="11"/>
  <c r="D48" i="11" s="1"/>
  <c r="C49" i="11"/>
  <c r="C50" i="11"/>
  <c r="D50" i="11" s="1"/>
  <c r="C51" i="11"/>
  <c r="D51" i="11" s="1"/>
  <c r="C52" i="11"/>
  <c r="C53" i="11"/>
  <c r="B57" i="11"/>
  <c r="C57" i="11"/>
  <c r="B58" i="11"/>
  <c r="C58" i="11"/>
  <c r="B59" i="11"/>
  <c r="D59" i="11" s="1"/>
  <c r="C59" i="11"/>
  <c r="B60" i="11"/>
  <c r="C60" i="11"/>
  <c r="B61" i="11"/>
  <c r="C61" i="11"/>
  <c r="B62" i="11"/>
  <c r="C62" i="11"/>
  <c r="B66" i="11"/>
  <c r="D66" i="11" s="1"/>
  <c r="C66" i="11"/>
  <c r="B73" i="11"/>
  <c r="C73" i="11"/>
  <c r="B74" i="11"/>
  <c r="C74" i="11"/>
  <c r="B75" i="11"/>
  <c r="C75" i="11"/>
  <c r="B76" i="11"/>
  <c r="D76" i="11" s="1"/>
  <c r="C76" i="11"/>
  <c r="B77" i="11"/>
  <c r="C77" i="11"/>
  <c r="B84" i="11"/>
  <c r="C84" i="11"/>
  <c r="B100" i="11"/>
  <c r="C100" i="11"/>
  <c r="A4" i="8"/>
  <c r="D4" i="8"/>
  <c r="I4" i="8"/>
  <c r="J4" i="8" s="1"/>
  <c r="A5" i="8"/>
  <c r="D5" i="8"/>
  <c r="I5" i="8"/>
  <c r="J5" i="8" s="1"/>
  <c r="A6" i="8"/>
  <c r="D6" i="8"/>
  <c r="I6" i="8"/>
  <c r="J6" i="8" s="1"/>
  <c r="A7" i="8"/>
  <c r="D7" i="8"/>
  <c r="I7" i="8"/>
  <c r="A8" i="8"/>
  <c r="D8" i="8"/>
  <c r="I8" i="8"/>
  <c r="J8" i="8" s="1"/>
  <c r="A9" i="8"/>
  <c r="D9" i="8"/>
  <c r="I9" i="8"/>
  <c r="J9" i="8" s="1"/>
  <c r="A10" i="8"/>
  <c r="D10" i="8"/>
  <c r="I10" i="8" s="1"/>
  <c r="J10" i="8" s="1"/>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T63" i="4" s="1"/>
  <c r="T38" i="4"/>
  <c r="H38" i="13" s="1"/>
  <c r="T42" i="4"/>
  <c r="H42" i="13" s="1"/>
  <c r="T54" i="4"/>
  <c r="H54" i="13" s="1"/>
  <c r="T70" i="4"/>
  <c r="H70" i="13" s="1"/>
  <c r="T96" i="4"/>
  <c r="H96" i="13" s="1"/>
  <c r="DX596" i="3"/>
  <c r="DX601" i="3"/>
  <c r="DX602" i="3"/>
  <c r="DX603" i="3"/>
  <c r="DX604" i="3"/>
  <c r="DX605" i="3"/>
  <c r="DX611" i="3"/>
  <c r="DX612" i="3"/>
  <c r="DX613" i="3"/>
  <c r="DX617" i="3"/>
  <c r="DX618" i="3"/>
  <c r="DX619" i="3"/>
  <c r="DX620" i="3"/>
  <c r="EC596" i="3"/>
  <c r="EC597" i="3"/>
  <c r="EC602" i="3"/>
  <c r="EC603" i="3"/>
  <c r="EC604" i="3"/>
  <c r="EC605" i="3"/>
  <c r="EC611" i="3"/>
  <c r="EC613" i="3"/>
  <c r="EC614" i="3"/>
  <c r="EC615" i="3"/>
  <c r="EC620" i="3"/>
  <c r="EH596" i="3"/>
  <c r="EH597" i="3"/>
  <c r="EH598" i="3"/>
  <c r="EH599" i="3"/>
  <c r="EH603" i="3"/>
  <c r="EH604" i="3"/>
  <c r="EH605" i="3"/>
  <c r="EH606" i="3"/>
  <c r="EH607" i="3"/>
  <c r="EH608" i="3"/>
  <c r="EH611" i="3"/>
  <c r="EH612" i="3"/>
  <c r="EH613" i="3"/>
  <c r="EH614" i="3"/>
  <c r="EH619" i="3"/>
  <c r="EH620" i="3"/>
  <c r="EM597" i="3"/>
  <c r="EM598" i="3"/>
  <c r="EM599" i="3"/>
  <c r="EM600" i="3"/>
  <c r="EM605" i="3"/>
  <c r="EM607" i="3"/>
  <c r="EM608" i="3"/>
  <c r="EM614" i="3"/>
  <c r="EM615" i="3"/>
  <c r="EM616" i="3"/>
  <c r="EW599" i="3"/>
  <c r="EW600" i="3"/>
  <c r="EW602" i="3"/>
  <c r="EW603" i="3"/>
  <c r="EW609" i="3"/>
  <c r="EW610" i="3"/>
  <c r="EW611" i="3"/>
  <c r="EW615" i="3"/>
  <c r="EW616" i="3"/>
  <c r="EW617" i="3"/>
  <c r="ER598" i="3"/>
  <c r="ER599" i="3"/>
  <c r="ER600" i="3"/>
  <c r="ER602" i="3"/>
  <c r="ER608" i="3"/>
  <c r="ER609" i="3"/>
  <c r="ER610" i="3"/>
  <c r="ER614" i="3"/>
  <c r="ER615" i="3"/>
  <c r="ER616" i="3"/>
  <c r="ER617" i="3"/>
  <c r="C11" i="4"/>
  <c r="C38" i="4"/>
  <c r="B38" i="13" s="1"/>
  <c r="C54" i="4"/>
  <c r="B54" i="13" s="1"/>
  <c r="C62" i="4"/>
  <c r="B62" i="13" s="1"/>
  <c r="C77" i="4"/>
  <c r="B77" i="13"/>
  <c r="C96" i="4"/>
  <c r="B96" i="13" s="1"/>
  <c r="D8" i="4"/>
  <c r="D11" i="4"/>
  <c r="D26" i="4"/>
  <c r="D38" i="4"/>
  <c r="D42" i="4"/>
  <c r="D54" i="4"/>
  <c r="D63" i="4" s="1"/>
  <c r="D97" i="4" s="1"/>
  <c r="D105" i="4" s="1"/>
  <c r="D62" i="4"/>
  <c r="D77" i="4"/>
  <c r="D96" i="4"/>
  <c r="D104" i="4"/>
  <c r="AO637" i="3"/>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2" i="4" s="1"/>
  <c r="I11" i="4"/>
  <c r="J8" i="4"/>
  <c r="J11" i="4"/>
  <c r="J26" i="4"/>
  <c r="J38" i="4"/>
  <c r="J42" i="4"/>
  <c r="J54" i="4"/>
  <c r="J62" i="4"/>
  <c r="J63" i="4" s="1"/>
  <c r="J97" i="4" s="1"/>
  <c r="J105" i="4" s="1"/>
  <c r="J70" i="4"/>
  <c r="J77" i="4"/>
  <c r="J96" i="4"/>
  <c r="J104" i="4"/>
  <c r="K8" i="4"/>
  <c r="K11" i="4"/>
  <c r="K12" i="4" s="1"/>
  <c r="L8" i="4"/>
  <c r="L11" i="4"/>
  <c r="L12" i="4" s="1"/>
  <c r="M8" i="4"/>
  <c r="M11" i="4"/>
  <c r="N8" i="4"/>
  <c r="O8" i="4"/>
  <c r="Q8" i="4"/>
  <c r="Q11" i="4"/>
  <c r="Q12" i="4" s="1"/>
  <c r="B9" i="4"/>
  <c r="B10" i="4"/>
  <c r="E11" i="4"/>
  <c r="F11" i="4"/>
  <c r="F26" i="4"/>
  <c r="F38" i="4"/>
  <c r="F42" i="4"/>
  <c r="F54" i="4"/>
  <c r="F62" i="4"/>
  <c r="N11" i="4"/>
  <c r="N12" i="4" s="1"/>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63" i="4" s="1"/>
  <c r="P97" i="4" s="1"/>
  <c r="P105" i="4" s="1"/>
  <c r="P70" i="4"/>
  <c r="P77" i="4"/>
  <c r="P96" i="4"/>
  <c r="P104" i="4"/>
  <c r="Q38" i="4"/>
  <c r="B40" i="4"/>
  <c r="B41" i="4"/>
  <c r="E42" i="4"/>
  <c r="G42" i="4"/>
  <c r="H42" i="4"/>
  <c r="K42" i="4"/>
  <c r="L42" i="4"/>
  <c r="O42" i="4"/>
  <c r="Q42" i="4"/>
  <c r="B43" i="4"/>
  <c r="B45" i="4"/>
  <c r="B46" i="4"/>
  <c r="B47" i="4"/>
  <c r="B48" i="4"/>
  <c r="B49" i="4"/>
  <c r="B50" i="4"/>
  <c r="B51" i="4"/>
  <c r="B52" i="4"/>
  <c r="E52" i="4" s="1"/>
  <c r="B53" i="4"/>
  <c r="E54" i="4"/>
  <c r="G54" i="4"/>
  <c r="H54" i="4"/>
  <c r="K54" i="4"/>
  <c r="L54" i="4"/>
  <c r="O54" i="4"/>
  <c r="Q54" i="4"/>
  <c r="B56" i="4"/>
  <c r="B57" i="4"/>
  <c r="B58" i="4"/>
  <c r="B60" i="4"/>
  <c r="B61" i="4"/>
  <c r="E62" i="4"/>
  <c r="G62" i="4"/>
  <c r="H62" i="4"/>
  <c r="K62" i="4"/>
  <c r="L62" i="4"/>
  <c r="O62" i="4"/>
  <c r="O63" i="4" s="1"/>
  <c r="O97" i="4" s="1"/>
  <c r="O105" i="4" s="1"/>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7" i="4"/>
  <c r="D49" i="11"/>
  <c r="I63" i="13"/>
  <c r="I97" i="13"/>
  <c r="I105" i="13"/>
  <c r="I107" i="13"/>
  <c r="B81" i="13"/>
  <c r="D53" i="11"/>
  <c r="J63" i="13"/>
  <c r="J97" i="13"/>
  <c r="J105" i="13"/>
  <c r="J107" i="13"/>
  <c r="AH715" i="3"/>
  <c r="D5" i="11"/>
  <c r="D70" i="11"/>
  <c r="D52" i="11"/>
  <c r="G12" i="4"/>
  <c r="D46" i="11"/>
  <c r="D6" i="11"/>
  <c r="L63" i="4"/>
  <c r="L97" i="4" s="1"/>
  <c r="L105" i="4" s="1"/>
  <c r="R70" i="4"/>
  <c r="B8" i="4"/>
  <c r="N158" i="26" s="1"/>
  <c r="D10" i="11"/>
  <c r="D36" i="11"/>
  <c r="D61" i="11"/>
  <c r="D57" i="11"/>
  <c r="D85" i="11"/>
  <c r="D102" i="11"/>
  <c r="D94" i="11"/>
  <c r="C12" i="13"/>
  <c r="F63" i="4"/>
  <c r="J12" i="4"/>
  <c r="D22" i="11"/>
  <c r="O12" i="4"/>
  <c r="D95" i="11"/>
  <c r="D25" i="11"/>
  <c r="B82" i="11"/>
  <c r="D12" i="4"/>
  <c r="D73" i="11"/>
  <c r="D44" i="11"/>
  <c r="D31" i="11"/>
  <c r="D32" i="11"/>
  <c r="D63" i="13"/>
  <c r="D97" i="13" s="1"/>
  <c r="D105" i="13" s="1"/>
  <c r="D87" i="11"/>
  <c r="F12" i="4"/>
  <c r="D60" i="11"/>
  <c r="M12" i="4"/>
  <c r="D84" i="11"/>
  <c r="D74" i="11"/>
  <c r="D38" i="11"/>
  <c r="R42" i="4"/>
  <c r="B38" i="4"/>
  <c r="C9" i="11"/>
  <c r="D12" i="13"/>
  <c r="D58" i="11"/>
  <c r="D100" i="11"/>
  <c r="D62" i="11"/>
  <c r="D24" i="11"/>
  <c r="D101" i="11"/>
  <c r="D90" i="11"/>
  <c r="D75" i="11"/>
  <c r="D28" i="11"/>
  <c r="D103" i="11"/>
  <c r="C78" i="11"/>
  <c r="D21" i="11"/>
  <c r="D16" i="11"/>
  <c r="B12" i="11"/>
  <c r="D86" i="11"/>
  <c r="F63" i="13"/>
  <c r="F97" i="13" s="1"/>
  <c r="F105" i="13" s="1"/>
  <c r="F107" i="13" s="1"/>
  <c r="AD199" i="20"/>
  <c r="D77" i="11"/>
  <c r="D47" i="11"/>
  <c r="M63" i="4"/>
  <c r="M97" i="4" s="1"/>
  <c r="M105" i="4" s="1"/>
  <c r="D91" i="11"/>
  <c r="D41" i="11"/>
  <c r="C12" i="11"/>
  <c r="B62" i="4"/>
  <c r="B105" i="11"/>
  <c r="AD7" i="15"/>
  <c r="E12" i="4"/>
  <c r="B96" i="4"/>
  <c r="D11" i="11"/>
  <c r="C12" i="4"/>
  <c r="B12" i="13" s="1"/>
  <c r="AZ835" i="3"/>
  <c r="AK172" i="20"/>
  <c r="C82" i="11" l="1"/>
  <c r="F97" i="4"/>
  <c r="F105" i="4" s="1"/>
  <c r="B55" i="11"/>
  <c r="B64" i="11" s="1"/>
  <c r="B98" i="11" s="1"/>
  <c r="B106" i="11" s="1"/>
  <c r="R54" i="4"/>
  <c r="G58" i="7"/>
  <c r="K53" i="7"/>
  <c r="I58" i="7"/>
  <c r="BA973" i="3"/>
  <c r="I1013" i="3" s="1"/>
  <c r="AH720" i="3"/>
  <c r="AH714" i="3"/>
  <c r="AH718" i="3"/>
  <c r="AB223" i="20"/>
  <c r="AB239" i="20" s="1"/>
  <c r="AB241" i="20" s="1"/>
  <c r="AB243" i="20" s="1"/>
  <c r="AB249" i="20" s="1"/>
  <c r="AD198" i="20" s="1"/>
  <c r="AD200" i="20" s="1"/>
  <c r="S63" i="4"/>
  <c r="E63" i="13" s="1"/>
  <c r="R104" i="4"/>
  <c r="B104" i="13"/>
  <c r="C105" i="11"/>
  <c r="T97" i="4"/>
  <c r="H63" i="13"/>
  <c r="B78" i="11"/>
  <c r="D78" i="11" s="1"/>
  <c r="D42" i="11"/>
  <c r="B63" i="11"/>
  <c r="N63" i="4"/>
  <c r="N97" i="4" s="1"/>
  <c r="N105" i="4" s="1"/>
  <c r="H26" i="13"/>
  <c r="D81" i="11"/>
  <c r="D104" i="11"/>
  <c r="B71" i="11"/>
  <c r="D71" i="11" s="1"/>
  <c r="D23" i="11"/>
  <c r="D19" i="11"/>
  <c r="R38" i="4"/>
  <c r="D8" i="11"/>
  <c r="I63" i="4"/>
  <c r="I97" i="4" s="1"/>
  <c r="I105" i="4" s="1"/>
  <c r="Q63" i="4"/>
  <c r="Q97" i="4" s="1"/>
  <c r="Q105" i="4" s="1"/>
  <c r="B11" i="4"/>
  <c r="D18" i="11"/>
  <c r="R11" i="4"/>
  <c r="R12" i="4" s="1"/>
  <c r="AB48" i="15"/>
  <c r="K63" i="4"/>
  <c r="K97" i="4" s="1"/>
  <c r="K105" i="4" s="1"/>
  <c r="B39" i="11"/>
  <c r="C55" i="11"/>
  <c r="D55" i="11" s="1"/>
  <c r="D89" i="11"/>
  <c r="D12" i="11"/>
  <c r="D105" i="11"/>
  <c r="D82" i="11"/>
  <c r="C63" i="11"/>
  <c r="D63" i="11" s="1"/>
  <c r="C39" i="11"/>
  <c r="D9" i="11"/>
  <c r="C97" i="11"/>
  <c r="R81" i="4"/>
  <c r="N157" i="26"/>
  <c r="N164" i="26" s="1"/>
  <c r="R96" i="4"/>
  <c r="D80" i="11"/>
  <c r="B97" i="11"/>
  <c r="B70" i="13"/>
  <c r="R62" i="4"/>
  <c r="D54" i="11"/>
  <c r="B54" i="4"/>
  <c r="B42" i="4"/>
  <c r="G63" i="4"/>
  <c r="G97" i="4" s="1"/>
  <c r="G105" i="4" s="1"/>
  <c r="D35" i="11"/>
  <c r="E63" i="4"/>
  <c r="E97" i="4" s="1"/>
  <c r="E105" i="4" s="1"/>
  <c r="D30" i="11"/>
  <c r="R26" i="4"/>
  <c r="B26" i="4"/>
  <c r="C27" i="11"/>
  <c r="H63" i="4"/>
  <c r="H97" i="4" s="1"/>
  <c r="H105" i="4" s="1"/>
  <c r="B12" i="4"/>
  <c r="B11" i="13"/>
  <c r="C13" i="11"/>
  <c r="H12" i="4"/>
  <c r="B13" i="11"/>
  <c r="D13" i="11" s="1"/>
  <c r="C63" i="4"/>
  <c r="B63" i="13" s="1"/>
  <c r="AG40" i="7"/>
  <c r="AG43" i="7" s="1"/>
  <c r="G40" i="7"/>
  <c r="G43" i="7" s="1"/>
  <c r="R44" i="21"/>
  <c r="Y28" i="7"/>
  <c r="AH717" i="3"/>
  <c r="AH716" i="3"/>
  <c r="I28" i="7"/>
  <c r="M28" i="7"/>
  <c r="AC28" i="7"/>
  <c r="AE28" i="7"/>
  <c r="Y29" i="7"/>
  <c r="Q28" i="7"/>
  <c r="W28" i="7"/>
  <c r="AG29" i="7"/>
  <c r="G28" i="7"/>
  <c r="O28" i="7"/>
  <c r="U28" i="7"/>
  <c r="K29" i="7"/>
  <c r="S28" i="7"/>
  <c r="AA28" i="7"/>
  <c r="K28" i="7"/>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G53" i="21"/>
  <c r="E24" i="21"/>
  <c r="E22" i="21"/>
  <c r="F22" i="21" s="1"/>
  <c r="G30" i="8"/>
  <c r="I15" i="7"/>
  <c r="E26" i="21"/>
  <c r="E23" i="21"/>
  <c r="F23" i="21" s="1"/>
  <c r="G23" i="21" s="1"/>
  <c r="Z793" i="3" l="1"/>
  <c r="E6" i="7" s="1"/>
  <c r="M930" i="3"/>
  <c r="M53" i="7"/>
  <c r="K58" i="7"/>
  <c r="AS351" i="20"/>
  <c r="AS347" i="20" s="1"/>
  <c r="AK458" i="20" s="1"/>
  <c r="T802" i="20" s="1"/>
  <c r="AF802" i="20" s="1"/>
  <c r="S97" i="4"/>
  <c r="S105" i="4" s="1"/>
  <c r="E105" i="13" s="1"/>
  <c r="R63" i="4"/>
  <c r="R97" i="4" s="1"/>
  <c r="R105" i="4" s="1"/>
  <c r="C64" i="11"/>
  <c r="D64" i="11" s="1"/>
  <c r="B63" i="4"/>
  <c r="H97" i="13"/>
  <c r="T105" i="4"/>
  <c r="D27" i="11"/>
  <c r="D39" i="11"/>
  <c r="D97" i="11"/>
  <c r="C97" i="4"/>
  <c r="C105" i="4" s="1"/>
  <c r="AC454" i="3" s="1"/>
  <c r="AC869" i="3"/>
  <c r="EC628" i="3"/>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AJ101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C98" i="11" l="1"/>
  <c r="C106" i="11" s="1"/>
  <c r="D106" i="11" s="1"/>
  <c r="O53" i="7"/>
  <c r="M58" i="7"/>
  <c r="S107" i="4"/>
  <c r="AC455" i="3" s="1"/>
  <c r="E97" i="13"/>
  <c r="T107" i="4"/>
  <c r="H107" i="13" s="1"/>
  <c r="H105" i="13"/>
  <c r="B97" i="13"/>
  <c r="B97" i="4"/>
  <c r="B105" i="13"/>
  <c r="AG258" i="20"/>
  <c r="B105" i="4"/>
  <c r="AB255" i="20" s="1"/>
  <c r="AG257" i="20" s="1"/>
  <c r="AG259" i="20" s="1"/>
  <c r="AK262" i="20" s="1"/>
  <c r="T797" i="20" s="1"/>
  <c r="AF797" i="20"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P541" i="20"/>
  <c r="AB959" i="3"/>
  <c r="AJ959" i="3" s="1"/>
  <c r="G6" i="7"/>
  <c r="E7" i="7"/>
  <c r="M15" i="7"/>
  <c r="K22" i="7"/>
  <c r="K35" i="7" s="1"/>
  <c r="F25" i="21"/>
  <c r="G54" i="21"/>
  <c r="G56" i="21" s="1"/>
  <c r="G58" i="21" s="1"/>
  <c r="E12" i="21" s="1"/>
  <c r="F26" i="21"/>
  <c r="G26" i="21" s="1"/>
  <c r="G45" i="21"/>
  <c r="G47" i="21" s="1"/>
  <c r="G49" i="21" s="1"/>
  <c r="E11" i="21" s="1"/>
  <c r="D98" i="11" l="1"/>
  <c r="Q53" i="7"/>
  <c r="O58" i="7"/>
  <c r="AF540" i="20"/>
  <c r="E107" i="13"/>
  <c r="T11" i="15" s="1"/>
  <c r="T23" i="15" s="1"/>
  <c r="T26" i="15" s="1"/>
  <c r="T28" i="15" s="1"/>
  <c r="AD11" i="15"/>
  <c r="AD23" i="15" s="1"/>
  <c r="AD26" i="15" s="1"/>
  <c r="AD28" i="15" s="1"/>
  <c r="AI11" i="15"/>
  <c r="AI23" i="15" s="1"/>
  <c r="AI26" i="15" s="1"/>
  <c r="AI28" i="15" s="1"/>
  <c r="N154" i="26"/>
  <c r="N155" i="26" s="1"/>
  <c r="AB47" i="15"/>
  <c r="AB49" i="15" s="1"/>
  <c r="AB54" i="15" s="1"/>
  <c r="AB55" i="15" s="1"/>
  <c r="AC453" i="3"/>
  <c r="F456" i="3" s="1"/>
  <c r="Y11" i="15"/>
  <c r="Y23" i="15" s="1"/>
  <c r="Y26" i="15" s="1"/>
  <c r="Y28" i="15" s="1"/>
  <c r="G38" i="21"/>
  <c r="G40" i="21" s="1"/>
  <c r="E10" i="21" s="1"/>
  <c r="I4" i="7"/>
  <c r="I5" i="7" s="1"/>
  <c r="K9" i="7"/>
  <c r="E11" i="7"/>
  <c r="E37" i="7" s="1"/>
  <c r="E49" i="7" s="1"/>
  <c r="AJ961" i="3"/>
  <c r="AJ1006" i="3" s="1"/>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Y64" i="15" l="1"/>
  <c r="Y68" i="15" s="1"/>
  <c r="S53" i="7"/>
  <c r="Q58" i="7"/>
  <c r="N165" i="26"/>
  <c r="T29" i="15"/>
  <c r="B1025" i="3"/>
  <c r="AJ1014" i="3"/>
  <c r="AP542" i="20" s="1"/>
  <c r="K4" i="7"/>
  <c r="M4" i="7" s="1"/>
  <c r="E45" i="7"/>
  <c r="E48" i="7" s="1"/>
  <c r="AJ1018" i="3"/>
  <c r="AP539" i="20"/>
  <c r="G45" i="7"/>
  <c r="G49" i="7"/>
  <c r="K6" i="7"/>
  <c r="I7" i="7"/>
  <c r="I11" i="7" s="1"/>
  <c r="I37" i="7" s="1"/>
  <c r="G24" i="21"/>
  <c r="F27" i="21"/>
  <c r="G27" i="21"/>
  <c r="O22" i="7"/>
  <c r="O35" i="7" s="1"/>
  <c r="Q15" i="7"/>
  <c r="O9" i="7"/>
  <c r="Q8" i="7"/>
  <c r="AP543" i="20" l="1"/>
  <c r="U53" i="7"/>
  <c r="S58" i="7"/>
  <c r="K5" i="7"/>
  <c r="E47" i="7"/>
  <c r="E60" i="7"/>
  <c r="E62" i="7" s="1"/>
  <c r="T24" i="15"/>
  <c r="Y38" i="15" s="1"/>
  <c r="AP546" i="20"/>
  <c r="AP545" i="20"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AF542" i="20" s="1"/>
  <c r="AK548" i="20" s="1"/>
  <c r="T803" i="20" s="1"/>
  <c r="AF803" i="20" s="1"/>
  <c r="AF806" i="20" s="1"/>
  <c r="W53" i="7"/>
  <c r="U58" i="7"/>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W58" i="7" l="1"/>
  <c r="Y53"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AB57" i="15"/>
  <c r="U4" i="7"/>
  <c r="S5" i="7"/>
  <c r="P203" i="3"/>
  <c r="M48" i="7"/>
  <c r="M47" i="7"/>
  <c r="M60" i="7"/>
  <c r="O45" i="7"/>
  <c r="O49" i="7"/>
  <c r="K66" i="7"/>
  <c r="K67" i="7"/>
  <c r="K62" i="7"/>
  <c r="Q7" i="7"/>
  <c r="Q11" i="7" s="1"/>
  <c r="Q37" i="7" s="1"/>
  <c r="S6" i="7"/>
  <c r="I70" i="7"/>
  <c r="I72" i="7" s="1"/>
  <c r="W22" i="7"/>
  <c r="W35" i="7" s="1"/>
  <c r="Y15" i="7"/>
  <c r="W9" i="7"/>
  <c r="Y8" i="7"/>
  <c r="AC53" i="7" l="1"/>
  <c r="AA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3" i="7" l="1"/>
  <c r="AG58" i="7" s="1"/>
  <c r="AE58" i="7"/>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G13" i="7" s="1"/>
  <c r="Y67" i="7"/>
  <c r="Y62" i="7"/>
  <c r="Y66" i="7"/>
  <c r="Y70" i="7" l="1"/>
  <c r="Y72" i="7" s="1"/>
  <c r="AG7" i="7"/>
  <c r="AG11" i="7" s="1"/>
  <c r="AG37" i="7" s="1"/>
  <c r="AE49" i="7"/>
  <c r="AE45" i="7"/>
  <c r="AC60" i="7"/>
  <c r="AC48" i="7"/>
  <c r="AC47" i="7"/>
  <c r="AA66" i="7"/>
  <c r="AA67" i="7"/>
  <c r="AC66" i="7" l="1"/>
  <c r="AC67" i="7"/>
  <c r="AA70" i="7"/>
  <c r="AA72" i="7" s="1"/>
  <c r="AE47" i="7"/>
  <c r="AE60" i="7"/>
  <c r="AE48" i="7"/>
  <c r="AG49" i="7"/>
  <c r="AG45" i="7"/>
  <c r="AE67" i="7" l="1"/>
  <c r="AE66" i="7"/>
  <c r="AG48" i="7"/>
  <c r="AG60" i="7"/>
  <c r="AG47" i="7"/>
  <c r="AC70" i="7"/>
  <c r="AC72" i="7" s="1"/>
  <c r="AG67" i="7" l="1"/>
  <c r="AG66"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<sst xmlns="http://schemas.openxmlformats.org/spreadsheetml/2006/main" count="5181" uniqueCount="2778">
  <si>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</si>
  <si>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</si>
  <si>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</si>
  <si>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</si>
  <si>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</si>
  <si>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</si>
  <si>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</si>
  <si>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</si>
  <si>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</si>
  <si>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</si>
  <si>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</si>
  <si>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</si>
  <si>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</si>
  <si>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</si>
  <si>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</si>
  <si>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</si>
  <si>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</si>
  <si>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</si>
  <si>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</si>
  <si>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</si>
  <si>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</si>
  <si>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</si>
  <si>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</si>
  <si>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</si>
  <si>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</si>
  <si>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</si>
  <si>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</si>
  <si>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</si>
  <si>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</si>
  <si>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</si>
  <si>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</si>
  <si>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</si>
  <si>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</si>
  <si>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</si>
  <si>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</si>
  <si>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</si>
  <si>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</si>
  <si>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</si>
  <si>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</si>
  <si>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</si>
  <si>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</si>
  <si>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</si>
  <si>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</si>
  <si>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</si>
  <si>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</si>
  <si>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</si>
  <si>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</si>
  <si>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</si>
  <si>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</si>
  <si>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</si>
  <si>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</si>
  <si>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</si>
  <si>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</si>
  <si>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</si>
  <si>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</si>
  <si>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</si>
  <si>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</si>
  <si>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</si>
  <si>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</si>
  <si>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</si>
  <si>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</si>
  <si>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</si>
  <si>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</si>
  <si>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</si>
  <si>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</si>
  <si>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</si>
  <si>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</si>
  <si>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</si>
  <si>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</si>
  <si>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</si>
  <si>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</si>
  <si>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</si>
  <si>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</si>
  <si>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</si>
  <si>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</si>
  <si>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</si>
  <si>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</si>
  <si>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</si>
  <si>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</si>
  <si>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</si>
  <si>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</si>
  <si>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</si>
  <si>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</si>
  <si>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</si>
  <si>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</si>
  <si>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</si>
  <si>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</si>
  <si>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</si>
  <si>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</si>
  <si>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</si>
  <si>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</si>
  <si>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</si>
  <si>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</si>
  <si>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</si>
  <si>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</si>
  <si>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</si>
  <si>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</si>
  <si>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</si>
  <si>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</si>
  <si>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</si>
  <si>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</si>
  <si>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</si>
  <si>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</si>
  <si>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</si>
  <si>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</si>
  <si>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</si>
  <si>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</si>
  <si>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</si>
  <si>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</si>
  <si>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</si>
  <si>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</si>
  <si>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</si>
  <si>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</si>
  <si>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</si>
  <si>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</si>
  <si>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</si>
  <si>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</si>
  <si>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</si>
  <si>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</si>
  <si>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</si>
  <si>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</si>
  <si>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</si>
  <si>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</si>
  <si>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</si>
  <si>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</si>
  <si>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</si>
  <si>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</si>
  <si>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</si>
  <si>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</si>
  <si>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</si>
  <si>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</si>
  <si>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</si>
  <si>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</si>
  <si>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</si>
  <si>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</si>
  <si>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</si>
  <si>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</si>
  <si>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</si>
  <si>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</si>
  <si>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</si>
  <si>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</si>
  <si>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</si>
  <si>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</si>
  <si>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</si>
  <si>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</si>
  <si>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</si>
  <si>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</si>
  <si>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</si>
  <si>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</si>
  <si>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</si>
  <si>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</si>
  <si>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</si>
  <si>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</si>
  <si>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</si>
  <si>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</si>
  <si>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</si>
  <si>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</si>
  <si>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</si>
  <si>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</si>
  <si>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</si>
  <si>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</si>
  <si>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</si>
  <si>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</si>
  <si>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</si>
  <si>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</si>
  <si>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</si>
  <si>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</si>
  <si>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</si>
  <si>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</si>
  <si>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</si>
  <si>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</si>
  <si>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</si>
  <si>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</si>
  <si>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</si>
  <si>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</si>
  <si>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</si>
  <si>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</si>
  <si>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</si>
  <si>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</si>
  <si>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</si>
  <si>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</si>
  <si>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</si>
  <si>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</si>
  <si>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</si>
  <si>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</si>
  <si>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</si>
  <si>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</si>
  <si>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</si>
  <si>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</si>
  <si>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</si>
  <si>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</si>
  <si>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</si>
  <si>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</si>
  <si>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</si>
  <si>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</si>
  <si>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</si>
  <si>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</si>
  <si>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</si>
  <si>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</si>
  <si>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</si>
  <si>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</si>
  <si>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</si>
  <si>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</si>
  <si>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</si>
  <si>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</si>
  <si>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</si>
  <si>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</si>
  <si>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</si>
  <si>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</si>
  <si>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</si>
  <si>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</si>
  <si>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</si>
  <si>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</si>
  <si>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</si>
  <si>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</si>
  <si>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</si>
  <si>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</si>
  <si>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</si>
  <si>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</si>
  <si>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</si>
  <si>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</si>
  <si>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</si>
  <si>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</si>
  <si>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</si>
  <si>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</si>
  <si>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</si>
  <si>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</si>
  <si>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</si>
  <si>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</si>
  <si>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</si>
  <si>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</si>
  <si>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</si>
  <si>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</si>
  <si>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</si>
  <si>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</si>
  <si>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</si>
  <si>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</si>
  <si>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</si>
  <si>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</si>
  <si>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</si>
  <si>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</si>
  <si>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</si>
  <si>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</si>
  <si>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</si>
  <si>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</si>
  <si>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</si>
  <si>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</si>
  <si>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</si>
  <si>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</si>
  <si>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</si>
  <si>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</si>
  <si>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</si>
  <si>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</si>
  <si>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</si>
  <si>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</si>
  <si>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</si>
  <si>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</si>
  <si>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</si>
  <si>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</si>
  <si>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</si>
  <si>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</si>
  <si>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</si>
  <si>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</si>
  <si>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</si>
  <si>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</si>
  <si>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</si>
  <si>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</si>
  <si>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</si>
  <si>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</si>
  <si>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</si>
  <si>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</si>
  <si>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</si>
  <si>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</si>
  <si>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</si>
  <si>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</si>
  <si>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</si>
  <si>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</si>
  <si>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</si>
  <si>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</si>
  <si>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</si>
  <si>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</si>
  <si>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</si>
  <si>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</si>
  <si>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</si>
  <si>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</si>
  <si>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</si>
  <si>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</si>
  <si>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</si>
  <si>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</si>
  <si>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</si>
  <si>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</si>
  <si>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</si>
  <si>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</si>
  <si>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</si>
  <si>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</si>
  <si>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</si>
  <si>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</si>
  <si>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</si>
  <si>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</si>
  <si>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</si>
  <si>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</si>
  <si>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</si>
  <si>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</si>
  <si>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</si>
  <si>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</si>
  <si>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</si>
  <si>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</si>
  <si>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</si>
  <si>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</si>
  <si>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</si>
  <si>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</si>
  <si>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</si>
  <si>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</si>
  <si>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</si>
  <si>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</si>
  <si>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</si>
  <si>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</si>
  <si>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</si>
  <si>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</si>
  <si>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</si>
  <si>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</si>
  <si>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</si>
  <si>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</si>
  <si>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</si>
  <si>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</si>
  <si>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</si>
  <si>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</si>
  <si>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</si>
  <si>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</si>
  <si>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</si>
  <si>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</si>
  <si>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</si>
  <si>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</si>
  <si>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</si>
  <si>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</si>
  <si>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</si>
  <si>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</si>
  <si>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</si>
  <si>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</si>
  <si>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</si>
  <si>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</si>
  <si>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</si>
  <si>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</si>
  <si>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</si>
  <si>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</si>
  <si>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</si>
  <si>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</si>
  <si>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</si>
  <si>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</si>
  <si>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</si>
  <si>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</si>
  <si>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</si>
  <si>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</si>
  <si>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</si>
  <si>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</si>
  <si>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</si>
  <si>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</si>
  <si>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</si>
  <si>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</si>
  <si>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</si>
  <si>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</si>
  <si>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</si>
  <si>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</si>
  <si>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</si>
  <si>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</si>
  <si>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</si>
  <si>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</si>
  <si>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</si>
  <si>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</si>
  <si>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</si>
  <si>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</si>
  <si>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</si>
  <si>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</si>
  <si>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</si>
  <si>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</si>
  <si>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</si>
  <si>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</si>
  <si>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</si>
  <si>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</si>
  <si>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</si>
  <si>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</si>
  <si>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</si>
  <si>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</si>
  <si>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</si>
  <si>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</si>
  <si>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</si>
  <si>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</si>
  <si>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</si>
  <si>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</si>
  <si>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</si>
  <si>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</si>
  <si>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</si>
  <si>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</si>
  <si>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</si>
  <si>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</si>
  <si>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</si>
  <si>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</si>
  <si>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</si>
  <si>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</si>
  <si>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</si>
  <si>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</si>
  <si>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</si>
  <si>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</si>
  <si>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</si>
  <si>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</si>
  <si>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</si>
  <si>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</si>
  <si>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</si>
  <si>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</si>
  <si>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</si>
  <si>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</si>
  <si>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</si>
  <si>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</si>
  <si>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</si>
  <si>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</si>
  <si>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</si>
  <si>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</si>
  <si>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</si>
  <si>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</si>
  <si>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</si>
  <si>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</si>
  <si>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</si>
  <si>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</si>
  <si>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</si>
  <si>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</si>
  <si>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</si>
  <si>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</si>
  <si>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</si>
  <si>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</si>
  <si>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</si>
  <si>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</si>
  <si>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</si>
  <si>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</si>
  <si>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</si>
  <si>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</si>
  <si>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</si>
  <si>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</si>
  <si>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</si>
  <si>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</si>
  <si>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</si>
  <si>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</si>
  <si>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</si>
  <si>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</si>
  <si>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</si>
  <si>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</si>
  <si>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</si>
  <si>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</si>
  <si>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</si>
  <si>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</si>
  <si>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</si>
  <si>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</si>
  <si>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</si>
  <si>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</si>
  <si>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</si>
  <si>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</si>
  <si>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</si>
  <si>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</si>
  <si>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</si>
  <si>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</si>
  <si>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</si>
  <si>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</si>
  <si>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</si>
  <si>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</si>
  <si>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</si>
  <si>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</si>
  <si>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</si>
  <si>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</si>
  <si>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</si>
  <si>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</si>
  <si>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</si>
  <si>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</si>
  <si>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</si>
  <si>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</si>
  <si>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</si>
  <si>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</si>
  <si>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</si>
  <si>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</si>
  <si>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</si>
  <si>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</si>
  <si>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</si>
  <si>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</si>
  <si>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</si>
  <si>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</si>
  <si>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</si>
  <si>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</si>
  <si>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</si>
  <si>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</si>
  <si>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</si>
  <si>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</si>
  <si>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</si>
  <si>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</si>
  <si>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</si>
  <si>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</si>
  <si>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</si>
  <si>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</si>
  <si>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</si>
  <si>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</si>
  <si>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</si>
  <si>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</si>
  <si>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</si>
  <si>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</si>
  <si>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</si>
  <si>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</si>
  <si>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</si>
  <si>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</si>
  <si>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</si>
  <si>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</si>
  <si>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</si>
  <si>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</si>
  <si>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</si>
  <si>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</si>
  <si>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</si>
  <si>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</si>
  <si>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</si>
  <si>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</si>
  <si>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</si>
  <si>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</si>
  <si>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</si>
  <si>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</si>
  <si>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</si>
  <si>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</si>
  <si>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</si>
  <si>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</si>
  <si>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</si>
  <si>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</si>
  <si>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</si>
  <si>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</si>
  <si>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</si>
  <si>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</si>
  <si>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</si>
  <si>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</si>
  <si>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</si>
  <si>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</si>
  <si>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</si>
  <si>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</si>
  <si>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</si>
  <si>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</si>
  <si>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</si>
  <si>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</si>
  <si>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</si>
  <si>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</si>
  <si>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</si>
  <si>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</si>
  <si>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</si>
  <si>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</si>
  <si>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</si>
  <si>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</si>
  <si>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</si>
  <si>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</si>
  <si>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</si>
  <si>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</si>
  <si>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</si>
  <si>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</si>
  <si>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</si>
  <si>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</si>
  <si>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</si>
  <si>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</si>
  <si>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</si>
  <si>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</si>
  <si>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</si>
  <si>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</si>
  <si>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</si>
  <si>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</si>
  <si>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</si>
  <si>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</si>
  <si>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</si>
  <si>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</si>
  <si>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</si>
  <si>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</si>
  <si>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</si>
  <si>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</si>
  <si>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</si>
  <si>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</si>
  <si>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</si>
  <si>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</si>
  <si>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</si>
  <si>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</si>
  <si>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</si>
  <si>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</si>
  <si>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</si>
  <si>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</si>
  <si>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</si>
  <si>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</si>
  <si>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</si>
  <si>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</si>
  <si>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</si>
  <si>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</si>
  <si>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</si>
  <si>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</si>
  <si>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</si>
  <si>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</si>
  <si>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</si>
  <si>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</si>
  <si>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</si>
  <si>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</si>
  <si>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</si>
  <si>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</si>
  <si>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</si>
  <si>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</si>
  <si>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</si>
  <si>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</si>
  <si>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</si>
  <si>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</si>
  <si>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</si>
  <si>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</si>
  <si>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</si>
  <si>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</si>
  <si>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</si>
  <si>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</si>
  <si>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</si>
  <si>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</si>
  <si>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</si>
  <si>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</si>
  <si>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</si>
  <si>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</si>
  <si>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</si>
  <si>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</si>
  <si>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</si>
  <si>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</si>
  <si>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</si>
  <si>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</si>
  <si>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</si>
  <si>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</si>
  <si>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</si>
  <si>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</si>
  <si>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</si>
  <si>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</si>
  <si>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</si>
  <si>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</si>
  <si>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</si>
  <si>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</si>
  <si>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</si>
  <si>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</si>
  <si>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</si>
  <si>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</si>
  <si>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</si>
  <si>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</si>
  <si>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</si>
  <si>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</si>
  <si>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</si>
  <si>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</si>
  <si>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</si>
  <si>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</si>
  <si>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</si>
  <si>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</si>
  <si>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</si>
  <si>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</si>
  <si>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</si>
  <si>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</si>
  <si>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</si>
  <si>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</si>
  <si>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</si>
  <si>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</si>
  <si>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</si>
  <si>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</si>
  <si>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</si>
  <si>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</si>
  <si>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</si>
  <si>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</si>
  <si>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</si>
  <si>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</si>
  <si>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</si>
  <si>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</si>
  <si>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</si>
  <si>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</si>
  <si>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</si>
  <si>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</si>
  <si>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</si>
  <si>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</si>
  <si>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</si>
  <si>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</si>
  <si>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</si>
  <si>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</si>
  <si>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</si>
  <si>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</si>
  <si>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</si>
  <si>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</si>
  <si>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</si>
  <si>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</si>
  <si>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</si>
  <si>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</si>
  <si>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</si>
  <si>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</si>
  <si>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</si>
  <si>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</si>
  <si>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</si>
  <si>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</si>
  <si>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</si>
  <si>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</si>
  <si>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</si>
  <si>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</si>
  <si>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</si>
  <si>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</si>
  <si>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</si>
  <si>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</si>
  <si>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</si>
  <si>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</si>
  <si>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</si>
  <si>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</si>
  <si>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</si>
  <si>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</si>
  <si>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</si>
  <si>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</si>
  <si>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</si>
  <si>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</si>
  <si>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</si>
  <si>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</si>
  <si>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</si>
  <si>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</si>
  <si>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</si>
  <si>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</si>
  <si>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</si>
  <si>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</si>
  <si>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</si>
  <si>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</si>
  <si>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</si>
  <si>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</si>
  <si>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</si>
  <si>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</si>
  <si>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</si>
  <si>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</si>
  <si>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</si>
  <si>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</si>
  <si>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</si>
  <si>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</si>
  <si>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</si>
  <si>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</si>
  <si>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</si>
  <si>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</si>
  <si>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</si>
  <si>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</si>
  <si>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</si>
  <si>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</si>
  <si>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</si>
  <si>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</si>
  <si>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</si>
  <si>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</si>
  <si>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</si>
  <si>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</si>
  <si>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</si>
  <si>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</si>
  <si>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</si>
  <si>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</si>
  <si>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</si>
  <si>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</si>
  <si>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</si>
  <si>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</si>
  <si>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</si>
  <si>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</si>
  <si>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</si>
  <si>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</si>
  <si>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</si>
  <si>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</si>
  <si>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</si>
  <si>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</si>
  <si>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</si>
  <si>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</si>
  <si>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</si>
  <si>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</si>
  <si>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</si>
  <si>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</si>
  <si>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</si>
  <si>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</si>
  <si>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</si>
  <si>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</si>
  <si>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</si>
  <si>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</si>
  <si>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</si>
  <si>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</si>
  <si>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</si>
  <si>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</si>
  <si>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</si>
  <si>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</si>
  <si>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</si>
  <si>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</si>
  <si>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</si>
  <si>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</si>
  <si>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</si>
  <si>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</si>
  <si>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</si>
  <si>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</si>
  <si>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</si>
  <si>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</si>
  <si>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</si>
  <si>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</si>
  <si>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</si>
  <si>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</si>
  <si>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</si>
  <si>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</si>
  <si>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</si>
  <si>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</si>
  <si>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</si>
  <si>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</si>
  <si>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</si>
  <si>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</si>
  <si>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</si>
  <si>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</si>
  <si>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</si>
  <si>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</si>
  <si>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</si>
  <si>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</si>
  <si>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</si>
  <si>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</si>
  <si>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</si>
  <si>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</si>
  <si>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</si>
  <si>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</si>
  <si>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</si>
  <si>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</si>
  <si>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</si>
  <si>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</si>
  <si>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</si>
  <si>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</si>
  <si>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</si>
  <si>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</si>
  <si>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</si>
  <si>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</si>
  <si>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</si>
  <si>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</si>
  <si>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</si>
  <si>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</si>
  <si>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</si>
  <si>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</si>
  <si>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</si>
  <si>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</si>
  <si>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</si>
  <si>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</si>
  <si>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</si>
  <si>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</si>
  <si>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</si>
  <si>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</si>
  <si>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</si>
  <si>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</si>
  <si>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</si>
  <si>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</si>
  <si>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</si>
  <si>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</si>
  <si>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</si>
  <si>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</si>
  <si>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</si>
  <si>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</si>
  <si>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</si>
  <si>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</si>
  <si>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</si>
  <si>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</si>
  <si>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</si>
  <si>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</si>
  <si>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</si>
  <si>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</si>
  <si>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</si>
  <si>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</si>
  <si>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</si>
  <si>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</si>
  <si>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</si>
  <si>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</si>
  <si>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</si>
  <si>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</si>
  <si>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</si>
  <si>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</si>
  <si>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</si>
  <si>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</si>
  <si>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</si>
  <si>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</si>
  <si>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</si>
  <si>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</si>
  <si>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</si>
  <si>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</si>
  <si>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</si>
  <si>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</si>
  <si>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</si>
  <si>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</si>
  <si>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</si>
  <si>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</si>
  <si>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</si>
  <si>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</si>
  <si>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</si>
  <si>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</si>
  <si>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</si>
  <si>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</si>
  <si>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</si>
  <si>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</si>
  <si>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</si>
  <si>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</si>
  <si>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</si>
  <si>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</si>
  <si>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</si>
  <si>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</si>
  <si>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</si>
  <si>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</si>
  <si>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</si>
  <si>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</si>
  <si>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</si>
  <si>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</si>
  <si>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</si>
  <si>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</si>
  <si>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</si>
  <si>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</si>
  <si>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</si>
  <si>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</si>
  <si>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</si>
  <si>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</si>
  <si>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</si>
  <si>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</si>
  <si>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</si>
  <si>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</si>
  <si>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</si>
  <si>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</si>
  <si>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</si>
  <si>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</si>
  <si>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</si>
  <si>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</si>
  <si>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</si>
  <si>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</si>
  <si>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</si>
  <si>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</si>
  <si>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</si>
  <si>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</si>
  <si>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</si>
  <si>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</si>
  <si>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</si>
  <si>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</si>
  <si>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</si>
  <si>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</si>
  <si>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</si>
  <si>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</si>
  <si>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</si>
  <si>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</si>
  <si>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</si>
  <si>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</si>
  <si>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</si>
  <si>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</si>
  <si>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</si>
  <si>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</si>
  <si>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</si>
  <si>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</si>
  <si>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</si>
  <si>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</si>
  <si>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</si>
  <si>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</si>
  <si>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</si>
  <si>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</si>
  <si>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</si>
  <si>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</si>
  <si>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</si>
  <si>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</si>
  <si>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</si>
  <si>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</si>
  <si>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</si>
  <si>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</si>
  <si>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</si>
  <si>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</si>
  <si>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</si>
  <si>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</si>
  <si>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</si>
  <si>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</si>
  <si>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</si>
  <si>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</si>
  <si>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</si>
  <si>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</si>
  <si>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</si>
  <si>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</si>
  <si>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</si>
  <si>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</si>
  <si>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</si>
  <si>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</si>
  <si>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</si>
  <si>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</si>
  <si>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</si>
  <si>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</si>
  <si>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</si>
  <si>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</si>
  <si>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</si>
  <si>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</si>
  <si>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</si>
  <si>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</si>
  <si>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</si>
  <si>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</si>
  <si>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</si>
  <si>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</si>
  <si>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</si>
  <si>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</si>
  <si>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</si>
  <si>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</si>
  <si>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</si>
  <si>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</si>
  <si>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</si>
  <si>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</si>
  <si>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</si>
  <si>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</si>
  <si>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</si>
  <si>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</si>
  <si>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</si>
  <si>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</si>
  <si>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</si>
  <si>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</si>
  <si>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</si>
  <si>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</si>
  <si>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</si>
  <si>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</si>
  <si>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</si>
  <si>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</si>
  <si>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</si>
  <si>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</si>
  <si>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</si>
  <si>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</si>
  <si>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</si>
  <si>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</si>
  <si>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</si>
  <si>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</si>
  <si>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</si>
  <si>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</si>
  <si>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</si>
  <si>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</si>
  <si>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</si>
  <si>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</si>
  <si>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</si>
  <si>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</si>
  <si>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</si>
  <si>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</si>
  <si>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</si>
  <si>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</si>
  <si>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</si>
  <si>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</si>
  <si>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</si>
  <si>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</si>
  <si>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</si>
  <si>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</si>
  <si>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</si>
  <si>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</si>
  <si>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</si>
  <si>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</si>
  <si>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</si>
  <si>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</si>
  <si>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</si>
  <si>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</si>
  <si>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</si>
  <si>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</si>
  <si>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</si>
  <si>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</si>
  <si>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</si>
  <si>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</si>
  <si>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</si>
  <si>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</si>
  <si>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</si>
  <si>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</si>
  <si>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</si>
  <si>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</si>
  <si>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</si>
  <si>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</si>
  <si>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</si>
  <si>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</si>
  <si>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</si>
  <si>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</si>
  <si>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</si>
  <si>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</si>
  <si>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</si>
  <si>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</si>
  <si>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</si>
  <si>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</si>
  <si>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</si>
  <si>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</si>
  <si>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</si>
  <si>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</si>
  <si>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</si>
  <si>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</si>
  <si>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</si>
  <si>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</si>
  <si>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</si>
  <si>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</si>
  <si>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</si>
  <si>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</si>
  <si>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</si>
  <si>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</si>
  <si>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</si>
  <si>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</si>
  <si>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</si>
  <si>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</si>
  <si>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</si>
  <si>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</si>
  <si>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</si>
  <si>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</si>
  <si>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</si>
  <si>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</si>
  <si>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</si>
  <si>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</si>
  <si>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</si>
  <si>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</si>
  <si>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</si>
  <si>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</si>
  <si>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</si>
  <si>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</si>
  <si>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</si>
  <si>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</si>
  <si>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</si>
  <si>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</si>
  <si>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</si>
  <si>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</si>
  <si>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</si>
  <si>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</si>
  <si>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</si>
  <si>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</si>
  <si>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</si>
  <si>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</si>
  <si>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</si>
  <si>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</si>
  <si>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</si>
  <si>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</si>
  <si>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</si>
  <si>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</si>
  <si>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</si>
  <si>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</si>
  <si>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</si>
  <si>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</si>
  <si>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</si>
  <si>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</si>
  <si>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</si>
  <si>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</si>
  <si>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</si>
  <si>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</si>
  <si>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</si>
  <si>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</si>
  <si>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</si>
  <si>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</si>
  <si>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</si>
  <si>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</si>
  <si>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</si>
  <si>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</si>
  <si>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</si>
  <si>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</si>
  <si>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</si>
  <si>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</si>
  <si>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</si>
  <si>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</si>
  <si>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</si>
  <si>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</si>
  <si>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</si>
  <si>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</si>
  <si>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</si>
  <si>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</si>
  <si>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</si>
  <si>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</si>
  <si>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</si>
  <si>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</si>
  <si>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</si>
  <si>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</si>
  <si>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</si>
  <si>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</si>
  <si>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</si>
  <si>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</si>
  <si>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</si>
  <si>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</si>
  <si>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</si>
  <si>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</si>
  <si>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</si>
  <si>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</si>
  <si>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</si>
  <si>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</si>
  <si>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</si>
  <si>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</si>
  <si>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</si>
  <si>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</si>
  <si>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</si>
  <si>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</si>
  <si>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</si>
  <si>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</si>
  <si>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</si>
  <si>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</si>
  <si>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</si>
  <si>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</si>
  <si>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</si>
  <si>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</si>
  <si>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</si>
  <si>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</si>
  <si>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</si>
  <si>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</si>
  <si>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</si>
  <si>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</si>
  <si>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</si>
  <si>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</si>
  <si>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</si>
  <si>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</si>
  <si>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</si>
  <si>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</si>
  <si>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</si>
  <si>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</si>
  <si>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</si>
  <si>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</si>
  <si>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</si>
  <si>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</si>
  <si>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</si>
  <si>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</si>
  <si>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</si>
  <si>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</si>
  <si>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</si>
  <si>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</si>
  <si>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</si>
  <si>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</si>
  <si>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</si>
  <si>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</si>
  <si>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</si>
  <si>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</si>
  <si>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</si>
  <si>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</si>
  <si>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</si>
  <si>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</si>
  <si>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</si>
  <si>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</si>
  <si>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</si>
  <si>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</si>
  <si>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</si>
  <si>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</si>
  <si>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</si>
  <si>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</si>
  <si>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</si>
  <si>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</si>
  <si>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</si>
  <si>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</si>
  <si>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</si>
  <si>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</si>
  <si>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</si>
  <si>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</si>
  <si>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</si>
  <si>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</si>
  <si>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</si>
  <si>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</si>
  <si>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</si>
  <si>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</si>
  <si>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</si>
  <si>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</si>
  <si>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</si>
  <si>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</si>
  <si>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</si>
  <si>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</si>
  <si>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</si>
  <si>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</si>
  <si>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</si>
  <si>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</si>
  <si>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</si>
  <si>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</si>
  <si>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</si>
  <si>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</si>
  <si>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</si>
  <si>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</si>
  <si>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</si>
  <si>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</si>
  <si>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</si>
  <si>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</si>
  <si>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</si>
  <si>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</si>
  <si>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</si>
  <si>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</si>
  <si>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</si>
  <si>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</si>
  <si>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</si>
  <si>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</si>
  <si>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</si>
  <si>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</si>
  <si>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</si>
  <si>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</si>
  <si>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</si>
  <si>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</si>
  <si>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</si>
  <si>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</si>
  <si>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</si>
  <si>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</si>
  <si>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</si>
  <si>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</si>
  <si>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</si>
  <si>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</si>
  <si>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</si>
  <si>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</si>
  <si>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</si>
  <si>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</si>
  <si>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</si>
  <si>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</si>
  <si>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</si>
  <si>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</si>
  <si>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</si>
  <si>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</si>
  <si>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</si>
  <si>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</si>
  <si>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</si>
  <si>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</si>
  <si>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</si>
  <si>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</si>
  <si>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</si>
  <si>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</si>
  <si>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</si>
  <si>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</si>
  <si>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</si>
  <si>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</si>
  <si>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</si>
  <si>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</si>
  <si>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</si>
  <si>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</si>
  <si>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</si>
  <si>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</si>
  <si>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</si>
  <si>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</si>
  <si>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</si>
  <si>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</si>
  <si>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</si>
  <si>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</si>
  <si>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</si>
  <si>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</si>
  <si>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</si>
  <si>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</si>
  <si>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</si>
  <si>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</si>
  <si>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</si>
  <si>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</si>
  <si>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</si>
  <si>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</si>
  <si>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</si>
  <si>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</si>
  <si>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</si>
  <si>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</si>
  <si>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</si>
  <si>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</si>
  <si>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</si>
  <si>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</si>
  <si>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</si>
  <si>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</si>
  <si>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</si>
  <si>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</si>
  <si>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</si>
  <si>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</si>
  <si>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</si>
  <si>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</si>
  <si>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</si>
  <si>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</si>
  <si>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</si>
  <si>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</si>
  <si>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</si>
  <si>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</si>
  <si>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</si>
  <si>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</si>
  <si>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</si>
  <si>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</si>
  <si>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</si>
  <si>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</si>
  <si>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</si>
  <si>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</si>
  <si>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</si>
  <si>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</si>
  <si>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</si>
  <si>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</si>
  <si>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</si>
  <si>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</si>
  <si>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</si>
  <si>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</si>
  <si>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</si>
  <si>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</si>
  <si>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</si>
  <si>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</si>
  <si>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</si>
  <si>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</si>
  <si>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</si>
  <si>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</si>
  <si>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</si>
  <si>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</si>
  <si>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</si>
  <si>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</si>
  <si>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</si>
  <si>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</si>
  <si>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</si>
  <si>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</si>
  <si>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</si>
  <si>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</si>
  <si>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</si>
  <si>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</si>
  <si>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</si>
  <si>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</si>
  <si>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</si>
  <si>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</si>
  <si>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</si>
  <si>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</si>
  <si>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</si>
  <si>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</si>
  <si>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</si>
  <si>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</si>
  <si>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</si>
  <si>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</si>
  <si>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</si>
  <si>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</si>
  <si>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</si>
  <si>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</si>
  <si>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</si>
  <si>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</si>
  <si>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</si>
  <si>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</si>
  <si>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</si>
  <si>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</si>
  <si>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</si>
  <si>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</si>
  <si>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</si>
  <si>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</si>
  <si>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</si>
  <si>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</si>
  <si>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</si>
  <si>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</si>
  <si>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</si>
  <si>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</si>
  <si>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</si>
  <si>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</si>
  <si>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</si>
  <si>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</si>
  <si>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</si>
  <si>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</si>
  <si>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</si>
  <si>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</si>
  <si>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</si>
  <si>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</si>
  <si>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</si>
  <si>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</si>
  <si>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</si>
  <si>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</si>
  <si>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</si>
  <si>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</si>
  <si>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</si>
  <si>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</si>
  <si>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</si>
  <si>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</si>
  <si>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</si>
  <si>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</si>
  <si>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</si>
  <si>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</si>
  <si>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</si>
  <si>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</si>
  <si>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</si>
  <si>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</si>
  <si>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</si>
  <si>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</si>
  <si>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</si>
  <si>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</si>
  <si>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</si>
  <si>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</si>
  <si>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</si>
  <si>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</si>
  <si>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</si>
  <si>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</si>
  <si>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</si>
  <si>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</si>
  <si>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</si>
  <si>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</si>
  <si>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</si>
  <si>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</si>
  <si>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</si>
  <si>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</si>
  <si>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</si>
  <si>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</si>
  <si>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</si>
  <si>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</si>
  <si>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</si>
  <si>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</si>
  <si>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</si>
  <si>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</si>
  <si>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</si>
  <si>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</si>
  <si>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</si>
  <si>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</si>
  <si>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</si>
  <si>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</si>
  <si>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</si>
  <si>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</si>
  <si>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</si>
  <si>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</si>
  <si>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</si>
  <si>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</si>
  <si>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</si>
  <si>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</si>
  <si>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</si>
  <si>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</si>
  <si>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</si>
  <si>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</si>
  <si>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</si>
  <si>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</si>
  <si>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</si>
  <si>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</si>
  <si>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</si>
  <si>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</si>
  <si>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</si>
  <si>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</si>
  <si>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</si>
  <si>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</si>
  <si>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</si>
  <si>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</si>
  <si>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</si>
  <si>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</si>
  <si>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</si>
  <si>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</si>
  <si>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</si>
  <si>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</si>
  <si>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</si>
  <si>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</si>
  <si>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</si>
  <si>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</si>
  <si>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</si>
  <si>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</si>
  <si>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</si>
  <si>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</si>
  <si>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</si>
  <si>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</si>
  <si>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</si>
  <si>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</si>
  <si>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</si>
  <si>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</si>
  <si>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</si>
  <si>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</si>
  <si>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</si>
  <si>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</si>
  <si>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</si>
  <si>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</si>
  <si>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</si>
  <si>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</si>
  <si>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</si>
  <si>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</si>
  <si>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</si>
  <si>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</si>
  <si>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</si>
  <si>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</si>
  <si>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</si>
  <si>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</si>
  <si>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</si>
  <si>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</si>
  <si>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</si>
  <si>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</si>
  <si>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</si>
  <si>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</si>
  <si>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</si>
  <si>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</si>
  <si>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</si>
  <si>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</si>
  <si>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</si>
  <si>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</si>
  <si>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</si>
  <si>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</si>
  <si>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</si>
  <si>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</si>
  <si>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</si>
  <si>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</si>
  <si>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</si>
  <si>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</si>
  <si>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</si>
  <si>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</si>
  <si>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</si>
  <si>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</si>
  <si>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</si>
  <si>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</si>
  <si>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</si>
  <si>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</si>
  <si>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</si>
  <si>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</si>
  <si>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</si>
  <si>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</si>
  <si>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</si>
  <si>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</si>
  <si>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</si>
  <si>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</si>
  <si>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</si>
  <si>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</si>
  <si>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</si>
  <si>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</si>
  <si>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</si>
  <si>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</si>
  <si>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</si>
  <si>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</si>
  <si>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</si>
  <si>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</si>
  <si>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</si>
  <si>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</si>
  <si>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</si>
  <si>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</si>
  <si>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</si>
  <si>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</si>
  <si>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</si>
  <si>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</si>
  <si>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</si>
  <si>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</si>
  <si>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</si>
  <si>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</si>
  <si>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</si>
  <si>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</si>
  <si>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</si>
  <si>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</si>
  <si>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</si>
  <si>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</si>
  <si>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</si>
  <si>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</si>
  <si>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</si>
  <si>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</si>
  <si>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</si>
  <si>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</si>
  <si>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</si>
  <si>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</si>
  <si>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</si>
  <si>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</si>
  <si>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</si>
  <si>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</si>
  <si>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</si>
  <si>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</si>
  <si>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</si>
  <si>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</si>
  <si>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</si>
  <si>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</si>
  <si>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</si>
  <si>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</si>
  <si>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</si>
  <si>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</si>
  <si>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</si>
  <si>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</si>
  <si>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</si>
  <si>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</si>
  <si>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</si>
  <si>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</si>
  <si>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</si>
  <si>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</si>
  <si>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</si>
  <si>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</si>
  <si>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</si>
  <si>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</si>
  <si>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</si>
  <si>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</si>
  <si>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</si>
  <si>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</si>
  <si>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</si>
  <si>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</si>
  <si>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</si>
  <si>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</si>
  <si>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</si>
  <si>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</si>
  <si>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</si>
  <si>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</si>
  <si>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</si>
  <si>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</si>
  <si>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</si>
  <si>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</si>
  <si>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</si>
  <si>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</si>
  <si>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</si>
  <si>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</si>
  <si>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</si>
  <si>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</si>
  <si>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</si>
  <si>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</si>
  <si>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</si>
  <si>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</si>
  <si>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</si>
  <si>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</si>
  <si>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</si>
  <si>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</si>
  <si>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</si>
  <si>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</si>
  <si>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</si>
  <si>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</si>
  <si>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</si>
  <si>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</si>
  <si>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</si>
  <si>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</si>
  <si>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</si>
  <si>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</si>
  <si>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</si>
  <si>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</si>
  <si>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</si>
  <si>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</si>
  <si>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</si>
  <si>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</si>
  <si>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</si>
  <si>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</si>
  <si>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</si>
  <si>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</si>
  <si>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</si>
  <si>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</si>
  <si>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</si>
  <si>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</si>
  <si>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</si>
  <si>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</si>
  <si>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</si>
  <si>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</si>
  <si>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</si>
  <si>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</si>
  <si>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</si>
  <si>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</si>
  <si>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</si>
  <si>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</si>
  <si>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</si>
  <si>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</si>
  <si>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</si>
  <si>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</si>
  <si>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</si>
  <si>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</si>
  <si>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</si>
  <si>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</si>
  <si>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</si>
  <si>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</si>
  <si>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</si>
  <si>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</si>
  <si>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</si>
  <si>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</si>
  <si>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</si>
  <si>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</si>
  <si>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</si>
  <si>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</si>
  <si>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</si>
  <si>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</si>
  <si>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</si>
  <si>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</si>
  <si>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</si>
  <si>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</si>
  <si>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</si>
  <si>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</si>
  <si>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</si>
  <si>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</si>
  <si>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</si>
  <si>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</si>
  <si>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</si>
  <si>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</si>
  <si>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</si>
  <si>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</si>
  <si>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</si>
  <si>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</si>
  <si>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</si>
  <si>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</si>
  <si>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</si>
  <si>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</si>
  <si>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</si>
  <si>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</si>
  <si>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</si>
  <si>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</si>
  <si>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</si>
  <si>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</si>
  <si>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</si>
  <si>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</si>
  <si>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</si>
  <si>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</si>
  <si>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</si>
  <si>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</si>
  <si>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</si>
  <si>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</si>
  <si>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</si>
  <si>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</si>
  <si>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</si>
  <si>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</si>
  <si>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</si>
  <si>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</si>
  <si>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</si>
  <si>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</si>
  <si>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</si>
  <si>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</si>
  <si>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</si>
  <si>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</si>
  <si>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</si>
  <si>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</si>
  <si>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</si>
  <si>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</si>
  <si>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</si>
  <si>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</si>
  <si>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</si>
  <si>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</si>
  <si>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</si>
  <si>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</si>
  <si>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</si>
  <si>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</si>
  <si>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</si>
  <si>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</si>
  <si>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</si>
  <si>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</si>
  <si>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</si>
  <si>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</si>
  <si>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</si>
  <si>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</si>
  <si>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</si>
  <si>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</si>
  <si>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</si>
  <si>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</si>
  <si>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</si>
  <si>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</si>
  <si>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</si>
  <si>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</si>
  <si>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</si>
  <si>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</si>
  <si>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</si>
  <si>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</si>
  <si>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</si>
  <si>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</si>
  <si>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</si>
  <si>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</si>
  <si>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</si>
  <si>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</si>
  <si>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</si>
  <si>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</si>
  <si>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</si>
  <si>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</si>
  <si>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</si>
  <si>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</si>
  <si>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</si>
  <si>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</si>
  <si>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</si>
  <si>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</si>
  <si>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</si>
  <si>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</si>
  <si>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</si>
  <si>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</si>
  <si>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</si>
  <si>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</si>
  <si>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</si>
  <si>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</si>
  <si>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</si>
  <si>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</si>
  <si>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</si>
  <si>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</si>
  <si>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</si>
  <si>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</si>
  <si>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</si>
  <si>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</si>
  <si>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</si>
  <si>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</si>
  <si>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</si>
  <si>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</si>
  <si>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</si>
  <si>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</si>
  <si>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</si>
  <si>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</si>
  <si>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</si>
  <si>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</si>
  <si>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</si>
  <si>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</si>
  <si>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</si>
  <si>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</si>
  <si>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</si>
  <si>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</si>
  <si>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</si>
  <si>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</si>
  <si>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</si>
  <si>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</si>
  <si>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</si>
  <si>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</si>
  <si>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</si>
  <si>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</si>
  <si>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</si>
  <si>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</si>
  <si>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</si>
  <si>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</si>
  <si>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</si>
  <si>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</si>
  <si>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</si>
  <si>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</si>
  <si>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</si>
  <si>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</si>
  <si>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</si>
  <si>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</si>
  <si>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</si>
  <si>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</si>
  <si>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</si>
  <si>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</si>
  <si>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</si>
  <si>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</si>
  <si>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</si>
  <si>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</si>
  <si>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</si>
  <si>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</si>
  <si>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</si>
  <si>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</si>
  <si>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</si>
  <si>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</si>
  <si>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</si>
  <si>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</si>
  <si>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</si>
  <si>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</si>
  <si>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</si>
  <si>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</si>
  <si>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</si>
  <si>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</si>
  <si>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</si>
  <si>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</si>
  <si>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</si>
  <si>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</si>
  <si>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</si>
  <si>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</si>
  <si>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</si>
  <si>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</si>
  <si>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</si>
  <si>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</si>
  <si>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</si>
  <si>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</si>
  <si>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</si>
  <si>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</si>
  <si>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</si>
  <si>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</si>
  <si>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</si>
  <si>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</si>
  <si>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</si>
  <si>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</si>
  <si>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</si>
  <si>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</si>
  <si>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</si>
  <si>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</si>
  <si>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</si>
  <si>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</si>
  <si>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</si>
  <si>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</si>
  <si>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</si>
  <si>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</si>
  <si>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</si>
  <si>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</si>
  <si>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</si>
  <si>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</si>
  <si>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</si>
  <si>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</si>
  <si>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</si>
  <si>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</si>
  <si>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</si>
  <si>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</si>
  <si>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</si>
  <si>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</si>
  <si>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</si>
  <si>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</si>
  <si>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</si>
  <si>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</si>
  <si>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</si>
  <si>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</si>
  <si>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</si>
  <si>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</si>
  <si>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</si>
  <si>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</si>
  <si>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</si>
  <si>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</si>
  <si>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</si>
  <si>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</si>
  <si>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</si>
  <si>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</si>
  <si>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</si>
  <si>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</si>
  <si>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</si>
  <si>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</si>
  <si>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</si>
  <si>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</si>
  <si>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</si>
  <si>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</si>
  <si>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</si>
  <si>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</si>
  <si>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</si>
  <si>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</si>
  <si>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</si>
  <si>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</si>
  <si>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</si>
  <si>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</si>
  <si>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</si>
  <si>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</si>
  <si>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</si>
  <si>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</si>
  <si>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</si>
  <si>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</si>
  <si>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</si>
  <si>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</si>
  <si>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</si>
  <si>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</si>
  <si>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</si>
  <si>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</si>
  <si>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</si>
  <si>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</si>
  <si>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</si>
  <si>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</si>
  <si>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</si>
  <si>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</si>
  <si>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</si>
  <si>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</si>
  <si>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</si>
  <si>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</si>
  <si>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</si>
  <si>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</si>
  <si>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</si>
  <si>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</si>
  <si>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</si>
  <si>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</si>
  <si>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</si>
  <si>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</si>
  <si>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</si>
  <si>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</si>
  <si>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</si>
  <si>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</si>
  <si>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</si>
  <si>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</si>
  <si>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</si>
  <si>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</si>
  <si>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</si>
  <si>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</si>
  <si>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</si>
  <si>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</si>
  <si>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</si>
  <si>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</si>
  <si>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</si>
  <si>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</si>
  <si>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</si>
  <si>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</si>
  <si>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</si>
  <si>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</si>
  <si>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</si>
  <si>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</si>
  <si>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</si>
  <si>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</si>
  <si>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</si>
  <si>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</si>
  <si>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</si>
  <si>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</si>
  <si>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</si>
  <si>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</si>
  <si>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</si>
  <si>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</si>
  <si>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</si>
  <si>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</si>
  <si>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</si>
  <si>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</si>
  <si>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</si>
  <si>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</si>
  <si>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</si>
  <si>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</si>
  <si>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</si>
  <si>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</si>
  <si>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</si>
  <si>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</si>
  <si>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</si>
  <si>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</si>
  <si>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</si>
  <si>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</si>
  <si>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</si>
  <si>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</si>
  <si>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</si>
  <si>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</si>
  <si>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</si>
  <si>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</si>
  <si>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</si>
  <si>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</si>
  <si>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</si>
  <si>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</si>
  <si>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</si>
  <si>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</si>
  <si>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</si>
  <si>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</si>
  <si>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</si>
  <si>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</si>
  <si>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</si>
  <si>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</si>
  <si>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</si>
  <si>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</si>
  <si>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</si>
  <si>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</si>
  <si>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</si>
  <si>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</si>
  <si>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</si>
  <si>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</si>
  <si>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</si>
  <si>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</si>
  <si>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</si>
  <si>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</si>
  <si>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</si>
  <si>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</si>
  <si>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</si>
  <si>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</si>
  <si>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</si>
  <si>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</si>
  <si>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</si>
  <si>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</si>
  <si>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</si>
  <si>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</si>
  <si>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</si>
  <si>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</si>
  <si>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</si>
  <si>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</si>
  <si>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</si>
  <si>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</si>
  <si>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</si>
  <si>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</si>
  <si>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</si>
  <si>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</si>
  <si>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</si>
  <si>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</si>
  <si>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</si>
  <si>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</si>
  <si>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</si>
  <si>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</si>
  <si>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</si>
  <si>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</si>
  <si>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</si>
  <si>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</si>
  <si>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</si>
  <si>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</si>
  <si>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</si>
  <si>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</si>
  <si>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</si>
  <si>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</si>
  <si>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</si>
  <si>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</si>
  <si>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</si>
  <si>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</si>
  <si>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</si>
  <si>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</si>
  <si>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</si>
  <si>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</si>
  <si>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</si>
  <si>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</si>
  <si>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</si>
  <si>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</si>
  <si>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</si>
  <si>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</si>
  <si>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</si>
  <si>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</si>
  <si>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</si>
  <si>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</si>
  <si>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</si>
  <si>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</si>
  <si>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</si>
  <si>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</si>
  <si>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</si>
  <si>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</si>
  <si>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</si>
  <si>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</si>
  <si>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</si>
  <si>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</si>
  <si>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</si>
  <si>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</si>
  <si>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</si>
  <si>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</si>
  <si>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</si>
  <si>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</si>
  <si>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</si>
  <si>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</si>
  <si>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</si>
  <si>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</si>
  <si>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</si>
  <si>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</si>
  <si>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</si>
  <si>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</si>
  <si>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</si>
  <si>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</si>
  <si>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</si>
  <si>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</si>
  <si>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</si>
  <si>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</si>
  <si>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</si>
  <si>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</si>
  <si>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</si>
  <si>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</si>
  <si>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</si>
  <si>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</si>
  <si>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</si>
  <si>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</si>
  <si>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</si>
  <si>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</si>
  <si>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</si>
  <si>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</si>
  <si>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</si>
  <si>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</si>
  <si>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</si>
  <si>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</si>
  <si>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</si>
  <si>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</si>
  <si>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</si>
  <si>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</si>
  <si>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</si>
  <si>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</si>
  <si>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</si>
  <si>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</si>
  <si>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</si>
  <si>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</si>
  <si>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</si>
  <si>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</si>
  <si>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</si>
  <si>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</si>
  <si>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</si>
  <si>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</si>
  <si>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</si>
  <si>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</si>
  <si>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</si>
  <si>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</si>
  <si>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</si>
  <si>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</si>
  <si>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</si>
  <si>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</si>
  <si>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</si>
  <si>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</si>
  <si>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</si>
  <si>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</si>
  <si>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</si>
  <si>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</si>
  <si>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</si>
  <si>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</si>
  <si>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</si>
  <si>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</si>
  <si>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</si>
  <si>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</si>
  <si>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</si>
  <si>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</si>
  <si>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</si>
  <si>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</si>
  <si>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</si>
  <si>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</si>
  <si>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</si>
  <si>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</si>
  <si>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</si>
  <si>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</si>
  <si>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</si>
  <si>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</si>
  <si>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</si>
  <si>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</si>
  <si>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</si>
  <si>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</si>
  <si>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</si>
  <si>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</si>
  <si>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</si>
  <si>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</si>
  <si>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</si>
  <si>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</si>
  <si>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</si>
  <si>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</si>
  <si>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</si>
  <si>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</si>
  <si>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</si>
  <si>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</si>
  <si>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</si>
  <si>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</si>
  <si>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</si>
  <si>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</si>
  <si>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</si>
  <si>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</si>
  <si>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</si>
  <si>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</si>
  <si>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</si>
  <si>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</si>
  <si>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</si>
  <si>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</si>
  <si>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</si>
  <si>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</si>
  <si>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</si>
  <si>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</si>
  <si>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</si>
  <si>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</si>
  <si>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</si>
  <si>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</si>
  <si>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</si>
  <si>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</si>
  <si>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</si>
  <si>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</si>
  <si>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</si>
  <si>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</si>
  <si>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</si>
  <si>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</si>
  <si>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</si>
  <si>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</si>
  <si>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</si>
  <si>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</si>
  <si>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</si>
  <si>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</si>
  <si>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</si>
  <si>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</si>
  <si>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</si>
  <si>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</si>
  <si>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</si>
  <si>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</si>
  <si>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</si>
  <si>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</si>
  <si>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</si>
  <si>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</si>
  <si>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</si>
  <si>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</si>
  <si>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</si>
  <si>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</si>
  <si>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</si>
  <si>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</si>
  <si>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</si>
  <si>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</si>
  <si>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</si>
  <si>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</si>
  <si>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</si>
  <si>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</si>
  <si>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</si>
  <si>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</si>
  <si>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</si>
  <si>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</si>
  <si>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</si>
  <si>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</si>
  <si>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</si>
  <si>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</si>
  <si>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</si>
  <si>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</si>
  <si>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</si>
  <si>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</si>
  <si>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</si>
  <si>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</si>
  <si>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</si>
  <si>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</si>
  <si>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</si>
  <si>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</si>
  <si>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</si>
  <si>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</si>
  <si>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</si>
  <si>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</si>
  <si>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</si>
  <si>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</si>
  <si>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</si>
  <si>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</si>
  <si>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</si>
  <si>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</si>
  <si>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</si>
  <si>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</si>
  <si>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</si>
  <si>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</si>
  <si>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</si>
  <si>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</si>
  <si>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</si>
  <si>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</si>
  <si>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</si>
  <si>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</si>
  <si>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</si>
  <si>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</si>
  <si>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</si>
  <si>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</si>
  <si>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</si>
  <si>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</si>
  <si>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</si>
  <si>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</si>
  <si>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</si>
  <si>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</si>
  <si>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</si>
  <si>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</si>
  <si>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</si>
  <si>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</si>
  <si>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</si>
  <si>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</si>
  <si>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</si>
  <si>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</si>
  <si>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</si>
  <si>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</si>
  <si>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</si>
  <si>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</si>
  <si>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</si>
  <si>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</si>
  <si>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</si>
  <si>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</si>
  <si>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</si>
  <si>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</si>
  <si>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</si>
  <si>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</si>
  <si>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</si>
  <si>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</si>
  <si>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</si>
  <si>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</si>
  <si>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</si>
  <si>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</si>
  <si>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</si>
  <si>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</si>
  <si>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</si>
  <si>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</si>
  <si>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</si>
  <si>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</si>
  <si>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</si>
  <si>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</si>
  <si>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</si>
  <si>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</si>
  <si>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</si>
  <si>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</si>
  <si>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</si>
  <si>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</si>
  <si>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</si>
  <si>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</si>
  <si>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</si>
  <si>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</si>
  <si>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</si>
  <si>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</si>
  <si>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</si>
  <si>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</si>
  <si>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</si>
  <si>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</si>
  <si>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</si>
  <si>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</si>
  <si>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</si>
  <si>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</si>
  <si>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</si>
  <si>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</si>
  <si>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</si>
  <si>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</si>
  <si>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</si>
  <si>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</si>
  <si>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</si>
  <si>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</si>
  <si>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</si>
  <si>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</si>
  <si>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</si>
  <si>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</si>
  <si>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</si>
  <si>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</si>
  <si>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</si>
  <si>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</si>
  <si>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</si>
  <si>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</si>
  <si>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</si>
  <si>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</si>
  <si>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</si>
  <si>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</si>
  <si>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</si>
  <si>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</si>
  <si>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</si>
  <si>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</si>
  <si>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</si>
  <si>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</si>
  <si>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</si>
  <si>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</si>
  <si>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</si>
  <si>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</si>
  <si>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</si>
  <si>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</si>
  <si>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</si>
  <si>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</si>
  <si>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</si>
  <si>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</si>
  <si>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</si>
  <si>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</si>
  <si>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</si>
  <si>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</si>
  <si>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</si>
  <si>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</si>
  <si>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</si>
  <si>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</si>
  <si>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</si>
  <si>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</si>
  <si>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</si>
  <si>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</si>
  <si>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</si>
  <si>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</si>
  <si>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</si>
  <si>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</si>
  <si>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</si>
  <si>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</si>
  <si>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</si>
  <si>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</si>
  <si>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</si>
  <si>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</si>
  <si>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</si>
  <si>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</si>
  <si>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</si>
  <si>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</si>
  <si>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</si>
  <si>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</si>
  <si>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</si>
  <si>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</si>
  <si>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</si>
  <si>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</si>
  <si>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</si>
  <si>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</si>
  <si>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</si>
  <si>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</si>
  <si>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</si>
  <si>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</si>
  <si>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</si>
  <si>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</si>
  <si>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</si>
  <si>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</si>
  <si>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</si>
  <si>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</si>
  <si>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</si>
  <si>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</si>
  <si>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</si>
  <si>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</si>
  <si>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</si>
  <si>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</si>
  <si>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</si>
  <si>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</si>
  <si>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</si>
  <si>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</si>
  <si>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</si>
  <si>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</si>
  <si>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</si>
  <si>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</si>
  <si>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</si>
  <si>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</si>
  <si>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</si>
  <si>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</si>
  <si>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</si>
  <si>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</si>
  <si>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</si>
  <si>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</si>
  <si>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</si>
  <si>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</si>
  <si>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</si>
  <si>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</si>
  <si>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</si>
  <si>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</si>
  <si>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</si>
  <si>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</si>
  <si>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</si>
  <si>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</si>
  <si>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</si>
  <si>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</si>
  <si>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</si>
  <si>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</si>
  <si>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</si>
  <si>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</si>
  <si>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</si>
  <si>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</si>
  <si>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</si>
  <si>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</si>
  <si>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</si>
  <si>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</si>
  <si>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</si>
  <si>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</si>
  <si>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</si>
  <si>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</si>
  <si>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</si>
  <si>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</si>
  <si>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</si>
  <si>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</si>
  <si>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</si>
  <si>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</si>
  <si>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</si>
  <si>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</si>
  <si>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</si>
  <si>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</si>
  <si>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</si>
  <si>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</si>
  <si>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</si>
  <si>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</si>
  <si>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</si>
  <si>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</si>
  <si>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</si>
  <si>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</si>
  <si>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</si>
  <si>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</si>
  <si>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</si>
  <si>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</si>
  <si>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</si>
  <si>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</si>
  <si>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</si>
  <si>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</si>
  <si>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</si>
  <si>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</si>
  <si>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</si>
  <si>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</si>
  <si>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</si>
  <si>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</si>
  <si>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</si>
  <si>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</si>
  <si>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</si>
  <si>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</si>
  <si>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</si>
  <si>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</si>
  <si>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</si>
  <si>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</si>
  <si>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</si>
  <si>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</si>
  <si>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</si>
  <si>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</si>
  <si>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</si>
  <si>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</si>
  <si>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</si>
  <si>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</si>
  <si>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</si>
  <si>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</si>
  <si>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</si>
  <si>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</si>
  <si>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</si>
  <si>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</si>
  <si>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</si>
  <si>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</si>
  <si>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</si>
  <si>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</si>
  <si>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</si>
  <si>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</si>
  <si>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</si>
  <si>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</si>
  <si>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</si>
  <si>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</si>
  <si>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</si>
  <si>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</si>
  <si>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</si>
  <si>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</si>
  <si>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</si>
  <si>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</si>
  <si>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</si>
  <si>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</si>
  <si>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</si>
  <si>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</si>
  <si>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</si>
  <si>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</si>
  <si>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</si>
  <si>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</si>
  <si>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</si>
  <si>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</si>
  <si>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</si>
  <si>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</si>
  <si>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</si>
  <si>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</si>
  <si>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</si>
  <si>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</si>
  <si>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</si>
  <si>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</si>
  <si>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</si>
  <si>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</si>
  <si>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</si>
  <si>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</si>
  <si>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</si>
  <si>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</si>
  <si>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</si>
  <si>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</si>
  <si>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</si>
  <si>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</si>
  <si>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</si>
  <si>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</si>
  <si>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</si>
  <si>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</si>
  <si>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</si>
  <si>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</si>
  <si>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</si>
  <si>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</si>
  <si>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</si>
  <si>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</si>
  <si>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</si>
  <si>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</si>
  <si>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</si>
  <si>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</si>
  <si>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</si>
  <si>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</si>
  <si>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</si>
  <si>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</si>
  <si>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</si>
  <si>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</si>
  <si>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</si>
  <si>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Palm Villas at Millennium</t>
  </si>
  <si>
    <t>Todd Hileman</t>
  </si>
  <si>
    <t>City of Pam Desert</t>
  </si>
  <si>
    <t xml:space="preserve">(760) 346-0611 </t>
  </si>
  <si>
    <t>thileman@cityofpalmdesert.org</t>
  </si>
  <si>
    <t>73510 Fred Waring Drive</t>
  </si>
  <si>
    <t>Palm Desert</t>
  </si>
  <si>
    <t>694-120-028</t>
  </si>
  <si>
    <t>765-779</t>
  </si>
  <si>
    <t>765-799</t>
  </si>
  <si>
    <t>air conditioning</t>
  </si>
  <si>
    <t>Palm Communities</t>
  </si>
  <si>
    <t>40%/60%</t>
  </si>
  <si>
    <t>100 Pacifica, Suite 203</t>
  </si>
  <si>
    <t>Irvine</t>
  </si>
  <si>
    <t>CA</t>
  </si>
  <si>
    <t>Danovan Horn</t>
  </si>
  <si>
    <t>(949)878-9367</t>
  </si>
  <si>
    <t>dhorn@palmcommunities.com</t>
  </si>
  <si>
    <t>100 Pacifica, Ste. 203</t>
  </si>
  <si>
    <t>Mitch Slagerman</t>
  </si>
  <si>
    <t>(951)204-5049</t>
  </si>
  <si>
    <t>mslagerman@palmcommunities.com</t>
  </si>
  <si>
    <t>Managing GP</t>
  </si>
  <si>
    <t>PC Palm Desert Developers LLC, a to-be-formed Limited Liability Company</t>
  </si>
  <si>
    <t>Administrative GP</t>
  </si>
  <si>
    <t>Las Palmas Housing &amp; Development Corporation</t>
  </si>
  <si>
    <t>531 ENCINITAS BLVD, SUITE 206</t>
  </si>
  <si>
    <t>ENCINITAS</t>
  </si>
  <si>
    <t>Sabelhaus &amp; Strain, LLP</t>
  </si>
  <si>
    <t>1724 10th St. Suite 110</t>
  </si>
  <si>
    <t>Patrick R. Sabelhaus</t>
  </si>
  <si>
    <t>(916)444-0286</t>
  </si>
  <si>
    <t>pat@sabelhauslaw.com</t>
  </si>
  <si>
    <t>Counsel</t>
  </si>
  <si>
    <t>DL Horn and Associates, LLC</t>
  </si>
  <si>
    <t>100 Pacifica Ste. 203</t>
  </si>
  <si>
    <t>Irvine, CA 92618</t>
  </si>
  <si>
    <t>Sabelhaus and Strain, LLP</t>
  </si>
  <si>
    <t>1724 10th St. Suite 100</t>
  </si>
  <si>
    <t>Sacramento, CA 95811</t>
  </si>
  <si>
    <t>Patrick Sabelhaus</t>
  </si>
  <si>
    <t>(916)444-3408</t>
  </si>
  <si>
    <t>CohnReznick LLP</t>
  </si>
  <si>
    <t>3560 Lenox Road, Suite 2800</t>
  </si>
  <si>
    <t>Atlanta, GA 30326</t>
  </si>
  <si>
    <t>Deanne Rareshide</t>
  </si>
  <si>
    <t>(404)847-7646</t>
  </si>
  <si>
    <t>(404)847-9495</t>
  </si>
  <si>
    <t>deanne.rareshide@cohnreznick.com</t>
  </si>
  <si>
    <t>California Statewide Communities Development Authority</t>
  </si>
  <si>
    <t>1700 N. Broadway Suite 405</t>
  </si>
  <si>
    <t>Walnut Creek, CA 94596</t>
  </si>
  <si>
    <t>Jon Penkower</t>
  </si>
  <si>
    <t>(925)476-5887</t>
  </si>
  <si>
    <t>(925)391-3590</t>
  </si>
  <si>
    <t>jpenkower@cscda.org</t>
  </si>
  <si>
    <t>Derra Design, Inc.</t>
  </si>
  <si>
    <t>495 E. Rincon St. Suite 204</t>
  </si>
  <si>
    <t>Corona, CA 92879</t>
  </si>
  <si>
    <t>Bill Atkins</t>
  </si>
  <si>
    <t>(951)268-1650</t>
  </si>
  <si>
    <t>bill.atkins@derradesign.com</t>
  </si>
  <si>
    <t>TBD</t>
  </si>
  <si>
    <t xml:space="preserve">Raney Planning &amp; Management, Inc. </t>
  </si>
  <si>
    <t>1501 Sports Drive Suite A</t>
  </si>
  <si>
    <t>Sacramento, CA 95834</t>
  </si>
  <si>
    <t>Stefanie Williams</t>
  </si>
  <si>
    <t>City of Palm Desert, a California municipal corporation</t>
  </si>
  <si>
    <t>L. Todd Hileman</t>
  </si>
  <si>
    <t>Palm Desert, CA 92260</t>
  </si>
  <si>
    <t>(760)340-0574</t>
  </si>
  <si>
    <t>Three Story Garden</t>
  </si>
  <si>
    <t>Town Center Neighborhood (TCN)</t>
  </si>
  <si>
    <t>Planning Residential 22 )(PR-22) - Max 22 D/U</t>
  </si>
  <si>
    <t>23.5 D/U</t>
  </si>
  <si>
    <t>Affordable Housing</t>
  </si>
  <si>
    <t>4301 La Jolla Dr. Ste. 3000</t>
  </si>
  <si>
    <t>San Diego, CA 92122</t>
  </si>
  <si>
    <t xml:space="preserve">Mark S. Anderson </t>
  </si>
  <si>
    <t>CBRE</t>
  </si>
  <si>
    <t>(760)438-8527</t>
  </si>
  <si>
    <t>(760)438-8592</t>
  </si>
  <si>
    <t>mark.anderson@cbre.com</t>
  </si>
  <si>
    <t>Riverside County Loan</t>
  </si>
  <si>
    <t>Palm Desert Housing Authority Loan</t>
  </si>
  <si>
    <t>Riveside County Loan</t>
  </si>
  <si>
    <t>Tax Exempt Construction Loan</t>
  </si>
  <si>
    <t>Palm Desert Housing Authority</t>
  </si>
  <si>
    <t>Deferred Reserves</t>
  </si>
  <si>
    <t>Permanent Loan</t>
  </si>
  <si>
    <t>Deferred Developer Fees</t>
  </si>
  <si>
    <t>Housing Authority of the County of Riverside</t>
  </si>
  <si>
    <t>Office</t>
  </si>
  <si>
    <t>Taxes/Benefits/Workers Comp/Insurance</t>
  </si>
  <si>
    <t>Pool</t>
  </si>
  <si>
    <t>Solar &amp; Performance Bond</t>
  </si>
  <si>
    <t>Capitalized SLP Fee, Due Diligence Fee &amp; MGP Due Diligence Fee</t>
  </si>
  <si>
    <t>CDLAC Fees + Bond Issuance</t>
  </si>
  <si>
    <t>Borrower Attorney</t>
  </si>
  <si>
    <t>Aperto Property Management</t>
  </si>
  <si>
    <t>1 bedroom</t>
  </si>
  <si>
    <t>2 bedroom</t>
  </si>
  <si>
    <t>3 bedroom</t>
  </si>
  <si>
    <t>Michael Gaber</t>
  </si>
  <si>
    <t>One PNC Plaza, 249 Fifth Avenue</t>
  </si>
  <si>
    <t>Pittsburgh, Pennsylvania 15222-27073</t>
  </si>
  <si>
    <t>PNC Bank - Tax Exempt Construction Loan</t>
  </si>
  <si>
    <t>PNC Bank - Taxable Tail</t>
  </si>
  <si>
    <t>SOFR</t>
  </si>
  <si>
    <t>Taxable Construction Loan</t>
  </si>
  <si>
    <t>michael.gaber@pnc.com</t>
  </si>
  <si>
    <t>Palm Desert, CA</t>
  </si>
  <si>
    <t>(760)776-6417</t>
  </si>
  <si>
    <t>Soft Loan</t>
  </si>
  <si>
    <t>5555 Arlington Ave</t>
  </si>
  <si>
    <t>Riverside, CA 92504</t>
  </si>
  <si>
    <t>PNC Bank - Permanent Loan</t>
  </si>
  <si>
    <t>Riverside County Loan and PDHA</t>
  </si>
  <si>
    <t>Project-based vouchers (PBVs)</t>
  </si>
  <si>
    <t>Riverside County Housing Authority</t>
  </si>
  <si>
    <t>AGP Fee</t>
  </si>
  <si>
    <t xml:space="preserve">Riverside County Loan </t>
  </si>
  <si>
    <t>PNC Bank - Investor's Equity</t>
  </si>
  <si>
    <t>Investror's Equity</t>
  </si>
  <si>
    <t>Nicole Sanchez</t>
  </si>
  <si>
    <t>(760)863-2825</t>
  </si>
  <si>
    <t>2 Venture, Suite 525</t>
  </si>
  <si>
    <t>NWC of Gerald Ford Dr. &amp; Technology Dr.</t>
  </si>
  <si>
    <t>Variable</t>
  </si>
  <si>
    <t>Fixed</t>
  </si>
  <si>
    <t>$500M</t>
  </si>
  <si>
    <t>Noami Pines</t>
  </si>
  <si>
    <t>760) 944-9050</t>
  </si>
  <si>
    <t>(760) 944-9908</t>
  </si>
  <si>
    <t>npines@laspalmashousing.com</t>
  </si>
  <si>
    <t xml:space="preserve">Palm Communities or Assignee </t>
  </si>
  <si>
    <t xml:space="preserve">PNC Bank </t>
  </si>
  <si>
    <t>(714)473-0535</t>
  </si>
  <si>
    <t xml:space="preserve">Aperto Property Management, Inc. </t>
  </si>
  <si>
    <t>Ed Quigley</t>
  </si>
  <si>
    <t>(949) 873-0160</t>
  </si>
  <si>
    <t>equigley@apertopm.com</t>
  </si>
  <si>
    <t>(916) 372-6100</t>
  </si>
  <si>
    <t>(916) 419-6108</t>
  </si>
  <si>
    <t>swilliams@laurinassociates.com</t>
  </si>
  <si>
    <t>40 ft maximum</t>
  </si>
  <si>
    <t>1:1 BR; 1.5: 2&amp;3BR ; conceccsion granted- 1:1BR, .5:2&amp;3 BR</t>
  </si>
  <si>
    <t>Provided</t>
  </si>
  <si>
    <t>Not Applicable</t>
  </si>
  <si>
    <t>Five 3-story 24 unit residential buildings, one 2-story community building with manager's unit, and one maintenance building</t>
  </si>
  <si>
    <t>Subsidy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</si>
</sst>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17164">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3" fontId="20" fillId="0" borderId="0" xfId="0" applyNumberFormat="1" applyFont="1" applyAlignment="1">
      <alignment horizontal="center"/>
    </xf>
    <xf numFmtId="3" fontId="20" fillId="0" borderId="0" xfId="0" applyNumberFormat="1" applyFont="1"/>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0" fontId="20" fillId="0" borderId="16" xfId="569" applyFont="1" applyBorder="1" applyAlignment="1">
      <alignment horizontal="left"/>
    </xf>
    <xf numFmtId="0" fontId="20" fillId="0" borderId="0" xfId="569" applyFont="1" applyAlignment="1">
      <alignment horizontal="center"/>
    </xf>
    <xf numFmtId="0" fontId="14" fillId="0" borderId="0" xfId="244" applyNumberFormat="1" applyFill="1" applyAlignment="1" applyProtection="1">
      <alignment horizontal="left"/>
    </xf>
    <xf numFmtId="0" fontId="13" fillId="0" borderId="0" xfId="569" applyAlignment="1">
      <alignment horizontal="left" vertical="center" wrapText="1"/>
    </xf>
    <xf numFmtId="0" fontId="20" fillId="0" borderId="0" xfId="0" applyFont="1" applyAlignment="1">
      <alignment horizontal="left" vertical="top"/>
    </xf>
    <xf numFmtId="0" fontId="31" fillId="0" borderId="0" xfId="569" applyFont="1" applyAlignment="1">
      <alignment horizontal="center"/>
    </xf>
    <xf numFmtId="0" fontId="13" fillId="0" borderId="0" xfId="569" applyAlignment="1">
      <alignment horizontal="center"/>
    </xf>
    <xf numFmtId="0" fontId="31" fillId="0" borderId="0" xfId="569" applyFont="1" applyAlignment="1">
      <alignment horizontal="left"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5" borderId="3" xfId="569" applyFill="1" applyBorder="1" applyAlignment="1" applyProtection="1">
      <alignment horizontal="left"/>
      <protection locked="0"/>
    </xf>
    <xf numFmtId="0" fontId="13" fillId="5" borderId="4" xfId="569" applyFill="1" applyBorder="1" applyAlignment="1" applyProtection="1">
      <alignment horizontal="left"/>
      <protection locked="0"/>
    </xf>
    <xf numFmtId="0" fontId="13" fillId="5" borderId="5" xfId="569" applyFill="1" applyBorder="1" applyAlignment="1" applyProtection="1">
      <alignment horizontal="left"/>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13"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3"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horizontal="center" vertical="center"/>
    </xf>
    <xf numFmtId="0" fontId="13" fillId="5" borderId="4" xfId="0" applyFont="1" applyFill="1" applyBorder="1" applyAlignment="1" applyProtection="1">
      <alignment wrapText="1"/>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11" xfId="0" applyFont="1" applyFill="1" applyBorder="1" applyAlignment="1" applyProtection="1">
      <alignment horizontal="left" wrapText="1"/>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0" fillId="0" borderId="11" xfId="0" applyBorder="1" applyAlignment="1">
      <alignment horizontal="center"/>
    </xf>
    <xf numFmtId="0" fontId="22"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3" xfId="0" applyFont="1" applyBorder="1" applyAlignment="1">
      <alignment horizontal="center"/>
    </xf>
    <xf numFmtId="0" fontId="22"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3" xfId="0"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6"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4" xfId="0" applyFont="1" applyBorder="1" applyAlignment="1">
      <alignment horizontal="center"/>
    </xf>
    <xf numFmtId="0" fontId="46" fillId="0" borderId="0" xfId="0" applyFont="1" applyAlignment="1">
      <alignment horizontal="center"/>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22" fillId="5" borderId="11" xfId="0" applyNumberFormat="1" applyFont="1" applyFill="1" applyBorder="1" applyAlignment="1" applyProtection="1">
      <alignment horizontal="center"/>
      <protection locked="0"/>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3" fontId="13" fillId="43" borderId="3"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3"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1" fillId="10" borderId="6" xfId="543" applyNumberFormat="1" applyFont="1" applyFill="1" applyBorder="1" applyAlignment="1">
      <alignment horizontal="left" vertical="center" wrapText="1"/>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2"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6" fontId="13" fillId="5" borderId="6" xfId="0" applyNumberFormat="1" applyFont="1" applyFill="1" applyBorder="1" applyAlignment="1" applyProtection="1">
      <alignment horizontal="left"/>
      <protection locked="0"/>
    </xf>
    <xf numFmtId="0" fontId="13"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22" fillId="0" borderId="11" xfId="0" applyFont="1" applyBorder="1" applyAlignment="1">
      <alignment horizontal="center" vertical="top" wrapText="1"/>
    </xf>
    <xf numFmtId="168" fontId="0" fillId="0" borderId="11" xfId="0" applyNumberFormat="1" applyBorder="1" applyAlignment="1">
      <alignment horizontal="right"/>
    </xf>
    <xf numFmtId="0" fontId="20" fillId="0" borderId="17" xfId="0" applyFont="1" applyBorder="1" applyAlignment="1">
      <alignment horizontal="center"/>
    </xf>
    <xf numFmtId="164" fontId="32"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3" fillId="0" borderId="0" xfId="543" applyNumberFormat="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20" fillId="5" borderId="11" xfId="0" applyFont="1" applyFill="1" applyBorder="1" applyAlignment="1" applyProtection="1">
      <alignment horizontal="center"/>
      <protection locked="0"/>
    </xf>
    <xf numFmtId="0" fontId="22" fillId="0" borderId="3" xfId="0" applyFont="1" applyBorder="1" applyAlignment="1">
      <alignment horizontal="left"/>
    </xf>
    <xf numFmtId="0" fontId="0" fillId="5" borderId="3" xfId="0" quotePrefix="1" applyFill="1" applyBorder="1" applyAlignment="1" applyProtection="1">
      <alignment horizontal="right"/>
      <protection locked="0"/>
    </xf>
    <xf numFmtId="171" fontId="13" fillId="0" borderId="0" xfId="543" applyNumberFormat="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0" borderId="0" xfId="0" applyFont="1" applyAlignment="1">
      <alignment horizontal="left" vertical="top" wrapText="1"/>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0" fillId="0" borderId="7" xfId="0" applyFont="1" applyBorder="1" applyAlignment="1">
      <alignment horizontal="center" wrapText="1"/>
    </xf>
    <xf numFmtId="0" fontId="0" fillId="0" borderId="6" xfId="0" applyBorder="1" applyAlignment="1" applyProtection="1">
      <alignment horizontal="center"/>
      <protection locked="0"/>
    </xf>
    <xf numFmtId="0" fontId="22" fillId="5" borderId="6" xfId="271" applyFill="1" applyBorder="1" applyProtection="1">
      <protection locked="0"/>
    </xf>
    <xf numFmtId="0" fontId="0" fillId="43" borderId="6" xfId="0" applyFill="1" applyBorder="1" applyAlignment="1" applyProtection="1">
      <alignment horizontal="center"/>
      <protection locked="0"/>
    </xf>
    <xf numFmtId="166" fontId="22" fillId="5" borderId="4" xfId="271"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2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0" fontId="28" fillId="0" borderId="0" xfId="0" applyFont="1" applyAlignment="1">
      <alignment horizontal="center"/>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3" fillId="0" borderId="0" xfId="0" applyFont="1" applyAlignment="1">
      <alignment horizontal="center"/>
    </xf>
    <xf numFmtId="0" fontId="22" fillId="0" borderId="0" xfId="0" applyFont="1" applyAlignment="1">
      <alignment horizontal="center"/>
    </xf>
    <xf numFmtId="166" fontId="13" fillId="5" borderId="6" xfId="271" applyNumberFormat="1" applyFont="1" applyFill="1" applyBorder="1" applyAlignment="1" applyProtection="1">
      <alignment horizontal="left"/>
      <protection locked="0"/>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4" xfId="0" applyFont="1" applyFill="1" applyBorder="1" applyAlignment="1" applyProtection="1">
      <alignment horizontal="left" wrapText="1"/>
      <protection locked="0"/>
    </xf>
    <xf numFmtId="0" fontId="22" fillId="5" borderId="9" xfId="0" applyFont="1"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6" fontId="0" fillId="5" borderId="4" xfId="0" applyNumberForma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2" fontId="0" fillId="0" borderId="6" xfId="0" applyNumberFormat="1" applyBorder="1" applyAlignment="1">
      <alignment horizontal="center"/>
    </xf>
    <xf numFmtId="168" fontId="22" fillId="0" borderId="11" xfId="0" applyNumberFormat="1" applyFon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3" fillId="0" borderId="3" xfId="0" applyNumberFormat="1" applyFont="1" applyBorder="1" applyAlignment="1">
      <alignment horizontal="left" vertical="top"/>
    </xf>
    <xf numFmtId="0" fontId="21"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3" fontId="22" fillId="5" borderId="11" xfId="0" applyNumberFormat="1" applyFon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 fontId="22"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2"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3" fillId="5" borderId="9"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2" fillId="5" borderId="11" xfId="0" quotePrefix="1" applyNumberFormat="1"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11" xfId="4496" applyFont="1" applyBorder="1"/>
    <xf numFmtId="0" fontId="95" fillId="0" borderId="92" xfId="4496" applyFont="1" applyBorder="1"/>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9" fillId="44" borderId="0" xfId="8723" applyFont="1" applyFill="1" applyAlignment="1">
      <alignment horizontal="left"/>
    </xf>
    <xf numFmtId="0" fontId="2" fillId="49" borderId="68" xfId="8723"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61" fillId="49" borderId="81"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0" fontId="163" fillId="49" borderId="11" xfId="8723"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9" borderId="11" xfId="8723" applyFont="1" applyFill="1" applyBorder="1" applyAlignment="1" applyProtection="1">
      <alignment horizontal="center"/>
      <protection locked="0"/>
    </xf>
    <xf numFmtId="164" fontId="148" fillId="45" borderId="29"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0" fontId="161" fillId="45" borderId="81" xfId="8723" applyFont="1" applyFill="1" applyBorder="1" applyAlignment="1">
      <alignment horizontal="right"/>
    </xf>
    <xf numFmtId="0" fontId="161" fillId="45" borderId="11" xfId="8723" applyFont="1" applyFill="1" applyBorder="1" applyAlignment="1">
      <alignment horizontal="right"/>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168" fontId="163" fillId="49" borderId="11" xfId="700" applyNumberFormat="1" applyFont="1" applyFill="1" applyBorder="1" applyAlignment="1" applyProtection="1">
      <alignment horizontal="left"/>
      <protection locked="0"/>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14" fontId="161" fillId="49" borderId="11" xfId="8723"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99" fillId="45" borderId="75" xfId="8723" applyFont="1" applyFill="1" applyBorder="1" applyAlignment="1">
      <alignment horizontal="center"/>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43" fillId="45" borderId="75" xfId="8723" applyFont="1" applyFill="1" applyBorder="1" applyAlignment="1">
      <alignment horizontal="left"/>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99" fillId="45" borderId="92"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57" fillId="49" borderId="11" xfId="8723" applyFont="1" applyFill="1" applyBorder="1" applyAlignment="1" applyProtection="1">
      <alignment horizontal="left"/>
      <protection locked="0"/>
    </xf>
    <xf numFmtId="14" fontId="163" fillId="49" borderId="11" xfId="8723" applyNumberFormat="1" applyFont="1" applyFill="1" applyBorder="1" applyAlignment="1" applyProtection="1">
      <alignment horizontal="center"/>
      <protection locked="0"/>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43" fillId="45" borderId="71" xfId="8723" applyFont="1" applyFill="1" applyBorder="1" applyAlignment="1">
      <alignment horizontal="center"/>
    </xf>
    <xf numFmtId="0" fontId="148" fillId="45" borderId="11" xfId="8723" applyFont="1" applyFill="1" applyBorder="1" applyAlignment="1">
      <alignment horizontal="center"/>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75"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47" fillId="45" borderId="1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0" fontId="147" fillId="45" borderId="81" xfId="8723" applyFont="1" applyFill="1" applyBorder="1" applyAlignment="1">
      <alignment horizontal="center"/>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148" fillId="45" borderId="92" xfId="8723" applyFont="1" applyFill="1" applyBorder="1" applyAlignment="1">
      <alignment horizontal="center"/>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168" fontId="163" fillId="49" borderId="92" xfId="700" applyNumberFormat="1" applyFont="1" applyFill="1" applyBorder="1" applyAlignment="1" applyProtection="1">
      <alignment horizontal="left"/>
      <protection locked="0"/>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0" fontId="146" fillId="49" borderId="90"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8" fillId="45" borderId="11" xfId="8723" applyFont="1" applyFill="1" applyBorder="1" applyAlignment="1">
      <alignment horizontal="center" vertical="center" wrapText="1"/>
    </xf>
    <xf numFmtId="0" fontId="148" fillId="45" borderId="92" xfId="8723" applyFont="1" applyFill="1" applyBorder="1" applyAlignment="1">
      <alignment horizontal="center" vertical="center" wrapText="1"/>
    </xf>
    <xf numFmtId="1" fontId="162" fillId="49" borderId="74" xfId="8723" applyNumberFormat="1" applyFont="1" applyFill="1" applyBorder="1" applyAlignment="1" applyProtection="1">
      <alignment horizontal="center"/>
      <protection locked="0"/>
    </xf>
    <xf numFmtId="1" fontId="148" fillId="44" borderId="74" xfId="8723" applyNumberFormat="1" applyFont="1" applyFill="1" applyBorder="1" applyAlignment="1">
      <alignment horizontal="center"/>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17164">
    <cellStyle name="20% - Accent1" xfId="1" builtinId="30" customBuiltin="1"/>
    <cellStyle name="20% - Accent1 10" xfId="4505" xr:uid="{00000000-0005-0000-0000-000001000000}"/>
    <cellStyle name="20% - Accent1 10 2" xfId="12944" xr:uid="{F3D42899-B2A6-40DD-8CF5-D54C5848E5B0}"/>
    <cellStyle name="20% - Accent1 11" xfId="8726" xr:uid="{C6215B56-6939-473F-B73A-99481301E9E0}"/>
    <cellStyle name="20% - Accent1 2" xfId="2" xr:uid="{00000000-0005-0000-0000-000002000000}"/>
    <cellStyle name="20% - Accent1 2 10" xfId="8727" xr:uid="{520DE56D-9C12-45F5-AEA0-CD11484F15F5}"/>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6" xr:uid="{9B92B2DA-9AC9-4E05-9C0F-25662DCCDC61}"/>
    <cellStyle name="20% - Accent1 2 2 2 2 2 3" xfId="11288" xr:uid="{AFBD77B1-1500-4423-81AC-8070E0F08BE6}"/>
    <cellStyle name="20% - Accent1 2 2 2 2 3" xfId="4922" xr:uid="{00000000-0005-0000-0000-000008000000}"/>
    <cellStyle name="20% - Accent1 2 2 2 2 3 2" xfId="13361" xr:uid="{CEAB4573-D93F-41A0-AB40-2B22BD5259D2}"/>
    <cellStyle name="20% - Accent1 2 2 2 2 4" xfId="9143" xr:uid="{FD12CED1-EBC7-4CBD-ABE9-00462113FD05}"/>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19" xr:uid="{B97E7D23-AF24-4D12-A894-D6B855580B3A}"/>
    <cellStyle name="20% - Accent1 2 2 2 3 2 3" xfId="11701" xr:uid="{FBCC7C3B-F6A1-4D32-A045-BC99EABA45EC}"/>
    <cellStyle name="20% - Accent1 2 2 2 3 3" xfId="5335" xr:uid="{00000000-0005-0000-0000-00000C000000}"/>
    <cellStyle name="20% - Accent1 2 2 2 3 3 2" xfId="13774" xr:uid="{E254746D-074E-4F04-BE5F-EBC5F3CBD467}"/>
    <cellStyle name="20% - Accent1 2 2 2 3 4" xfId="9556" xr:uid="{CF4942BC-E73C-46C7-B944-B40208807779}"/>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2" xr:uid="{DAA54228-A52F-4C35-BA5E-A6CDB233E976}"/>
    <cellStyle name="20% - Accent1 2 2 2 4 2 3" xfId="12114" xr:uid="{26E20362-075A-41BB-AC02-45F9A08BE7A3}"/>
    <cellStyle name="20% - Accent1 2 2 2 4 3" xfId="5748" xr:uid="{00000000-0005-0000-0000-000010000000}"/>
    <cellStyle name="20% - Accent1 2 2 2 4 3 2" xfId="14187" xr:uid="{00E5711F-1B1B-4409-A49D-5A1F3EABC005}"/>
    <cellStyle name="20% - Accent1 2 2 2 4 4" xfId="9969" xr:uid="{904830DC-121E-48E5-B5B2-EE5E5A21A088}"/>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5" xr:uid="{924E9BFC-5A22-4D6A-9A8B-F0CF9B696A31}"/>
    <cellStyle name="20% - Accent1 2 2 2 5 2 3" xfId="12527" xr:uid="{A036B804-C962-48CC-82A3-F22B717D5046}"/>
    <cellStyle name="20% - Accent1 2 2 2 5 3" xfId="6161" xr:uid="{00000000-0005-0000-0000-000014000000}"/>
    <cellStyle name="20% - Accent1 2 2 2 5 3 2" xfId="14600" xr:uid="{DA63A941-419E-4B99-95C7-39AC06828CC6}"/>
    <cellStyle name="20% - Accent1 2 2 2 5 4" xfId="10382" xr:uid="{CEE6C8FA-1B30-49E9-8DED-98D42ACA4069}"/>
    <cellStyle name="20% - Accent1 2 2 2 6" xfId="2267" xr:uid="{00000000-0005-0000-0000-000015000000}"/>
    <cellStyle name="20% - Accent1 2 2 2 6 2" xfId="6574" xr:uid="{00000000-0005-0000-0000-000016000000}"/>
    <cellStyle name="20% - Accent1 2 2 2 6 2 2" xfId="15013" xr:uid="{07425F0D-1E07-4EE0-95A1-4A4CAF24DD1E}"/>
    <cellStyle name="20% - Accent1 2 2 2 6 3" xfId="10795" xr:uid="{D65B7C43-977D-4DCC-8878-2F4CE46F44FA}"/>
    <cellStyle name="20% - Accent1 2 2 2 7" xfId="4508" xr:uid="{00000000-0005-0000-0000-000017000000}"/>
    <cellStyle name="20% - Accent1 2 2 2 7 2" xfId="12947" xr:uid="{3CF509CE-3122-4973-BC39-D1015B03DAF7}"/>
    <cellStyle name="20% - Accent1 2 2 2 8" xfId="8729" xr:uid="{25AA811C-27C0-44D4-A548-92F552E7987E}"/>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5" xr:uid="{C0D9B3CC-C535-4E8D-9CB8-657A9A73A154}"/>
    <cellStyle name="20% - Accent1 2 2 3 2 3" xfId="11287" xr:uid="{62EFF6EE-FB5A-4387-A7C3-FF60103E0BDA}"/>
    <cellStyle name="20% - Accent1 2 2 3 3" xfId="4921" xr:uid="{00000000-0005-0000-0000-00001B000000}"/>
    <cellStyle name="20% - Accent1 2 2 3 3 2" xfId="13360" xr:uid="{E73C250A-2805-4AC1-A663-52D6231B19D0}"/>
    <cellStyle name="20% - Accent1 2 2 3 4" xfId="9142" xr:uid="{7CF547A4-96D5-48A9-BBA1-5FAAF4FDE2C5}"/>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18" xr:uid="{6FA1F109-899F-4EF6-8A40-F37B89216775}"/>
    <cellStyle name="20% - Accent1 2 2 4 2 3" xfId="11700" xr:uid="{B4870B3E-2425-498B-BC38-22228951C86A}"/>
    <cellStyle name="20% - Accent1 2 2 4 3" xfId="5334" xr:uid="{00000000-0005-0000-0000-00001F000000}"/>
    <cellStyle name="20% - Accent1 2 2 4 3 2" xfId="13773" xr:uid="{348D5689-0FF5-444B-9F28-ED232BF28804}"/>
    <cellStyle name="20% - Accent1 2 2 4 4" xfId="9555" xr:uid="{04620134-8862-4E2B-A9E6-44C552058F12}"/>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1" xr:uid="{8AB74F88-199A-4B1D-83B6-73386F47D1FF}"/>
    <cellStyle name="20% - Accent1 2 2 5 2 3" xfId="12113" xr:uid="{77305A2F-20A5-43C9-B62A-CF639A2EC531}"/>
    <cellStyle name="20% - Accent1 2 2 5 3" xfId="5747" xr:uid="{00000000-0005-0000-0000-000023000000}"/>
    <cellStyle name="20% - Accent1 2 2 5 3 2" xfId="14186" xr:uid="{0A9B4C83-0234-426D-904F-8300DE6CAEAC}"/>
    <cellStyle name="20% - Accent1 2 2 5 4" xfId="9968" xr:uid="{634B47FC-426C-4F65-BC73-AFF3714F548D}"/>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4" xr:uid="{BA329315-5A61-4C5A-B658-075E17CEE550}"/>
    <cellStyle name="20% - Accent1 2 2 6 2 3" xfId="12526" xr:uid="{C7A9E3DA-CC66-4CC9-B85F-540076991C65}"/>
    <cellStyle name="20% - Accent1 2 2 6 3" xfId="6160" xr:uid="{00000000-0005-0000-0000-000027000000}"/>
    <cellStyle name="20% - Accent1 2 2 6 3 2" xfId="14599" xr:uid="{AFF06369-E97C-44ED-B844-9B61B8113AFB}"/>
    <cellStyle name="20% - Accent1 2 2 6 4" xfId="10381" xr:uid="{CC509215-8F0A-4F89-B544-81374F1038BF}"/>
    <cellStyle name="20% - Accent1 2 2 7" xfId="2266" xr:uid="{00000000-0005-0000-0000-000028000000}"/>
    <cellStyle name="20% - Accent1 2 2 7 2" xfId="6573" xr:uid="{00000000-0005-0000-0000-000029000000}"/>
    <cellStyle name="20% - Accent1 2 2 7 2 2" xfId="15012" xr:uid="{31C55CE9-24FD-4963-8B31-3B2A380FD5DC}"/>
    <cellStyle name="20% - Accent1 2 2 7 3" xfId="10794" xr:uid="{9336CA3E-646A-436C-8236-F0D14604E768}"/>
    <cellStyle name="20% - Accent1 2 2 8" xfId="4507" xr:uid="{00000000-0005-0000-0000-00002A000000}"/>
    <cellStyle name="20% - Accent1 2 2 8 2" xfId="12946" xr:uid="{3BFDBAD5-B5C7-4663-B0D0-BDFC8C2F6E03}"/>
    <cellStyle name="20% - Accent1 2 2 9" xfId="8728" xr:uid="{B8236B6A-3837-48C8-B2F9-C7F080657B73}"/>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07" xr:uid="{D308B4E1-5AAB-442D-A48C-E7BE9EF0729A}"/>
    <cellStyle name="20% - Accent1 2 3 2 2 3" xfId="11289" xr:uid="{BC6D7D59-E74D-47A4-94C9-F49A5C186E8A}"/>
    <cellStyle name="20% - Accent1 2 3 2 3" xfId="4923" xr:uid="{00000000-0005-0000-0000-00002F000000}"/>
    <cellStyle name="20% - Accent1 2 3 2 3 2" xfId="13362" xr:uid="{A753C510-0BDC-4D41-B08A-174D4EA9E545}"/>
    <cellStyle name="20% - Accent1 2 3 2 4" xfId="9144" xr:uid="{3EB78A1E-62EE-485D-9608-2138F4531605}"/>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0" xr:uid="{B9974AAC-7148-48FC-976E-6159099BF99D}"/>
    <cellStyle name="20% - Accent1 2 3 3 2 3" xfId="11702" xr:uid="{1D15896B-4560-47F7-957E-787BB6597E7F}"/>
    <cellStyle name="20% - Accent1 2 3 3 3" xfId="5336" xr:uid="{00000000-0005-0000-0000-000033000000}"/>
    <cellStyle name="20% - Accent1 2 3 3 3 2" xfId="13775" xr:uid="{9E987754-29CA-4A12-94E8-4078FF1E58A4}"/>
    <cellStyle name="20% - Accent1 2 3 3 4" xfId="9557" xr:uid="{005F4251-9F28-4DFE-B059-55F91746000A}"/>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3" xr:uid="{F1154CDE-7E4D-4862-B7B6-6E43D6865D41}"/>
    <cellStyle name="20% - Accent1 2 3 4 2 3" xfId="12115" xr:uid="{A0906CA9-DF6E-4EEE-B69E-D89C17835795}"/>
    <cellStyle name="20% - Accent1 2 3 4 3" xfId="5749" xr:uid="{00000000-0005-0000-0000-000037000000}"/>
    <cellStyle name="20% - Accent1 2 3 4 3 2" xfId="14188" xr:uid="{ED0D0DA3-CFD7-43D7-8BBB-266243FB4419}"/>
    <cellStyle name="20% - Accent1 2 3 4 4" xfId="9970" xr:uid="{3768CAA2-5265-4003-8C6C-C3FC88B3EC88}"/>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6" xr:uid="{4161B4AB-47BC-4398-9290-E8199A2C7CC7}"/>
    <cellStyle name="20% - Accent1 2 3 5 2 3" xfId="12528" xr:uid="{8842914D-AD75-4957-83D7-7A5F6BDDB11A}"/>
    <cellStyle name="20% - Accent1 2 3 5 3" xfId="6162" xr:uid="{00000000-0005-0000-0000-00003B000000}"/>
    <cellStyle name="20% - Accent1 2 3 5 3 2" xfId="14601" xr:uid="{1DA1B28C-DE67-4DD1-BCFB-639FA6106DDC}"/>
    <cellStyle name="20% - Accent1 2 3 5 4" xfId="10383" xr:uid="{F96B3E3D-F3D9-43D8-877B-76837E4D300C}"/>
    <cellStyle name="20% - Accent1 2 3 6" xfId="2268" xr:uid="{00000000-0005-0000-0000-00003C000000}"/>
    <cellStyle name="20% - Accent1 2 3 6 2" xfId="6575" xr:uid="{00000000-0005-0000-0000-00003D000000}"/>
    <cellStyle name="20% - Accent1 2 3 6 2 2" xfId="15014" xr:uid="{7361973C-0B08-485A-A84C-051894D6890D}"/>
    <cellStyle name="20% - Accent1 2 3 6 3" xfId="10796" xr:uid="{00C9EF77-3C90-4BF8-A57F-C60B11B47BA1}"/>
    <cellStyle name="20% - Accent1 2 3 7" xfId="4509" xr:uid="{00000000-0005-0000-0000-00003E000000}"/>
    <cellStyle name="20% - Accent1 2 3 7 2" xfId="12948" xr:uid="{6724EB55-965E-446D-B464-84CE2374B439}"/>
    <cellStyle name="20% - Accent1 2 3 8" xfId="8730" xr:uid="{5F00C009-EF91-4582-A21C-7D6BB64B2930}"/>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4" xr:uid="{4BE21089-7DA4-4A09-BCE7-89EEED74F027}"/>
    <cellStyle name="20% - Accent1 2 4 2 3" xfId="11286" xr:uid="{52CE27E3-48A0-49A7-BADF-53595A2F10D4}"/>
    <cellStyle name="20% - Accent1 2 4 3" xfId="4920" xr:uid="{00000000-0005-0000-0000-000042000000}"/>
    <cellStyle name="20% - Accent1 2 4 3 2" xfId="13359" xr:uid="{33BEB73D-1DFC-4513-9800-98314D672881}"/>
    <cellStyle name="20% - Accent1 2 4 4" xfId="9141" xr:uid="{E052AF39-04B3-4298-B124-9C00CCE72063}"/>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17" xr:uid="{2FC694C0-1F21-42D1-82C7-7449678D6A39}"/>
    <cellStyle name="20% - Accent1 2 5 2 3" xfId="11699" xr:uid="{F51640F3-C98D-485D-9AF5-7500B676706F}"/>
    <cellStyle name="20% - Accent1 2 5 3" xfId="5333" xr:uid="{00000000-0005-0000-0000-000046000000}"/>
    <cellStyle name="20% - Accent1 2 5 3 2" xfId="13772" xr:uid="{18C716BD-4481-4202-B937-F6CC9B82C40F}"/>
    <cellStyle name="20% - Accent1 2 5 4" xfId="9554" xr:uid="{4B5A29C0-1D84-498D-968B-E6E805D11D02}"/>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0" xr:uid="{6336105C-0454-448E-91AB-27B156F65B57}"/>
    <cellStyle name="20% - Accent1 2 6 2 3" xfId="12112" xr:uid="{E6397CA3-BB7E-445A-92EE-E4680B8D3FA0}"/>
    <cellStyle name="20% - Accent1 2 6 3" xfId="5746" xr:uid="{00000000-0005-0000-0000-00004A000000}"/>
    <cellStyle name="20% - Accent1 2 6 3 2" xfId="14185" xr:uid="{120DD892-636D-4A1E-AC14-7ECC4EF8721F}"/>
    <cellStyle name="20% - Accent1 2 6 4" xfId="9967" xr:uid="{130AC63C-1493-4164-88F3-759DB4D8C678}"/>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3" xr:uid="{CF471F38-8A9F-43AC-80B0-502E8A87A578}"/>
    <cellStyle name="20% - Accent1 2 7 2 3" xfId="12525" xr:uid="{C5009196-170E-4A14-A738-06ABCD296536}"/>
    <cellStyle name="20% - Accent1 2 7 3" xfId="6159" xr:uid="{00000000-0005-0000-0000-00004E000000}"/>
    <cellStyle name="20% - Accent1 2 7 3 2" xfId="14598" xr:uid="{17FACD39-8CFF-4C9C-81B5-865CF16F7E18}"/>
    <cellStyle name="20% - Accent1 2 7 4" xfId="10380" xr:uid="{7E774AC4-E89C-4D99-8F79-F096D00ECC16}"/>
    <cellStyle name="20% - Accent1 2 8" xfId="2265" xr:uid="{00000000-0005-0000-0000-00004F000000}"/>
    <cellStyle name="20% - Accent1 2 8 2" xfId="6572" xr:uid="{00000000-0005-0000-0000-000050000000}"/>
    <cellStyle name="20% - Accent1 2 8 2 2" xfId="15011" xr:uid="{363BA1D1-153B-417D-A537-2DFBBBA64CF4}"/>
    <cellStyle name="20% - Accent1 2 8 3" xfId="10793" xr:uid="{5C4D69B7-FE20-4C67-899C-A1589FD868B0}"/>
    <cellStyle name="20% - Accent1 2 9" xfId="4506" xr:uid="{00000000-0005-0000-0000-000051000000}"/>
    <cellStyle name="20% - Accent1 2 9 2" xfId="12945" xr:uid="{EB5D5AA1-BB45-4862-96D5-1F0F3A991F5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09" xr:uid="{B016E2DB-23C7-4590-A2A3-65DFDB8D48B8}"/>
    <cellStyle name="20% - Accent1 3 2 2 2 3" xfId="11291" xr:uid="{7BA7735D-3EF3-430C-9C86-952BDF087E2B}"/>
    <cellStyle name="20% - Accent1 3 2 2 3" xfId="4925" xr:uid="{00000000-0005-0000-0000-000057000000}"/>
    <cellStyle name="20% - Accent1 3 2 2 3 2" xfId="13364" xr:uid="{1AFDDBC8-F1EA-48E6-A7FE-CD2DDD957A1D}"/>
    <cellStyle name="20% - Accent1 3 2 2 4" xfId="9146" xr:uid="{91D13FD6-5C39-4B11-B8DA-8EE7C1372145}"/>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2" xr:uid="{23C748F2-E477-421D-BCA1-E02A8E42B2B7}"/>
    <cellStyle name="20% - Accent1 3 2 3 2 3" xfId="11704" xr:uid="{0E17D415-D780-4678-A8C1-226BFDE608A1}"/>
    <cellStyle name="20% - Accent1 3 2 3 3" xfId="5338" xr:uid="{00000000-0005-0000-0000-00005B000000}"/>
    <cellStyle name="20% - Accent1 3 2 3 3 2" xfId="13777" xr:uid="{3AEF1696-9F34-45D9-9796-898EDD3C5665}"/>
    <cellStyle name="20% - Accent1 3 2 3 4" xfId="9559" xr:uid="{F414DF78-6DE0-4CF7-BE14-4CC13F4EF782}"/>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5" xr:uid="{1B00FB30-E8D7-4D5B-9A10-F4F56A1165D6}"/>
    <cellStyle name="20% - Accent1 3 2 4 2 3" xfId="12117" xr:uid="{7E5C96FA-704A-41BF-ABDE-170F8365DFF3}"/>
    <cellStyle name="20% - Accent1 3 2 4 3" xfId="5751" xr:uid="{00000000-0005-0000-0000-00005F000000}"/>
    <cellStyle name="20% - Accent1 3 2 4 3 2" xfId="14190" xr:uid="{923DE268-1E4A-4C8A-844D-7B8F7E2E03FE}"/>
    <cellStyle name="20% - Accent1 3 2 4 4" xfId="9972" xr:uid="{A6186999-F67E-4840-AF66-32D04DBCFC7D}"/>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48" xr:uid="{893BEF75-E386-4D67-B32E-F88FE40539B9}"/>
    <cellStyle name="20% - Accent1 3 2 5 2 3" xfId="12530" xr:uid="{AE794F39-FDFC-4A5F-BC25-A9091C53D8B8}"/>
    <cellStyle name="20% - Accent1 3 2 5 3" xfId="6164" xr:uid="{00000000-0005-0000-0000-000063000000}"/>
    <cellStyle name="20% - Accent1 3 2 5 3 2" xfId="14603" xr:uid="{EB619F40-C758-46B1-9A4D-4595E6691254}"/>
    <cellStyle name="20% - Accent1 3 2 5 4" xfId="10385" xr:uid="{DC9FD3ED-4F45-4191-B892-80BAEAB19BE0}"/>
    <cellStyle name="20% - Accent1 3 2 6" xfId="2270" xr:uid="{00000000-0005-0000-0000-000064000000}"/>
    <cellStyle name="20% - Accent1 3 2 6 2" xfId="6577" xr:uid="{00000000-0005-0000-0000-000065000000}"/>
    <cellStyle name="20% - Accent1 3 2 6 2 2" xfId="15016" xr:uid="{9050AD13-9FA0-422B-A5A4-4B090AE74964}"/>
    <cellStyle name="20% - Accent1 3 2 6 3" xfId="10798" xr:uid="{64A6ABA0-AA54-4691-9380-5952FBA9E3FA}"/>
    <cellStyle name="20% - Accent1 3 2 7" xfId="4511" xr:uid="{00000000-0005-0000-0000-000066000000}"/>
    <cellStyle name="20% - Accent1 3 2 7 2" xfId="12950" xr:uid="{3C54F8A7-72E3-4E95-9BAB-F0D6682EAF4F}"/>
    <cellStyle name="20% - Accent1 3 2 8" xfId="8732" xr:uid="{14FCB6D7-F9FE-4C2F-8F3B-D891D0D5FFCD}"/>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08" xr:uid="{083E7EEA-DBC1-4BC6-8995-84742B84B8FD}"/>
    <cellStyle name="20% - Accent1 3 3 2 3" xfId="11290" xr:uid="{FA629B22-3B17-4D9A-8B69-ABBBB6B5BE3A}"/>
    <cellStyle name="20% - Accent1 3 3 3" xfId="4924" xr:uid="{00000000-0005-0000-0000-00006A000000}"/>
    <cellStyle name="20% - Accent1 3 3 3 2" xfId="13363" xr:uid="{4615C95C-6071-4CA3-966E-C82CD9981184}"/>
    <cellStyle name="20% - Accent1 3 3 4" xfId="9145" xr:uid="{473CCC5E-A4FB-4DE5-8B33-C90F8C142E16}"/>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1" xr:uid="{EE0C0C01-C60B-4299-807B-FD2F87625567}"/>
    <cellStyle name="20% - Accent1 3 4 2 3" xfId="11703" xr:uid="{7E485767-3719-49C3-9172-ED8D949D51EA}"/>
    <cellStyle name="20% - Accent1 3 4 3" xfId="5337" xr:uid="{00000000-0005-0000-0000-00006E000000}"/>
    <cellStyle name="20% - Accent1 3 4 3 2" xfId="13776" xr:uid="{A83A1C57-ECE9-4811-A197-23E08DADE520}"/>
    <cellStyle name="20% - Accent1 3 4 4" xfId="9558" xr:uid="{56CE9949-3FF2-4C73-B5C5-D298E6DF97EC}"/>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4" xr:uid="{5F7A3859-C0F2-4369-8EC9-EB3D01D6B5DA}"/>
    <cellStyle name="20% - Accent1 3 5 2 3" xfId="12116" xr:uid="{E350E2BD-1715-43D3-ACEB-B0DE7B99DFCA}"/>
    <cellStyle name="20% - Accent1 3 5 3" xfId="5750" xr:uid="{00000000-0005-0000-0000-000072000000}"/>
    <cellStyle name="20% - Accent1 3 5 3 2" xfId="14189" xr:uid="{7DF7566D-6100-492D-A29C-319D5B8F07CB}"/>
    <cellStyle name="20% - Accent1 3 5 4" xfId="9971" xr:uid="{F12015D8-FD09-446C-9161-4540AEB29C22}"/>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47" xr:uid="{014ED357-33B5-49ED-8394-E45644A01569}"/>
    <cellStyle name="20% - Accent1 3 6 2 3" xfId="12529" xr:uid="{F5951B46-3B18-47D6-B3E4-429FA7B7047D}"/>
    <cellStyle name="20% - Accent1 3 6 3" xfId="6163" xr:uid="{00000000-0005-0000-0000-000076000000}"/>
    <cellStyle name="20% - Accent1 3 6 3 2" xfId="14602" xr:uid="{7FB4D630-B0CD-492F-BAAF-0703F37253A8}"/>
    <cellStyle name="20% - Accent1 3 6 4" xfId="10384" xr:uid="{27C55707-2CDB-4EA5-81BE-7422CA303922}"/>
    <cellStyle name="20% - Accent1 3 7" xfId="2269" xr:uid="{00000000-0005-0000-0000-000077000000}"/>
    <cellStyle name="20% - Accent1 3 7 2" xfId="6576" xr:uid="{00000000-0005-0000-0000-000078000000}"/>
    <cellStyle name="20% - Accent1 3 7 2 2" xfId="15015" xr:uid="{8BCE490A-8532-49E1-9942-9C7A0D434C78}"/>
    <cellStyle name="20% - Accent1 3 7 3" xfId="10797" xr:uid="{B7427877-2639-4F18-AB62-114C7655149E}"/>
    <cellStyle name="20% - Accent1 3 8" xfId="4510" xr:uid="{00000000-0005-0000-0000-000079000000}"/>
    <cellStyle name="20% - Accent1 3 8 2" xfId="12949" xr:uid="{8E8CC9A8-2CB3-4696-BD06-E5304A39D4CE}"/>
    <cellStyle name="20% - Accent1 3 9" xfId="8731" xr:uid="{63FF2C0C-5127-4297-A206-0DB2DB734936}"/>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0" xr:uid="{C5CEB488-01D4-4635-8C29-40DEB6C05F6B}"/>
    <cellStyle name="20% - Accent1 4 2 2 3" xfId="11292" xr:uid="{6DE2DEFC-E65D-49D7-8732-1DD8BEEB4104}"/>
    <cellStyle name="20% - Accent1 4 2 3" xfId="4926" xr:uid="{00000000-0005-0000-0000-00007E000000}"/>
    <cellStyle name="20% - Accent1 4 2 3 2" xfId="13365" xr:uid="{052860EB-85DF-4059-B135-A05A1CDAC89B}"/>
    <cellStyle name="20% - Accent1 4 2 4" xfId="9147" xr:uid="{59D2E25C-7D43-4D62-9759-7C2E2436CB9E}"/>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3" xr:uid="{93F59FFD-31C6-4C01-ABB1-66D3735D2282}"/>
    <cellStyle name="20% - Accent1 4 3 2 3" xfId="11705" xr:uid="{28C1ADAF-5CAC-4DFC-A962-7D7B44298D3C}"/>
    <cellStyle name="20% - Accent1 4 3 3" xfId="5339" xr:uid="{00000000-0005-0000-0000-000082000000}"/>
    <cellStyle name="20% - Accent1 4 3 3 2" xfId="13778" xr:uid="{C78F0A11-57F5-48FA-ADAC-CE80142D99DC}"/>
    <cellStyle name="20% - Accent1 4 3 4" xfId="9560" xr:uid="{694504A5-CF8B-4AE6-8905-CADB366FC884}"/>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6" xr:uid="{C051830B-3441-41A8-9BBC-185F3266DFA9}"/>
    <cellStyle name="20% - Accent1 4 4 2 3" xfId="12118" xr:uid="{30E4878E-00B1-4A5D-8D46-09A770F24830}"/>
    <cellStyle name="20% - Accent1 4 4 3" xfId="5752" xr:uid="{00000000-0005-0000-0000-000086000000}"/>
    <cellStyle name="20% - Accent1 4 4 3 2" xfId="14191" xr:uid="{745BF414-6A59-476C-BBD5-614331AE7F97}"/>
    <cellStyle name="20% - Accent1 4 4 4" xfId="9973" xr:uid="{06C01FAD-2E12-411E-9321-945637B97472}"/>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49" xr:uid="{6F17BF6F-5461-4B07-9FC7-0F8B13B7821F}"/>
    <cellStyle name="20% - Accent1 4 5 2 3" xfId="12531" xr:uid="{E5A53D83-3585-4014-B2A5-D98A2106B0A3}"/>
    <cellStyle name="20% - Accent1 4 5 3" xfId="6165" xr:uid="{00000000-0005-0000-0000-00008A000000}"/>
    <cellStyle name="20% - Accent1 4 5 3 2" xfId="14604" xr:uid="{0CD73C9A-2ABA-4B9A-9C8C-01BE6D7516A6}"/>
    <cellStyle name="20% - Accent1 4 5 4" xfId="10386" xr:uid="{3F562BA2-5EF2-468A-B1E9-1C6F6183303A}"/>
    <cellStyle name="20% - Accent1 4 6" xfId="2271" xr:uid="{00000000-0005-0000-0000-00008B000000}"/>
    <cellStyle name="20% - Accent1 4 6 2" xfId="6578" xr:uid="{00000000-0005-0000-0000-00008C000000}"/>
    <cellStyle name="20% - Accent1 4 6 2 2" xfId="15017" xr:uid="{B7BF0849-5D13-435A-B248-0BB7328E6F29}"/>
    <cellStyle name="20% - Accent1 4 6 3" xfId="10799" xr:uid="{E5DDCC01-5883-4AC8-A90E-324F181A5836}"/>
    <cellStyle name="20% - Accent1 4 7" xfId="4512" xr:uid="{00000000-0005-0000-0000-00008D000000}"/>
    <cellStyle name="20% - Accent1 4 7 2" xfId="12951" xr:uid="{29B3B158-38CA-4B78-B96F-5793296C54DB}"/>
    <cellStyle name="20% - Accent1 4 8" xfId="8733" xr:uid="{7ADB9084-7DEC-478E-8BCC-DB803B75BC70}"/>
    <cellStyle name="20% - Accent1 5" xfId="570" xr:uid="{00000000-0005-0000-0000-00008E000000}"/>
    <cellStyle name="20% - Accent1 5 2" xfId="2841" xr:uid="{00000000-0005-0000-0000-00008F000000}"/>
    <cellStyle name="20% - Accent1 5 2 2" xfId="7064" xr:uid="{00000000-0005-0000-0000-000090000000}"/>
    <cellStyle name="20% - Accent1 5 2 2 2" xfId="15503" xr:uid="{31980A0E-8B47-4F61-A923-EF67D0C0655E}"/>
    <cellStyle name="20% - Accent1 5 2 3" xfId="11285" xr:uid="{4C957462-E46F-478B-B542-4568CB4E181E}"/>
    <cellStyle name="20% - Accent1 5 3" xfId="4919" xr:uid="{00000000-0005-0000-0000-000091000000}"/>
    <cellStyle name="20% - Accent1 5 3 2" xfId="13358" xr:uid="{F5A4D46B-A1EF-4BA5-9A84-CA4652B1A740}"/>
    <cellStyle name="20% - Accent1 5 4" xfId="9140" xr:uid="{789CEE25-0163-4DFE-A831-FB418B73CCF6}"/>
    <cellStyle name="20% - Accent1 6" xfId="1023" xr:uid="{00000000-0005-0000-0000-000092000000}"/>
    <cellStyle name="20% - Accent1 6 2" xfId="3254" xr:uid="{00000000-0005-0000-0000-000093000000}"/>
    <cellStyle name="20% - Accent1 6 2 2" xfId="7477" xr:uid="{00000000-0005-0000-0000-000094000000}"/>
    <cellStyle name="20% - Accent1 6 2 2 2" xfId="15916" xr:uid="{45030204-462A-468C-B01C-9B2078EF0B5F}"/>
    <cellStyle name="20% - Accent1 6 2 3" xfId="11698" xr:uid="{349E6F7B-851F-4F6D-9D12-7C2ED335A61E}"/>
    <cellStyle name="20% - Accent1 6 3" xfId="5332" xr:uid="{00000000-0005-0000-0000-000095000000}"/>
    <cellStyle name="20% - Accent1 6 3 2" xfId="13771" xr:uid="{C85C6B89-D274-449D-92C3-F67731175F3C}"/>
    <cellStyle name="20% - Accent1 6 4" xfId="9553" xr:uid="{66967C47-EC98-4C89-88EA-D2549FAD9F16}"/>
    <cellStyle name="20% - Accent1 7" xfId="1437" xr:uid="{00000000-0005-0000-0000-000096000000}"/>
    <cellStyle name="20% - Accent1 7 2" xfId="3667" xr:uid="{00000000-0005-0000-0000-000097000000}"/>
    <cellStyle name="20% - Accent1 7 2 2" xfId="7890" xr:uid="{00000000-0005-0000-0000-000098000000}"/>
    <cellStyle name="20% - Accent1 7 2 2 2" xfId="16329" xr:uid="{9E953F55-5F41-42BC-951C-4E37D8E8BA53}"/>
    <cellStyle name="20% - Accent1 7 2 3" xfId="12111" xr:uid="{9333C818-F065-4E89-B24E-595490198F50}"/>
    <cellStyle name="20% - Accent1 7 3" xfId="5745" xr:uid="{00000000-0005-0000-0000-000099000000}"/>
    <cellStyle name="20% - Accent1 7 3 2" xfId="14184" xr:uid="{FF91DB95-1693-40EE-806F-300985548B91}"/>
    <cellStyle name="20% - Accent1 7 4" xfId="9966" xr:uid="{230DEF3E-1F10-489E-9B20-BB5A81F05F9D}"/>
    <cellStyle name="20% - Accent1 8" xfId="1851" xr:uid="{00000000-0005-0000-0000-00009A000000}"/>
    <cellStyle name="20% - Accent1 8 2" xfId="4080" xr:uid="{00000000-0005-0000-0000-00009B000000}"/>
    <cellStyle name="20% - Accent1 8 2 2" xfId="8303" xr:uid="{00000000-0005-0000-0000-00009C000000}"/>
    <cellStyle name="20% - Accent1 8 2 2 2" xfId="16742" xr:uid="{A069129F-D7CA-4081-B297-BF10CDA5EF0D}"/>
    <cellStyle name="20% - Accent1 8 2 3" xfId="12524" xr:uid="{DD074473-9709-431F-A3BB-D1AEAFC4295C}"/>
    <cellStyle name="20% - Accent1 8 3" xfId="6158" xr:uid="{00000000-0005-0000-0000-00009D000000}"/>
    <cellStyle name="20% - Accent1 8 3 2" xfId="14597" xr:uid="{435896C1-4534-4FE7-A372-AA7731509079}"/>
    <cellStyle name="20% - Accent1 8 4" xfId="10379" xr:uid="{DE95214F-9064-416E-875B-6D137CEB2AD2}"/>
    <cellStyle name="20% - Accent1 9" xfId="2264" xr:uid="{00000000-0005-0000-0000-00009E000000}"/>
    <cellStyle name="20% - Accent1 9 2" xfId="6571" xr:uid="{00000000-0005-0000-0000-00009F000000}"/>
    <cellStyle name="20% - Accent1 9 2 2" xfId="15010" xr:uid="{10B1B132-FA57-4BB1-83C5-278DA8CD9DB3}"/>
    <cellStyle name="20% - Accent1 9 3" xfId="10792" xr:uid="{51B51F7C-B4FB-4182-B76A-C5817530CCBB}"/>
    <cellStyle name="20% - Accent2" xfId="9" builtinId="34" customBuiltin="1"/>
    <cellStyle name="20% - Accent2 10" xfId="4513" xr:uid="{00000000-0005-0000-0000-0000A1000000}"/>
    <cellStyle name="20% - Accent2 10 2" xfId="12952" xr:uid="{7C7407DF-D559-4B0C-ADCA-7D564E4BF7C9}"/>
    <cellStyle name="20% - Accent2 11" xfId="8734" xr:uid="{3F644F7C-E0DD-4CC1-A727-A0E3904A369E}"/>
    <cellStyle name="20% - Accent2 2" xfId="10" xr:uid="{00000000-0005-0000-0000-0000A2000000}"/>
    <cellStyle name="20% - Accent2 2 10" xfId="8735" xr:uid="{472BBFAB-EDE5-42CA-A1CA-55436A595CB3}"/>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4" xr:uid="{DF4FC1B8-CDE7-4362-A5F1-9CA03382CFF0}"/>
    <cellStyle name="20% - Accent2 2 2 2 2 2 3" xfId="11296" xr:uid="{B0754250-994A-49A8-971E-B822F01F166A}"/>
    <cellStyle name="20% - Accent2 2 2 2 2 3" xfId="4930" xr:uid="{00000000-0005-0000-0000-0000A8000000}"/>
    <cellStyle name="20% - Accent2 2 2 2 2 3 2" xfId="13369" xr:uid="{0CCD855B-339E-434B-9A85-01CD5EE995E0}"/>
    <cellStyle name="20% - Accent2 2 2 2 2 4" xfId="9151" xr:uid="{50ADEC0B-147B-4D04-99CB-A672CC01008E}"/>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27" xr:uid="{8DA09ABE-EEF3-49CD-B1F6-161E4A73082C}"/>
    <cellStyle name="20% - Accent2 2 2 2 3 2 3" xfId="11709" xr:uid="{8902A1ED-1DDD-4CB7-B10D-6E0420B9A797}"/>
    <cellStyle name="20% - Accent2 2 2 2 3 3" xfId="5343" xr:uid="{00000000-0005-0000-0000-0000AC000000}"/>
    <cellStyle name="20% - Accent2 2 2 2 3 3 2" xfId="13782" xr:uid="{E0586744-D0E9-4B87-BB85-1DB637E7B997}"/>
    <cellStyle name="20% - Accent2 2 2 2 3 4" xfId="9564" xr:uid="{FA2A822A-E721-4BDC-AB97-34B7769FA465}"/>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0" xr:uid="{CE29BD37-D9B6-439E-A90A-BBED42828568}"/>
    <cellStyle name="20% - Accent2 2 2 2 4 2 3" xfId="12122" xr:uid="{19C93F40-699D-47B9-AE66-9BCBDA8660EF}"/>
    <cellStyle name="20% - Accent2 2 2 2 4 3" xfId="5756" xr:uid="{00000000-0005-0000-0000-0000B0000000}"/>
    <cellStyle name="20% - Accent2 2 2 2 4 3 2" xfId="14195" xr:uid="{AEBB246F-CF7D-4BDE-9E62-6C8BE037FAB1}"/>
    <cellStyle name="20% - Accent2 2 2 2 4 4" xfId="9977" xr:uid="{CA23C187-6E45-4F0F-9504-8F7920E6549B}"/>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3" xr:uid="{DA0EB9E8-8ABB-42C2-A6EF-A8CAA93B57D0}"/>
    <cellStyle name="20% - Accent2 2 2 2 5 2 3" xfId="12535" xr:uid="{1FF20165-136E-47AD-9833-191EAD767202}"/>
    <cellStyle name="20% - Accent2 2 2 2 5 3" xfId="6169" xr:uid="{00000000-0005-0000-0000-0000B4000000}"/>
    <cellStyle name="20% - Accent2 2 2 2 5 3 2" xfId="14608" xr:uid="{5C8D7801-0767-4466-B2CD-9953666F048B}"/>
    <cellStyle name="20% - Accent2 2 2 2 5 4" xfId="10390" xr:uid="{26941CD2-FC15-4E47-8ACE-0DEFF85B3F04}"/>
    <cellStyle name="20% - Accent2 2 2 2 6" xfId="2275" xr:uid="{00000000-0005-0000-0000-0000B5000000}"/>
    <cellStyle name="20% - Accent2 2 2 2 6 2" xfId="6582" xr:uid="{00000000-0005-0000-0000-0000B6000000}"/>
    <cellStyle name="20% - Accent2 2 2 2 6 2 2" xfId="15021" xr:uid="{B73A6195-7661-4CCC-849F-EE51F4282296}"/>
    <cellStyle name="20% - Accent2 2 2 2 6 3" xfId="10803" xr:uid="{3954E7F7-57F4-4464-95CB-9DC057D28B24}"/>
    <cellStyle name="20% - Accent2 2 2 2 7" xfId="4516" xr:uid="{00000000-0005-0000-0000-0000B7000000}"/>
    <cellStyle name="20% - Accent2 2 2 2 7 2" xfId="12955" xr:uid="{F2B2622B-B2BE-4C90-9A61-CFCD7DD975BE}"/>
    <cellStyle name="20% - Accent2 2 2 2 8" xfId="8737" xr:uid="{CFAFD082-5394-4EDC-8B63-B308BB816FD5}"/>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3" xr:uid="{AB1CEAE3-CFD7-47B6-8A04-3A33F4C1E923}"/>
    <cellStyle name="20% - Accent2 2 2 3 2 3" xfId="11295" xr:uid="{25C2E3C1-52C7-4439-B193-D47F280EF25C}"/>
    <cellStyle name="20% - Accent2 2 2 3 3" xfId="4929" xr:uid="{00000000-0005-0000-0000-0000BB000000}"/>
    <cellStyle name="20% - Accent2 2 2 3 3 2" xfId="13368" xr:uid="{3935CE5F-144F-41FB-9690-4107559E9701}"/>
    <cellStyle name="20% - Accent2 2 2 3 4" xfId="9150" xr:uid="{ED568E4A-3790-4EB6-824B-7BC12B3E6502}"/>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6" xr:uid="{379084AC-55A2-4984-A237-B515B673F418}"/>
    <cellStyle name="20% - Accent2 2 2 4 2 3" xfId="11708" xr:uid="{4FF5A5A8-CCD9-437F-8A11-6A9451CE559D}"/>
    <cellStyle name="20% - Accent2 2 2 4 3" xfId="5342" xr:uid="{00000000-0005-0000-0000-0000BF000000}"/>
    <cellStyle name="20% - Accent2 2 2 4 3 2" xfId="13781" xr:uid="{29922C07-C230-4EAC-B8DA-E745775965AB}"/>
    <cellStyle name="20% - Accent2 2 2 4 4" xfId="9563" xr:uid="{048E7277-BDE3-461E-B0A3-33A396FEC411}"/>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39" xr:uid="{BF65D252-1D66-491F-B0C3-C0F8F14C3199}"/>
    <cellStyle name="20% - Accent2 2 2 5 2 3" xfId="12121" xr:uid="{1C959277-7E4B-4F28-BC50-EC555E6D30E9}"/>
    <cellStyle name="20% - Accent2 2 2 5 3" xfId="5755" xr:uid="{00000000-0005-0000-0000-0000C3000000}"/>
    <cellStyle name="20% - Accent2 2 2 5 3 2" xfId="14194" xr:uid="{ABFCEC14-3ADB-44DF-8413-FCFB79EAE967}"/>
    <cellStyle name="20% - Accent2 2 2 5 4" xfId="9976" xr:uid="{1EFDF0E3-FFD3-4759-880D-68408C659994}"/>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2" xr:uid="{C32121BE-AB18-443E-837F-89E89FA07150}"/>
    <cellStyle name="20% - Accent2 2 2 6 2 3" xfId="12534" xr:uid="{BA32C6D2-5E1A-440A-BA87-B95993657841}"/>
    <cellStyle name="20% - Accent2 2 2 6 3" xfId="6168" xr:uid="{00000000-0005-0000-0000-0000C7000000}"/>
    <cellStyle name="20% - Accent2 2 2 6 3 2" xfId="14607" xr:uid="{736C8893-48D2-4B1D-8C82-3BF1CB443D39}"/>
    <cellStyle name="20% - Accent2 2 2 6 4" xfId="10389" xr:uid="{B474EE6B-CE9E-4733-AFB7-0297957C700A}"/>
    <cellStyle name="20% - Accent2 2 2 7" xfId="2274" xr:uid="{00000000-0005-0000-0000-0000C8000000}"/>
    <cellStyle name="20% - Accent2 2 2 7 2" xfId="6581" xr:uid="{00000000-0005-0000-0000-0000C9000000}"/>
    <cellStyle name="20% - Accent2 2 2 7 2 2" xfId="15020" xr:uid="{EA1639C5-AB3C-4947-9E7A-EE9BD45EE9F0}"/>
    <cellStyle name="20% - Accent2 2 2 7 3" xfId="10802" xr:uid="{EC7C2AD5-647B-42EE-AFE9-458421D199E9}"/>
    <cellStyle name="20% - Accent2 2 2 8" xfId="4515" xr:uid="{00000000-0005-0000-0000-0000CA000000}"/>
    <cellStyle name="20% - Accent2 2 2 8 2" xfId="12954" xr:uid="{8DBF8FD1-3E28-43DD-8BC3-205B73E9CDB9}"/>
    <cellStyle name="20% - Accent2 2 2 9" xfId="8736" xr:uid="{0DB3F4DF-571B-4332-85E2-C5BC2065A502}"/>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5" xr:uid="{A156A908-5173-4E70-B30C-507A1856FD64}"/>
    <cellStyle name="20% - Accent2 2 3 2 2 3" xfId="11297" xr:uid="{E0E048B6-10AB-4D67-AAC3-29E2D6DAC1FA}"/>
    <cellStyle name="20% - Accent2 2 3 2 3" xfId="4931" xr:uid="{00000000-0005-0000-0000-0000CF000000}"/>
    <cellStyle name="20% - Accent2 2 3 2 3 2" xfId="13370" xr:uid="{01D165FA-0F0E-484A-AEE5-276402F28A7C}"/>
    <cellStyle name="20% - Accent2 2 3 2 4" xfId="9152" xr:uid="{2AEDCB9E-AE15-4948-8359-4DB46AFC03D2}"/>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28" xr:uid="{725411E2-99E4-4762-878C-F075995CFA37}"/>
    <cellStyle name="20% - Accent2 2 3 3 2 3" xfId="11710" xr:uid="{AE4526E9-0F9F-4F25-8801-369852B99BAF}"/>
    <cellStyle name="20% - Accent2 2 3 3 3" xfId="5344" xr:uid="{00000000-0005-0000-0000-0000D3000000}"/>
    <cellStyle name="20% - Accent2 2 3 3 3 2" xfId="13783" xr:uid="{7ED12CB5-D0F2-4B94-96FE-6713167901A8}"/>
    <cellStyle name="20% - Accent2 2 3 3 4" xfId="9565" xr:uid="{77BDA051-AB53-4B67-9C54-0B321AADB09A}"/>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1" xr:uid="{98173913-3105-4ED9-9AC2-587E29A2B620}"/>
    <cellStyle name="20% - Accent2 2 3 4 2 3" xfId="12123" xr:uid="{A604D9EE-48C2-40F6-9380-64C05671687F}"/>
    <cellStyle name="20% - Accent2 2 3 4 3" xfId="5757" xr:uid="{00000000-0005-0000-0000-0000D7000000}"/>
    <cellStyle name="20% - Accent2 2 3 4 3 2" xfId="14196" xr:uid="{D1C4E898-FE2C-4CDD-9423-5ECA957A4376}"/>
    <cellStyle name="20% - Accent2 2 3 4 4" xfId="9978" xr:uid="{27B73C16-15BD-49A0-97AC-51D671895F44}"/>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4" xr:uid="{87BB7655-63CE-4A0F-827B-E57DB6B14FFD}"/>
    <cellStyle name="20% - Accent2 2 3 5 2 3" xfId="12536" xr:uid="{C009B5E1-5B03-47BC-AEE6-D7F289AA9492}"/>
    <cellStyle name="20% - Accent2 2 3 5 3" xfId="6170" xr:uid="{00000000-0005-0000-0000-0000DB000000}"/>
    <cellStyle name="20% - Accent2 2 3 5 3 2" xfId="14609" xr:uid="{C747A60F-427B-4BC6-A927-CB3A9895AD35}"/>
    <cellStyle name="20% - Accent2 2 3 5 4" xfId="10391" xr:uid="{1573A4AB-2C98-4ACD-AA61-76D7B35A67C4}"/>
    <cellStyle name="20% - Accent2 2 3 6" xfId="2276" xr:uid="{00000000-0005-0000-0000-0000DC000000}"/>
    <cellStyle name="20% - Accent2 2 3 6 2" xfId="6583" xr:uid="{00000000-0005-0000-0000-0000DD000000}"/>
    <cellStyle name="20% - Accent2 2 3 6 2 2" xfId="15022" xr:uid="{90745D53-2E7F-4B12-8564-07D4AD4E6F1C}"/>
    <cellStyle name="20% - Accent2 2 3 6 3" xfId="10804" xr:uid="{4B9E02BF-DABA-48FD-8270-17C7082320CA}"/>
    <cellStyle name="20% - Accent2 2 3 7" xfId="4517" xr:uid="{00000000-0005-0000-0000-0000DE000000}"/>
    <cellStyle name="20% - Accent2 2 3 7 2" xfId="12956" xr:uid="{D7C2EFA6-78F5-41AE-A838-DA4601978D16}"/>
    <cellStyle name="20% - Accent2 2 3 8" xfId="8738" xr:uid="{23BAF149-88AD-49B0-9D1B-9F37C17A244E}"/>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2" xr:uid="{2D9148F8-B13F-40E2-814E-F8953818B306}"/>
    <cellStyle name="20% - Accent2 2 4 2 3" xfId="11294" xr:uid="{D096CDCB-24E9-4D34-B3BC-153D657DCC0B}"/>
    <cellStyle name="20% - Accent2 2 4 3" xfId="4928" xr:uid="{00000000-0005-0000-0000-0000E2000000}"/>
    <cellStyle name="20% - Accent2 2 4 3 2" xfId="13367" xr:uid="{E3853656-ACF6-4D79-8B5A-050F2AA3DEF2}"/>
    <cellStyle name="20% - Accent2 2 4 4" xfId="9149" xr:uid="{16CC9C2E-0C75-489F-9542-3082F563248A}"/>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5" xr:uid="{EE436FA4-56BF-44AE-B192-13E0CE400F66}"/>
    <cellStyle name="20% - Accent2 2 5 2 3" xfId="11707" xr:uid="{11D011A2-9E4D-4DAF-B591-5FE59A142174}"/>
    <cellStyle name="20% - Accent2 2 5 3" xfId="5341" xr:uid="{00000000-0005-0000-0000-0000E6000000}"/>
    <cellStyle name="20% - Accent2 2 5 3 2" xfId="13780" xr:uid="{F2A18926-B2C2-471D-8134-6D070622C505}"/>
    <cellStyle name="20% - Accent2 2 5 4" xfId="9562" xr:uid="{B54AF76C-1D08-4BB6-8C0B-0BD087B4622E}"/>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38" xr:uid="{64AD68DC-DDF6-4630-9FB9-2225F4DA6F67}"/>
    <cellStyle name="20% - Accent2 2 6 2 3" xfId="12120" xr:uid="{0EE028FD-FFE8-47D1-A489-03A4BFFDE9CD}"/>
    <cellStyle name="20% - Accent2 2 6 3" xfId="5754" xr:uid="{00000000-0005-0000-0000-0000EA000000}"/>
    <cellStyle name="20% - Accent2 2 6 3 2" xfId="14193" xr:uid="{453D3AF8-DCEB-41AB-B5E1-698A8C651206}"/>
    <cellStyle name="20% - Accent2 2 6 4" xfId="9975" xr:uid="{021EB7D6-54DC-43CE-95B0-3AF53514BFDC}"/>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1" xr:uid="{FB83E3A3-FBA4-468C-AB96-3E8014F2D165}"/>
    <cellStyle name="20% - Accent2 2 7 2 3" xfId="12533" xr:uid="{5A7AFF30-2E71-4C5D-8A46-EF860BC3B9D0}"/>
    <cellStyle name="20% - Accent2 2 7 3" xfId="6167" xr:uid="{00000000-0005-0000-0000-0000EE000000}"/>
    <cellStyle name="20% - Accent2 2 7 3 2" xfId="14606" xr:uid="{23B173E6-22AD-4881-B38E-2F53C60FEE1A}"/>
    <cellStyle name="20% - Accent2 2 7 4" xfId="10388" xr:uid="{D5DFA7AD-294C-4686-8B6C-274E283EE907}"/>
    <cellStyle name="20% - Accent2 2 8" xfId="2273" xr:uid="{00000000-0005-0000-0000-0000EF000000}"/>
    <cellStyle name="20% - Accent2 2 8 2" xfId="6580" xr:uid="{00000000-0005-0000-0000-0000F0000000}"/>
    <cellStyle name="20% - Accent2 2 8 2 2" xfId="15019" xr:uid="{9FC6A47B-2AE7-46CF-A2AC-16DB45CB9EA2}"/>
    <cellStyle name="20% - Accent2 2 8 3" xfId="10801" xr:uid="{1304A494-809C-4C8A-A2AC-5C4A55AA604F}"/>
    <cellStyle name="20% - Accent2 2 9" xfId="4514" xr:uid="{00000000-0005-0000-0000-0000F1000000}"/>
    <cellStyle name="20% - Accent2 2 9 2" xfId="12953" xr:uid="{40126011-20F5-449E-BE5E-3A2CCD30B43B}"/>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17" xr:uid="{A85B9B72-ED21-4F58-BFDD-63BC2DDFE23A}"/>
    <cellStyle name="20% - Accent2 3 2 2 2 3" xfId="11299" xr:uid="{CEFC5A39-2252-4321-BB7F-819AABCA77E1}"/>
    <cellStyle name="20% - Accent2 3 2 2 3" xfId="4933" xr:uid="{00000000-0005-0000-0000-0000F7000000}"/>
    <cellStyle name="20% - Accent2 3 2 2 3 2" xfId="13372" xr:uid="{79D0D5AA-B343-4FD2-AEB7-0A63AEF1B8FA}"/>
    <cellStyle name="20% - Accent2 3 2 2 4" xfId="9154" xr:uid="{BA1A95E6-B0E4-41BB-BC66-F40CCCDB709F}"/>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0" xr:uid="{79D7BC55-623C-4B11-A7A1-DB6D30FA43EF}"/>
    <cellStyle name="20% - Accent2 3 2 3 2 3" xfId="11712" xr:uid="{7D111EBA-8BDF-444B-A709-495DB66D6C63}"/>
    <cellStyle name="20% - Accent2 3 2 3 3" xfId="5346" xr:uid="{00000000-0005-0000-0000-0000FB000000}"/>
    <cellStyle name="20% - Accent2 3 2 3 3 2" xfId="13785" xr:uid="{F6622C51-E1BD-4561-8BD7-F419D3C425F9}"/>
    <cellStyle name="20% - Accent2 3 2 3 4" xfId="9567" xr:uid="{5C591A87-19EE-4932-AF27-077599457B35}"/>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3" xr:uid="{7DC1EB80-C1E8-4AE9-9299-C7D82D4C317F}"/>
    <cellStyle name="20% - Accent2 3 2 4 2 3" xfId="12125" xr:uid="{80A242B0-21DC-48C0-93B9-C5076FB65E29}"/>
    <cellStyle name="20% - Accent2 3 2 4 3" xfId="5759" xr:uid="{00000000-0005-0000-0000-0000FF000000}"/>
    <cellStyle name="20% - Accent2 3 2 4 3 2" xfId="14198" xr:uid="{27BA51B0-769E-4009-BB38-BE9DC9FFB602}"/>
    <cellStyle name="20% - Accent2 3 2 4 4" xfId="9980" xr:uid="{39191E9C-3654-48AF-A5F3-D6ED887B2A14}"/>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6" xr:uid="{8B8D4628-D67F-4EE4-B7BE-5CC6B981A69F}"/>
    <cellStyle name="20% - Accent2 3 2 5 2 3" xfId="12538" xr:uid="{8F8CCAA6-B130-4675-9A6D-E858AF147969}"/>
    <cellStyle name="20% - Accent2 3 2 5 3" xfId="6172" xr:uid="{00000000-0005-0000-0000-000003010000}"/>
    <cellStyle name="20% - Accent2 3 2 5 3 2" xfId="14611" xr:uid="{0D0F0486-22AF-4FA3-837C-68ED24A81A35}"/>
    <cellStyle name="20% - Accent2 3 2 5 4" xfId="10393" xr:uid="{7575C7C6-4E7E-48A8-9690-5B9CB8D844A9}"/>
    <cellStyle name="20% - Accent2 3 2 6" xfId="2278" xr:uid="{00000000-0005-0000-0000-000004010000}"/>
    <cellStyle name="20% - Accent2 3 2 6 2" xfId="6585" xr:uid="{00000000-0005-0000-0000-000005010000}"/>
    <cellStyle name="20% - Accent2 3 2 6 2 2" xfId="15024" xr:uid="{61569E0D-E05A-4F70-B105-47BC4D60D7D2}"/>
    <cellStyle name="20% - Accent2 3 2 6 3" xfId="10806" xr:uid="{6A1316C1-BF03-4221-8BC6-AF9EBE58033E}"/>
    <cellStyle name="20% - Accent2 3 2 7" xfId="4519" xr:uid="{00000000-0005-0000-0000-000006010000}"/>
    <cellStyle name="20% - Accent2 3 2 7 2" xfId="12958" xr:uid="{41AC29FB-D6EA-40B4-B953-D485BA38AE9E}"/>
    <cellStyle name="20% - Accent2 3 2 8" xfId="8740" xr:uid="{329CAEFE-58AD-4F01-BAA0-791E1FE694A1}"/>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6" xr:uid="{E4932574-CB58-4B3F-A8C9-02C14554A8C2}"/>
    <cellStyle name="20% - Accent2 3 3 2 3" xfId="11298" xr:uid="{BA7286BE-B767-448D-899E-7D5018D0F99F}"/>
    <cellStyle name="20% - Accent2 3 3 3" xfId="4932" xr:uid="{00000000-0005-0000-0000-00000A010000}"/>
    <cellStyle name="20% - Accent2 3 3 3 2" xfId="13371" xr:uid="{ED8AB551-56BB-4497-B10E-E1A5F5BF5F26}"/>
    <cellStyle name="20% - Accent2 3 3 4" xfId="9153" xr:uid="{B9504807-FDA4-4893-BE10-4C540452718C}"/>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29" xr:uid="{6681DF48-CB91-4F76-B95A-BB985CDB73F6}"/>
    <cellStyle name="20% - Accent2 3 4 2 3" xfId="11711" xr:uid="{94255C65-DB77-4B80-B259-6A2FCDF88E20}"/>
    <cellStyle name="20% - Accent2 3 4 3" xfId="5345" xr:uid="{00000000-0005-0000-0000-00000E010000}"/>
    <cellStyle name="20% - Accent2 3 4 3 2" xfId="13784" xr:uid="{C3B5325C-BD96-4F6F-AE51-990B670F3996}"/>
    <cellStyle name="20% - Accent2 3 4 4" xfId="9566" xr:uid="{E33CA979-1F5E-4511-A625-D821009D7913}"/>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2" xr:uid="{77E03FCA-A1AD-42E2-B9B6-9BD2A1352D77}"/>
    <cellStyle name="20% - Accent2 3 5 2 3" xfId="12124" xr:uid="{77213435-2431-455E-AFA6-23B774DBEB82}"/>
    <cellStyle name="20% - Accent2 3 5 3" xfId="5758" xr:uid="{00000000-0005-0000-0000-000012010000}"/>
    <cellStyle name="20% - Accent2 3 5 3 2" xfId="14197" xr:uid="{B4F61044-F121-4EC4-8B76-13519293FFC5}"/>
    <cellStyle name="20% - Accent2 3 5 4" xfId="9979" xr:uid="{C73812CF-D6C2-41ED-8564-A40ADA763318}"/>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5" xr:uid="{D98519E2-C03C-4DFB-9AB8-AA87C7C64035}"/>
    <cellStyle name="20% - Accent2 3 6 2 3" xfId="12537" xr:uid="{3D065008-A661-4EF2-A4EA-4480EEB12C79}"/>
    <cellStyle name="20% - Accent2 3 6 3" xfId="6171" xr:uid="{00000000-0005-0000-0000-000016010000}"/>
    <cellStyle name="20% - Accent2 3 6 3 2" xfId="14610" xr:uid="{66165BDF-6290-41F6-873A-E7FB2B69D70D}"/>
    <cellStyle name="20% - Accent2 3 6 4" xfId="10392" xr:uid="{58714CDF-D482-41BF-85FF-AC9FA7587FDB}"/>
    <cellStyle name="20% - Accent2 3 7" xfId="2277" xr:uid="{00000000-0005-0000-0000-000017010000}"/>
    <cellStyle name="20% - Accent2 3 7 2" xfId="6584" xr:uid="{00000000-0005-0000-0000-000018010000}"/>
    <cellStyle name="20% - Accent2 3 7 2 2" xfId="15023" xr:uid="{DB70064D-F13E-4C12-8A37-8DA6F1AECCC5}"/>
    <cellStyle name="20% - Accent2 3 7 3" xfId="10805" xr:uid="{DA31F4DD-6DE0-431C-A357-C6391A90A73B}"/>
    <cellStyle name="20% - Accent2 3 8" xfId="4518" xr:uid="{00000000-0005-0000-0000-000019010000}"/>
    <cellStyle name="20% - Accent2 3 8 2" xfId="12957" xr:uid="{A48C60B9-9556-4162-8875-6A4111E5DA78}"/>
    <cellStyle name="20% - Accent2 3 9" xfId="8739" xr:uid="{00A17E7E-7011-44A8-964F-8C43230DBFB1}"/>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18" xr:uid="{1F95D756-7467-4C81-9B60-842DBD3F8D94}"/>
    <cellStyle name="20% - Accent2 4 2 2 3" xfId="11300" xr:uid="{538D0388-71CF-4A86-B325-03AC724E2B1B}"/>
    <cellStyle name="20% - Accent2 4 2 3" xfId="4934" xr:uid="{00000000-0005-0000-0000-00001E010000}"/>
    <cellStyle name="20% - Accent2 4 2 3 2" xfId="13373" xr:uid="{4AD24097-79F5-412D-B648-DBE0DA693698}"/>
    <cellStyle name="20% - Accent2 4 2 4" xfId="9155" xr:uid="{109BD31F-3F3B-43F0-A6B8-E792D42C9B05}"/>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1" xr:uid="{F8348CB4-098C-4B5A-8E18-C12B60F89482}"/>
    <cellStyle name="20% - Accent2 4 3 2 3" xfId="11713" xr:uid="{23E2CEB8-E9CC-4E8F-9E10-DF36493EC8AC}"/>
    <cellStyle name="20% - Accent2 4 3 3" xfId="5347" xr:uid="{00000000-0005-0000-0000-000022010000}"/>
    <cellStyle name="20% - Accent2 4 3 3 2" xfId="13786" xr:uid="{15A57CDC-3FA4-46EB-AAC4-63D0A3858DE9}"/>
    <cellStyle name="20% - Accent2 4 3 4" xfId="9568" xr:uid="{B8A2E24C-ECF1-4616-A6E4-F157270DABDD}"/>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4" xr:uid="{7C697049-D2FC-4379-8F30-C5022AB3FD7A}"/>
    <cellStyle name="20% - Accent2 4 4 2 3" xfId="12126" xr:uid="{3AE68DE3-414E-45A8-BB8E-7F879FF4CFCD}"/>
    <cellStyle name="20% - Accent2 4 4 3" xfId="5760" xr:uid="{00000000-0005-0000-0000-000026010000}"/>
    <cellStyle name="20% - Accent2 4 4 3 2" xfId="14199" xr:uid="{5E73C3F7-AB26-4996-8AEE-D621DF3CC916}"/>
    <cellStyle name="20% - Accent2 4 4 4" xfId="9981" xr:uid="{12D1CC4C-63DA-4DC7-B31D-2F38E98C6FF0}"/>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57" xr:uid="{85FAB8FB-8A2E-4703-B288-0C603C435CAD}"/>
    <cellStyle name="20% - Accent2 4 5 2 3" xfId="12539" xr:uid="{C6844C53-D4A5-4B2D-81FC-025939828B28}"/>
    <cellStyle name="20% - Accent2 4 5 3" xfId="6173" xr:uid="{00000000-0005-0000-0000-00002A010000}"/>
    <cellStyle name="20% - Accent2 4 5 3 2" xfId="14612" xr:uid="{FFF1FDC7-B005-4A28-BC56-4862ABA4B81C}"/>
    <cellStyle name="20% - Accent2 4 5 4" xfId="10394" xr:uid="{ECFECD80-46DD-47D3-9195-CE3188D1ED8D}"/>
    <cellStyle name="20% - Accent2 4 6" xfId="2279" xr:uid="{00000000-0005-0000-0000-00002B010000}"/>
    <cellStyle name="20% - Accent2 4 6 2" xfId="6586" xr:uid="{00000000-0005-0000-0000-00002C010000}"/>
    <cellStyle name="20% - Accent2 4 6 2 2" xfId="15025" xr:uid="{9767DDFF-9E07-411E-9DAF-1C6BC6A76CAD}"/>
    <cellStyle name="20% - Accent2 4 6 3" xfId="10807" xr:uid="{9D87A3CC-B26F-4E79-9E9E-56CF13EAA679}"/>
    <cellStyle name="20% - Accent2 4 7" xfId="4520" xr:uid="{00000000-0005-0000-0000-00002D010000}"/>
    <cellStyle name="20% - Accent2 4 7 2" xfId="12959" xr:uid="{D650971B-E6B7-4208-A08A-DC7D0FBB1959}"/>
    <cellStyle name="20% - Accent2 4 8" xfId="8741" xr:uid="{97E335C3-004C-4CDC-A6DD-788295511C97}"/>
    <cellStyle name="20% - Accent2 5" xfId="578" xr:uid="{00000000-0005-0000-0000-00002E010000}"/>
    <cellStyle name="20% - Accent2 5 2" xfId="2849" xr:uid="{00000000-0005-0000-0000-00002F010000}"/>
    <cellStyle name="20% - Accent2 5 2 2" xfId="7072" xr:uid="{00000000-0005-0000-0000-000030010000}"/>
    <cellStyle name="20% - Accent2 5 2 2 2" xfId="15511" xr:uid="{7D8B085F-229A-492C-AAFF-956D48271D83}"/>
    <cellStyle name="20% - Accent2 5 2 3" xfId="11293" xr:uid="{A0C9D23C-DC7C-4A59-9B1D-2C384E42CE28}"/>
    <cellStyle name="20% - Accent2 5 3" xfId="4927" xr:uid="{00000000-0005-0000-0000-000031010000}"/>
    <cellStyle name="20% - Accent2 5 3 2" xfId="13366" xr:uid="{FF7BA773-CFC1-47E2-9701-6D8617BA9F7D}"/>
    <cellStyle name="20% - Accent2 5 4" xfId="9148" xr:uid="{647E62CB-4592-4F0F-BD4B-76476D419000}"/>
    <cellStyle name="20% - Accent2 6" xfId="1031" xr:uid="{00000000-0005-0000-0000-000032010000}"/>
    <cellStyle name="20% - Accent2 6 2" xfId="3262" xr:uid="{00000000-0005-0000-0000-000033010000}"/>
    <cellStyle name="20% - Accent2 6 2 2" xfId="7485" xr:uid="{00000000-0005-0000-0000-000034010000}"/>
    <cellStyle name="20% - Accent2 6 2 2 2" xfId="15924" xr:uid="{71B7337E-ED66-4D46-8098-AE87E2588268}"/>
    <cellStyle name="20% - Accent2 6 2 3" xfId="11706" xr:uid="{E0F8AA5F-CA00-4997-BC43-7989B296FE3E}"/>
    <cellStyle name="20% - Accent2 6 3" xfId="5340" xr:uid="{00000000-0005-0000-0000-000035010000}"/>
    <cellStyle name="20% - Accent2 6 3 2" xfId="13779" xr:uid="{5EBF5296-3E18-460C-BDE8-994ABC0BB08B}"/>
    <cellStyle name="20% - Accent2 6 4" xfId="9561" xr:uid="{0BF5A4F1-AEF9-497E-81BB-CF94B30FBDD9}"/>
    <cellStyle name="20% - Accent2 7" xfId="1445" xr:uid="{00000000-0005-0000-0000-000036010000}"/>
    <cellStyle name="20% - Accent2 7 2" xfId="3675" xr:uid="{00000000-0005-0000-0000-000037010000}"/>
    <cellStyle name="20% - Accent2 7 2 2" xfId="7898" xr:uid="{00000000-0005-0000-0000-000038010000}"/>
    <cellStyle name="20% - Accent2 7 2 2 2" xfId="16337" xr:uid="{EEADDB32-19FE-47B3-8D64-D6D42E084622}"/>
    <cellStyle name="20% - Accent2 7 2 3" xfId="12119" xr:uid="{B93638E3-ECC6-45FD-9403-611F5017DA39}"/>
    <cellStyle name="20% - Accent2 7 3" xfId="5753" xr:uid="{00000000-0005-0000-0000-000039010000}"/>
    <cellStyle name="20% - Accent2 7 3 2" xfId="14192" xr:uid="{B1F144D3-B304-4A02-9B83-79603B6BD20E}"/>
    <cellStyle name="20% - Accent2 7 4" xfId="9974" xr:uid="{8AABBA0F-8780-43FF-B377-A9F8429A43D1}"/>
    <cellStyle name="20% - Accent2 8" xfId="1859" xr:uid="{00000000-0005-0000-0000-00003A010000}"/>
    <cellStyle name="20% - Accent2 8 2" xfId="4088" xr:uid="{00000000-0005-0000-0000-00003B010000}"/>
    <cellStyle name="20% - Accent2 8 2 2" xfId="8311" xr:uid="{00000000-0005-0000-0000-00003C010000}"/>
    <cellStyle name="20% - Accent2 8 2 2 2" xfId="16750" xr:uid="{DCC1A52E-7B5C-403A-BD35-F895A8CDA3DA}"/>
    <cellStyle name="20% - Accent2 8 2 3" xfId="12532" xr:uid="{0E211524-FE56-4F03-BC9C-DCC33D9D88D3}"/>
    <cellStyle name="20% - Accent2 8 3" xfId="6166" xr:uid="{00000000-0005-0000-0000-00003D010000}"/>
    <cellStyle name="20% - Accent2 8 3 2" xfId="14605" xr:uid="{9B4AE4A8-B0DD-435D-AC51-576D3F5C6B54}"/>
    <cellStyle name="20% - Accent2 8 4" xfId="10387" xr:uid="{EA11850C-D2B4-415C-A164-90A5F1D5F247}"/>
    <cellStyle name="20% - Accent2 9" xfId="2272" xr:uid="{00000000-0005-0000-0000-00003E010000}"/>
    <cellStyle name="20% - Accent2 9 2" xfId="6579" xr:uid="{00000000-0005-0000-0000-00003F010000}"/>
    <cellStyle name="20% - Accent2 9 2 2" xfId="15018" xr:uid="{4D4AA500-91C8-4382-9B56-B143485A013A}"/>
    <cellStyle name="20% - Accent2 9 3" xfId="10800" xr:uid="{527F0476-A5A0-4E37-B8D6-89BA695702AD}"/>
    <cellStyle name="20% - Accent3" xfId="17" builtinId="38" customBuiltin="1"/>
    <cellStyle name="20% - Accent3 10" xfId="4521" xr:uid="{00000000-0005-0000-0000-000041010000}"/>
    <cellStyle name="20% - Accent3 10 2" xfId="12960" xr:uid="{47425361-8E46-42D9-82D6-F2004FCF4AA1}"/>
    <cellStyle name="20% - Accent3 11" xfId="8742" xr:uid="{3F5402BE-02AE-4634-80BA-1349F0ABA49C}"/>
    <cellStyle name="20% - Accent3 2" xfId="18" xr:uid="{00000000-0005-0000-0000-000042010000}"/>
    <cellStyle name="20% - Accent3 2 10" xfId="8743" xr:uid="{939EA549-9D1E-4073-9685-36E367D1A182}"/>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2" xr:uid="{6B2497AC-FA84-4D99-8038-17B1B3703DDF}"/>
    <cellStyle name="20% - Accent3 2 2 2 2 2 3" xfId="11304" xr:uid="{3CF89E9E-AA1D-4E84-86CB-8FA794BD3ACA}"/>
    <cellStyle name="20% - Accent3 2 2 2 2 3" xfId="4938" xr:uid="{00000000-0005-0000-0000-000048010000}"/>
    <cellStyle name="20% - Accent3 2 2 2 2 3 2" xfId="13377" xr:uid="{AA51CCD3-A651-4E69-AB9F-DACB127074F8}"/>
    <cellStyle name="20% - Accent3 2 2 2 2 4" xfId="9159" xr:uid="{C4618320-C575-454F-A281-CAF9BA555663}"/>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5" xr:uid="{BD2DAA96-04B1-422F-AFF2-4487B6A2F345}"/>
    <cellStyle name="20% - Accent3 2 2 2 3 2 3" xfId="11717" xr:uid="{8D695A1C-98A2-4946-9E25-00E06820601E}"/>
    <cellStyle name="20% - Accent3 2 2 2 3 3" xfId="5351" xr:uid="{00000000-0005-0000-0000-00004C010000}"/>
    <cellStyle name="20% - Accent3 2 2 2 3 3 2" xfId="13790" xr:uid="{7FF5B810-F594-46A7-9A76-89DFC78A3730}"/>
    <cellStyle name="20% - Accent3 2 2 2 3 4" xfId="9572" xr:uid="{018A4261-6F15-47A5-815A-06057FF723B8}"/>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48" xr:uid="{CABD4ECA-6636-4A1B-B5B0-13FEC5AD69AF}"/>
    <cellStyle name="20% - Accent3 2 2 2 4 2 3" xfId="12130" xr:uid="{07A41993-67E9-4AC2-AE29-2196346366E8}"/>
    <cellStyle name="20% - Accent3 2 2 2 4 3" xfId="5764" xr:uid="{00000000-0005-0000-0000-000050010000}"/>
    <cellStyle name="20% - Accent3 2 2 2 4 3 2" xfId="14203" xr:uid="{969DC666-11DB-4AD1-AA55-1A26954E8195}"/>
    <cellStyle name="20% - Accent3 2 2 2 4 4" xfId="9985" xr:uid="{BEE0D3EB-3713-406B-B291-3499C1D50039}"/>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1" xr:uid="{C6965574-6440-4F4F-988C-93BF09709E12}"/>
    <cellStyle name="20% - Accent3 2 2 2 5 2 3" xfId="12543" xr:uid="{5ED42A6C-41E4-44A3-A331-49E59A6CC404}"/>
    <cellStyle name="20% - Accent3 2 2 2 5 3" xfId="6177" xr:uid="{00000000-0005-0000-0000-000054010000}"/>
    <cellStyle name="20% - Accent3 2 2 2 5 3 2" xfId="14616" xr:uid="{22F7810B-52F5-4E76-8F0A-BBA11664D276}"/>
    <cellStyle name="20% - Accent3 2 2 2 5 4" xfId="10398" xr:uid="{A69C9C9D-C2B2-42F3-AA65-C126AA6EB83E}"/>
    <cellStyle name="20% - Accent3 2 2 2 6" xfId="2283" xr:uid="{00000000-0005-0000-0000-000055010000}"/>
    <cellStyle name="20% - Accent3 2 2 2 6 2" xfId="6590" xr:uid="{00000000-0005-0000-0000-000056010000}"/>
    <cellStyle name="20% - Accent3 2 2 2 6 2 2" xfId="15029" xr:uid="{C80FF9B1-D00A-4316-BE19-B52C889DF279}"/>
    <cellStyle name="20% - Accent3 2 2 2 6 3" xfId="10811" xr:uid="{FF9BEF3A-85FD-4705-9082-574252F1F698}"/>
    <cellStyle name="20% - Accent3 2 2 2 7" xfId="4524" xr:uid="{00000000-0005-0000-0000-000057010000}"/>
    <cellStyle name="20% - Accent3 2 2 2 7 2" xfId="12963" xr:uid="{397237D1-6E27-4B18-825B-DFB3E0EF4836}"/>
    <cellStyle name="20% - Accent3 2 2 2 8" xfId="8745" xr:uid="{40A00983-C8E0-47F6-8862-B881190C2234}"/>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1" xr:uid="{B5608091-3A4C-4AC6-BCF9-934F5AEF21C3}"/>
    <cellStyle name="20% - Accent3 2 2 3 2 3" xfId="11303" xr:uid="{BE7B051D-05F2-4172-B8FD-E975CAE4FAAA}"/>
    <cellStyle name="20% - Accent3 2 2 3 3" xfId="4937" xr:uid="{00000000-0005-0000-0000-00005B010000}"/>
    <cellStyle name="20% - Accent3 2 2 3 3 2" xfId="13376" xr:uid="{787BFF62-6F6A-43B2-8ED4-D1D9CC73AFF2}"/>
    <cellStyle name="20% - Accent3 2 2 3 4" xfId="9158" xr:uid="{0A6A7E4D-7212-4256-A31E-9BF96EE46BD2}"/>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4" xr:uid="{FEAD8559-1CB3-4467-99C9-F4AD2BB7EF5D}"/>
    <cellStyle name="20% - Accent3 2 2 4 2 3" xfId="11716" xr:uid="{A904BA7D-9B65-46F3-8FFD-794D2FFA5F56}"/>
    <cellStyle name="20% - Accent3 2 2 4 3" xfId="5350" xr:uid="{00000000-0005-0000-0000-00005F010000}"/>
    <cellStyle name="20% - Accent3 2 2 4 3 2" xfId="13789" xr:uid="{C4522D53-6A85-4E28-AD70-1CF4E65558D8}"/>
    <cellStyle name="20% - Accent3 2 2 4 4" xfId="9571" xr:uid="{07A7C2EF-ABFC-4AC9-9B1C-CE941D0F9587}"/>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47" xr:uid="{431F9C47-6BB9-4F4F-8ACB-A95C7CCE3BDD}"/>
    <cellStyle name="20% - Accent3 2 2 5 2 3" xfId="12129" xr:uid="{6BBAF834-1ADA-43D2-B790-18732B7699B9}"/>
    <cellStyle name="20% - Accent3 2 2 5 3" xfId="5763" xr:uid="{00000000-0005-0000-0000-000063010000}"/>
    <cellStyle name="20% - Accent3 2 2 5 3 2" xfId="14202" xr:uid="{DDD53498-3531-4288-8FC1-8A2819CE25D4}"/>
    <cellStyle name="20% - Accent3 2 2 5 4" xfId="9984" xr:uid="{AB1C4AFB-4293-47ED-B9C7-B228FBD06CF4}"/>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0" xr:uid="{F8315648-B310-438C-AC5C-5FFB12AF2F63}"/>
    <cellStyle name="20% - Accent3 2 2 6 2 3" xfId="12542" xr:uid="{2CB24832-DC4F-472A-9E60-43C198B33DC0}"/>
    <cellStyle name="20% - Accent3 2 2 6 3" xfId="6176" xr:uid="{00000000-0005-0000-0000-000067010000}"/>
    <cellStyle name="20% - Accent3 2 2 6 3 2" xfId="14615" xr:uid="{6A56EDF2-F9E5-4D83-987B-79DCDD246829}"/>
    <cellStyle name="20% - Accent3 2 2 6 4" xfId="10397" xr:uid="{292431A8-FC86-43D7-AADB-C41581D64B01}"/>
    <cellStyle name="20% - Accent3 2 2 7" xfId="2282" xr:uid="{00000000-0005-0000-0000-000068010000}"/>
    <cellStyle name="20% - Accent3 2 2 7 2" xfId="6589" xr:uid="{00000000-0005-0000-0000-000069010000}"/>
    <cellStyle name="20% - Accent3 2 2 7 2 2" xfId="15028" xr:uid="{FF107DB3-2DB3-45FF-9C1F-0C8A434D4426}"/>
    <cellStyle name="20% - Accent3 2 2 7 3" xfId="10810" xr:uid="{01669572-EBC4-4B7E-B739-87D0E38F39CA}"/>
    <cellStyle name="20% - Accent3 2 2 8" xfId="4523" xr:uid="{00000000-0005-0000-0000-00006A010000}"/>
    <cellStyle name="20% - Accent3 2 2 8 2" xfId="12962" xr:uid="{ED21DB14-6D05-4533-9FD4-3792038BCB69}"/>
    <cellStyle name="20% - Accent3 2 2 9" xfId="8744" xr:uid="{F4BB00E3-B79C-47BC-8FE2-558E543260C8}"/>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3" xr:uid="{4DAFA350-9750-4821-B6AA-652108812329}"/>
    <cellStyle name="20% - Accent3 2 3 2 2 3" xfId="11305" xr:uid="{0B8B90CE-9154-409B-A5A8-D51B8DB3ED40}"/>
    <cellStyle name="20% - Accent3 2 3 2 3" xfId="4939" xr:uid="{00000000-0005-0000-0000-00006F010000}"/>
    <cellStyle name="20% - Accent3 2 3 2 3 2" xfId="13378" xr:uid="{87F86A54-5C69-4274-9BA8-B73B8822E89C}"/>
    <cellStyle name="20% - Accent3 2 3 2 4" xfId="9160" xr:uid="{702BA029-0B48-4F8F-A499-BF0CEE119FEE}"/>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6" xr:uid="{99375074-FB83-4A46-92C0-05D3CB95044B}"/>
    <cellStyle name="20% - Accent3 2 3 3 2 3" xfId="11718" xr:uid="{972DEFF3-DF12-4631-8454-2D581DFABD26}"/>
    <cellStyle name="20% - Accent3 2 3 3 3" xfId="5352" xr:uid="{00000000-0005-0000-0000-000073010000}"/>
    <cellStyle name="20% - Accent3 2 3 3 3 2" xfId="13791" xr:uid="{6A7F3639-65F9-400A-AA82-603147EA64AB}"/>
    <cellStyle name="20% - Accent3 2 3 3 4" xfId="9573" xr:uid="{47E458B0-C99B-4C3B-BACA-737C6E86B838}"/>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49" xr:uid="{C618251C-6FF5-4B39-A9B4-F6AAF605CF53}"/>
    <cellStyle name="20% - Accent3 2 3 4 2 3" xfId="12131" xr:uid="{11E77FB0-D9B6-4103-AE2A-5DCF179EF300}"/>
    <cellStyle name="20% - Accent3 2 3 4 3" xfId="5765" xr:uid="{00000000-0005-0000-0000-000077010000}"/>
    <cellStyle name="20% - Accent3 2 3 4 3 2" xfId="14204" xr:uid="{29900167-2F47-4613-9DC2-FED5C082EDB9}"/>
    <cellStyle name="20% - Accent3 2 3 4 4" xfId="9986" xr:uid="{2ACE7770-E3D7-4209-BC5D-D964E792E025}"/>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2" xr:uid="{9BBA01B3-0C5D-4578-A68B-3018A4F290BE}"/>
    <cellStyle name="20% - Accent3 2 3 5 2 3" xfId="12544" xr:uid="{27BFE7A5-2CB3-4923-B46B-CDCD58EED723}"/>
    <cellStyle name="20% - Accent3 2 3 5 3" xfId="6178" xr:uid="{00000000-0005-0000-0000-00007B010000}"/>
    <cellStyle name="20% - Accent3 2 3 5 3 2" xfId="14617" xr:uid="{0808C02A-4433-48F9-96DD-8494E7FE6B62}"/>
    <cellStyle name="20% - Accent3 2 3 5 4" xfId="10399" xr:uid="{DBC31B16-1109-498A-A918-619B7359EE31}"/>
    <cellStyle name="20% - Accent3 2 3 6" xfId="2284" xr:uid="{00000000-0005-0000-0000-00007C010000}"/>
    <cellStyle name="20% - Accent3 2 3 6 2" xfId="6591" xr:uid="{00000000-0005-0000-0000-00007D010000}"/>
    <cellStyle name="20% - Accent3 2 3 6 2 2" xfId="15030" xr:uid="{0D4AF8C0-AEEA-45B6-83EA-A8CA4987665A}"/>
    <cellStyle name="20% - Accent3 2 3 6 3" xfId="10812" xr:uid="{3A1558F7-1936-4562-9938-0CB2CA03914C}"/>
    <cellStyle name="20% - Accent3 2 3 7" xfId="4525" xr:uid="{00000000-0005-0000-0000-00007E010000}"/>
    <cellStyle name="20% - Accent3 2 3 7 2" xfId="12964" xr:uid="{A425DEFB-781C-4126-A907-1B829CF621A4}"/>
    <cellStyle name="20% - Accent3 2 3 8" xfId="8746" xr:uid="{70DB67A6-F7EE-4D8C-952E-F0B23A95F04C}"/>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0" xr:uid="{71E67CDD-8A5D-4453-B451-0355D696833F}"/>
    <cellStyle name="20% - Accent3 2 4 2 3" xfId="11302" xr:uid="{ADB3C8E6-B792-4492-B79F-A41C302D8E5E}"/>
    <cellStyle name="20% - Accent3 2 4 3" xfId="4936" xr:uid="{00000000-0005-0000-0000-000082010000}"/>
    <cellStyle name="20% - Accent3 2 4 3 2" xfId="13375" xr:uid="{4F283590-863E-41FD-A017-8B210C48C068}"/>
    <cellStyle name="20% - Accent3 2 4 4" xfId="9157" xr:uid="{778AB7AC-CF96-479E-BFDF-A7333264548B}"/>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3" xr:uid="{0E538B2F-DCAC-4623-90FE-F8D265243E16}"/>
    <cellStyle name="20% - Accent3 2 5 2 3" xfId="11715" xr:uid="{D0ECBBC2-1869-4DE3-A0E0-176B0B7FB432}"/>
    <cellStyle name="20% - Accent3 2 5 3" xfId="5349" xr:uid="{00000000-0005-0000-0000-000086010000}"/>
    <cellStyle name="20% - Accent3 2 5 3 2" xfId="13788" xr:uid="{C502574C-E4A7-4588-B07E-0640E58004B4}"/>
    <cellStyle name="20% - Accent3 2 5 4" xfId="9570" xr:uid="{6446E298-FDB2-4480-9D32-21A6762BF91F}"/>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6" xr:uid="{0DE2EF36-46F8-4D72-BE53-05B1574F3E16}"/>
    <cellStyle name="20% - Accent3 2 6 2 3" xfId="12128" xr:uid="{794068CD-27ED-4382-8518-ABE4A6011108}"/>
    <cellStyle name="20% - Accent3 2 6 3" xfId="5762" xr:uid="{00000000-0005-0000-0000-00008A010000}"/>
    <cellStyle name="20% - Accent3 2 6 3 2" xfId="14201" xr:uid="{1B203686-949F-4DF4-9EEF-A34A2F10E5BC}"/>
    <cellStyle name="20% - Accent3 2 6 4" xfId="9983" xr:uid="{90F8F5B0-EA6E-43AE-A64C-6FF5081FBA83}"/>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59" xr:uid="{DCD1F2B7-8FBD-4C2D-A181-5C00BF62346E}"/>
    <cellStyle name="20% - Accent3 2 7 2 3" xfId="12541" xr:uid="{94AE344C-C3FD-4C96-93D6-2E619A338642}"/>
    <cellStyle name="20% - Accent3 2 7 3" xfId="6175" xr:uid="{00000000-0005-0000-0000-00008E010000}"/>
    <cellStyle name="20% - Accent3 2 7 3 2" xfId="14614" xr:uid="{7D838A28-34BE-4E1F-8F5F-5B6EAC820041}"/>
    <cellStyle name="20% - Accent3 2 7 4" xfId="10396" xr:uid="{BC994BE8-6085-41A7-9E61-A61F35F6678B}"/>
    <cellStyle name="20% - Accent3 2 8" xfId="2281" xr:uid="{00000000-0005-0000-0000-00008F010000}"/>
    <cellStyle name="20% - Accent3 2 8 2" xfId="6588" xr:uid="{00000000-0005-0000-0000-000090010000}"/>
    <cellStyle name="20% - Accent3 2 8 2 2" xfId="15027" xr:uid="{A685CB35-E79E-4EC3-AB57-0B2F9E66348E}"/>
    <cellStyle name="20% - Accent3 2 8 3" xfId="10809" xr:uid="{75C3578A-6593-4995-A9AE-F706462ED21D}"/>
    <cellStyle name="20% - Accent3 2 9" xfId="4522" xr:uid="{00000000-0005-0000-0000-000091010000}"/>
    <cellStyle name="20% - Accent3 2 9 2" xfId="12961" xr:uid="{3CA25172-48BE-4BF6-9A5E-D7C6CD28395F}"/>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5" xr:uid="{E7C2DEA4-EBBB-492D-B52A-A36D5B9A7F95}"/>
    <cellStyle name="20% - Accent3 3 2 2 2 3" xfId="11307" xr:uid="{A650C4A2-A79D-493A-8F1D-557AE65FD72C}"/>
    <cellStyle name="20% - Accent3 3 2 2 3" xfId="4941" xr:uid="{00000000-0005-0000-0000-000097010000}"/>
    <cellStyle name="20% - Accent3 3 2 2 3 2" xfId="13380" xr:uid="{FA915DDF-F488-4291-AEBA-1242B0983F6E}"/>
    <cellStyle name="20% - Accent3 3 2 2 4" xfId="9162" xr:uid="{E329B43C-98F2-41E1-B34A-0D300AE35EBC}"/>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38" xr:uid="{53F8776C-E137-4C8A-8850-C52577B415D2}"/>
    <cellStyle name="20% - Accent3 3 2 3 2 3" xfId="11720" xr:uid="{D8A9E26D-718A-4709-BE74-CF9360EB80E9}"/>
    <cellStyle name="20% - Accent3 3 2 3 3" xfId="5354" xr:uid="{00000000-0005-0000-0000-00009B010000}"/>
    <cellStyle name="20% - Accent3 3 2 3 3 2" xfId="13793" xr:uid="{B3A7E747-2D7D-40C9-B1AB-A505F3F91667}"/>
    <cellStyle name="20% - Accent3 3 2 3 4" xfId="9575" xr:uid="{1DE1B1A8-23A9-408A-8850-C5A2D66097B8}"/>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1" xr:uid="{A78C5D88-FADE-4426-ACFD-C353D9F863FE}"/>
    <cellStyle name="20% - Accent3 3 2 4 2 3" xfId="12133" xr:uid="{D5E42960-6073-4D7E-A5DA-449D49511779}"/>
    <cellStyle name="20% - Accent3 3 2 4 3" xfId="5767" xr:uid="{00000000-0005-0000-0000-00009F010000}"/>
    <cellStyle name="20% - Accent3 3 2 4 3 2" xfId="14206" xr:uid="{0AF6D733-3541-44C3-AC37-BA4C0E22ADE8}"/>
    <cellStyle name="20% - Accent3 3 2 4 4" xfId="9988" xr:uid="{DFFF8AD4-944D-4FC9-A406-9BA1F23A8893}"/>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4" xr:uid="{B3E0B049-5C36-4CE6-AB0D-AF44A9B881B1}"/>
    <cellStyle name="20% - Accent3 3 2 5 2 3" xfId="12546" xr:uid="{24D4E070-D0B5-45DB-B047-3E4E145D1352}"/>
    <cellStyle name="20% - Accent3 3 2 5 3" xfId="6180" xr:uid="{00000000-0005-0000-0000-0000A3010000}"/>
    <cellStyle name="20% - Accent3 3 2 5 3 2" xfId="14619" xr:uid="{235349AB-25D0-4761-81C7-9FDB88279231}"/>
    <cellStyle name="20% - Accent3 3 2 5 4" xfId="10401" xr:uid="{1AD67541-D220-44FC-8DCD-43EB86C29F49}"/>
    <cellStyle name="20% - Accent3 3 2 6" xfId="2286" xr:uid="{00000000-0005-0000-0000-0000A4010000}"/>
    <cellStyle name="20% - Accent3 3 2 6 2" xfId="6593" xr:uid="{00000000-0005-0000-0000-0000A5010000}"/>
    <cellStyle name="20% - Accent3 3 2 6 2 2" xfId="15032" xr:uid="{F0DC1D51-C494-445F-B921-19E0F165DC12}"/>
    <cellStyle name="20% - Accent3 3 2 6 3" xfId="10814" xr:uid="{51BBE39C-33B7-449F-A26D-FB97CCCA59D0}"/>
    <cellStyle name="20% - Accent3 3 2 7" xfId="4527" xr:uid="{00000000-0005-0000-0000-0000A6010000}"/>
    <cellStyle name="20% - Accent3 3 2 7 2" xfId="12966" xr:uid="{2177D82E-ECF2-4E68-A2EF-23E56D36F485}"/>
    <cellStyle name="20% - Accent3 3 2 8" xfId="8748" xr:uid="{46F419D2-DF04-4673-9B72-D9F5F7BB3E93}"/>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4" xr:uid="{CA01F259-32B8-4835-891B-17F508456F95}"/>
    <cellStyle name="20% - Accent3 3 3 2 3" xfId="11306" xr:uid="{15B859AC-AE32-4C06-8177-1861A10013C0}"/>
    <cellStyle name="20% - Accent3 3 3 3" xfId="4940" xr:uid="{00000000-0005-0000-0000-0000AA010000}"/>
    <cellStyle name="20% - Accent3 3 3 3 2" xfId="13379" xr:uid="{1A0275B2-7C1B-48E8-BFDD-1E3F01016FFB}"/>
    <cellStyle name="20% - Accent3 3 3 4" xfId="9161" xr:uid="{F356F9D3-48F8-4E38-BC20-E93CF90E08DC}"/>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37" xr:uid="{3C768415-A605-4587-BE20-4381CAFB329A}"/>
    <cellStyle name="20% - Accent3 3 4 2 3" xfId="11719" xr:uid="{AF644B28-B344-43F0-A153-211BBE565125}"/>
    <cellStyle name="20% - Accent3 3 4 3" xfId="5353" xr:uid="{00000000-0005-0000-0000-0000AE010000}"/>
    <cellStyle name="20% - Accent3 3 4 3 2" xfId="13792" xr:uid="{FFE3EDE2-769A-4064-B69F-9764BC23AF5B}"/>
    <cellStyle name="20% - Accent3 3 4 4" xfId="9574" xr:uid="{63B0541C-366F-40AF-9134-EAE4CDD96FA5}"/>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0" xr:uid="{3297F58F-81BC-4107-8295-50A7FEF00E3E}"/>
    <cellStyle name="20% - Accent3 3 5 2 3" xfId="12132" xr:uid="{B551C853-AFB9-40D9-8136-FF4BC945EB05}"/>
    <cellStyle name="20% - Accent3 3 5 3" xfId="5766" xr:uid="{00000000-0005-0000-0000-0000B2010000}"/>
    <cellStyle name="20% - Accent3 3 5 3 2" xfId="14205" xr:uid="{C4B1CADA-CF52-42EB-9341-A8957C73FAB3}"/>
    <cellStyle name="20% - Accent3 3 5 4" xfId="9987" xr:uid="{CC51A586-D0A4-478C-AB8C-FBDE90616AC9}"/>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3" xr:uid="{787C5531-A921-4BD0-834C-9794150BB0A4}"/>
    <cellStyle name="20% - Accent3 3 6 2 3" xfId="12545" xr:uid="{60FB7330-8C9D-4FE4-8B82-507C44F164BD}"/>
    <cellStyle name="20% - Accent3 3 6 3" xfId="6179" xr:uid="{00000000-0005-0000-0000-0000B6010000}"/>
    <cellStyle name="20% - Accent3 3 6 3 2" xfId="14618" xr:uid="{CFABEBCF-8C1D-467E-BAC4-1FF22FD8D937}"/>
    <cellStyle name="20% - Accent3 3 6 4" xfId="10400" xr:uid="{A2BB02A8-BC71-404D-8F32-0D95722D303C}"/>
    <cellStyle name="20% - Accent3 3 7" xfId="2285" xr:uid="{00000000-0005-0000-0000-0000B7010000}"/>
    <cellStyle name="20% - Accent3 3 7 2" xfId="6592" xr:uid="{00000000-0005-0000-0000-0000B8010000}"/>
    <cellStyle name="20% - Accent3 3 7 2 2" xfId="15031" xr:uid="{F77DC647-1CAE-4CFE-9910-5CA556E46DF3}"/>
    <cellStyle name="20% - Accent3 3 7 3" xfId="10813" xr:uid="{E0F5081F-9F23-4CF5-B266-92BC97D20639}"/>
    <cellStyle name="20% - Accent3 3 8" xfId="4526" xr:uid="{00000000-0005-0000-0000-0000B9010000}"/>
    <cellStyle name="20% - Accent3 3 8 2" xfId="12965" xr:uid="{769650E3-3CB4-4502-85D9-CB4C9081E8D1}"/>
    <cellStyle name="20% - Accent3 3 9" xfId="8747" xr:uid="{F4DE33C7-B437-4AB2-8C10-182B702E90F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6" xr:uid="{1DDE5201-7B64-4F79-A61C-09CB812F175E}"/>
    <cellStyle name="20% - Accent3 4 2 2 3" xfId="11308" xr:uid="{2E2CC040-B130-4209-BC21-6F33F84F098D}"/>
    <cellStyle name="20% - Accent3 4 2 3" xfId="4942" xr:uid="{00000000-0005-0000-0000-0000BE010000}"/>
    <cellStyle name="20% - Accent3 4 2 3 2" xfId="13381" xr:uid="{35564708-A131-43E8-94AA-B59CDDD27E08}"/>
    <cellStyle name="20% - Accent3 4 2 4" xfId="9163" xr:uid="{FE2E03D1-9CE2-4680-A0DE-C77EDA306BD3}"/>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39" xr:uid="{6969DEC5-332F-4AEE-90F7-8889B301265D}"/>
    <cellStyle name="20% - Accent3 4 3 2 3" xfId="11721" xr:uid="{84444C4B-E035-47AB-B49A-B682DC374222}"/>
    <cellStyle name="20% - Accent3 4 3 3" xfId="5355" xr:uid="{00000000-0005-0000-0000-0000C2010000}"/>
    <cellStyle name="20% - Accent3 4 3 3 2" xfId="13794" xr:uid="{9D7B4F5C-78C9-415D-9B75-A0C0428F3C80}"/>
    <cellStyle name="20% - Accent3 4 3 4" xfId="9576" xr:uid="{680A4969-5D83-413E-BFCE-D595D3317A1A}"/>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2" xr:uid="{085C1737-EAAF-46EA-8974-7F522B4C1853}"/>
    <cellStyle name="20% - Accent3 4 4 2 3" xfId="12134" xr:uid="{BB449D74-EBCA-4C96-A337-DECB26E4E831}"/>
    <cellStyle name="20% - Accent3 4 4 3" xfId="5768" xr:uid="{00000000-0005-0000-0000-0000C6010000}"/>
    <cellStyle name="20% - Accent3 4 4 3 2" xfId="14207" xr:uid="{62176870-BED9-4669-90CC-CE743C96E273}"/>
    <cellStyle name="20% - Accent3 4 4 4" xfId="9989" xr:uid="{ED147752-48E1-4537-A07B-5ABCC8979EC9}"/>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5" xr:uid="{378450FC-E43C-4B8B-98DB-B81C984BE4C7}"/>
    <cellStyle name="20% - Accent3 4 5 2 3" xfId="12547" xr:uid="{7CB511E4-A574-4DB0-A047-8B2996A2F9A7}"/>
    <cellStyle name="20% - Accent3 4 5 3" xfId="6181" xr:uid="{00000000-0005-0000-0000-0000CA010000}"/>
    <cellStyle name="20% - Accent3 4 5 3 2" xfId="14620" xr:uid="{0A7E1B33-92C4-4CF4-AEA5-9444860FD189}"/>
    <cellStyle name="20% - Accent3 4 5 4" xfId="10402" xr:uid="{298B75C8-FF91-42AD-A650-5D346D8B047A}"/>
    <cellStyle name="20% - Accent3 4 6" xfId="2287" xr:uid="{00000000-0005-0000-0000-0000CB010000}"/>
    <cellStyle name="20% - Accent3 4 6 2" xfId="6594" xr:uid="{00000000-0005-0000-0000-0000CC010000}"/>
    <cellStyle name="20% - Accent3 4 6 2 2" xfId="15033" xr:uid="{4DBC200B-D143-4DBF-B93C-E8983A3A5425}"/>
    <cellStyle name="20% - Accent3 4 6 3" xfId="10815" xr:uid="{EFF4E718-34B6-40E8-B90A-2EC3064E00CE}"/>
    <cellStyle name="20% - Accent3 4 7" xfId="4528" xr:uid="{00000000-0005-0000-0000-0000CD010000}"/>
    <cellStyle name="20% - Accent3 4 7 2" xfId="12967" xr:uid="{61CD6DAD-53D8-4C5F-BE4E-C16BA881679F}"/>
    <cellStyle name="20% - Accent3 4 8" xfId="8749" xr:uid="{3D53CD8E-53D5-4CC8-8D77-7695F6E0ECD8}"/>
    <cellStyle name="20% - Accent3 5" xfId="586" xr:uid="{00000000-0005-0000-0000-0000CE010000}"/>
    <cellStyle name="20% - Accent3 5 2" xfId="2857" xr:uid="{00000000-0005-0000-0000-0000CF010000}"/>
    <cellStyle name="20% - Accent3 5 2 2" xfId="7080" xr:uid="{00000000-0005-0000-0000-0000D0010000}"/>
    <cellStyle name="20% - Accent3 5 2 2 2" xfId="15519" xr:uid="{F9DB7D20-B975-472E-A4D5-5A49EFBEEB59}"/>
    <cellStyle name="20% - Accent3 5 2 3" xfId="11301" xr:uid="{E52BE62C-1B2C-4944-8290-9694B70C0DD9}"/>
    <cellStyle name="20% - Accent3 5 3" xfId="4935" xr:uid="{00000000-0005-0000-0000-0000D1010000}"/>
    <cellStyle name="20% - Accent3 5 3 2" xfId="13374" xr:uid="{5F6B17FD-9F86-48E3-B4F4-0B136571BFF6}"/>
    <cellStyle name="20% - Accent3 5 4" xfId="9156" xr:uid="{D15587A2-6DBB-40E7-AB74-7229C6F4D142}"/>
    <cellStyle name="20% - Accent3 6" xfId="1039" xr:uid="{00000000-0005-0000-0000-0000D2010000}"/>
    <cellStyle name="20% - Accent3 6 2" xfId="3270" xr:uid="{00000000-0005-0000-0000-0000D3010000}"/>
    <cellStyle name="20% - Accent3 6 2 2" xfId="7493" xr:uid="{00000000-0005-0000-0000-0000D4010000}"/>
    <cellStyle name="20% - Accent3 6 2 2 2" xfId="15932" xr:uid="{3F65B055-DC29-4EA6-A9EF-99251CAA1704}"/>
    <cellStyle name="20% - Accent3 6 2 3" xfId="11714" xr:uid="{7A5C1507-6392-4299-A34C-D2769D86A32B}"/>
    <cellStyle name="20% - Accent3 6 3" xfId="5348" xr:uid="{00000000-0005-0000-0000-0000D5010000}"/>
    <cellStyle name="20% - Accent3 6 3 2" xfId="13787" xr:uid="{90B3B960-CBCF-4858-92A2-BE128DFE4140}"/>
    <cellStyle name="20% - Accent3 6 4" xfId="9569" xr:uid="{DDCB5E01-AECD-41E9-8083-8F5D47C58505}"/>
    <cellStyle name="20% - Accent3 7" xfId="1453" xr:uid="{00000000-0005-0000-0000-0000D6010000}"/>
    <cellStyle name="20% - Accent3 7 2" xfId="3683" xr:uid="{00000000-0005-0000-0000-0000D7010000}"/>
    <cellStyle name="20% - Accent3 7 2 2" xfId="7906" xr:uid="{00000000-0005-0000-0000-0000D8010000}"/>
    <cellStyle name="20% - Accent3 7 2 2 2" xfId="16345" xr:uid="{D29A05D9-6C2E-483C-A811-F8590E9CD658}"/>
    <cellStyle name="20% - Accent3 7 2 3" xfId="12127" xr:uid="{A8AC9396-4787-45A2-8671-D7987C1E3881}"/>
    <cellStyle name="20% - Accent3 7 3" xfId="5761" xr:uid="{00000000-0005-0000-0000-0000D9010000}"/>
    <cellStyle name="20% - Accent3 7 3 2" xfId="14200" xr:uid="{5E881181-B926-403D-9AF5-DB28CB078D4A}"/>
    <cellStyle name="20% - Accent3 7 4" xfId="9982" xr:uid="{F5AF5030-CAC6-4DAA-9883-B82F1B77FDD0}"/>
    <cellStyle name="20% - Accent3 8" xfId="1867" xr:uid="{00000000-0005-0000-0000-0000DA010000}"/>
    <cellStyle name="20% - Accent3 8 2" xfId="4096" xr:uid="{00000000-0005-0000-0000-0000DB010000}"/>
    <cellStyle name="20% - Accent3 8 2 2" xfId="8319" xr:uid="{00000000-0005-0000-0000-0000DC010000}"/>
    <cellStyle name="20% - Accent3 8 2 2 2" xfId="16758" xr:uid="{A71699A0-90E1-4663-BD37-4F03571C06C0}"/>
    <cellStyle name="20% - Accent3 8 2 3" xfId="12540" xr:uid="{6E469FB8-FA76-466F-9B17-227322829DB0}"/>
    <cellStyle name="20% - Accent3 8 3" xfId="6174" xr:uid="{00000000-0005-0000-0000-0000DD010000}"/>
    <cellStyle name="20% - Accent3 8 3 2" xfId="14613" xr:uid="{36B0EEDC-54AC-4DD2-8380-3A921C2D8F33}"/>
    <cellStyle name="20% - Accent3 8 4" xfId="10395" xr:uid="{529C5528-0594-46A6-BA84-4A760C3F7A40}"/>
    <cellStyle name="20% - Accent3 9" xfId="2280" xr:uid="{00000000-0005-0000-0000-0000DE010000}"/>
    <cellStyle name="20% - Accent3 9 2" xfId="6587" xr:uid="{00000000-0005-0000-0000-0000DF010000}"/>
    <cellStyle name="20% - Accent3 9 2 2" xfId="15026" xr:uid="{B4FBF726-56A4-4E41-840F-921995249E98}"/>
    <cellStyle name="20% - Accent3 9 3" xfId="10808" xr:uid="{E4FFE869-89CA-43D8-A7B5-3577AC6AD428}"/>
    <cellStyle name="20% - Accent4" xfId="25" builtinId="42" customBuiltin="1"/>
    <cellStyle name="20% - Accent4 10" xfId="4529" xr:uid="{00000000-0005-0000-0000-0000E1010000}"/>
    <cellStyle name="20% - Accent4 10 2" xfId="12968" xr:uid="{DF8CEF85-2181-4DB5-81E6-7103B1484B54}"/>
    <cellStyle name="20% - Accent4 11" xfId="8750" xr:uid="{7F04BB69-8077-4502-AA5A-20FAE4915E5E}"/>
    <cellStyle name="20% - Accent4 2" xfId="26" xr:uid="{00000000-0005-0000-0000-0000E2010000}"/>
    <cellStyle name="20% - Accent4 2 10" xfId="8751" xr:uid="{39E99067-8C11-46DE-8A9A-723641D9FEEA}"/>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0" xr:uid="{E2F69411-8A9E-4437-B2F8-A20AA5E6378B}"/>
    <cellStyle name="20% - Accent4 2 2 2 2 2 3" xfId="11312" xr:uid="{2CB24B1C-B02A-4474-894A-1842A3D44E26}"/>
    <cellStyle name="20% - Accent4 2 2 2 2 3" xfId="4946" xr:uid="{00000000-0005-0000-0000-0000E8010000}"/>
    <cellStyle name="20% - Accent4 2 2 2 2 3 2" xfId="13385" xr:uid="{59AE36B9-8DF1-42A9-94C9-30F2636B8592}"/>
    <cellStyle name="20% - Accent4 2 2 2 2 4" xfId="9167" xr:uid="{963247A1-1618-4C91-8654-C97648A86125}"/>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3" xr:uid="{A22E020B-C869-4640-BC23-2873D3EC30D8}"/>
    <cellStyle name="20% - Accent4 2 2 2 3 2 3" xfId="11725" xr:uid="{1284F2A0-C65A-4C4F-8D87-747C63BADF66}"/>
    <cellStyle name="20% - Accent4 2 2 2 3 3" xfId="5359" xr:uid="{00000000-0005-0000-0000-0000EC010000}"/>
    <cellStyle name="20% - Accent4 2 2 2 3 3 2" xfId="13798" xr:uid="{33317E4C-EA58-4CAA-9E9E-B85249EB94EC}"/>
    <cellStyle name="20% - Accent4 2 2 2 3 4" xfId="9580" xr:uid="{732F3E5A-BAD0-4660-9DEB-5F4496748755}"/>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6" xr:uid="{17B2EDDF-AA1B-43E3-962A-2F8FEE836441}"/>
    <cellStyle name="20% - Accent4 2 2 2 4 2 3" xfId="12138" xr:uid="{39572EEC-B788-4973-8F8E-AE36C4508FC8}"/>
    <cellStyle name="20% - Accent4 2 2 2 4 3" xfId="5772" xr:uid="{00000000-0005-0000-0000-0000F0010000}"/>
    <cellStyle name="20% - Accent4 2 2 2 4 3 2" xfId="14211" xr:uid="{2F5FABAF-1EE0-43E4-A19F-8BF931959BCB}"/>
    <cellStyle name="20% - Accent4 2 2 2 4 4" xfId="9993" xr:uid="{9F4D9392-176B-4F6E-9341-7DF6680FA6CA}"/>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69" xr:uid="{0B199595-8473-411E-AA2D-591F1F47A560}"/>
    <cellStyle name="20% - Accent4 2 2 2 5 2 3" xfId="12551" xr:uid="{A1A8476C-26DC-45B2-A88A-AB6A5681D74A}"/>
    <cellStyle name="20% - Accent4 2 2 2 5 3" xfId="6185" xr:uid="{00000000-0005-0000-0000-0000F4010000}"/>
    <cellStyle name="20% - Accent4 2 2 2 5 3 2" xfId="14624" xr:uid="{8BA33BA4-3DEB-47AB-A760-52A50DE542A5}"/>
    <cellStyle name="20% - Accent4 2 2 2 5 4" xfId="10406" xr:uid="{CB26C315-57D6-4AA3-A43F-F5527BA61862}"/>
    <cellStyle name="20% - Accent4 2 2 2 6" xfId="2291" xr:uid="{00000000-0005-0000-0000-0000F5010000}"/>
    <cellStyle name="20% - Accent4 2 2 2 6 2" xfId="6598" xr:uid="{00000000-0005-0000-0000-0000F6010000}"/>
    <cellStyle name="20% - Accent4 2 2 2 6 2 2" xfId="15037" xr:uid="{962F5EC9-04CA-4103-8C7C-CFE77848DC76}"/>
    <cellStyle name="20% - Accent4 2 2 2 6 3" xfId="10819" xr:uid="{97563403-4BE8-4F01-B2D5-06E2C0039217}"/>
    <cellStyle name="20% - Accent4 2 2 2 7" xfId="4532" xr:uid="{00000000-0005-0000-0000-0000F7010000}"/>
    <cellStyle name="20% - Accent4 2 2 2 7 2" xfId="12971" xr:uid="{F52DAD3B-6016-4DF5-8AC8-3C4FF564CA78}"/>
    <cellStyle name="20% - Accent4 2 2 2 8" xfId="8753" xr:uid="{5059FE87-371B-49B3-A03C-306156F1E5D8}"/>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29" xr:uid="{1FF16882-1AD9-4A5F-AF2B-76E2A42DBBE8}"/>
    <cellStyle name="20% - Accent4 2 2 3 2 3" xfId="11311" xr:uid="{15D99B7E-66DC-47D1-8C3C-3C48F4DEC6BC}"/>
    <cellStyle name="20% - Accent4 2 2 3 3" xfId="4945" xr:uid="{00000000-0005-0000-0000-0000FB010000}"/>
    <cellStyle name="20% - Accent4 2 2 3 3 2" xfId="13384" xr:uid="{8C3C6143-0562-402E-B851-926AC007B217}"/>
    <cellStyle name="20% - Accent4 2 2 3 4" xfId="9166" xr:uid="{BA90EEED-1A17-4EC2-8E29-0614A2CCA71D}"/>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2" xr:uid="{6BC7E623-1033-4614-8EBC-58AF65F6350B}"/>
    <cellStyle name="20% - Accent4 2 2 4 2 3" xfId="11724" xr:uid="{2718E1C0-5526-419A-A0C9-E64A0B52FD41}"/>
    <cellStyle name="20% - Accent4 2 2 4 3" xfId="5358" xr:uid="{00000000-0005-0000-0000-0000FF010000}"/>
    <cellStyle name="20% - Accent4 2 2 4 3 2" xfId="13797" xr:uid="{A02053B1-2727-4EB3-886F-296D9BA1B95D}"/>
    <cellStyle name="20% - Accent4 2 2 4 4" xfId="9579" xr:uid="{B4940C7A-4CDC-4C60-868F-8B81AFB55FC3}"/>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5" xr:uid="{AC2639E4-081A-4B93-9989-38B4EA8F893E}"/>
    <cellStyle name="20% - Accent4 2 2 5 2 3" xfId="12137" xr:uid="{27E3A889-0130-4608-8DCD-B07CCFD1BB89}"/>
    <cellStyle name="20% - Accent4 2 2 5 3" xfId="5771" xr:uid="{00000000-0005-0000-0000-000003020000}"/>
    <cellStyle name="20% - Accent4 2 2 5 3 2" xfId="14210" xr:uid="{F54045CB-1C54-4A5D-92BB-DA4A00EBA747}"/>
    <cellStyle name="20% - Accent4 2 2 5 4" xfId="9992" xr:uid="{364D5105-BAAB-430C-96E5-931F0E9AE9D7}"/>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68" xr:uid="{5545BF85-D6D3-408C-9B8B-C8F0D032A20E}"/>
    <cellStyle name="20% - Accent4 2 2 6 2 3" xfId="12550" xr:uid="{F1DF5A76-A324-492C-A224-66CCB267FDA0}"/>
    <cellStyle name="20% - Accent4 2 2 6 3" xfId="6184" xr:uid="{00000000-0005-0000-0000-000007020000}"/>
    <cellStyle name="20% - Accent4 2 2 6 3 2" xfId="14623" xr:uid="{4A80F74A-29A4-49FE-A8B8-9B2334F764D4}"/>
    <cellStyle name="20% - Accent4 2 2 6 4" xfId="10405" xr:uid="{54129301-F42A-4BE3-8EE8-5F3DC9436EC2}"/>
    <cellStyle name="20% - Accent4 2 2 7" xfId="2290" xr:uid="{00000000-0005-0000-0000-000008020000}"/>
    <cellStyle name="20% - Accent4 2 2 7 2" xfId="6597" xr:uid="{00000000-0005-0000-0000-000009020000}"/>
    <cellStyle name="20% - Accent4 2 2 7 2 2" xfId="15036" xr:uid="{8106ABF3-E06C-467C-9FB5-67F1C7126294}"/>
    <cellStyle name="20% - Accent4 2 2 7 3" xfId="10818" xr:uid="{A99AD1BC-3011-4F46-80B0-C1333205D235}"/>
    <cellStyle name="20% - Accent4 2 2 8" xfId="4531" xr:uid="{00000000-0005-0000-0000-00000A020000}"/>
    <cellStyle name="20% - Accent4 2 2 8 2" xfId="12970" xr:uid="{641383FD-1F4F-48A8-91F2-49799248EAA2}"/>
    <cellStyle name="20% - Accent4 2 2 9" xfId="8752" xr:uid="{F9A092B3-1926-44FC-B4CC-996FFE9CBFF2}"/>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1" xr:uid="{38FBB652-8457-40E4-8C35-CC50B342A67B}"/>
    <cellStyle name="20% - Accent4 2 3 2 2 3" xfId="11313" xr:uid="{AF0AE619-8CA0-46FE-B4B2-C1607B6A7F7D}"/>
    <cellStyle name="20% - Accent4 2 3 2 3" xfId="4947" xr:uid="{00000000-0005-0000-0000-00000F020000}"/>
    <cellStyle name="20% - Accent4 2 3 2 3 2" xfId="13386" xr:uid="{06E158B5-0DBA-430E-98DB-98C66AFF5A69}"/>
    <cellStyle name="20% - Accent4 2 3 2 4" xfId="9168" xr:uid="{79148250-6E22-436C-8DAA-6DE9AA6A4EBD}"/>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4" xr:uid="{5E10ADEA-0857-420D-9B9D-96F83079BD18}"/>
    <cellStyle name="20% - Accent4 2 3 3 2 3" xfId="11726" xr:uid="{E98C114C-8DAA-4EA0-8C1B-019CFF0D2CA5}"/>
    <cellStyle name="20% - Accent4 2 3 3 3" xfId="5360" xr:uid="{00000000-0005-0000-0000-000013020000}"/>
    <cellStyle name="20% - Accent4 2 3 3 3 2" xfId="13799" xr:uid="{5CDC50AE-F985-43E0-849F-3C12C76D804F}"/>
    <cellStyle name="20% - Accent4 2 3 3 4" xfId="9581" xr:uid="{D3F9F58F-3E02-4D62-BA6A-4CB8EF5CD728}"/>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57" xr:uid="{4B586A10-ED8D-4A0A-A2D6-36B7B8B26336}"/>
    <cellStyle name="20% - Accent4 2 3 4 2 3" xfId="12139" xr:uid="{EAC59DDD-D84D-4A7C-908D-DF3EEF018135}"/>
    <cellStyle name="20% - Accent4 2 3 4 3" xfId="5773" xr:uid="{00000000-0005-0000-0000-000017020000}"/>
    <cellStyle name="20% - Accent4 2 3 4 3 2" xfId="14212" xr:uid="{C2605743-ADC5-46B4-ABA6-0F1B6E89833B}"/>
    <cellStyle name="20% - Accent4 2 3 4 4" xfId="9994" xr:uid="{ACDC096E-620B-476F-89A2-41E96B4E2722}"/>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0" xr:uid="{D29A9D3E-7167-47FE-9B25-4EA1344B00ED}"/>
    <cellStyle name="20% - Accent4 2 3 5 2 3" xfId="12552" xr:uid="{62F4CA16-2E90-4D3C-B4C8-EF5F7FAEE9B4}"/>
    <cellStyle name="20% - Accent4 2 3 5 3" xfId="6186" xr:uid="{00000000-0005-0000-0000-00001B020000}"/>
    <cellStyle name="20% - Accent4 2 3 5 3 2" xfId="14625" xr:uid="{9F4FA23A-8A88-4067-9B10-7D2A660C47D8}"/>
    <cellStyle name="20% - Accent4 2 3 5 4" xfId="10407" xr:uid="{BA0B9BE6-8947-473C-B6E1-BFC601EE3A47}"/>
    <cellStyle name="20% - Accent4 2 3 6" xfId="2292" xr:uid="{00000000-0005-0000-0000-00001C020000}"/>
    <cellStyle name="20% - Accent4 2 3 6 2" xfId="6599" xr:uid="{00000000-0005-0000-0000-00001D020000}"/>
    <cellStyle name="20% - Accent4 2 3 6 2 2" xfId="15038" xr:uid="{F678437A-520D-408E-9CA8-2E084F6CD750}"/>
    <cellStyle name="20% - Accent4 2 3 6 3" xfId="10820" xr:uid="{21E5B366-6052-4925-9ECB-B7E315995EC8}"/>
    <cellStyle name="20% - Accent4 2 3 7" xfId="4533" xr:uid="{00000000-0005-0000-0000-00001E020000}"/>
    <cellStyle name="20% - Accent4 2 3 7 2" xfId="12972" xr:uid="{E60F507C-9C7E-445F-964B-09FADD1EAD4A}"/>
    <cellStyle name="20% - Accent4 2 3 8" xfId="8754" xr:uid="{D92BFEE8-5827-4400-A871-E156AB12A1A8}"/>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28" xr:uid="{28572EBA-2A0D-4166-A7DA-E2742C6549A4}"/>
    <cellStyle name="20% - Accent4 2 4 2 3" xfId="11310" xr:uid="{7431BAA2-747A-403B-8E98-D34367C3DE6F}"/>
    <cellStyle name="20% - Accent4 2 4 3" xfId="4944" xr:uid="{00000000-0005-0000-0000-000022020000}"/>
    <cellStyle name="20% - Accent4 2 4 3 2" xfId="13383" xr:uid="{93137026-A1E6-4C80-A6D5-D74287C3CA38}"/>
    <cellStyle name="20% - Accent4 2 4 4" xfId="9165" xr:uid="{4B37BF88-9FB9-45BA-BF5A-EE460E3CED87}"/>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1" xr:uid="{AD58EA27-ED11-42C9-A645-97254A862D99}"/>
    <cellStyle name="20% - Accent4 2 5 2 3" xfId="11723" xr:uid="{B6546EE9-ACBA-4196-A872-1C932CD72978}"/>
    <cellStyle name="20% - Accent4 2 5 3" xfId="5357" xr:uid="{00000000-0005-0000-0000-000026020000}"/>
    <cellStyle name="20% - Accent4 2 5 3 2" xfId="13796" xr:uid="{1A23ADD2-6B72-4429-8CDD-CB237820C9D9}"/>
    <cellStyle name="20% - Accent4 2 5 4" xfId="9578" xr:uid="{7E726882-FB5B-4B1C-94C3-EC7AC19811F9}"/>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4" xr:uid="{686416EE-CDCC-479B-A0F9-E65B2DF8BF5E}"/>
    <cellStyle name="20% - Accent4 2 6 2 3" xfId="12136" xr:uid="{84A406A1-EB35-4FA7-85A6-6D5BB8E04739}"/>
    <cellStyle name="20% - Accent4 2 6 3" xfId="5770" xr:uid="{00000000-0005-0000-0000-00002A020000}"/>
    <cellStyle name="20% - Accent4 2 6 3 2" xfId="14209" xr:uid="{5D610EC9-F5AE-46C8-839A-60F19B2BA6EE}"/>
    <cellStyle name="20% - Accent4 2 6 4" xfId="9991" xr:uid="{DA86D271-D520-4A77-9E1A-89EB000B7F4E}"/>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67" xr:uid="{D0DBBF6C-9D71-4AFC-BE49-B0E50DA9C822}"/>
    <cellStyle name="20% - Accent4 2 7 2 3" xfId="12549" xr:uid="{013F77E2-A352-4A04-B57D-ADF2D86CAD88}"/>
    <cellStyle name="20% - Accent4 2 7 3" xfId="6183" xr:uid="{00000000-0005-0000-0000-00002E020000}"/>
    <cellStyle name="20% - Accent4 2 7 3 2" xfId="14622" xr:uid="{CFC6F26F-CF35-4F39-A32F-50434A02E934}"/>
    <cellStyle name="20% - Accent4 2 7 4" xfId="10404" xr:uid="{552F661C-EB5D-4E51-B586-94073D8718D5}"/>
    <cellStyle name="20% - Accent4 2 8" xfId="2289" xr:uid="{00000000-0005-0000-0000-00002F020000}"/>
    <cellStyle name="20% - Accent4 2 8 2" xfId="6596" xr:uid="{00000000-0005-0000-0000-000030020000}"/>
    <cellStyle name="20% - Accent4 2 8 2 2" xfId="15035" xr:uid="{CEEC86E6-84D9-4B87-B029-8EB3DC29790E}"/>
    <cellStyle name="20% - Accent4 2 8 3" xfId="10817" xr:uid="{20D70C90-B37C-4C76-895C-24E65BEB0025}"/>
    <cellStyle name="20% - Accent4 2 9" xfId="4530" xr:uid="{00000000-0005-0000-0000-000031020000}"/>
    <cellStyle name="20% - Accent4 2 9 2" xfId="12969" xr:uid="{1C327B1B-8973-43CD-80EF-E0293F878ABF}"/>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3" xr:uid="{4395F411-80D1-47F8-A51F-41BB211F330B}"/>
    <cellStyle name="20% - Accent4 3 2 2 2 3" xfId="11315" xr:uid="{07141B6C-08E4-4AA6-8C38-BE566F61D023}"/>
    <cellStyle name="20% - Accent4 3 2 2 3" xfId="4949" xr:uid="{00000000-0005-0000-0000-000037020000}"/>
    <cellStyle name="20% - Accent4 3 2 2 3 2" xfId="13388" xr:uid="{C5CC2C5C-9F8D-4A07-AD07-09020873289B}"/>
    <cellStyle name="20% - Accent4 3 2 2 4" xfId="9170" xr:uid="{B0061DD5-2624-49BB-BB34-1641AD78785A}"/>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6" xr:uid="{AE5B1604-DDDC-4EBC-BC54-E9E1E4A8F833}"/>
    <cellStyle name="20% - Accent4 3 2 3 2 3" xfId="11728" xr:uid="{92A355B1-E39A-4533-8763-8D4C6C222524}"/>
    <cellStyle name="20% - Accent4 3 2 3 3" xfId="5362" xr:uid="{00000000-0005-0000-0000-00003B020000}"/>
    <cellStyle name="20% - Accent4 3 2 3 3 2" xfId="13801" xr:uid="{3C472CA7-179F-4013-B05F-CCF9664D9D13}"/>
    <cellStyle name="20% - Accent4 3 2 3 4" xfId="9583" xr:uid="{28C8DE2A-9B95-4CBC-AE68-5F858E4EFBF8}"/>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59" xr:uid="{241F2A7E-4495-4A27-B6AC-D4F10F1587CF}"/>
    <cellStyle name="20% - Accent4 3 2 4 2 3" xfId="12141" xr:uid="{4C8BC59B-4FE7-4B55-BF2C-B537738FCB4F}"/>
    <cellStyle name="20% - Accent4 3 2 4 3" xfId="5775" xr:uid="{00000000-0005-0000-0000-00003F020000}"/>
    <cellStyle name="20% - Accent4 3 2 4 3 2" xfId="14214" xr:uid="{E2BB830C-870A-425B-9CE0-2CD42A42D686}"/>
    <cellStyle name="20% - Accent4 3 2 4 4" xfId="9996" xr:uid="{3910B4E7-B894-4F45-AE90-60ABB88F3490}"/>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2" xr:uid="{7CC6B236-CE49-4125-A402-CBC90F03F5D7}"/>
    <cellStyle name="20% - Accent4 3 2 5 2 3" xfId="12554" xr:uid="{F3252CD5-4C8D-472D-B2A7-28E4B69BD4A1}"/>
    <cellStyle name="20% - Accent4 3 2 5 3" xfId="6188" xr:uid="{00000000-0005-0000-0000-000043020000}"/>
    <cellStyle name="20% - Accent4 3 2 5 3 2" xfId="14627" xr:uid="{6ED3CFBE-5892-4228-8851-D3686E851C12}"/>
    <cellStyle name="20% - Accent4 3 2 5 4" xfId="10409" xr:uid="{883859C9-CC35-4811-8712-551F0400DB0B}"/>
    <cellStyle name="20% - Accent4 3 2 6" xfId="2294" xr:uid="{00000000-0005-0000-0000-000044020000}"/>
    <cellStyle name="20% - Accent4 3 2 6 2" xfId="6601" xr:uid="{00000000-0005-0000-0000-000045020000}"/>
    <cellStyle name="20% - Accent4 3 2 6 2 2" xfId="15040" xr:uid="{0BCBCDAC-4143-4414-8061-D27AFE23A362}"/>
    <cellStyle name="20% - Accent4 3 2 6 3" xfId="10822" xr:uid="{4C20F38A-9613-42F4-8088-E1606FA5B916}"/>
    <cellStyle name="20% - Accent4 3 2 7" xfId="4535" xr:uid="{00000000-0005-0000-0000-000046020000}"/>
    <cellStyle name="20% - Accent4 3 2 7 2" xfId="12974" xr:uid="{72C27DDF-AEFA-44BD-B95E-5A9F01412D76}"/>
    <cellStyle name="20% - Accent4 3 2 8" xfId="8756" xr:uid="{ABF8472E-0D60-4699-B1B2-06AEE973C44F}"/>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2" xr:uid="{817AB67F-2F09-4C92-82A1-597029DB6AE6}"/>
    <cellStyle name="20% - Accent4 3 3 2 3" xfId="11314" xr:uid="{8DAD2FC9-E906-4D05-B525-2B81D609C254}"/>
    <cellStyle name="20% - Accent4 3 3 3" xfId="4948" xr:uid="{00000000-0005-0000-0000-00004A020000}"/>
    <cellStyle name="20% - Accent4 3 3 3 2" xfId="13387" xr:uid="{CAD41F19-C687-4EB1-A5F8-894C60B09576}"/>
    <cellStyle name="20% - Accent4 3 3 4" xfId="9169" xr:uid="{F2F88A2B-F5C3-49BD-BE43-8BDE2D0B9DCD}"/>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5" xr:uid="{9DBD525D-7762-4487-BA9D-8CB8A0B0F5A8}"/>
    <cellStyle name="20% - Accent4 3 4 2 3" xfId="11727" xr:uid="{75B07680-03B3-4B67-829D-D649EB7971C3}"/>
    <cellStyle name="20% - Accent4 3 4 3" xfId="5361" xr:uid="{00000000-0005-0000-0000-00004E020000}"/>
    <cellStyle name="20% - Accent4 3 4 3 2" xfId="13800" xr:uid="{8D2840A4-1900-4914-A045-30B21B3CF3E3}"/>
    <cellStyle name="20% - Accent4 3 4 4" xfId="9582" xr:uid="{607AD126-5B68-4BBC-B51C-0D4C0B1E723A}"/>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58" xr:uid="{E4710191-B133-4590-84FB-3C7F2D2AD393}"/>
    <cellStyle name="20% - Accent4 3 5 2 3" xfId="12140" xr:uid="{5467B0FB-9ABF-4CC7-9699-6BC9F860F978}"/>
    <cellStyle name="20% - Accent4 3 5 3" xfId="5774" xr:uid="{00000000-0005-0000-0000-000052020000}"/>
    <cellStyle name="20% - Accent4 3 5 3 2" xfId="14213" xr:uid="{620208CA-8C7A-4782-B7CF-6E1E8766EF1B}"/>
    <cellStyle name="20% - Accent4 3 5 4" xfId="9995" xr:uid="{FF6325CC-04FA-4712-B94C-0704D25DC340}"/>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1" xr:uid="{8DECFFAE-86FF-4A15-9A9E-8C9893B56DCB}"/>
    <cellStyle name="20% - Accent4 3 6 2 3" xfId="12553" xr:uid="{671D07B0-5F90-4EAE-BF8F-7B146A335E76}"/>
    <cellStyle name="20% - Accent4 3 6 3" xfId="6187" xr:uid="{00000000-0005-0000-0000-000056020000}"/>
    <cellStyle name="20% - Accent4 3 6 3 2" xfId="14626" xr:uid="{8C16303F-1349-43AE-BD13-AB64692B7852}"/>
    <cellStyle name="20% - Accent4 3 6 4" xfId="10408" xr:uid="{438318F3-FD2B-46BA-A35C-2E21C676B219}"/>
    <cellStyle name="20% - Accent4 3 7" xfId="2293" xr:uid="{00000000-0005-0000-0000-000057020000}"/>
    <cellStyle name="20% - Accent4 3 7 2" xfId="6600" xr:uid="{00000000-0005-0000-0000-000058020000}"/>
    <cellStyle name="20% - Accent4 3 7 2 2" xfId="15039" xr:uid="{23BC9E21-DE8D-4CFE-8499-4F6645C566E0}"/>
    <cellStyle name="20% - Accent4 3 7 3" xfId="10821" xr:uid="{50FBF766-1374-4499-BBAD-B786B5F58DE7}"/>
    <cellStyle name="20% - Accent4 3 8" xfId="4534" xr:uid="{00000000-0005-0000-0000-000059020000}"/>
    <cellStyle name="20% - Accent4 3 8 2" xfId="12973" xr:uid="{A33DD4A4-68B4-4939-9527-E6D7AA3A2F51}"/>
    <cellStyle name="20% - Accent4 3 9" xfId="8755" xr:uid="{8AE2F82E-94AD-4DE4-9A32-7FE3A3B90173}"/>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4" xr:uid="{90E608C2-F91B-4867-947F-7B65C2932079}"/>
    <cellStyle name="20% - Accent4 4 2 2 3" xfId="11316" xr:uid="{86DDDB30-C2F7-4732-94C1-23A510DA5E3C}"/>
    <cellStyle name="20% - Accent4 4 2 3" xfId="4950" xr:uid="{00000000-0005-0000-0000-00005E020000}"/>
    <cellStyle name="20% - Accent4 4 2 3 2" xfId="13389" xr:uid="{2BDF800B-B1EE-4D39-9B51-8D14AC3AC169}"/>
    <cellStyle name="20% - Accent4 4 2 4" xfId="9171" xr:uid="{F19449D8-BA9B-4B95-8B1E-DBC9DF4654AE}"/>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47" xr:uid="{CB8B806A-F283-4842-8A4E-0E65639A9D69}"/>
    <cellStyle name="20% - Accent4 4 3 2 3" xfId="11729" xr:uid="{1B667536-6309-4B92-BE12-8B1863E5D2F5}"/>
    <cellStyle name="20% - Accent4 4 3 3" xfId="5363" xr:uid="{00000000-0005-0000-0000-000062020000}"/>
    <cellStyle name="20% - Accent4 4 3 3 2" xfId="13802" xr:uid="{4C6CDA69-F68D-4F7D-92EF-FDDB74749BB7}"/>
    <cellStyle name="20% - Accent4 4 3 4" xfId="9584" xr:uid="{C424BE39-94F3-44D7-BFA8-C18D40D16DE8}"/>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0" xr:uid="{47994EF6-D4FB-401C-B253-863CC659BABC}"/>
    <cellStyle name="20% - Accent4 4 4 2 3" xfId="12142" xr:uid="{15CCDBAA-940F-4439-A0C2-8D15294F6CA0}"/>
    <cellStyle name="20% - Accent4 4 4 3" xfId="5776" xr:uid="{00000000-0005-0000-0000-000066020000}"/>
    <cellStyle name="20% - Accent4 4 4 3 2" xfId="14215" xr:uid="{1F0C9B19-3138-43CD-BC44-BB325B421BB9}"/>
    <cellStyle name="20% - Accent4 4 4 4" xfId="9997" xr:uid="{C422834F-15CB-461F-8270-F87BDB48D1E1}"/>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3" xr:uid="{E5611092-44EB-4E48-AA18-5AC313156358}"/>
    <cellStyle name="20% - Accent4 4 5 2 3" xfId="12555" xr:uid="{B9A31CC5-3758-458E-9F9D-EC8FFCB4614C}"/>
    <cellStyle name="20% - Accent4 4 5 3" xfId="6189" xr:uid="{00000000-0005-0000-0000-00006A020000}"/>
    <cellStyle name="20% - Accent4 4 5 3 2" xfId="14628" xr:uid="{863A4C63-0613-4F27-BE35-25BFD6052E76}"/>
    <cellStyle name="20% - Accent4 4 5 4" xfId="10410" xr:uid="{F178E704-226B-4896-AA41-B3A8F763721B}"/>
    <cellStyle name="20% - Accent4 4 6" xfId="2295" xr:uid="{00000000-0005-0000-0000-00006B020000}"/>
    <cellStyle name="20% - Accent4 4 6 2" xfId="6602" xr:uid="{00000000-0005-0000-0000-00006C020000}"/>
    <cellStyle name="20% - Accent4 4 6 2 2" xfId="15041" xr:uid="{FCF95EE0-82FE-469C-BF9D-458BF13C5F2C}"/>
    <cellStyle name="20% - Accent4 4 6 3" xfId="10823" xr:uid="{0E32F04D-5782-4276-8D13-40D9DE05D17C}"/>
    <cellStyle name="20% - Accent4 4 7" xfId="4536" xr:uid="{00000000-0005-0000-0000-00006D020000}"/>
    <cellStyle name="20% - Accent4 4 7 2" xfId="12975" xr:uid="{D41ECC14-EEDC-4220-A310-0E09165DC268}"/>
    <cellStyle name="20% - Accent4 4 8" xfId="8757" xr:uid="{43D027A3-4A5F-4D59-B730-D216447D7B6E}"/>
    <cellStyle name="20% - Accent4 5" xfId="594" xr:uid="{00000000-0005-0000-0000-00006E020000}"/>
    <cellStyle name="20% - Accent4 5 2" xfId="2865" xr:uid="{00000000-0005-0000-0000-00006F020000}"/>
    <cellStyle name="20% - Accent4 5 2 2" xfId="7088" xr:uid="{00000000-0005-0000-0000-000070020000}"/>
    <cellStyle name="20% - Accent4 5 2 2 2" xfId="15527" xr:uid="{EA89DEA0-2F8A-4E8E-8592-329C851A734C}"/>
    <cellStyle name="20% - Accent4 5 2 3" xfId="11309" xr:uid="{5790EE20-06C6-4FCE-BF0C-19E40FAACF40}"/>
    <cellStyle name="20% - Accent4 5 3" xfId="4943" xr:uid="{00000000-0005-0000-0000-000071020000}"/>
    <cellStyle name="20% - Accent4 5 3 2" xfId="13382" xr:uid="{A329884A-A53B-4FDB-B716-DC622DFE5644}"/>
    <cellStyle name="20% - Accent4 5 4" xfId="9164" xr:uid="{AD36FCC6-80DD-4112-940C-8453EAA80C8A}"/>
    <cellStyle name="20% - Accent4 6" xfId="1047" xr:uid="{00000000-0005-0000-0000-000072020000}"/>
    <cellStyle name="20% - Accent4 6 2" xfId="3278" xr:uid="{00000000-0005-0000-0000-000073020000}"/>
    <cellStyle name="20% - Accent4 6 2 2" xfId="7501" xr:uid="{00000000-0005-0000-0000-000074020000}"/>
    <cellStyle name="20% - Accent4 6 2 2 2" xfId="15940" xr:uid="{8FD19E41-5A19-468E-9831-ED15F222E745}"/>
    <cellStyle name="20% - Accent4 6 2 3" xfId="11722" xr:uid="{26B0369D-5E35-4FE1-9393-966CDAFC713B}"/>
    <cellStyle name="20% - Accent4 6 3" xfId="5356" xr:uid="{00000000-0005-0000-0000-000075020000}"/>
    <cellStyle name="20% - Accent4 6 3 2" xfId="13795" xr:uid="{1F2FB2B6-4B5A-47C7-B7BC-0EF57A07EA17}"/>
    <cellStyle name="20% - Accent4 6 4" xfId="9577" xr:uid="{34548A0C-707A-4D33-B771-A3CE4E3988B2}"/>
    <cellStyle name="20% - Accent4 7" xfId="1461" xr:uid="{00000000-0005-0000-0000-000076020000}"/>
    <cellStyle name="20% - Accent4 7 2" xfId="3691" xr:uid="{00000000-0005-0000-0000-000077020000}"/>
    <cellStyle name="20% - Accent4 7 2 2" xfId="7914" xr:uid="{00000000-0005-0000-0000-000078020000}"/>
    <cellStyle name="20% - Accent4 7 2 2 2" xfId="16353" xr:uid="{22C89554-39E1-425E-A633-B3C7CCA9F98E}"/>
    <cellStyle name="20% - Accent4 7 2 3" xfId="12135" xr:uid="{EAE5B7C2-96D5-47E5-9935-67C9C69FF6FA}"/>
    <cellStyle name="20% - Accent4 7 3" xfId="5769" xr:uid="{00000000-0005-0000-0000-000079020000}"/>
    <cellStyle name="20% - Accent4 7 3 2" xfId="14208" xr:uid="{FD13DCF5-0565-46A5-879A-0E72D4DB516C}"/>
    <cellStyle name="20% - Accent4 7 4" xfId="9990" xr:uid="{975D54B1-CA00-4F22-87AD-C591D58739E3}"/>
    <cellStyle name="20% - Accent4 8" xfId="1875" xr:uid="{00000000-0005-0000-0000-00007A020000}"/>
    <cellStyle name="20% - Accent4 8 2" xfId="4104" xr:uid="{00000000-0005-0000-0000-00007B020000}"/>
    <cellStyle name="20% - Accent4 8 2 2" xfId="8327" xr:uid="{00000000-0005-0000-0000-00007C020000}"/>
    <cellStyle name="20% - Accent4 8 2 2 2" xfId="16766" xr:uid="{A591A9E0-2FB2-45A6-BAAF-6A051C791CB1}"/>
    <cellStyle name="20% - Accent4 8 2 3" xfId="12548" xr:uid="{5B3F20D3-A1AD-4B31-93E3-AA25E4F67648}"/>
    <cellStyle name="20% - Accent4 8 3" xfId="6182" xr:uid="{00000000-0005-0000-0000-00007D020000}"/>
    <cellStyle name="20% - Accent4 8 3 2" xfId="14621" xr:uid="{F0EC0B30-6C2E-4056-B304-82A380BBCEC7}"/>
    <cellStyle name="20% - Accent4 8 4" xfId="10403" xr:uid="{49AA5091-6009-4123-A7EA-205459341146}"/>
    <cellStyle name="20% - Accent4 9" xfId="2288" xr:uid="{00000000-0005-0000-0000-00007E020000}"/>
    <cellStyle name="20% - Accent4 9 2" xfId="6595" xr:uid="{00000000-0005-0000-0000-00007F020000}"/>
    <cellStyle name="20% - Accent4 9 2 2" xfId="15034" xr:uid="{C4D7B972-C964-4B66-A5D8-65304004B4B8}"/>
    <cellStyle name="20% - Accent4 9 3" xfId="10816" xr:uid="{2B493E4E-3D76-46DF-AF8B-D81862E56727}"/>
    <cellStyle name="20% - Accent5" xfId="33" builtinId="46" customBuiltin="1"/>
    <cellStyle name="20% - Accent5 10" xfId="4537" xr:uid="{00000000-0005-0000-0000-000081020000}"/>
    <cellStyle name="20% - Accent5 10 2" xfId="12976" xr:uid="{C5D39046-9830-4734-B980-C166FCB1976D}"/>
    <cellStyle name="20% - Accent5 11" xfId="8758" xr:uid="{5542075E-79DD-42C3-93B5-E144FE1F3462}"/>
    <cellStyle name="20% - Accent5 2" xfId="34" xr:uid="{00000000-0005-0000-0000-000082020000}"/>
    <cellStyle name="20% - Accent5 2 10" xfId="8759" xr:uid="{AF33BA86-33E4-4AEA-A569-408255BA67A6}"/>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38" xr:uid="{AFE68F38-B5CE-408B-BF40-6FC1A20A3409}"/>
    <cellStyle name="20% - Accent5 2 2 2 2 2 3" xfId="11320" xr:uid="{161B70A0-6718-42A3-8CC5-D8451C822395}"/>
    <cellStyle name="20% - Accent5 2 2 2 2 3" xfId="4954" xr:uid="{00000000-0005-0000-0000-000088020000}"/>
    <cellStyle name="20% - Accent5 2 2 2 2 3 2" xfId="13393" xr:uid="{2864998E-495F-40F7-ACF0-A41AA1E15144}"/>
    <cellStyle name="20% - Accent5 2 2 2 2 4" xfId="9175" xr:uid="{7B8C8B90-14F5-4FAB-B693-A60A24BF7F19}"/>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1" xr:uid="{94610FC3-446A-49FD-B8D3-DE5BA469B543}"/>
    <cellStyle name="20% - Accent5 2 2 2 3 2 3" xfId="11733" xr:uid="{017A101A-3C61-4613-8AEF-469A97549039}"/>
    <cellStyle name="20% - Accent5 2 2 2 3 3" xfId="5367" xr:uid="{00000000-0005-0000-0000-00008C020000}"/>
    <cellStyle name="20% - Accent5 2 2 2 3 3 2" xfId="13806" xr:uid="{1175D188-2A54-4C00-820B-3C912E03439A}"/>
    <cellStyle name="20% - Accent5 2 2 2 3 4" xfId="9588" xr:uid="{7E69B065-FB48-4579-A674-762390B27976}"/>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4" xr:uid="{2AF4CEC9-48BF-4854-A8E3-68B252192C1F}"/>
    <cellStyle name="20% - Accent5 2 2 2 4 2 3" xfId="12146" xr:uid="{5E3E0A9D-0EA0-40CA-ACEE-9D3701C31532}"/>
    <cellStyle name="20% - Accent5 2 2 2 4 3" xfId="5780" xr:uid="{00000000-0005-0000-0000-000090020000}"/>
    <cellStyle name="20% - Accent5 2 2 2 4 3 2" xfId="14219" xr:uid="{DB0A19BE-3510-4DC5-9417-1EA8986B5F56}"/>
    <cellStyle name="20% - Accent5 2 2 2 4 4" xfId="10001" xr:uid="{EF5B8FBD-B4B1-4D2D-8E25-D957F771FEE7}"/>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77" xr:uid="{580E0ED2-94BD-4DD2-B560-7BB8DFE3B97F}"/>
    <cellStyle name="20% - Accent5 2 2 2 5 2 3" xfId="12559" xr:uid="{B3BEA0E9-139F-498F-969F-9FFC9CB299AF}"/>
    <cellStyle name="20% - Accent5 2 2 2 5 3" xfId="6193" xr:uid="{00000000-0005-0000-0000-000094020000}"/>
    <cellStyle name="20% - Accent5 2 2 2 5 3 2" xfId="14632" xr:uid="{41C56AB4-0226-4C14-A0FC-C6575F9D7392}"/>
    <cellStyle name="20% - Accent5 2 2 2 5 4" xfId="10414" xr:uid="{110F08F2-54B8-404B-8728-7EAB7C5D48BB}"/>
    <cellStyle name="20% - Accent5 2 2 2 6" xfId="2299" xr:uid="{00000000-0005-0000-0000-000095020000}"/>
    <cellStyle name="20% - Accent5 2 2 2 6 2" xfId="6606" xr:uid="{00000000-0005-0000-0000-000096020000}"/>
    <cellStyle name="20% - Accent5 2 2 2 6 2 2" xfId="15045" xr:uid="{1D4241CE-6872-4A6B-9F12-662B7BDD47F4}"/>
    <cellStyle name="20% - Accent5 2 2 2 6 3" xfId="10827" xr:uid="{DAB9BEB5-A643-4BD0-A54A-3D2179315830}"/>
    <cellStyle name="20% - Accent5 2 2 2 7" xfId="4540" xr:uid="{00000000-0005-0000-0000-000097020000}"/>
    <cellStyle name="20% - Accent5 2 2 2 7 2" xfId="12979" xr:uid="{D04310A9-E0BF-461F-B194-C40CD7D306A6}"/>
    <cellStyle name="20% - Accent5 2 2 2 8" xfId="8761" xr:uid="{81C6318D-9A7A-4800-B898-E83BCC0016BF}"/>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37" xr:uid="{5E779397-F517-4100-A110-088C13F858B7}"/>
    <cellStyle name="20% - Accent5 2 2 3 2 3" xfId="11319" xr:uid="{CF4B4A64-61FB-48A7-959E-A9FB996711AC}"/>
    <cellStyle name="20% - Accent5 2 2 3 3" xfId="4953" xr:uid="{00000000-0005-0000-0000-00009B020000}"/>
    <cellStyle name="20% - Accent5 2 2 3 3 2" xfId="13392" xr:uid="{B0C9C857-E589-4338-9D7F-2167FCE7879D}"/>
    <cellStyle name="20% - Accent5 2 2 3 4" xfId="9174" xr:uid="{8DA1205F-1785-4699-A58A-0EB2A66B5959}"/>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0" xr:uid="{5F57CCD0-8313-48BD-ACFD-945C53F4D405}"/>
    <cellStyle name="20% - Accent5 2 2 4 2 3" xfId="11732" xr:uid="{BEAACB39-DB5B-419D-807D-B2D3ED3EBE69}"/>
    <cellStyle name="20% - Accent5 2 2 4 3" xfId="5366" xr:uid="{00000000-0005-0000-0000-00009F020000}"/>
    <cellStyle name="20% - Accent5 2 2 4 3 2" xfId="13805" xr:uid="{5D4F9062-8F86-4E4D-9F7B-DF302F2C72DB}"/>
    <cellStyle name="20% - Accent5 2 2 4 4" xfId="9587" xr:uid="{FA6812C6-057C-4566-9AFC-7A17FCFA7E82}"/>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3" xr:uid="{A95D7999-92FD-4146-8395-3E0471DBAC43}"/>
    <cellStyle name="20% - Accent5 2 2 5 2 3" xfId="12145" xr:uid="{0F3CFDC1-7F25-4250-8B46-7DE68DE81F7A}"/>
    <cellStyle name="20% - Accent5 2 2 5 3" xfId="5779" xr:uid="{00000000-0005-0000-0000-0000A3020000}"/>
    <cellStyle name="20% - Accent5 2 2 5 3 2" xfId="14218" xr:uid="{3A4D1347-248C-4F5C-AB14-032E0D1AF516}"/>
    <cellStyle name="20% - Accent5 2 2 5 4" xfId="10000" xr:uid="{44759992-D9A4-4FB3-AE15-94B1D522AA15}"/>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6" xr:uid="{9E09083E-DD00-4B0D-84CB-1BC81392617E}"/>
    <cellStyle name="20% - Accent5 2 2 6 2 3" xfId="12558" xr:uid="{E43014FC-ABF5-4346-9491-DFB62CBC9823}"/>
    <cellStyle name="20% - Accent5 2 2 6 3" xfId="6192" xr:uid="{00000000-0005-0000-0000-0000A7020000}"/>
    <cellStyle name="20% - Accent5 2 2 6 3 2" xfId="14631" xr:uid="{702A7088-3386-4F45-A8B4-A604643C1034}"/>
    <cellStyle name="20% - Accent5 2 2 6 4" xfId="10413" xr:uid="{20B61365-E74E-4F94-9641-E93354498A17}"/>
    <cellStyle name="20% - Accent5 2 2 7" xfId="2298" xr:uid="{00000000-0005-0000-0000-0000A8020000}"/>
    <cellStyle name="20% - Accent5 2 2 7 2" xfId="6605" xr:uid="{00000000-0005-0000-0000-0000A9020000}"/>
    <cellStyle name="20% - Accent5 2 2 7 2 2" xfId="15044" xr:uid="{1C5BA2A2-51AF-499F-A55D-80CBAE34A66B}"/>
    <cellStyle name="20% - Accent5 2 2 7 3" xfId="10826" xr:uid="{0D999505-B220-4238-B264-A1EEC905F707}"/>
    <cellStyle name="20% - Accent5 2 2 8" xfId="4539" xr:uid="{00000000-0005-0000-0000-0000AA020000}"/>
    <cellStyle name="20% - Accent5 2 2 8 2" xfId="12978" xr:uid="{89268244-EA8F-4B21-9F2E-FB457EB1BF58}"/>
    <cellStyle name="20% - Accent5 2 2 9" xfId="8760" xr:uid="{E9F15EE9-7EB5-4A9D-907A-5B0E6D0610D1}"/>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39" xr:uid="{BDD5F1E9-4B5F-4CE3-BA11-422B8C8E00CC}"/>
    <cellStyle name="20% - Accent5 2 3 2 2 3" xfId="11321" xr:uid="{91B77A78-D153-495B-8D56-959EDBEEB99E}"/>
    <cellStyle name="20% - Accent5 2 3 2 3" xfId="4955" xr:uid="{00000000-0005-0000-0000-0000AF020000}"/>
    <cellStyle name="20% - Accent5 2 3 2 3 2" xfId="13394" xr:uid="{C9401055-A830-45D2-A63D-6EC5F55405B8}"/>
    <cellStyle name="20% - Accent5 2 3 2 4" xfId="9176" xr:uid="{D968E1D8-7ADB-4143-B2D6-C6974639FF08}"/>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2" xr:uid="{C4887F79-6281-4E70-9C78-5F0F00BA8563}"/>
    <cellStyle name="20% - Accent5 2 3 3 2 3" xfId="11734" xr:uid="{CE54403C-35BB-4D27-AFC1-3DDA8B2B15AE}"/>
    <cellStyle name="20% - Accent5 2 3 3 3" xfId="5368" xr:uid="{00000000-0005-0000-0000-0000B3020000}"/>
    <cellStyle name="20% - Accent5 2 3 3 3 2" xfId="13807" xr:uid="{02A060AB-69BD-452D-B996-9F446390F8F5}"/>
    <cellStyle name="20% - Accent5 2 3 3 4" xfId="9589" xr:uid="{AFA29800-DE15-44C8-BA86-C8D7EEFA31F1}"/>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5" xr:uid="{37E81C28-96CB-401A-922F-E3547A23D247}"/>
    <cellStyle name="20% - Accent5 2 3 4 2 3" xfId="12147" xr:uid="{9A84C1D5-6207-4665-9357-0591153F81D8}"/>
    <cellStyle name="20% - Accent5 2 3 4 3" xfId="5781" xr:uid="{00000000-0005-0000-0000-0000B7020000}"/>
    <cellStyle name="20% - Accent5 2 3 4 3 2" xfId="14220" xr:uid="{AE792380-10FE-4FC7-9EA7-9B7B9517FF70}"/>
    <cellStyle name="20% - Accent5 2 3 4 4" xfId="10002" xr:uid="{B2211CF7-6591-4448-978F-E24CD5C20F42}"/>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78" xr:uid="{E4CFC096-B54F-40F9-9154-6BB129AB7A88}"/>
    <cellStyle name="20% - Accent5 2 3 5 2 3" xfId="12560" xr:uid="{7108C90C-400F-409D-8840-332FD5D6EB3F}"/>
    <cellStyle name="20% - Accent5 2 3 5 3" xfId="6194" xr:uid="{00000000-0005-0000-0000-0000BB020000}"/>
    <cellStyle name="20% - Accent5 2 3 5 3 2" xfId="14633" xr:uid="{B601456B-F96D-4D62-A8E1-68741B5237E8}"/>
    <cellStyle name="20% - Accent5 2 3 5 4" xfId="10415" xr:uid="{50B21BD7-C88C-4941-AB1E-71D6D52F7556}"/>
    <cellStyle name="20% - Accent5 2 3 6" xfId="2300" xr:uid="{00000000-0005-0000-0000-0000BC020000}"/>
    <cellStyle name="20% - Accent5 2 3 6 2" xfId="6607" xr:uid="{00000000-0005-0000-0000-0000BD020000}"/>
    <cellStyle name="20% - Accent5 2 3 6 2 2" xfId="15046" xr:uid="{6B4858E0-17F6-4837-956C-D7F46A5013E4}"/>
    <cellStyle name="20% - Accent5 2 3 6 3" xfId="10828" xr:uid="{BA54880D-19D6-4F25-8109-C6016805054D}"/>
    <cellStyle name="20% - Accent5 2 3 7" xfId="4541" xr:uid="{00000000-0005-0000-0000-0000BE020000}"/>
    <cellStyle name="20% - Accent5 2 3 7 2" xfId="12980" xr:uid="{ECEC7F72-888F-46C4-946F-A4C4A971343E}"/>
    <cellStyle name="20% - Accent5 2 3 8" xfId="8762" xr:uid="{84A6A113-C38B-4470-B361-4BDAC728AD6F}"/>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6" xr:uid="{3D097DDD-53F4-44EE-B380-7AF7FAE01E1F}"/>
    <cellStyle name="20% - Accent5 2 4 2 3" xfId="11318" xr:uid="{7A616046-2C48-42E2-944D-56A047528DFB}"/>
    <cellStyle name="20% - Accent5 2 4 3" xfId="4952" xr:uid="{00000000-0005-0000-0000-0000C2020000}"/>
    <cellStyle name="20% - Accent5 2 4 3 2" xfId="13391" xr:uid="{DCD88499-42C5-4967-8C8E-DDA635D0FFAC}"/>
    <cellStyle name="20% - Accent5 2 4 4" xfId="9173" xr:uid="{C1B27DED-A2EC-4589-90F0-9DE07BD8D8D4}"/>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49" xr:uid="{EE745016-C963-47BB-B072-8677C270A508}"/>
    <cellStyle name="20% - Accent5 2 5 2 3" xfId="11731" xr:uid="{A437E711-4F9E-4370-8903-3708E9EA2AF4}"/>
    <cellStyle name="20% - Accent5 2 5 3" xfId="5365" xr:uid="{00000000-0005-0000-0000-0000C6020000}"/>
    <cellStyle name="20% - Accent5 2 5 3 2" xfId="13804" xr:uid="{1D1B3181-11CE-4B1E-BA07-EA9A5426D883}"/>
    <cellStyle name="20% - Accent5 2 5 4" xfId="9586" xr:uid="{7F6CF907-8B1B-4E46-A309-1CF60E9D5B8D}"/>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2" xr:uid="{C52430EE-C33A-4DFC-92A1-99EAA0D8D541}"/>
    <cellStyle name="20% - Accent5 2 6 2 3" xfId="12144" xr:uid="{3E8FD3C9-2F36-4563-88F9-F26FE3B492C4}"/>
    <cellStyle name="20% - Accent5 2 6 3" xfId="5778" xr:uid="{00000000-0005-0000-0000-0000CA020000}"/>
    <cellStyle name="20% - Accent5 2 6 3 2" xfId="14217" xr:uid="{77F55FFC-B9FC-4D1F-AE6F-ED1CD6E75CAD}"/>
    <cellStyle name="20% - Accent5 2 6 4" xfId="9999" xr:uid="{0529D8E5-A7F3-4C50-ACF6-6B57AE1F512E}"/>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5" xr:uid="{74CC839C-2A08-4B58-8DB8-C23F418A801B}"/>
    <cellStyle name="20% - Accent5 2 7 2 3" xfId="12557" xr:uid="{730835EE-849D-4764-9DA4-C24DEBE049F9}"/>
    <cellStyle name="20% - Accent5 2 7 3" xfId="6191" xr:uid="{00000000-0005-0000-0000-0000CE020000}"/>
    <cellStyle name="20% - Accent5 2 7 3 2" xfId="14630" xr:uid="{66A07C9C-0713-4DBF-A480-BF995A8A30EC}"/>
    <cellStyle name="20% - Accent5 2 7 4" xfId="10412" xr:uid="{56E01A83-D396-4E72-A690-44D0DEBDA87D}"/>
    <cellStyle name="20% - Accent5 2 8" xfId="2297" xr:uid="{00000000-0005-0000-0000-0000CF020000}"/>
    <cellStyle name="20% - Accent5 2 8 2" xfId="6604" xr:uid="{00000000-0005-0000-0000-0000D0020000}"/>
    <cellStyle name="20% - Accent5 2 8 2 2" xfId="15043" xr:uid="{74366258-FDDC-4C0D-A398-F23FFB577329}"/>
    <cellStyle name="20% - Accent5 2 8 3" xfId="10825" xr:uid="{835F5A22-8DC9-45FF-84F8-3DA3CCB3BB75}"/>
    <cellStyle name="20% - Accent5 2 9" xfId="4538" xr:uid="{00000000-0005-0000-0000-0000D1020000}"/>
    <cellStyle name="20% - Accent5 2 9 2" xfId="12977" xr:uid="{2C3087D1-2CFE-4666-AC83-469CD7634DAF}"/>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1" xr:uid="{0AE75298-E13D-4AC0-B7E5-8AF81E762BAF}"/>
    <cellStyle name="20% - Accent5 3 2 2 2 3" xfId="11323" xr:uid="{1594E575-BFDB-49A3-87A7-BF16FA82221A}"/>
    <cellStyle name="20% - Accent5 3 2 2 3" xfId="4957" xr:uid="{00000000-0005-0000-0000-0000D7020000}"/>
    <cellStyle name="20% - Accent5 3 2 2 3 2" xfId="13396" xr:uid="{1510104B-CABF-4DAA-8479-B1E23092146A}"/>
    <cellStyle name="20% - Accent5 3 2 2 4" xfId="9178" xr:uid="{3545A295-80E3-4DAA-B007-E80E8A4B83BD}"/>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4" xr:uid="{BF13C1EF-E957-4C98-BE60-87CE6B478367}"/>
    <cellStyle name="20% - Accent5 3 2 3 2 3" xfId="11736" xr:uid="{B086B299-9309-49F6-978F-9F67A959D5C5}"/>
    <cellStyle name="20% - Accent5 3 2 3 3" xfId="5370" xr:uid="{00000000-0005-0000-0000-0000DB020000}"/>
    <cellStyle name="20% - Accent5 3 2 3 3 2" xfId="13809" xr:uid="{0C2F0A33-EB9D-4F77-B1C6-E4D3126AAE49}"/>
    <cellStyle name="20% - Accent5 3 2 3 4" xfId="9591" xr:uid="{56D667F2-7C32-4CD8-8358-CAE4FED5D4FD}"/>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67" xr:uid="{F366B37C-7BCC-4922-81E4-8DBC0324D63C}"/>
    <cellStyle name="20% - Accent5 3 2 4 2 3" xfId="12149" xr:uid="{0BDF2EF0-4752-4A76-844D-6E861DB3855E}"/>
    <cellStyle name="20% - Accent5 3 2 4 3" xfId="5783" xr:uid="{00000000-0005-0000-0000-0000DF020000}"/>
    <cellStyle name="20% - Accent5 3 2 4 3 2" xfId="14222" xr:uid="{DB51D56C-CC63-4521-BB27-98F798F95CBF}"/>
    <cellStyle name="20% - Accent5 3 2 4 4" xfId="10004" xr:uid="{F1655325-99DB-459A-A515-73B25A97084D}"/>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0" xr:uid="{C396DD80-E057-46B4-A5B8-6E8F4E14AE4D}"/>
    <cellStyle name="20% - Accent5 3 2 5 2 3" xfId="12562" xr:uid="{B2F0A989-09EE-4446-86E3-62859A8A2D8C}"/>
    <cellStyle name="20% - Accent5 3 2 5 3" xfId="6196" xr:uid="{00000000-0005-0000-0000-0000E3020000}"/>
    <cellStyle name="20% - Accent5 3 2 5 3 2" xfId="14635" xr:uid="{91B20A66-E9F5-439F-AFFA-2D00F97973C0}"/>
    <cellStyle name="20% - Accent5 3 2 5 4" xfId="10417" xr:uid="{C1762DE2-7F45-4E03-8719-4DE28643ECCB}"/>
    <cellStyle name="20% - Accent5 3 2 6" xfId="2302" xr:uid="{00000000-0005-0000-0000-0000E4020000}"/>
    <cellStyle name="20% - Accent5 3 2 6 2" xfId="6609" xr:uid="{00000000-0005-0000-0000-0000E5020000}"/>
    <cellStyle name="20% - Accent5 3 2 6 2 2" xfId="15048" xr:uid="{710B5048-1E84-4CCE-B706-7D8FD934B258}"/>
    <cellStyle name="20% - Accent5 3 2 6 3" xfId="10830" xr:uid="{D566BDFB-A932-406D-9B34-4434A7D1E131}"/>
    <cellStyle name="20% - Accent5 3 2 7" xfId="4543" xr:uid="{00000000-0005-0000-0000-0000E6020000}"/>
    <cellStyle name="20% - Accent5 3 2 7 2" xfId="12982" xr:uid="{490995B9-63D8-42AB-9468-4A87120A954B}"/>
    <cellStyle name="20% - Accent5 3 2 8" xfId="8764" xr:uid="{8923F47D-6F8D-4F4E-AD22-8EE799A142EA}"/>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0" xr:uid="{1FC68DC0-4D8E-44D4-869C-B45F638C6039}"/>
    <cellStyle name="20% - Accent5 3 3 2 3" xfId="11322" xr:uid="{46BFB055-DA54-4D7C-BCB0-4E878580D6F2}"/>
    <cellStyle name="20% - Accent5 3 3 3" xfId="4956" xr:uid="{00000000-0005-0000-0000-0000EA020000}"/>
    <cellStyle name="20% - Accent5 3 3 3 2" xfId="13395" xr:uid="{F7D95548-79F0-4F56-AEF4-A164AEA42667}"/>
    <cellStyle name="20% - Accent5 3 3 4" xfId="9177" xr:uid="{E285053D-D519-456B-9A79-6C313042B67B}"/>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3" xr:uid="{65631BEF-DE6F-4751-AB4B-99ACCF63F79A}"/>
    <cellStyle name="20% - Accent5 3 4 2 3" xfId="11735" xr:uid="{49DAA7CE-3760-4611-8B60-D56CF84020AB}"/>
    <cellStyle name="20% - Accent5 3 4 3" xfId="5369" xr:uid="{00000000-0005-0000-0000-0000EE020000}"/>
    <cellStyle name="20% - Accent5 3 4 3 2" xfId="13808" xr:uid="{F979DF90-0BD6-4127-B35E-277CB87946D5}"/>
    <cellStyle name="20% - Accent5 3 4 4" xfId="9590" xr:uid="{A25718C2-3DE5-441B-A99F-9C72745D884A}"/>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6" xr:uid="{B9C71A1A-E287-4E08-8C63-0F34F223676B}"/>
    <cellStyle name="20% - Accent5 3 5 2 3" xfId="12148" xr:uid="{E049ECAF-29B7-4CFE-A3F9-FA240294FBAA}"/>
    <cellStyle name="20% - Accent5 3 5 3" xfId="5782" xr:uid="{00000000-0005-0000-0000-0000F2020000}"/>
    <cellStyle name="20% - Accent5 3 5 3 2" xfId="14221" xr:uid="{0CB044E9-9ADA-4A45-8815-23CA437DB4AA}"/>
    <cellStyle name="20% - Accent5 3 5 4" xfId="10003" xr:uid="{DD509236-9DE6-431C-B7CB-3042C2CAE100}"/>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79" xr:uid="{706C7258-70A1-4E22-8D96-1772CA67CAAC}"/>
    <cellStyle name="20% - Accent5 3 6 2 3" xfId="12561" xr:uid="{4BD12B3C-3EDC-43D8-BA91-25FC880DF5A5}"/>
    <cellStyle name="20% - Accent5 3 6 3" xfId="6195" xr:uid="{00000000-0005-0000-0000-0000F6020000}"/>
    <cellStyle name="20% - Accent5 3 6 3 2" xfId="14634" xr:uid="{FAE976AB-34B8-446D-8629-E6617F6873FB}"/>
    <cellStyle name="20% - Accent5 3 6 4" xfId="10416" xr:uid="{46391508-BC27-4C00-ACCB-1F6D75B69BDA}"/>
    <cellStyle name="20% - Accent5 3 7" xfId="2301" xr:uid="{00000000-0005-0000-0000-0000F7020000}"/>
    <cellStyle name="20% - Accent5 3 7 2" xfId="6608" xr:uid="{00000000-0005-0000-0000-0000F8020000}"/>
    <cellStyle name="20% - Accent5 3 7 2 2" xfId="15047" xr:uid="{11BCDF53-E928-434B-819E-64F636084448}"/>
    <cellStyle name="20% - Accent5 3 7 3" xfId="10829" xr:uid="{1007A653-305E-4B24-A4F3-A4277415DFF3}"/>
    <cellStyle name="20% - Accent5 3 8" xfId="4542" xr:uid="{00000000-0005-0000-0000-0000F9020000}"/>
    <cellStyle name="20% - Accent5 3 8 2" xfId="12981" xr:uid="{060AB263-7E70-4C6F-9CC9-5FC9D18B0F18}"/>
    <cellStyle name="20% - Accent5 3 9" xfId="8763" xr:uid="{3BAB0856-07D2-42C0-A5DE-42C4A714C09A}"/>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2" xr:uid="{8521AF0E-C319-42CC-B81D-565F930E592C}"/>
    <cellStyle name="20% - Accent5 4 2 2 3" xfId="11324" xr:uid="{65586246-BD0F-4A40-BA38-AB8970B3A8BD}"/>
    <cellStyle name="20% - Accent5 4 2 3" xfId="4958" xr:uid="{00000000-0005-0000-0000-0000FE020000}"/>
    <cellStyle name="20% - Accent5 4 2 3 2" xfId="13397" xr:uid="{B05C3E88-3774-43E7-903A-3B5592BB8A2E}"/>
    <cellStyle name="20% - Accent5 4 2 4" xfId="9179" xr:uid="{5E48238A-3924-4A93-93F4-CB0C44DCA1B2}"/>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5" xr:uid="{C6A91D87-4B65-4DA1-8E7F-4B034A2B3212}"/>
    <cellStyle name="20% - Accent5 4 3 2 3" xfId="11737" xr:uid="{A347B6ED-0A33-4054-B0F6-13839CBC1051}"/>
    <cellStyle name="20% - Accent5 4 3 3" xfId="5371" xr:uid="{00000000-0005-0000-0000-000002030000}"/>
    <cellStyle name="20% - Accent5 4 3 3 2" xfId="13810" xr:uid="{4E13D19C-D31C-4682-B586-D271FA956D54}"/>
    <cellStyle name="20% - Accent5 4 3 4" xfId="9592" xr:uid="{17C55D67-F3AD-4042-BBEA-94174D7C3142}"/>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68" xr:uid="{AA958612-5860-48FE-BB38-7805725BE20C}"/>
    <cellStyle name="20% - Accent5 4 4 2 3" xfId="12150" xr:uid="{E189E9C1-ACEA-4E08-B492-DA8C95511F0E}"/>
    <cellStyle name="20% - Accent5 4 4 3" xfId="5784" xr:uid="{00000000-0005-0000-0000-000006030000}"/>
    <cellStyle name="20% - Accent5 4 4 3 2" xfId="14223" xr:uid="{995AAB4D-1839-4D41-80D9-CA775E769060}"/>
    <cellStyle name="20% - Accent5 4 4 4" xfId="10005" xr:uid="{02AAE241-3DF5-4DB9-8377-5F9EAD93E0DE}"/>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1" xr:uid="{0101EEC5-5630-4A1F-8C44-9A9E0F80EB74}"/>
    <cellStyle name="20% - Accent5 4 5 2 3" xfId="12563" xr:uid="{006D5122-6C3F-40ED-A6A9-70C8C3FBCE1D}"/>
    <cellStyle name="20% - Accent5 4 5 3" xfId="6197" xr:uid="{00000000-0005-0000-0000-00000A030000}"/>
    <cellStyle name="20% - Accent5 4 5 3 2" xfId="14636" xr:uid="{7072975D-993E-428E-B98F-DDD6635CA55E}"/>
    <cellStyle name="20% - Accent5 4 5 4" xfId="10418" xr:uid="{4168AF0D-5E1D-4E75-9063-D7A04AA9598A}"/>
    <cellStyle name="20% - Accent5 4 6" xfId="2303" xr:uid="{00000000-0005-0000-0000-00000B030000}"/>
    <cellStyle name="20% - Accent5 4 6 2" xfId="6610" xr:uid="{00000000-0005-0000-0000-00000C030000}"/>
    <cellStyle name="20% - Accent5 4 6 2 2" xfId="15049" xr:uid="{D710F31E-4826-4AA5-89F9-F9278849DC96}"/>
    <cellStyle name="20% - Accent5 4 6 3" xfId="10831" xr:uid="{F73257C7-4F42-47C0-B9AD-3E54E74F63B7}"/>
    <cellStyle name="20% - Accent5 4 7" xfId="4544" xr:uid="{00000000-0005-0000-0000-00000D030000}"/>
    <cellStyle name="20% - Accent5 4 7 2" xfId="12983" xr:uid="{CBF2B1BF-6610-4029-BCF0-02E376C84B4B}"/>
    <cellStyle name="20% - Accent5 4 8" xfId="8765" xr:uid="{ABC20AE3-5EF5-42B2-AC60-4976744862D7}"/>
    <cellStyle name="20% - Accent5 5" xfId="602" xr:uid="{00000000-0005-0000-0000-00000E030000}"/>
    <cellStyle name="20% - Accent5 5 2" xfId="2873" xr:uid="{00000000-0005-0000-0000-00000F030000}"/>
    <cellStyle name="20% - Accent5 5 2 2" xfId="7096" xr:uid="{00000000-0005-0000-0000-000010030000}"/>
    <cellStyle name="20% - Accent5 5 2 2 2" xfId="15535" xr:uid="{A36D211E-5FF6-47C6-A5F9-CED366BA9623}"/>
    <cellStyle name="20% - Accent5 5 2 3" xfId="11317" xr:uid="{F740BB20-F2AE-46DC-A324-6A27D2A723B6}"/>
    <cellStyle name="20% - Accent5 5 3" xfId="4951" xr:uid="{00000000-0005-0000-0000-000011030000}"/>
    <cellStyle name="20% - Accent5 5 3 2" xfId="13390" xr:uid="{C388B739-FB5A-4DDC-B268-C6217F63BE6A}"/>
    <cellStyle name="20% - Accent5 5 4" xfId="9172" xr:uid="{6DC5840E-568A-4904-9951-B1E45DF19BD8}"/>
    <cellStyle name="20% - Accent5 6" xfId="1055" xr:uid="{00000000-0005-0000-0000-000012030000}"/>
    <cellStyle name="20% - Accent5 6 2" xfId="3286" xr:uid="{00000000-0005-0000-0000-000013030000}"/>
    <cellStyle name="20% - Accent5 6 2 2" xfId="7509" xr:uid="{00000000-0005-0000-0000-000014030000}"/>
    <cellStyle name="20% - Accent5 6 2 2 2" xfId="15948" xr:uid="{8474B662-45EF-4107-B21F-F2AEC71BB42A}"/>
    <cellStyle name="20% - Accent5 6 2 3" xfId="11730" xr:uid="{634CD35B-40D7-4277-BE04-8F98B3B22802}"/>
    <cellStyle name="20% - Accent5 6 3" xfId="5364" xr:uid="{00000000-0005-0000-0000-000015030000}"/>
    <cellStyle name="20% - Accent5 6 3 2" xfId="13803" xr:uid="{4AAE016D-4436-4F78-9CD2-4CB2931706DB}"/>
    <cellStyle name="20% - Accent5 6 4" xfId="9585" xr:uid="{2831672E-5FAC-44B0-BA5A-56A6CECA5400}"/>
    <cellStyle name="20% - Accent5 7" xfId="1469" xr:uid="{00000000-0005-0000-0000-000016030000}"/>
    <cellStyle name="20% - Accent5 7 2" xfId="3699" xr:uid="{00000000-0005-0000-0000-000017030000}"/>
    <cellStyle name="20% - Accent5 7 2 2" xfId="7922" xr:uid="{00000000-0005-0000-0000-000018030000}"/>
    <cellStyle name="20% - Accent5 7 2 2 2" xfId="16361" xr:uid="{E768D1CE-E010-431D-AE6A-88720E1A22DB}"/>
    <cellStyle name="20% - Accent5 7 2 3" xfId="12143" xr:uid="{BFFCB57C-907E-4C57-A526-A588C939924C}"/>
    <cellStyle name="20% - Accent5 7 3" xfId="5777" xr:uid="{00000000-0005-0000-0000-000019030000}"/>
    <cellStyle name="20% - Accent5 7 3 2" xfId="14216" xr:uid="{098AF0E1-3071-4B87-927D-2699B889B928}"/>
    <cellStyle name="20% - Accent5 7 4" xfId="9998" xr:uid="{09EEFBA8-98D2-4594-A2E6-CFAF92C00607}"/>
    <cellStyle name="20% - Accent5 8" xfId="1883" xr:uid="{00000000-0005-0000-0000-00001A030000}"/>
    <cellStyle name="20% - Accent5 8 2" xfId="4112" xr:uid="{00000000-0005-0000-0000-00001B030000}"/>
    <cellStyle name="20% - Accent5 8 2 2" xfId="8335" xr:uid="{00000000-0005-0000-0000-00001C030000}"/>
    <cellStyle name="20% - Accent5 8 2 2 2" xfId="16774" xr:uid="{1DE62DDF-8DEE-4E89-98EC-AAA5F2D93352}"/>
    <cellStyle name="20% - Accent5 8 2 3" xfId="12556" xr:uid="{9DE7E3A4-C91A-4151-832F-6313E12E5C18}"/>
    <cellStyle name="20% - Accent5 8 3" xfId="6190" xr:uid="{00000000-0005-0000-0000-00001D030000}"/>
    <cellStyle name="20% - Accent5 8 3 2" xfId="14629" xr:uid="{C1D7D438-A2AD-4E78-95A2-3767C7A38223}"/>
    <cellStyle name="20% - Accent5 8 4" xfId="10411" xr:uid="{77533362-4CEF-4CFE-B8D9-C8AEDC0B6106}"/>
    <cellStyle name="20% - Accent5 9" xfId="2296" xr:uid="{00000000-0005-0000-0000-00001E030000}"/>
    <cellStyle name="20% - Accent5 9 2" xfId="6603" xr:uid="{00000000-0005-0000-0000-00001F030000}"/>
    <cellStyle name="20% - Accent5 9 2 2" xfId="15042" xr:uid="{C0A6A6EA-A505-4E6A-92BE-E6EA2D6B4B1A}"/>
    <cellStyle name="20% - Accent5 9 3" xfId="10824" xr:uid="{7648F3D1-B82E-4C12-9019-6B594DBDB6D6}"/>
    <cellStyle name="20% - Accent6" xfId="41" builtinId="50" customBuiltin="1"/>
    <cellStyle name="20% - Accent6 10" xfId="4545" xr:uid="{00000000-0005-0000-0000-000021030000}"/>
    <cellStyle name="20% - Accent6 10 2" xfId="12984" xr:uid="{167D3921-31B1-4405-8904-2124AB5409C1}"/>
    <cellStyle name="20% - Accent6 11" xfId="8766" xr:uid="{80B49147-A902-4DFA-B459-37584022BACF}"/>
    <cellStyle name="20% - Accent6 2" xfId="42" xr:uid="{00000000-0005-0000-0000-000022030000}"/>
    <cellStyle name="20% - Accent6 2 10" xfId="8767" xr:uid="{67472F98-AB96-4F64-A028-1BEA0AB55712}"/>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6" xr:uid="{E1B5A313-A1AD-4AA9-908F-37E66774536B}"/>
    <cellStyle name="20% - Accent6 2 2 2 2 2 3" xfId="11328" xr:uid="{4CB17126-4674-4B42-9581-E71826EBA159}"/>
    <cellStyle name="20% - Accent6 2 2 2 2 3" xfId="4962" xr:uid="{00000000-0005-0000-0000-000028030000}"/>
    <cellStyle name="20% - Accent6 2 2 2 2 3 2" xfId="13401" xr:uid="{D3F236ED-2E4C-4B62-A3CF-3D8DF08DC8AC}"/>
    <cellStyle name="20% - Accent6 2 2 2 2 4" xfId="9183" xr:uid="{15B6AA37-9568-4D3A-A8BC-96F307ED9AC9}"/>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59" xr:uid="{EA7724CD-3C65-4410-83A6-C7CD6975AF69}"/>
    <cellStyle name="20% - Accent6 2 2 2 3 2 3" xfId="11741" xr:uid="{D89C87A5-101E-4E05-A4A9-DACEB2A5BE9D}"/>
    <cellStyle name="20% - Accent6 2 2 2 3 3" xfId="5375" xr:uid="{00000000-0005-0000-0000-00002C030000}"/>
    <cellStyle name="20% - Accent6 2 2 2 3 3 2" xfId="13814" xr:uid="{74107ED7-01F3-4806-A0E4-F83D23CED4C4}"/>
    <cellStyle name="20% - Accent6 2 2 2 3 4" xfId="9596" xr:uid="{A02F84A6-1F28-4FEA-8E47-1506E89BF567}"/>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2" xr:uid="{1525634D-76A3-4922-B508-ED77DCC06F7C}"/>
    <cellStyle name="20% - Accent6 2 2 2 4 2 3" xfId="12154" xr:uid="{DEE1C6BA-0588-408F-AAB0-FB53021BF9F7}"/>
    <cellStyle name="20% - Accent6 2 2 2 4 3" xfId="5788" xr:uid="{00000000-0005-0000-0000-000030030000}"/>
    <cellStyle name="20% - Accent6 2 2 2 4 3 2" xfId="14227" xr:uid="{96BEBBB7-764D-470C-9672-07C2D58A4E0E}"/>
    <cellStyle name="20% - Accent6 2 2 2 4 4" xfId="10009" xr:uid="{85EB7F18-0FDD-470D-B55C-410CF052C592}"/>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5" xr:uid="{7C4D3F93-5412-479B-8938-F7908A22DB55}"/>
    <cellStyle name="20% - Accent6 2 2 2 5 2 3" xfId="12567" xr:uid="{6E0B1A34-3A49-45D9-941D-2D3326E88E5B}"/>
    <cellStyle name="20% - Accent6 2 2 2 5 3" xfId="6201" xr:uid="{00000000-0005-0000-0000-000034030000}"/>
    <cellStyle name="20% - Accent6 2 2 2 5 3 2" xfId="14640" xr:uid="{92F6F451-54A6-4DD9-89E1-4AC1AD735CA8}"/>
    <cellStyle name="20% - Accent6 2 2 2 5 4" xfId="10422" xr:uid="{829745E4-C67D-457E-A3A5-8E08FD329A72}"/>
    <cellStyle name="20% - Accent6 2 2 2 6" xfId="2307" xr:uid="{00000000-0005-0000-0000-000035030000}"/>
    <cellStyle name="20% - Accent6 2 2 2 6 2" xfId="6614" xr:uid="{00000000-0005-0000-0000-000036030000}"/>
    <cellStyle name="20% - Accent6 2 2 2 6 2 2" xfId="15053" xr:uid="{1ED338BC-0959-4084-A8A0-7E9C453D1242}"/>
    <cellStyle name="20% - Accent6 2 2 2 6 3" xfId="10835" xr:uid="{429D4113-B161-4B25-9DC2-45B68CD6DBB3}"/>
    <cellStyle name="20% - Accent6 2 2 2 7" xfId="4548" xr:uid="{00000000-0005-0000-0000-000037030000}"/>
    <cellStyle name="20% - Accent6 2 2 2 7 2" xfId="12987" xr:uid="{F7748432-66EF-4A23-9D03-E8090DC24183}"/>
    <cellStyle name="20% - Accent6 2 2 2 8" xfId="8769" xr:uid="{B20430C4-B042-472B-BBA6-90E5C0A97618}"/>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5" xr:uid="{87847183-9B39-4C7C-89E4-24D7A8FA2C77}"/>
    <cellStyle name="20% - Accent6 2 2 3 2 3" xfId="11327" xr:uid="{AB8F87BF-19A0-4BAB-A1ED-D02D28EA93B8}"/>
    <cellStyle name="20% - Accent6 2 2 3 3" xfId="4961" xr:uid="{00000000-0005-0000-0000-00003B030000}"/>
    <cellStyle name="20% - Accent6 2 2 3 3 2" xfId="13400" xr:uid="{241DFE6A-DB41-43D0-8318-38B1C1D22F27}"/>
    <cellStyle name="20% - Accent6 2 2 3 4" xfId="9182" xr:uid="{6403152B-849A-4EDF-976C-5C9C12D8A431}"/>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58" xr:uid="{6DCF04AB-F948-4332-B2D5-CBF591681310}"/>
    <cellStyle name="20% - Accent6 2 2 4 2 3" xfId="11740" xr:uid="{308108C8-D72E-4E6C-9192-91C5F5020E91}"/>
    <cellStyle name="20% - Accent6 2 2 4 3" xfId="5374" xr:uid="{00000000-0005-0000-0000-00003F030000}"/>
    <cellStyle name="20% - Accent6 2 2 4 3 2" xfId="13813" xr:uid="{58A6506E-D69C-438A-AB76-431E9A1E1509}"/>
    <cellStyle name="20% - Accent6 2 2 4 4" xfId="9595" xr:uid="{7F04818D-7D12-451B-8395-CE4E6A9CE91E}"/>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1" xr:uid="{807406D5-56C8-478A-B78E-22955FF90C46}"/>
    <cellStyle name="20% - Accent6 2 2 5 2 3" xfId="12153" xr:uid="{814709E1-46DE-4A36-82BC-21615AB3BC7A}"/>
    <cellStyle name="20% - Accent6 2 2 5 3" xfId="5787" xr:uid="{00000000-0005-0000-0000-000043030000}"/>
    <cellStyle name="20% - Accent6 2 2 5 3 2" xfId="14226" xr:uid="{CFB4D8C7-DE18-48DF-81B0-12BD86557962}"/>
    <cellStyle name="20% - Accent6 2 2 5 4" xfId="10008" xr:uid="{200C0863-2FC6-41F3-9C72-31A6BDE7F7C0}"/>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4" xr:uid="{F2D9E672-3D73-4A1A-AE4E-4A72776F42CD}"/>
    <cellStyle name="20% - Accent6 2 2 6 2 3" xfId="12566" xr:uid="{2D992E74-C46B-4815-9932-2D1F348C3209}"/>
    <cellStyle name="20% - Accent6 2 2 6 3" xfId="6200" xr:uid="{00000000-0005-0000-0000-000047030000}"/>
    <cellStyle name="20% - Accent6 2 2 6 3 2" xfId="14639" xr:uid="{81B288AA-9688-4F57-9BA3-04C3F842B2A8}"/>
    <cellStyle name="20% - Accent6 2 2 6 4" xfId="10421" xr:uid="{69E2E03D-C731-4C3D-956F-818B4E50501B}"/>
    <cellStyle name="20% - Accent6 2 2 7" xfId="2306" xr:uid="{00000000-0005-0000-0000-000048030000}"/>
    <cellStyle name="20% - Accent6 2 2 7 2" xfId="6613" xr:uid="{00000000-0005-0000-0000-000049030000}"/>
    <cellStyle name="20% - Accent6 2 2 7 2 2" xfId="15052" xr:uid="{96C87F87-FAE4-47E4-B922-33B8A2D4D662}"/>
    <cellStyle name="20% - Accent6 2 2 7 3" xfId="10834" xr:uid="{B2A3A764-EBF5-408E-9866-05E240F08AB4}"/>
    <cellStyle name="20% - Accent6 2 2 8" xfId="4547" xr:uid="{00000000-0005-0000-0000-00004A030000}"/>
    <cellStyle name="20% - Accent6 2 2 8 2" xfId="12986" xr:uid="{7B579000-ACA5-42E8-A563-E964189A42C7}"/>
    <cellStyle name="20% - Accent6 2 2 9" xfId="8768" xr:uid="{1DC9D290-77CE-417C-BC9A-119116B11356}"/>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47" xr:uid="{59114D22-3919-4EDB-ACCF-B967C034A3FF}"/>
    <cellStyle name="20% - Accent6 2 3 2 2 3" xfId="11329" xr:uid="{06919C83-DA97-4218-BA39-D2CFE8FA9B84}"/>
    <cellStyle name="20% - Accent6 2 3 2 3" xfId="4963" xr:uid="{00000000-0005-0000-0000-00004F030000}"/>
    <cellStyle name="20% - Accent6 2 3 2 3 2" xfId="13402" xr:uid="{B3CB7888-E891-4C95-9F53-1DC870BFAB94}"/>
    <cellStyle name="20% - Accent6 2 3 2 4" xfId="9184" xr:uid="{74B0AC6D-A18A-4251-9A97-B59BA989B533}"/>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0" xr:uid="{6BA5167C-E977-4EEF-ACBD-750262929D0F}"/>
    <cellStyle name="20% - Accent6 2 3 3 2 3" xfId="11742" xr:uid="{E0725542-E69B-4D1F-AA6C-85306E5817CC}"/>
    <cellStyle name="20% - Accent6 2 3 3 3" xfId="5376" xr:uid="{00000000-0005-0000-0000-000053030000}"/>
    <cellStyle name="20% - Accent6 2 3 3 3 2" xfId="13815" xr:uid="{8BFCC40D-DB95-4D71-8769-D1049D38D711}"/>
    <cellStyle name="20% - Accent6 2 3 3 4" xfId="9597" xr:uid="{3C5A81AE-D587-47EE-B2E7-7D5D91894BD6}"/>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3" xr:uid="{CEEEB33D-C6B4-4C09-9116-AF4408199DA9}"/>
    <cellStyle name="20% - Accent6 2 3 4 2 3" xfId="12155" xr:uid="{F334AF05-EE7B-4AC5-83F0-12AC2D5A343B}"/>
    <cellStyle name="20% - Accent6 2 3 4 3" xfId="5789" xr:uid="{00000000-0005-0000-0000-000057030000}"/>
    <cellStyle name="20% - Accent6 2 3 4 3 2" xfId="14228" xr:uid="{DCEF9FF0-6BF7-4A49-9CFD-5BD1E46E5765}"/>
    <cellStyle name="20% - Accent6 2 3 4 4" xfId="10010" xr:uid="{CD1497F8-AD79-4C1B-9D2B-1F84646C39F4}"/>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6" xr:uid="{63013D59-E20D-4657-A0CD-D2A0CAE347D7}"/>
    <cellStyle name="20% - Accent6 2 3 5 2 3" xfId="12568" xr:uid="{411B9F9F-457C-481A-AEFB-CAF659CFBB83}"/>
    <cellStyle name="20% - Accent6 2 3 5 3" xfId="6202" xr:uid="{00000000-0005-0000-0000-00005B030000}"/>
    <cellStyle name="20% - Accent6 2 3 5 3 2" xfId="14641" xr:uid="{834AFFC2-2F2A-4FB8-A620-A412EDB292C0}"/>
    <cellStyle name="20% - Accent6 2 3 5 4" xfId="10423" xr:uid="{A93AC016-6C45-4561-9DA7-40161B007C4E}"/>
    <cellStyle name="20% - Accent6 2 3 6" xfId="2308" xr:uid="{00000000-0005-0000-0000-00005C030000}"/>
    <cellStyle name="20% - Accent6 2 3 6 2" xfId="6615" xr:uid="{00000000-0005-0000-0000-00005D030000}"/>
    <cellStyle name="20% - Accent6 2 3 6 2 2" xfId="15054" xr:uid="{16AD8A63-F645-4203-ABA3-982ED3DFB6B7}"/>
    <cellStyle name="20% - Accent6 2 3 6 3" xfId="10836" xr:uid="{7850E8E4-6142-456D-881E-D806ED297EA2}"/>
    <cellStyle name="20% - Accent6 2 3 7" xfId="4549" xr:uid="{00000000-0005-0000-0000-00005E030000}"/>
    <cellStyle name="20% - Accent6 2 3 7 2" xfId="12988" xr:uid="{856815EB-FF60-4A35-B69F-E7C4ABC68361}"/>
    <cellStyle name="20% - Accent6 2 3 8" xfId="8770" xr:uid="{331E84E2-330E-46B8-945B-E1061E0FB26E}"/>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4" xr:uid="{0FBBE74C-92E8-4C28-9F37-914910B0AFF6}"/>
    <cellStyle name="20% - Accent6 2 4 2 3" xfId="11326" xr:uid="{A438C223-73A4-4C7A-B4B9-CFCDAA9306D6}"/>
    <cellStyle name="20% - Accent6 2 4 3" xfId="4960" xr:uid="{00000000-0005-0000-0000-000062030000}"/>
    <cellStyle name="20% - Accent6 2 4 3 2" xfId="13399" xr:uid="{3DF1EB73-A15A-4B02-91EE-CA26949C0535}"/>
    <cellStyle name="20% - Accent6 2 4 4" xfId="9181" xr:uid="{23BBCC18-13CB-458A-901B-59C0BFCAA945}"/>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57" xr:uid="{0C8F8009-685F-4E3D-AEB6-F05E57E30D3B}"/>
    <cellStyle name="20% - Accent6 2 5 2 3" xfId="11739" xr:uid="{79E88C44-13A3-48BB-84FE-EC0D18CD9255}"/>
    <cellStyle name="20% - Accent6 2 5 3" xfId="5373" xr:uid="{00000000-0005-0000-0000-000066030000}"/>
    <cellStyle name="20% - Accent6 2 5 3 2" xfId="13812" xr:uid="{31A5DC42-937E-466C-8559-3728AFE2B88B}"/>
    <cellStyle name="20% - Accent6 2 5 4" xfId="9594" xr:uid="{3D4316D4-8F74-4FEE-B49E-997EB4C9D52A}"/>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0" xr:uid="{731FA198-68E9-4FE1-BBB4-A14FE34E0F2C}"/>
    <cellStyle name="20% - Accent6 2 6 2 3" xfId="12152" xr:uid="{7DB6307D-3B7F-4636-8A39-9005B165A32E}"/>
    <cellStyle name="20% - Accent6 2 6 3" xfId="5786" xr:uid="{00000000-0005-0000-0000-00006A030000}"/>
    <cellStyle name="20% - Accent6 2 6 3 2" xfId="14225" xr:uid="{351732EB-56D2-4816-9E73-D78BD68DF17A}"/>
    <cellStyle name="20% - Accent6 2 6 4" xfId="10007" xr:uid="{30116A57-1073-4171-8C19-091ADE9F74B8}"/>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3" xr:uid="{91831A3E-F428-4D40-8DD7-933DDDABE4C5}"/>
    <cellStyle name="20% - Accent6 2 7 2 3" xfId="12565" xr:uid="{10A5E27F-EFF7-470A-9B12-3A453E819EF9}"/>
    <cellStyle name="20% - Accent6 2 7 3" xfId="6199" xr:uid="{00000000-0005-0000-0000-00006E030000}"/>
    <cellStyle name="20% - Accent6 2 7 3 2" xfId="14638" xr:uid="{66D39AA8-3F79-4224-9081-98A599CFFA78}"/>
    <cellStyle name="20% - Accent6 2 7 4" xfId="10420" xr:uid="{C145E4BD-5B2C-42D6-BDD5-5CC58B6C1818}"/>
    <cellStyle name="20% - Accent6 2 8" xfId="2305" xr:uid="{00000000-0005-0000-0000-00006F030000}"/>
    <cellStyle name="20% - Accent6 2 8 2" xfId="6612" xr:uid="{00000000-0005-0000-0000-000070030000}"/>
    <cellStyle name="20% - Accent6 2 8 2 2" xfId="15051" xr:uid="{A6224A25-570C-4713-81BE-F47DB3FDD9AE}"/>
    <cellStyle name="20% - Accent6 2 8 3" xfId="10833" xr:uid="{9583EE69-5BF9-4E1C-A6A4-0EB7FF04CD28}"/>
    <cellStyle name="20% - Accent6 2 9" xfId="4546" xr:uid="{00000000-0005-0000-0000-000071030000}"/>
    <cellStyle name="20% - Accent6 2 9 2" xfId="12985" xr:uid="{5684B963-60CF-4652-A690-CD0F0A00F1A6}"/>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49" xr:uid="{A8ACEFC4-F573-4432-A86A-48DADE66201D}"/>
    <cellStyle name="20% - Accent6 3 2 2 2 3" xfId="11331" xr:uid="{78FC567D-28CB-4520-BAD4-0932A0862B63}"/>
    <cellStyle name="20% - Accent6 3 2 2 3" xfId="4965" xr:uid="{00000000-0005-0000-0000-000077030000}"/>
    <cellStyle name="20% - Accent6 3 2 2 3 2" xfId="13404" xr:uid="{506C483E-23F9-4584-B2C0-1F5AD53F89BD}"/>
    <cellStyle name="20% - Accent6 3 2 2 4" xfId="9186" xr:uid="{FC18572D-2B6F-458B-B620-57D2A5F477E4}"/>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2" xr:uid="{2B67E47D-C3D0-4E3D-8311-0D7FBEAA3C50}"/>
    <cellStyle name="20% - Accent6 3 2 3 2 3" xfId="11744" xr:uid="{4EC51AB3-FE3F-4CB3-8B73-88A02E8D92EB}"/>
    <cellStyle name="20% - Accent6 3 2 3 3" xfId="5378" xr:uid="{00000000-0005-0000-0000-00007B030000}"/>
    <cellStyle name="20% - Accent6 3 2 3 3 2" xfId="13817" xr:uid="{46B937E1-52F4-4907-B151-2339ECDA3934}"/>
    <cellStyle name="20% - Accent6 3 2 3 4" xfId="9599" xr:uid="{A0A2D540-03C1-4C9D-AC97-3718109A3928}"/>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5" xr:uid="{B728E952-4AD2-4B3A-8DFB-9A50E51551A8}"/>
    <cellStyle name="20% - Accent6 3 2 4 2 3" xfId="12157" xr:uid="{765946AA-F75E-4213-952F-02E762AD1992}"/>
    <cellStyle name="20% - Accent6 3 2 4 3" xfId="5791" xr:uid="{00000000-0005-0000-0000-00007F030000}"/>
    <cellStyle name="20% - Accent6 3 2 4 3 2" xfId="14230" xr:uid="{667A5F17-5EF8-4253-B9CA-FC63C948F595}"/>
    <cellStyle name="20% - Accent6 3 2 4 4" xfId="10012" xr:uid="{37EBE3D3-310B-4DEE-84AC-27DE73E2D188}"/>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88" xr:uid="{62DF0F78-5EC6-4D48-8FB5-84239B62F452}"/>
    <cellStyle name="20% - Accent6 3 2 5 2 3" xfId="12570" xr:uid="{2F5FE904-5E8E-43D3-82CD-967F9C49AFB1}"/>
    <cellStyle name="20% - Accent6 3 2 5 3" xfId="6204" xr:uid="{00000000-0005-0000-0000-000083030000}"/>
    <cellStyle name="20% - Accent6 3 2 5 3 2" xfId="14643" xr:uid="{30BF8BEE-A0C4-4C2A-A61C-6522DBD6ECD4}"/>
    <cellStyle name="20% - Accent6 3 2 5 4" xfId="10425" xr:uid="{4E2878F2-12B1-4B8D-80AC-C5C028C5751F}"/>
    <cellStyle name="20% - Accent6 3 2 6" xfId="2310" xr:uid="{00000000-0005-0000-0000-000084030000}"/>
    <cellStyle name="20% - Accent6 3 2 6 2" xfId="6617" xr:uid="{00000000-0005-0000-0000-000085030000}"/>
    <cellStyle name="20% - Accent6 3 2 6 2 2" xfId="15056" xr:uid="{7F5EE3A6-27C8-4AA0-A918-16639D3B406B}"/>
    <cellStyle name="20% - Accent6 3 2 6 3" xfId="10838" xr:uid="{5FD72AF1-FA6A-4745-BA07-B7BC5075FDB2}"/>
    <cellStyle name="20% - Accent6 3 2 7" xfId="4551" xr:uid="{00000000-0005-0000-0000-000086030000}"/>
    <cellStyle name="20% - Accent6 3 2 7 2" xfId="12990" xr:uid="{41647C5B-7B1E-490C-A624-7040C7833AE9}"/>
    <cellStyle name="20% - Accent6 3 2 8" xfId="8772" xr:uid="{CD76715D-7540-4CB5-AAEB-10E91F04C280}"/>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48" xr:uid="{0F357F1A-8889-4C7E-B800-3BC89A4DF9C3}"/>
    <cellStyle name="20% - Accent6 3 3 2 3" xfId="11330" xr:uid="{B54C9167-28FA-4DAA-86AD-3A679E3975A8}"/>
    <cellStyle name="20% - Accent6 3 3 3" xfId="4964" xr:uid="{00000000-0005-0000-0000-00008A030000}"/>
    <cellStyle name="20% - Accent6 3 3 3 2" xfId="13403" xr:uid="{838B46E3-2DC4-4499-98A7-5DAF88A865EB}"/>
    <cellStyle name="20% - Accent6 3 3 4" xfId="9185" xr:uid="{1E6DB8D5-99C0-465F-957F-2F3388BA53A7}"/>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1" xr:uid="{24B2CD73-18F2-4DD8-9961-AE0F2DAB66B3}"/>
    <cellStyle name="20% - Accent6 3 4 2 3" xfId="11743" xr:uid="{44D8EE99-BD14-4FAB-A938-6113928E3ABC}"/>
    <cellStyle name="20% - Accent6 3 4 3" xfId="5377" xr:uid="{00000000-0005-0000-0000-00008E030000}"/>
    <cellStyle name="20% - Accent6 3 4 3 2" xfId="13816" xr:uid="{BDBBB30E-936B-4025-A46A-100F8A4D06AA}"/>
    <cellStyle name="20% - Accent6 3 4 4" xfId="9598" xr:uid="{14147436-2237-4126-9548-8EAAE07AD204}"/>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4" xr:uid="{540E763C-9D5D-49B7-9741-10D858D4A9B7}"/>
    <cellStyle name="20% - Accent6 3 5 2 3" xfId="12156" xr:uid="{09CD8BFE-94F9-4182-B56D-3148BD3B2584}"/>
    <cellStyle name="20% - Accent6 3 5 3" xfId="5790" xr:uid="{00000000-0005-0000-0000-000092030000}"/>
    <cellStyle name="20% - Accent6 3 5 3 2" xfId="14229" xr:uid="{97FE23AC-401F-462F-95C5-6E3266747F5B}"/>
    <cellStyle name="20% - Accent6 3 5 4" xfId="10011" xr:uid="{7433A438-42D3-4EDC-9091-E55FA2602AB2}"/>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87" xr:uid="{F71C4FDD-1C38-4741-8B4D-5E7EF9FB9266}"/>
    <cellStyle name="20% - Accent6 3 6 2 3" xfId="12569" xr:uid="{07DDFE72-5A8F-41DF-A04F-4A980BF47DE9}"/>
    <cellStyle name="20% - Accent6 3 6 3" xfId="6203" xr:uid="{00000000-0005-0000-0000-000096030000}"/>
    <cellStyle name="20% - Accent6 3 6 3 2" xfId="14642" xr:uid="{1B901A61-76EB-4C1A-BBA4-720E852822AE}"/>
    <cellStyle name="20% - Accent6 3 6 4" xfId="10424" xr:uid="{40E91FF6-1070-40E6-A0F6-026D29FC85F0}"/>
    <cellStyle name="20% - Accent6 3 7" xfId="2309" xr:uid="{00000000-0005-0000-0000-000097030000}"/>
    <cellStyle name="20% - Accent6 3 7 2" xfId="6616" xr:uid="{00000000-0005-0000-0000-000098030000}"/>
    <cellStyle name="20% - Accent6 3 7 2 2" xfId="15055" xr:uid="{DE458D66-D9CF-4C59-837E-F1502873037D}"/>
    <cellStyle name="20% - Accent6 3 7 3" xfId="10837" xr:uid="{AA51FEBA-F897-4E7C-9CEA-765D46DDA1E0}"/>
    <cellStyle name="20% - Accent6 3 8" xfId="4550" xr:uid="{00000000-0005-0000-0000-000099030000}"/>
    <cellStyle name="20% - Accent6 3 8 2" xfId="12989" xr:uid="{D1D2D553-F9BA-468F-863B-2CD30DD1E346}"/>
    <cellStyle name="20% - Accent6 3 9" xfId="8771" xr:uid="{4D2695BE-EF66-4041-B514-2AB529F5A8B3}"/>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0" xr:uid="{FF2A5DAC-27E2-432F-9CCE-78C6A145AE1B}"/>
    <cellStyle name="20% - Accent6 4 2 2 3" xfId="11332" xr:uid="{02025EE6-6212-470A-8B60-AABCF2A74A76}"/>
    <cellStyle name="20% - Accent6 4 2 3" xfId="4966" xr:uid="{00000000-0005-0000-0000-00009E030000}"/>
    <cellStyle name="20% - Accent6 4 2 3 2" xfId="13405" xr:uid="{2DFC820E-F45E-4EB8-9554-D4AE83AFEA50}"/>
    <cellStyle name="20% - Accent6 4 2 4" xfId="9187" xr:uid="{46D216B6-5E89-49DE-AF49-68FB13C73273}"/>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3" xr:uid="{8D5A549C-2DDD-4D7A-84A1-D60188653088}"/>
    <cellStyle name="20% - Accent6 4 3 2 3" xfId="11745" xr:uid="{26774B69-BFFD-4735-98E0-EBE8E8A7671A}"/>
    <cellStyle name="20% - Accent6 4 3 3" xfId="5379" xr:uid="{00000000-0005-0000-0000-0000A2030000}"/>
    <cellStyle name="20% - Accent6 4 3 3 2" xfId="13818" xr:uid="{4A308404-E282-407E-AEDF-D9F54C680570}"/>
    <cellStyle name="20% - Accent6 4 3 4" xfId="9600" xr:uid="{427F9494-A1FC-4F9A-A3FE-9ACEE9FDC8D2}"/>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6" xr:uid="{4DBCBC2B-AC28-44A9-8FD4-E9014FB3A1BA}"/>
    <cellStyle name="20% - Accent6 4 4 2 3" xfId="12158" xr:uid="{F782DEE7-E4F3-4CB3-B7CC-CCD81319C4C1}"/>
    <cellStyle name="20% - Accent6 4 4 3" xfId="5792" xr:uid="{00000000-0005-0000-0000-0000A6030000}"/>
    <cellStyle name="20% - Accent6 4 4 3 2" xfId="14231" xr:uid="{C16BB008-07D6-4FFC-BA12-45443F891935}"/>
    <cellStyle name="20% - Accent6 4 4 4" xfId="10013" xr:uid="{A2D673CE-2B63-4DCF-80B7-D1C24F43723D}"/>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89" xr:uid="{14B10E4F-55D5-4234-9046-37273A39F408}"/>
    <cellStyle name="20% - Accent6 4 5 2 3" xfId="12571" xr:uid="{9C71D71D-BC82-4D04-A909-66578EB579D3}"/>
    <cellStyle name="20% - Accent6 4 5 3" xfId="6205" xr:uid="{00000000-0005-0000-0000-0000AA030000}"/>
    <cellStyle name="20% - Accent6 4 5 3 2" xfId="14644" xr:uid="{3482C27E-C638-40CB-9966-785540F15983}"/>
    <cellStyle name="20% - Accent6 4 5 4" xfId="10426" xr:uid="{61F57666-008D-4D2F-829A-5BE4C23FE0F5}"/>
    <cellStyle name="20% - Accent6 4 6" xfId="2311" xr:uid="{00000000-0005-0000-0000-0000AB030000}"/>
    <cellStyle name="20% - Accent6 4 6 2" xfId="6618" xr:uid="{00000000-0005-0000-0000-0000AC030000}"/>
    <cellStyle name="20% - Accent6 4 6 2 2" xfId="15057" xr:uid="{C681FA13-D4E3-4463-8EC0-E487052050F4}"/>
    <cellStyle name="20% - Accent6 4 6 3" xfId="10839" xr:uid="{9E4A91DF-B580-4187-922B-AD9C66B89493}"/>
    <cellStyle name="20% - Accent6 4 7" xfId="4552" xr:uid="{00000000-0005-0000-0000-0000AD030000}"/>
    <cellStyle name="20% - Accent6 4 7 2" xfId="12991" xr:uid="{9EA1A218-0AC2-4DFC-80D8-2ADBE24D8252}"/>
    <cellStyle name="20% - Accent6 4 8" xfId="8773" xr:uid="{EC8B5911-7628-4427-9767-6DD485B9D59C}"/>
    <cellStyle name="20% - Accent6 5" xfId="610" xr:uid="{00000000-0005-0000-0000-0000AE030000}"/>
    <cellStyle name="20% - Accent6 5 2" xfId="2881" xr:uid="{00000000-0005-0000-0000-0000AF030000}"/>
    <cellStyle name="20% - Accent6 5 2 2" xfId="7104" xr:uid="{00000000-0005-0000-0000-0000B0030000}"/>
    <cellStyle name="20% - Accent6 5 2 2 2" xfId="15543" xr:uid="{4219A785-DE1E-4160-9D70-66273762B875}"/>
    <cellStyle name="20% - Accent6 5 2 3" xfId="11325" xr:uid="{099F97C1-AD1D-4075-8DDD-35CAAE58003B}"/>
    <cellStyle name="20% - Accent6 5 3" xfId="4959" xr:uid="{00000000-0005-0000-0000-0000B1030000}"/>
    <cellStyle name="20% - Accent6 5 3 2" xfId="13398" xr:uid="{800708C1-8F32-49CC-88B4-2CB1DBF3C463}"/>
    <cellStyle name="20% - Accent6 5 4" xfId="9180" xr:uid="{6E19E29D-73A8-4F84-BBBC-2439C6165DDB}"/>
    <cellStyle name="20% - Accent6 6" xfId="1063" xr:uid="{00000000-0005-0000-0000-0000B2030000}"/>
    <cellStyle name="20% - Accent6 6 2" xfId="3294" xr:uid="{00000000-0005-0000-0000-0000B3030000}"/>
    <cellStyle name="20% - Accent6 6 2 2" xfId="7517" xr:uid="{00000000-0005-0000-0000-0000B4030000}"/>
    <cellStyle name="20% - Accent6 6 2 2 2" xfId="15956" xr:uid="{CE854D47-D9B4-4900-849F-E1DFE3F3254C}"/>
    <cellStyle name="20% - Accent6 6 2 3" xfId="11738" xr:uid="{812C0432-302C-491D-B58E-2A68B1BB5DDF}"/>
    <cellStyle name="20% - Accent6 6 3" xfId="5372" xr:uid="{00000000-0005-0000-0000-0000B5030000}"/>
    <cellStyle name="20% - Accent6 6 3 2" xfId="13811" xr:uid="{D93FE890-A020-47BD-9549-09E4E97C1781}"/>
    <cellStyle name="20% - Accent6 6 4" xfId="9593" xr:uid="{6EC96CD3-432D-4E3E-B2DE-8192018581B2}"/>
    <cellStyle name="20% - Accent6 7" xfId="1477" xr:uid="{00000000-0005-0000-0000-0000B6030000}"/>
    <cellStyle name="20% - Accent6 7 2" xfId="3707" xr:uid="{00000000-0005-0000-0000-0000B7030000}"/>
    <cellStyle name="20% - Accent6 7 2 2" xfId="7930" xr:uid="{00000000-0005-0000-0000-0000B8030000}"/>
    <cellStyle name="20% - Accent6 7 2 2 2" xfId="16369" xr:uid="{780FAE31-A328-4669-9971-40354B54B43E}"/>
    <cellStyle name="20% - Accent6 7 2 3" xfId="12151" xr:uid="{2EB62D86-5E0B-44DA-A48A-40CA12E502F6}"/>
    <cellStyle name="20% - Accent6 7 3" xfId="5785" xr:uid="{00000000-0005-0000-0000-0000B9030000}"/>
    <cellStyle name="20% - Accent6 7 3 2" xfId="14224" xr:uid="{F5063141-F4F2-44A2-A467-AC7B5E7EBDD1}"/>
    <cellStyle name="20% - Accent6 7 4" xfId="10006" xr:uid="{384F5F83-E666-472D-8C11-A6286DA2295E}"/>
    <cellStyle name="20% - Accent6 8" xfId="1891" xr:uid="{00000000-0005-0000-0000-0000BA030000}"/>
    <cellStyle name="20% - Accent6 8 2" xfId="4120" xr:uid="{00000000-0005-0000-0000-0000BB030000}"/>
    <cellStyle name="20% - Accent6 8 2 2" xfId="8343" xr:uid="{00000000-0005-0000-0000-0000BC030000}"/>
    <cellStyle name="20% - Accent6 8 2 2 2" xfId="16782" xr:uid="{4CA20C31-7185-4E53-9256-113A5432417F}"/>
    <cellStyle name="20% - Accent6 8 2 3" xfId="12564" xr:uid="{DDDF4332-2A79-44DF-8E49-3CA0B0FB379A}"/>
    <cellStyle name="20% - Accent6 8 3" xfId="6198" xr:uid="{00000000-0005-0000-0000-0000BD030000}"/>
    <cellStyle name="20% - Accent6 8 3 2" xfId="14637" xr:uid="{4EF75BCB-B692-49EF-A13E-2D142178FF20}"/>
    <cellStyle name="20% - Accent6 8 4" xfId="10419" xr:uid="{0303491F-CAEC-4925-99CA-5A4086376E8C}"/>
    <cellStyle name="20% - Accent6 9" xfId="2304" xr:uid="{00000000-0005-0000-0000-0000BE030000}"/>
    <cellStyle name="20% - Accent6 9 2" xfId="6611" xr:uid="{00000000-0005-0000-0000-0000BF030000}"/>
    <cellStyle name="20% - Accent6 9 2 2" xfId="15050" xr:uid="{3CC87A4A-8A6E-4A88-AE34-6DA2A6A58620}"/>
    <cellStyle name="20% - Accent6 9 3" xfId="10832" xr:uid="{F0BF6C9E-B234-4710-97CC-DEABF75A4F3F}"/>
    <cellStyle name="40% - Accent1" xfId="49" builtinId="31" customBuiltin="1"/>
    <cellStyle name="40% - Accent1 10" xfId="4553" xr:uid="{00000000-0005-0000-0000-0000C1030000}"/>
    <cellStyle name="40% - Accent1 10 2" xfId="12992" xr:uid="{944182FD-EF82-458B-B60F-3534D7FD8B1B}"/>
    <cellStyle name="40% - Accent1 11" xfId="8774" xr:uid="{5172DAC8-6FED-4953-908C-7AC917F13A95}"/>
    <cellStyle name="40% - Accent1 2" xfId="50" xr:uid="{00000000-0005-0000-0000-0000C2030000}"/>
    <cellStyle name="40% - Accent1 2 10" xfId="8775" xr:uid="{6DCE0C65-C3BC-4E58-82D4-0926DC471F36}"/>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4" xr:uid="{7CD1C2DD-4EDC-490D-A6E5-D156249EC2FC}"/>
    <cellStyle name="40% - Accent1 2 2 2 2 2 3" xfId="11336" xr:uid="{05DBC6F4-0B20-4129-B403-134E11ED2835}"/>
    <cellStyle name="40% - Accent1 2 2 2 2 3" xfId="4970" xr:uid="{00000000-0005-0000-0000-0000C8030000}"/>
    <cellStyle name="40% - Accent1 2 2 2 2 3 2" xfId="13409" xr:uid="{52BE860E-08B5-4671-95E1-8EDEBDC94034}"/>
    <cellStyle name="40% - Accent1 2 2 2 2 4" xfId="9191" xr:uid="{305E95CB-4F51-4CC5-8201-5F5B1D15A53F}"/>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67" xr:uid="{F93D701F-706E-4E12-847B-250A3C236B0E}"/>
    <cellStyle name="40% - Accent1 2 2 2 3 2 3" xfId="11749" xr:uid="{411E3456-997E-444F-ACC3-E88C96F074A2}"/>
    <cellStyle name="40% - Accent1 2 2 2 3 3" xfId="5383" xr:uid="{00000000-0005-0000-0000-0000CC030000}"/>
    <cellStyle name="40% - Accent1 2 2 2 3 3 2" xfId="13822" xr:uid="{BCD0BB98-3E5A-4D5D-BA3C-1A7F626EB6D2}"/>
    <cellStyle name="40% - Accent1 2 2 2 3 4" xfId="9604" xr:uid="{9EA96BF7-6AF7-4168-B2A3-4111548B35E2}"/>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0" xr:uid="{B699BB14-C9A4-43EA-97B7-A8455E0DD840}"/>
    <cellStyle name="40% - Accent1 2 2 2 4 2 3" xfId="12162" xr:uid="{6443394F-F360-4840-8657-6A37396A0058}"/>
    <cellStyle name="40% - Accent1 2 2 2 4 3" xfId="5796" xr:uid="{00000000-0005-0000-0000-0000D0030000}"/>
    <cellStyle name="40% - Accent1 2 2 2 4 3 2" xfId="14235" xr:uid="{E8BF9534-FC5C-4582-B788-BA7C79840AD5}"/>
    <cellStyle name="40% - Accent1 2 2 2 4 4" xfId="10017" xr:uid="{3F04AFA3-F8A0-43F1-A37F-49C58958FA49}"/>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3" xr:uid="{8BA8C82D-81D3-4466-896B-0263B8D1AED4}"/>
    <cellStyle name="40% - Accent1 2 2 2 5 2 3" xfId="12575" xr:uid="{9BE13B16-E6E2-4B10-B5DB-92A5E882D902}"/>
    <cellStyle name="40% - Accent1 2 2 2 5 3" xfId="6209" xr:uid="{00000000-0005-0000-0000-0000D4030000}"/>
    <cellStyle name="40% - Accent1 2 2 2 5 3 2" xfId="14648" xr:uid="{EEFFC5BF-0590-4F5E-BE8B-05CCBDFB7474}"/>
    <cellStyle name="40% - Accent1 2 2 2 5 4" xfId="10430" xr:uid="{204D4E35-D719-481C-B146-D138113ABEE1}"/>
    <cellStyle name="40% - Accent1 2 2 2 6" xfId="2315" xr:uid="{00000000-0005-0000-0000-0000D5030000}"/>
    <cellStyle name="40% - Accent1 2 2 2 6 2" xfId="6622" xr:uid="{00000000-0005-0000-0000-0000D6030000}"/>
    <cellStyle name="40% - Accent1 2 2 2 6 2 2" xfId="15061" xr:uid="{EEC30A15-3B59-47B9-BCA5-4245EC4ABDBC}"/>
    <cellStyle name="40% - Accent1 2 2 2 6 3" xfId="10843" xr:uid="{74C370FA-D899-4DEB-89C3-5B87B0025995}"/>
    <cellStyle name="40% - Accent1 2 2 2 7" xfId="4556" xr:uid="{00000000-0005-0000-0000-0000D7030000}"/>
    <cellStyle name="40% - Accent1 2 2 2 7 2" xfId="12995" xr:uid="{F242521D-E355-44B8-9F64-E92E10265F88}"/>
    <cellStyle name="40% - Accent1 2 2 2 8" xfId="8777" xr:uid="{D80FC3E8-8235-4E0F-AF34-35F601218252}"/>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3" xr:uid="{5FAD2513-42B4-4EE9-B745-A3A1DC477B4A}"/>
    <cellStyle name="40% - Accent1 2 2 3 2 3" xfId="11335" xr:uid="{39EF31DB-9FE4-42DE-A4B5-0F9A9E0AC954}"/>
    <cellStyle name="40% - Accent1 2 2 3 3" xfId="4969" xr:uid="{00000000-0005-0000-0000-0000DB030000}"/>
    <cellStyle name="40% - Accent1 2 2 3 3 2" xfId="13408" xr:uid="{683F5A39-2F70-4FAE-8C0E-C7D90891B605}"/>
    <cellStyle name="40% - Accent1 2 2 3 4" xfId="9190" xr:uid="{D25F5918-3F5D-4C4B-89CB-281BF4C9E30A}"/>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6" xr:uid="{924F72E7-5670-4D2E-BCD0-5DECE2E89402}"/>
    <cellStyle name="40% - Accent1 2 2 4 2 3" xfId="11748" xr:uid="{C989F8C8-A144-4B8F-BA0B-0B25CC7BE691}"/>
    <cellStyle name="40% - Accent1 2 2 4 3" xfId="5382" xr:uid="{00000000-0005-0000-0000-0000DF030000}"/>
    <cellStyle name="40% - Accent1 2 2 4 3 2" xfId="13821" xr:uid="{A2A43513-DE71-4129-AA95-E5C74B4F8A08}"/>
    <cellStyle name="40% - Accent1 2 2 4 4" xfId="9603" xr:uid="{E9FEF4CB-109F-4D96-8682-7B069FC8F0B9}"/>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79" xr:uid="{7D46ADDF-D65A-4C29-9DA1-1AF38999AFFC}"/>
    <cellStyle name="40% - Accent1 2 2 5 2 3" xfId="12161" xr:uid="{C2D68B07-24DF-4420-A7A1-2776ABB4E632}"/>
    <cellStyle name="40% - Accent1 2 2 5 3" xfId="5795" xr:uid="{00000000-0005-0000-0000-0000E3030000}"/>
    <cellStyle name="40% - Accent1 2 2 5 3 2" xfId="14234" xr:uid="{9832755A-05AD-4977-B0CF-540480B0E3BF}"/>
    <cellStyle name="40% - Accent1 2 2 5 4" xfId="10016" xr:uid="{7D5D160C-32BE-4228-B1B4-D0305EC36B80}"/>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2" xr:uid="{D25A8143-3F73-4743-9DEC-9B68BC258A34}"/>
    <cellStyle name="40% - Accent1 2 2 6 2 3" xfId="12574" xr:uid="{3608969E-45A2-40D8-870A-A7BD131EAA4D}"/>
    <cellStyle name="40% - Accent1 2 2 6 3" xfId="6208" xr:uid="{00000000-0005-0000-0000-0000E7030000}"/>
    <cellStyle name="40% - Accent1 2 2 6 3 2" xfId="14647" xr:uid="{C218773F-E0BA-4497-AEDA-5AB2A37BBA47}"/>
    <cellStyle name="40% - Accent1 2 2 6 4" xfId="10429" xr:uid="{7400BE74-EB7C-42C6-BA29-F882726654E4}"/>
    <cellStyle name="40% - Accent1 2 2 7" xfId="2314" xr:uid="{00000000-0005-0000-0000-0000E8030000}"/>
    <cellStyle name="40% - Accent1 2 2 7 2" xfId="6621" xr:uid="{00000000-0005-0000-0000-0000E9030000}"/>
    <cellStyle name="40% - Accent1 2 2 7 2 2" xfId="15060" xr:uid="{2A8381B1-DC07-4778-8DA7-6F17E64798A3}"/>
    <cellStyle name="40% - Accent1 2 2 7 3" xfId="10842" xr:uid="{E0332874-A660-4B6A-9A86-BD83AC25D624}"/>
    <cellStyle name="40% - Accent1 2 2 8" xfId="4555" xr:uid="{00000000-0005-0000-0000-0000EA030000}"/>
    <cellStyle name="40% - Accent1 2 2 8 2" xfId="12994" xr:uid="{0D553360-2535-443C-8F4E-108441D95EA2}"/>
    <cellStyle name="40% - Accent1 2 2 9" xfId="8776" xr:uid="{0E92E52B-47F6-4F5F-A2DF-B08E88C5658F}"/>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5" xr:uid="{34E163C7-91B4-485E-BEA4-F711C4436F84}"/>
    <cellStyle name="40% - Accent1 2 3 2 2 3" xfId="11337" xr:uid="{75F0E7A2-4E9D-463D-B664-333CEA75D6B5}"/>
    <cellStyle name="40% - Accent1 2 3 2 3" xfId="4971" xr:uid="{00000000-0005-0000-0000-0000EF030000}"/>
    <cellStyle name="40% - Accent1 2 3 2 3 2" xfId="13410" xr:uid="{5DE6CBD6-0894-48EB-A0EB-BEF7120A8203}"/>
    <cellStyle name="40% - Accent1 2 3 2 4" xfId="9192" xr:uid="{B6F40851-8E08-4CA6-AC3D-128A4B8F957F}"/>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68" xr:uid="{A32572E5-2D48-4CE7-9940-3810090E160F}"/>
    <cellStyle name="40% - Accent1 2 3 3 2 3" xfId="11750" xr:uid="{0E58D6B6-0905-4F0B-9B6F-512C89FD4790}"/>
    <cellStyle name="40% - Accent1 2 3 3 3" xfId="5384" xr:uid="{00000000-0005-0000-0000-0000F3030000}"/>
    <cellStyle name="40% - Accent1 2 3 3 3 2" xfId="13823" xr:uid="{4498234F-AB60-41A0-9C53-347A26B73FEF}"/>
    <cellStyle name="40% - Accent1 2 3 3 4" xfId="9605" xr:uid="{8FF67AF9-61E2-472A-9657-80ED8C348D1D}"/>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1" xr:uid="{E119C8ED-502D-4D5D-B4E6-5AFD521A8607}"/>
    <cellStyle name="40% - Accent1 2 3 4 2 3" xfId="12163" xr:uid="{B174743A-A78A-440A-8B99-CE906CFF5A43}"/>
    <cellStyle name="40% - Accent1 2 3 4 3" xfId="5797" xr:uid="{00000000-0005-0000-0000-0000F7030000}"/>
    <cellStyle name="40% - Accent1 2 3 4 3 2" xfId="14236" xr:uid="{676BFA79-7C51-4B3D-BA67-83CA4A8B2711}"/>
    <cellStyle name="40% - Accent1 2 3 4 4" xfId="10018" xr:uid="{F1F0AA6D-5D7E-408D-A028-8A43E754D0D5}"/>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4" xr:uid="{754A3E26-EDCB-43C4-9789-3AE6C57B638E}"/>
    <cellStyle name="40% - Accent1 2 3 5 2 3" xfId="12576" xr:uid="{2E27A5A0-240E-4AA9-9DEC-EA92AC34A39C}"/>
    <cellStyle name="40% - Accent1 2 3 5 3" xfId="6210" xr:uid="{00000000-0005-0000-0000-0000FB030000}"/>
    <cellStyle name="40% - Accent1 2 3 5 3 2" xfId="14649" xr:uid="{D3A76E27-A7EA-42A0-9858-7F96D0D9541A}"/>
    <cellStyle name="40% - Accent1 2 3 5 4" xfId="10431" xr:uid="{57951B10-2620-40C9-804C-076D2E943296}"/>
    <cellStyle name="40% - Accent1 2 3 6" xfId="2316" xr:uid="{00000000-0005-0000-0000-0000FC030000}"/>
    <cellStyle name="40% - Accent1 2 3 6 2" xfId="6623" xr:uid="{00000000-0005-0000-0000-0000FD030000}"/>
    <cellStyle name="40% - Accent1 2 3 6 2 2" xfId="15062" xr:uid="{91F70076-C7A5-4CC3-9BC2-3F049C06F4AC}"/>
    <cellStyle name="40% - Accent1 2 3 6 3" xfId="10844" xr:uid="{15B43649-56D2-472C-B34A-E5CCA5A573C0}"/>
    <cellStyle name="40% - Accent1 2 3 7" xfId="4557" xr:uid="{00000000-0005-0000-0000-0000FE030000}"/>
    <cellStyle name="40% - Accent1 2 3 7 2" xfId="12996" xr:uid="{2CBC4E45-E3A0-46BC-B735-7C78B24B7744}"/>
    <cellStyle name="40% - Accent1 2 3 8" xfId="8778" xr:uid="{42855E00-C261-44AD-83D6-03DC710CFCF4}"/>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2" xr:uid="{293F39D1-2F03-4ACF-98D5-C6C7238404C0}"/>
    <cellStyle name="40% - Accent1 2 4 2 3" xfId="11334" xr:uid="{559240B4-36FD-4720-B50D-985D586555FB}"/>
    <cellStyle name="40% - Accent1 2 4 3" xfId="4968" xr:uid="{00000000-0005-0000-0000-000002040000}"/>
    <cellStyle name="40% - Accent1 2 4 3 2" xfId="13407" xr:uid="{8ED1557A-6D64-4D2F-BD8F-F611CF933739}"/>
    <cellStyle name="40% - Accent1 2 4 4" xfId="9189" xr:uid="{C0F8618F-BCAA-423C-BC94-0BBC5DBE15E7}"/>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5" xr:uid="{B5DB00E9-D616-4F95-80CD-4C2D4DCFDC6C}"/>
    <cellStyle name="40% - Accent1 2 5 2 3" xfId="11747" xr:uid="{4FDB643E-E392-49BF-ACE5-1FFCADEA086E}"/>
    <cellStyle name="40% - Accent1 2 5 3" xfId="5381" xr:uid="{00000000-0005-0000-0000-000006040000}"/>
    <cellStyle name="40% - Accent1 2 5 3 2" xfId="13820" xr:uid="{1A2D37A6-08D0-49D1-8B91-1B318376F45E}"/>
    <cellStyle name="40% - Accent1 2 5 4" xfId="9602" xr:uid="{E6156929-AF3D-419B-93F7-992230599DB5}"/>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78" xr:uid="{54E3CE07-BAA2-4F73-8C85-372B8D10C162}"/>
    <cellStyle name="40% - Accent1 2 6 2 3" xfId="12160" xr:uid="{9B21EAEE-3060-4914-9DD6-2803A9C3F22E}"/>
    <cellStyle name="40% - Accent1 2 6 3" xfId="5794" xr:uid="{00000000-0005-0000-0000-00000A040000}"/>
    <cellStyle name="40% - Accent1 2 6 3 2" xfId="14233" xr:uid="{FEBBBB6F-1883-440F-9AD3-758FE0C7ACA9}"/>
    <cellStyle name="40% - Accent1 2 6 4" xfId="10015" xr:uid="{AFF38AE5-272E-473E-ADDA-825588093F61}"/>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1" xr:uid="{5153AFED-F1FC-4480-8AA2-2B40E3588795}"/>
    <cellStyle name="40% - Accent1 2 7 2 3" xfId="12573" xr:uid="{A149305C-330F-464F-AD2E-84EE40CEE07F}"/>
    <cellStyle name="40% - Accent1 2 7 3" xfId="6207" xr:uid="{00000000-0005-0000-0000-00000E040000}"/>
    <cellStyle name="40% - Accent1 2 7 3 2" xfId="14646" xr:uid="{56D5F487-3C74-406E-8C1D-D55502AEE9C0}"/>
    <cellStyle name="40% - Accent1 2 7 4" xfId="10428" xr:uid="{F5F9A750-D4D1-4C31-85F2-CEBADCDF2903}"/>
    <cellStyle name="40% - Accent1 2 8" xfId="2313" xr:uid="{00000000-0005-0000-0000-00000F040000}"/>
    <cellStyle name="40% - Accent1 2 8 2" xfId="6620" xr:uid="{00000000-0005-0000-0000-000010040000}"/>
    <cellStyle name="40% - Accent1 2 8 2 2" xfId="15059" xr:uid="{1D1CBCF8-EE94-415A-BF65-B31BA37A2A6F}"/>
    <cellStyle name="40% - Accent1 2 8 3" xfId="10841" xr:uid="{A3981BE2-2CF1-4293-A7FB-C2F655FD6236}"/>
    <cellStyle name="40% - Accent1 2 9" xfId="4554" xr:uid="{00000000-0005-0000-0000-000011040000}"/>
    <cellStyle name="40% - Accent1 2 9 2" xfId="12993" xr:uid="{2F22364A-DFA7-42EF-AF81-29F87E07940D}"/>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57" xr:uid="{2C223AF8-D179-4F7F-9233-15248B683B33}"/>
    <cellStyle name="40% - Accent1 3 2 2 2 3" xfId="11339" xr:uid="{3E324AD6-8BCC-4CFA-9054-97D6A14F1FE7}"/>
    <cellStyle name="40% - Accent1 3 2 2 3" xfId="4973" xr:uid="{00000000-0005-0000-0000-000017040000}"/>
    <cellStyle name="40% - Accent1 3 2 2 3 2" xfId="13412" xr:uid="{AA716D69-1B91-4CB9-9290-6D7B620A8F08}"/>
    <cellStyle name="40% - Accent1 3 2 2 4" xfId="9194" xr:uid="{0B5A1F71-2FCD-45E5-9E92-9184554DCB7C}"/>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0" xr:uid="{B8294125-8375-4210-B953-A12532320083}"/>
    <cellStyle name="40% - Accent1 3 2 3 2 3" xfId="11752" xr:uid="{F11317A1-731B-4605-A69F-51E1DAD9ABCF}"/>
    <cellStyle name="40% - Accent1 3 2 3 3" xfId="5386" xr:uid="{00000000-0005-0000-0000-00001B040000}"/>
    <cellStyle name="40% - Accent1 3 2 3 3 2" xfId="13825" xr:uid="{C1B4C686-58EF-4493-8460-D73731CAA277}"/>
    <cellStyle name="40% - Accent1 3 2 3 4" xfId="9607" xr:uid="{E1A2625D-692D-4F70-9DFE-E5B051965D2C}"/>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3" xr:uid="{DA3FC283-35CC-4142-8B8D-46A609BE020F}"/>
    <cellStyle name="40% - Accent1 3 2 4 2 3" xfId="12165" xr:uid="{1460EA55-BF0F-4AB2-9777-A3F62576BEA2}"/>
    <cellStyle name="40% - Accent1 3 2 4 3" xfId="5799" xr:uid="{00000000-0005-0000-0000-00001F040000}"/>
    <cellStyle name="40% - Accent1 3 2 4 3 2" xfId="14238" xr:uid="{675E3564-5C4A-4ECD-82DB-5A823CE3804D}"/>
    <cellStyle name="40% - Accent1 3 2 4 4" xfId="10020" xr:uid="{6AC8C0F1-A743-4266-A138-63DD0ECFA9FD}"/>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6" xr:uid="{3709B991-4303-44AC-AF68-063103E6F642}"/>
    <cellStyle name="40% - Accent1 3 2 5 2 3" xfId="12578" xr:uid="{CA4FC0B0-DCC1-4092-81CD-B4D14CA39957}"/>
    <cellStyle name="40% - Accent1 3 2 5 3" xfId="6212" xr:uid="{00000000-0005-0000-0000-000023040000}"/>
    <cellStyle name="40% - Accent1 3 2 5 3 2" xfId="14651" xr:uid="{8D49700F-9782-4EB5-B55E-B98FD657D659}"/>
    <cellStyle name="40% - Accent1 3 2 5 4" xfId="10433" xr:uid="{3E8AC782-D94C-4A9C-A197-D6FF8D7E1C8A}"/>
    <cellStyle name="40% - Accent1 3 2 6" xfId="2318" xr:uid="{00000000-0005-0000-0000-000024040000}"/>
    <cellStyle name="40% - Accent1 3 2 6 2" xfId="6625" xr:uid="{00000000-0005-0000-0000-000025040000}"/>
    <cellStyle name="40% - Accent1 3 2 6 2 2" xfId="15064" xr:uid="{16FD7551-1EE9-4AF3-9DBD-5169E2981868}"/>
    <cellStyle name="40% - Accent1 3 2 6 3" xfId="10846" xr:uid="{364ED41C-F1B0-4E62-BCD5-D5CD0171176E}"/>
    <cellStyle name="40% - Accent1 3 2 7" xfId="4559" xr:uid="{00000000-0005-0000-0000-000026040000}"/>
    <cellStyle name="40% - Accent1 3 2 7 2" xfId="12998" xr:uid="{52561A2D-B0C0-4443-B0A1-E59D999B80F4}"/>
    <cellStyle name="40% - Accent1 3 2 8" xfId="8780" xr:uid="{C3DF5D02-B5D1-4E00-957F-CC6C8116DBB4}"/>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6" xr:uid="{A09111DA-24FA-465B-9950-E9CB764FC784}"/>
    <cellStyle name="40% - Accent1 3 3 2 3" xfId="11338" xr:uid="{5AC0645E-9761-44A2-BBA5-6384B6948307}"/>
    <cellStyle name="40% - Accent1 3 3 3" xfId="4972" xr:uid="{00000000-0005-0000-0000-00002A040000}"/>
    <cellStyle name="40% - Accent1 3 3 3 2" xfId="13411" xr:uid="{6CC97BE7-7B2E-4EB3-84B5-B21BD83ED455}"/>
    <cellStyle name="40% - Accent1 3 3 4" xfId="9193" xr:uid="{B19D3F33-F324-406F-88F8-337FF9772F5B}"/>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69" xr:uid="{C0371821-503C-4756-8712-2C5B4C9C3C5B}"/>
    <cellStyle name="40% - Accent1 3 4 2 3" xfId="11751" xr:uid="{EF22CC8D-6E9D-4F0A-BF3A-BF9A5C9A0A63}"/>
    <cellStyle name="40% - Accent1 3 4 3" xfId="5385" xr:uid="{00000000-0005-0000-0000-00002E040000}"/>
    <cellStyle name="40% - Accent1 3 4 3 2" xfId="13824" xr:uid="{9186C6D5-2A0A-4F8B-9DFB-90CDF92CE2B9}"/>
    <cellStyle name="40% - Accent1 3 4 4" xfId="9606" xr:uid="{B472B8F3-9C02-456E-AC9B-A41E948FC8DB}"/>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2" xr:uid="{4F5C1B13-5F2E-45E2-A543-6E120159496E}"/>
    <cellStyle name="40% - Accent1 3 5 2 3" xfId="12164" xr:uid="{113EFB30-55DC-4097-8703-AE141BDCD3C2}"/>
    <cellStyle name="40% - Accent1 3 5 3" xfId="5798" xr:uid="{00000000-0005-0000-0000-000032040000}"/>
    <cellStyle name="40% - Accent1 3 5 3 2" xfId="14237" xr:uid="{8556DB83-840C-495C-940F-5F3E6226D705}"/>
    <cellStyle name="40% - Accent1 3 5 4" xfId="10019" xr:uid="{24037DF3-9B2D-4A15-A3A8-E104F3ADF497}"/>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5" xr:uid="{9F7A9F87-FA40-4F7D-9002-78AD2238BE62}"/>
    <cellStyle name="40% - Accent1 3 6 2 3" xfId="12577" xr:uid="{0D7FB6E8-98F4-4878-B371-EFF38376D495}"/>
    <cellStyle name="40% - Accent1 3 6 3" xfId="6211" xr:uid="{00000000-0005-0000-0000-000036040000}"/>
    <cellStyle name="40% - Accent1 3 6 3 2" xfId="14650" xr:uid="{037F6C58-4D59-41CD-B5B3-32A1522EC9FB}"/>
    <cellStyle name="40% - Accent1 3 6 4" xfId="10432" xr:uid="{EDCD0F58-2AFA-49A4-86E4-562485D54914}"/>
    <cellStyle name="40% - Accent1 3 7" xfId="2317" xr:uid="{00000000-0005-0000-0000-000037040000}"/>
    <cellStyle name="40% - Accent1 3 7 2" xfId="6624" xr:uid="{00000000-0005-0000-0000-000038040000}"/>
    <cellStyle name="40% - Accent1 3 7 2 2" xfId="15063" xr:uid="{B584BB32-6319-4E77-B15A-EE7606583EFD}"/>
    <cellStyle name="40% - Accent1 3 7 3" xfId="10845" xr:uid="{7C628C1E-A83A-4DCA-8B62-4DC3775CD627}"/>
    <cellStyle name="40% - Accent1 3 8" xfId="4558" xr:uid="{00000000-0005-0000-0000-000039040000}"/>
    <cellStyle name="40% - Accent1 3 8 2" xfId="12997" xr:uid="{F31B6B9D-C7B2-4FC9-BAAB-CBB504B568B4}"/>
    <cellStyle name="40% - Accent1 3 9" xfId="8779" xr:uid="{6C67137A-A0A8-4A87-A661-7B4D53660928}"/>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58" xr:uid="{F52C057E-ACFD-4033-9D73-E0359DB97170}"/>
    <cellStyle name="40% - Accent1 4 2 2 3" xfId="11340" xr:uid="{21B14B9B-8ABC-4A90-A427-3E1710BC387E}"/>
    <cellStyle name="40% - Accent1 4 2 3" xfId="4974" xr:uid="{00000000-0005-0000-0000-00003E040000}"/>
    <cellStyle name="40% - Accent1 4 2 3 2" xfId="13413" xr:uid="{443B033B-A6B3-4CC5-B47E-EED7BEACEA55}"/>
    <cellStyle name="40% - Accent1 4 2 4" xfId="9195" xr:uid="{7195AFD1-BC72-4CF5-BE87-771E7FD18327}"/>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1" xr:uid="{D544906C-F8B6-45D0-B271-38D07A552B3B}"/>
    <cellStyle name="40% - Accent1 4 3 2 3" xfId="11753" xr:uid="{D96546FD-F701-4509-BED0-422AF867F4F9}"/>
    <cellStyle name="40% - Accent1 4 3 3" xfId="5387" xr:uid="{00000000-0005-0000-0000-000042040000}"/>
    <cellStyle name="40% - Accent1 4 3 3 2" xfId="13826" xr:uid="{B6E7B35A-4801-49FC-8012-57A103E8EDB3}"/>
    <cellStyle name="40% - Accent1 4 3 4" xfId="9608" xr:uid="{89BADEB7-312F-40B7-8454-B2E1E5ABC8C0}"/>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4" xr:uid="{FD423EF5-E195-461D-87BE-6A3CB86EBABD}"/>
    <cellStyle name="40% - Accent1 4 4 2 3" xfId="12166" xr:uid="{99A78D1B-2BF9-4D82-A447-9D24FB0DAFBD}"/>
    <cellStyle name="40% - Accent1 4 4 3" xfId="5800" xr:uid="{00000000-0005-0000-0000-000046040000}"/>
    <cellStyle name="40% - Accent1 4 4 3 2" xfId="14239" xr:uid="{587B87BE-7D0A-483F-BE0C-728B412B9685}"/>
    <cellStyle name="40% - Accent1 4 4 4" xfId="10021" xr:uid="{7FA56F0C-BDE8-4768-B2E2-7B72F036F1E0}"/>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797" xr:uid="{FC89914B-31CF-441A-8696-C318F35CFC17}"/>
    <cellStyle name="40% - Accent1 4 5 2 3" xfId="12579" xr:uid="{5E45A022-CACC-4C1A-B6EA-8721DAE9E0C5}"/>
    <cellStyle name="40% - Accent1 4 5 3" xfId="6213" xr:uid="{00000000-0005-0000-0000-00004A040000}"/>
    <cellStyle name="40% - Accent1 4 5 3 2" xfId="14652" xr:uid="{E70E03C9-D76B-4BB1-B7BB-03917FAF7E2A}"/>
    <cellStyle name="40% - Accent1 4 5 4" xfId="10434" xr:uid="{FD2E3B35-13B5-48C3-80D3-D79C19A6AB2A}"/>
    <cellStyle name="40% - Accent1 4 6" xfId="2319" xr:uid="{00000000-0005-0000-0000-00004B040000}"/>
    <cellStyle name="40% - Accent1 4 6 2" xfId="6626" xr:uid="{00000000-0005-0000-0000-00004C040000}"/>
    <cellStyle name="40% - Accent1 4 6 2 2" xfId="15065" xr:uid="{78510DE3-59F3-4DFD-BE13-DF3A7E839440}"/>
    <cellStyle name="40% - Accent1 4 6 3" xfId="10847" xr:uid="{0C1663A8-BBF1-422C-B869-C744CFDE4C32}"/>
    <cellStyle name="40% - Accent1 4 7" xfId="4560" xr:uid="{00000000-0005-0000-0000-00004D040000}"/>
    <cellStyle name="40% - Accent1 4 7 2" xfId="12999" xr:uid="{A6B34F47-2F99-4DF1-AE48-317A9A369D5B}"/>
    <cellStyle name="40% - Accent1 4 8" xfId="8781" xr:uid="{6F8DDD6A-BCD3-4175-8FE5-93293BA5A90A}"/>
    <cellStyle name="40% - Accent1 5" xfId="618" xr:uid="{00000000-0005-0000-0000-00004E040000}"/>
    <cellStyle name="40% - Accent1 5 2" xfId="2889" xr:uid="{00000000-0005-0000-0000-00004F040000}"/>
    <cellStyle name="40% - Accent1 5 2 2" xfId="7112" xr:uid="{00000000-0005-0000-0000-000050040000}"/>
    <cellStyle name="40% - Accent1 5 2 2 2" xfId="15551" xr:uid="{F037958A-3D22-482C-AF00-CCFBDFE1B0FA}"/>
    <cellStyle name="40% - Accent1 5 2 3" xfId="11333" xr:uid="{56734EE6-A28F-4E94-8F89-073951D58C05}"/>
    <cellStyle name="40% - Accent1 5 3" xfId="4967" xr:uid="{00000000-0005-0000-0000-000051040000}"/>
    <cellStyle name="40% - Accent1 5 3 2" xfId="13406" xr:uid="{72D7E51E-C360-4F18-B4D3-E856208FA5ED}"/>
    <cellStyle name="40% - Accent1 5 4" xfId="9188" xr:uid="{AF6516C3-B6AE-44FF-8EA4-EE86BCA3CA82}"/>
    <cellStyle name="40% - Accent1 6" xfId="1071" xr:uid="{00000000-0005-0000-0000-000052040000}"/>
    <cellStyle name="40% - Accent1 6 2" xfId="3302" xr:uid="{00000000-0005-0000-0000-000053040000}"/>
    <cellStyle name="40% - Accent1 6 2 2" xfId="7525" xr:uid="{00000000-0005-0000-0000-000054040000}"/>
    <cellStyle name="40% - Accent1 6 2 2 2" xfId="15964" xr:uid="{F2C32728-003D-4DD6-958E-B158C5C40044}"/>
    <cellStyle name="40% - Accent1 6 2 3" xfId="11746" xr:uid="{620AF31B-8C39-4F30-A2B6-1A3FE1971EB3}"/>
    <cellStyle name="40% - Accent1 6 3" xfId="5380" xr:uid="{00000000-0005-0000-0000-000055040000}"/>
    <cellStyle name="40% - Accent1 6 3 2" xfId="13819" xr:uid="{18730AE1-3EA0-44CA-8847-5DA684F3E5D6}"/>
    <cellStyle name="40% - Accent1 6 4" xfId="9601" xr:uid="{95900903-930D-462A-9E05-E9A3BE37005B}"/>
    <cellStyle name="40% - Accent1 7" xfId="1485" xr:uid="{00000000-0005-0000-0000-000056040000}"/>
    <cellStyle name="40% - Accent1 7 2" xfId="3715" xr:uid="{00000000-0005-0000-0000-000057040000}"/>
    <cellStyle name="40% - Accent1 7 2 2" xfId="7938" xr:uid="{00000000-0005-0000-0000-000058040000}"/>
    <cellStyle name="40% - Accent1 7 2 2 2" xfId="16377" xr:uid="{281D8084-8572-464C-98AF-056B6FBB94D5}"/>
    <cellStyle name="40% - Accent1 7 2 3" xfId="12159" xr:uid="{B232B984-BB40-41B0-8E39-28CC24F36190}"/>
    <cellStyle name="40% - Accent1 7 3" xfId="5793" xr:uid="{00000000-0005-0000-0000-000059040000}"/>
    <cellStyle name="40% - Accent1 7 3 2" xfId="14232" xr:uid="{83CCFA75-3797-4384-806E-80E4F504605A}"/>
    <cellStyle name="40% - Accent1 7 4" xfId="10014" xr:uid="{B8B049F1-4C54-45AD-93B2-AA1E6F48FAE0}"/>
    <cellStyle name="40% - Accent1 8" xfId="1899" xr:uid="{00000000-0005-0000-0000-00005A040000}"/>
    <cellStyle name="40% - Accent1 8 2" xfId="4128" xr:uid="{00000000-0005-0000-0000-00005B040000}"/>
    <cellStyle name="40% - Accent1 8 2 2" xfId="8351" xr:uid="{00000000-0005-0000-0000-00005C040000}"/>
    <cellStyle name="40% - Accent1 8 2 2 2" xfId="16790" xr:uid="{C57F87DC-961E-4C97-8820-B417715A5D4D}"/>
    <cellStyle name="40% - Accent1 8 2 3" xfId="12572" xr:uid="{1970E94C-28F9-4AD0-8835-2332D94B52EC}"/>
    <cellStyle name="40% - Accent1 8 3" xfId="6206" xr:uid="{00000000-0005-0000-0000-00005D040000}"/>
    <cellStyle name="40% - Accent1 8 3 2" xfId="14645" xr:uid="{4F3C7061-D054-4E08-B94D-F27BBD2FA0BE}"/>
    <cellStyle name="40% - Accent1 8 4" xfId="10427" xr:uid="{A8C64985-DC67-4299-9D12-2B8D57201F12}"/>
    <cellStyle name="40% - Accent1 9" xfId="2312" xr:uid="{00000000-0005-0000-0000-00005E040000}"/>
    <cellStyle name="40% - Accent1 9 2" xfId="6619" xr:uid="{00000000-0005-0000-0000-00005F040000}"/>
    <cellStyle name="40% - Accent1 9 2 2" xfId="15058" xr:uid="{631AEA2D-4B08-43A8-B7B0-55654EFCFA50}"/>
    <cellStyle name="40% - Accent1 9 3" xfId="10840" xr:uid="{87B8809D-801E-420B-A425-BE9CF1B2C435}"/>
    <cellStyle name="40% - Accent2" xfId="57" builtinId="35" customBuiltin="1"/>
    <cellStyle name="40% - Accent2 10" xfId="4561" xr:uid="{00000000-0005-0000-0000-000061040000}"/>
    <cellStyle name="40% - Accent2 10 2" xfId="13000" xr:uid="{847803D9-9262-4CB1-8492-ED81C2A002D1}"/>
    <cellStyle name="40% - Accent2 11" xfId="8782" xr:uid="{6304F41C-28E2-4698-89CC-FD8A319F96D7}"/>
    <cellStyle name="40% - Accent2 2" xfId="58" xr:uid="{00000000-0005-0000-0000-000062040000}"/>
    <cellStyle name="40% - Accent2 2 10" xfId="8783" xr:uid="{1B6A6E55-95A6-4E6B-BFD6-9FDAB7EA4047}"/>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2" xr:uid="{8263BCB2-EB4F-45D6-96DE-F3E841AFF056}"/>
    <cellStyle name="40% - Accent2 2 2 2 2 2 3" xfId="11344" xr:uid="{840EECFE-BD0B-4E4F-A832-961972D6A786}"/>
    <cellStyle name="40% - Accent2 2 2 2 2 3" xfId="4978" xr:uid="{00000000-0005-0000-0000-000068040000}"/>
    <cellStyle name="40% - Accent2 2 2 2 2 3 2" xfId="13417" xr:uid="{05BAA899-F367-4733-BA13-E05B55C79644}"/>
    <cellStyle name="40% - Accent2 2 2 2 2 4" xfId="9199" xr:uid="{3E63FD57-5B4F-406A-A2C4-1258BC2F6DA8}"/>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5" xr:uid="{D0F1CED4-F277-40EB-9B4C-D35F841900AA}"/>
    <cellStyle name="40% - Accent2 2 2 2 3 2 3" xfId="11757" xr:uid="{E0BEFF6C-E884-4068-A937-F23F3CCBFB14}"/>
    <cellStyle name="40% - Accent2 2 2 2 3 3" xfId="5391" xr:uid="{00000000-0005-0000-0000-00006C040000}"/>
    <cellStyle name="40% - Accent2 2 2 2 3 3 2" xfId="13830" xr:uid="{F5D5876E-61AD-43AE-B8A0-3372EB2031DA}"/>
    <cellStyle name="40% - Accent2 2 2 2 3 4" xfId="9612" xr:uid="{6EEC07C9-182E-4EBB-A3D1-AD21B622B01E}"/>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88" xr:uid="{7DC86392-FD1E-4887-AA7F-60E9EBB63769}"/>
    <cellStyle name="40% - Accent2 2 2 2 4 2 3" xfId="12170" xr:uid="{63206C45-9E55-4A51-A721-139D1512E0F6}"/>
    <cellStyle name="40% - Accent2 2 2 2 4 3" xfId="5804" xr:uid="{00000000-0005-0000-0000-000070040000}"/>
    <cellStyle name="40% - Accent2 2 2 2 4 3 2" xfId="14243" xr:uid="{8EE2D5CA-263C-4DC3-A458-1721F7208297}"/>
    <cellStyle name="40% - Accent2 2 2 2 4 4" xfId="10025" xr:uid="{48381C5A-1B0B-4F94-8C6C-67B5C073B4B9}"/>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1" xr:uid="{D2D85B30-CB00-4EED-B6BF-6849AA1BEB7D}"/>
    <cellStyle name="40% - Accent2 2 2 2 5 2 3" xfId="12583" xr:uid="{89A04367-022F-445D-9723-88C08D630195}"/>
    <cellStyle name="40% - Accent2 2 2 2 5 3" xfId="6217" xr:uid="{00000000-0005-0000-0000-000074040000}"/>
    <cellStyle name="40% - Accent2 2 2 2 5 3 2" xfId="14656" xr:uid="{41497FE4-27DD-47B6-B732-35B98934A635}"/>
    <cellStyle name="40% - Accent2 2 2 2 5 4" xfId="10438" xr:uid="{FED24A8B-A39D-4498-9B7A-EBA869AAD580}"/>
    <cellStyle name="40% - Accent2 2 2 2 6" xfId="2323" xr:uid="{00000000-0005-0000-0000-000075040000}"/>
    <cellStyle name="40% - Accent2 2 2 2 6 2" xfId="6630" xr:uid="{00000000-0005-0000-0000-000076040000}"/>
    <cellStyle name="40% - Accent2 2 2 2 6 2 2" xfId="15069" xr:uid="{DA2392F6-0B7F-444A-985E-B5249E3F36A5}"/>
    <cellStyle name="40% - Accent2 2 2 2 6 3" xfId="10851" xr:uid="{53332841-EACD-4D39-95F8-0AB6755F2D95}"/>
    <cellStyle name="40% - Accent2 2 2 2 7" xfId="4564" xr:uid="{00000000-0005-0000-0000-000077040000}"/>
    <cellStyle name="40% - Accent2 2 2 2 7 2" xfId="13003" xr:uid="{E2ACDD5E-94E5-40E4-8D53-732694196FAA}"/>
    <cellStyle name="40% - Accent2 2 2 2 8" xfId="8785" xr:uid="{E93A8CBD-250B-4BAD-83BC-A872E1BA91D5}"/>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1" xr:uid="{007CE7F0-C67E-4F23-8BA5-DBB8106C2F9E}"/>
    <cellStyle name="40% - Accent2 2 2 3 2 3" xfId="11343" xr:uid="{3359D479-DF87-4D8C-973F-756E5042AFF5}"/>
    <cellStyle name="40% - Accent2 2 2 3 3" xfId="4977" xr:uid="{00000000-0005-0000-0000-00007B040000}"/>
    <cellStyle name="40% - Accent2 2 2 3 3 2" xfId="13416" xr:uid="{F45F64DD-B0FB-43F2-A668-73E7002B60FC}"/>
    <cellStyle name="40% - Accent2 2 2 3 4" xfId="9198" xr:uid="{554560F0-35FC-42AB-A644-5B4D32EF8702}"/>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4" xr:uid="{9617D129-E4C9-4833-A444-FFD2BBCFFD08}"/>
    <cellStyle name="40% - Accent2 2 2 4 2 3" xfId="11756" xr:uid="{0D31049B-EB7C-40E0-BE54-D7AC113B0E72}"/>
    <cellStyle name="40% - Accent2 2 2 4 3" xfId="5390" xr:uid="{00000000-0005-0000-0000-00007F040000}"/>
    <cellStyle name="40% - Accent2 2 2 4 3 2" xfId="13829" xr:uid="{D0AAC66E-5C2F-4843-98D2-D19CFBA50F68}"/>
    <cellStyle name="40% - Accent2 2 2 4 4" xfId="9611" xr:uid="{0A70B227-E717-4F7B-BD02-23A4B69F13DC}"/>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87" xr:uid="{C0C78F5D-6493-4B89-B025-917B1BF4586D}"/>
    <cellStyle name="40% - Accent2 2 2 5 2 3" xfId="12169" xr:uid="{2CC5D289-7055-47F5-94E6-2884D9341753}"/>
    <cellStyle name="40% - Accent2 2 2 5 3" xfId="5803" xr:uid="{00000000-0005-0000-0000-000083040000}"/>
    <cellStyle name="40% - Accent2 2 2 5 3 2" xfId="14242" xr:uid="{C37118FA-466C-450B-9758-FD8EA029B4AE}"/>
    <cellStyle name="40% - Accent2 2 2 5 4" xfId="10024" xr:uid="{1C808697-B009-465F-ABF6-6A13B28583EF}"/>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0" xr:uid="{7965B0A6-CE58-48E8-B61C-2A94F785AF6C}"/>
    <cellStyle name="40% - Accent2 2 2 6 2 3" xfId="12582" xr:uid="{3B80EAA7-9F1F-4F39-A500-5485865173AA}"/>
    <cellStyle name="40% - Accent2 2 2 6 3" xfId="6216" xr:uid="{00000000-0005-0000-0000-000087040000}"/>
    <cellStyle name="40% - Accent2 2 2 6 3 2" xfId="14655" xr:uid="{67DDA762-E739-4429-B468-A6572D9CFD19}"/>
    <cellStyle name="40% - Accent2 2 2 6 4" xfId="10437" xr:uid="{FD0D7C6E-1E7B-4906-A02D-D775BC722242}"/>
    <cellStyle name="40% - Accent2 2 2 7" xfId="2322" xr:uid="{00000000-0005-0000-0000-000088040000}"/>
    <cellStyle name="40% - Accent2 2 2 7 2" xfId="6629" xr:uid="{00000000-0005-0000-0000-000089040000}"/>
    <cellStyle name="40% - Accent2 2 2 7 2 2" xfId="15068" xr:uid="{786B2E7F-B987-4162-8E15-0C4EA36DBB8C}"/>
    <cellStyle name="40% - Accent2 2 2 7 3" xfId="10850" xr:uid="{D95A8A48-D45D-435E-BE99-697FBE6F791E}"/>
    <cellStyle name="40% - Accent2 2 2 8" xfId="4563" xr:uid="{00000000-0005-0000-0000-00008A040000}"/>
    <cellStyle name="40% - Accent2 2 2 8 2" xfId="13002" xr:uid="{7E095485-2414-4CA0-A1C0-2EAC75149BCE}"/>
    <cellStyle name="40% - Accent2 2 2 9" xfId="8784" xr:uid="{3364501D-0161-4CFF-B780-4E19FA3AFFF9}"/>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3" xr:uid="{1DC91F5C-9B68-4E82-8CB7-76BFEBA37E56}"/>
    <cellStyle name="40% - Accent2 2 3 2 2 3" xfId="11345" xr:uid="{0BF32DBE-A909-4A76-8723-7DD48150C2AE}"/>
    <cellStyle name="40% - Accent2 2 3 2 3" xfId="4979" xr:uid="{00000000-0005-0000-0000-00008F040000}"/>
    <cellStyle name="40% - Accent2 2 3 2 3 2" xfId="13418" xr:uid="{20251464-4FDE-4388-8DEA-5C5D698D9EA2}"/>
    <cellStyle name="40% - Accent2 2 3 2 4" xfId="9200" xr:uid="{B257DBA0-FAC3-479E-9F94-D9B5B1313B98}"/>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6" xr:uid="{DA7EA19A-F6B9-48BA-961A-B4D334B29C73}"/>
    <cellStyle name="40% - Accent2 2 3 3 2 3" xfId="11758" xr:uid="{845132D0-42D0-4E63-A70F-053A469870E0}"/>
    <cellStyle name="40% - Accent2 2 3 3 3" xfId="5392" xr:uid="{00000000-0005-0000-0000-000093040000}"/>
    <cellStyle name="40% - Accent2 2 3 3 3 2" xfId="13831" xr:uid="{B8D4A79E-A9D9-4B27-83C8-469640888D04}"/>
    <cellStyle name="40% - Accent2 2 3 3 4" xfId="9613" xr:uid="{08EC8088-F752-47CE-96E3-D18892FE2F4A}"/>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89" xr:uid="{1088B596-4133-47C8-8A40-B964CC2D5F25}"/>
    <cellStyle name="40% - Accent2 2 3 4 2 3" xfId="12171" xr:uid="{DCDB547F-796A-42CF-866D-2A7EFD304560}"/>
    <cellStyle name="40% - Accent2 2 3 4 3" xfId="5805" xr:uid="{00000000-0005-0000-0000-000097040000}"/>
    <cellStyle name="40% - Accent2 2 3 4 3 2" xfId="14244" xr:uid="{DD0426BF-6359-4C45-90D7-AC1DF61F672F}"/>
    <cellStyle name="40% - Accent2 2 3 4 4" xfId="10026" xr:uid="{12249A67-7AFC-460A-BFCC-C866CC5EFB0D}"/>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2" xr:uid="{22D7FB40-0C77-4146-8996-38F1654A72B0}"/>
    <cellStyle name="40% - Accent2 2 3 5 2 3" xfId="12584" xr:uid="{865CE270-E6C8-4309-B07C-F27CB9B087CE}"/>
    <cellStyle name="40% - Accent2 2 3 5 3" xfId="6218" xr:uid="{00000000-0005-0000-0000-00009B040000}"/>
    <cellStyle name="40% - Accent2 2 3 5 3 2" xfId="14657" xr:uid="{21116EDE-9ABD-45A5-9AC4-352C59FC871B}"/>
    <cellStyle name="40% - Accent2 2 3 5 4" xfId="10439" xr:uid="{1F52C0BC-8303-472A-8748-791E1A09118B}"/>
    <cellStyle name="40% - Accent2 2 3 6" xfId="2324" xr:uid="{00000000-0005-0000-0000-00009C040000}"/>
    <cellStyle name="40% - Accent2 2 3 6 2" xfId="6631" xr:uid="{00000000-0005-0000-0000-00009D040000}"/>
    <cellStyle name="40% - Accent2 2 3 6 2 2" xfId="15070" xr:uid="{86B69D68-E717-4AFA-9255-24F680AC1E1C}"/>
    <cellStyle name="40% - Accent2 2 3 6 3" xfId="10852" xr:uid="{2492BD13-07C7-4BCC-8ACC-E8F6524660C1}"/>
    <cellStyle name="40% - Accent2 2 3 7" xfId="4565" xr:uid="{00000000-0005-0000-0000-00009E040000}"/>
    <cellStyle name="40% - Accent2 2 3 7 2" xfId="13004" xr:uid="{745F3EA2-D514-493C-BAAD-4DF73049E27A}"/>
    <cellStyle name="40% - Accent2 2 3 8" xfId="8786" xr:uid="{01EAC05F-F540-4D0A-8B25-9603E89A903D}"/>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0" xr:uid="{DB805B0F-BC00-43DD-9B9E-6CCDC070CD13}"/>
    <cellStyle name="40% - Accent2 2 4 2 3" xfId="11342" xr:uid="{23C749BD-8B59-49CE-97F9-02C808F35ACE}"/>
    <cellStyle name="40% - Accent2 2 4 3" xfId="4976" xr:uid="{00000000-0005-0000-0000-0000A2040000}"/>
    <cellStyle name="40% - Accent2 2 4 3 2" xfId="13415" xr:uid="{08A2A15D-8C8E-41E7-B438-634F92BEA22A}"/>
    <cellStyle name="40% - Accent2 2 4 4" xfId="9197" xr:uid="{9ED47596-2E4F-4371-990D-9713676AA836}"/>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3" xr:uid="{24E97C0B-E45B-4D3F-9E8C-2AF93E51986A}"/>
    <cellStyle name="40% - Accent2 2 5 2 3" xfId="11755" xr:uid="{7BD9BD19-3B13-4D3E-B128-5E0265DB53CB}"/>
    <cellStyle name="40% - Accent2 2 5 3" xfId="5389" xr:uid="{00000000-0005-0000-0000-0000A6040000}"/>
    <cellStyle name="40% - Accent2 2 5 3 2" xfId="13828" xr:uid="{657E3619-9791-40C0-9FD3-8CB7371EE341}"/>
    <cellStyle name="40% - Accent2 2 5 4" xfId="9610" xr:uid="{3FD8696C-6F10-4B39-A459-C69F53D98471}"/>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6" xr:uid="{ADDBDEB8-3154-435C-AB5E-5001A455FC16}"/>
    <cellStyle name="40% - Accent2 2 6 2 3" xfId="12168" xr:uid="{4BF28848-B5CD-40E5-A39B-5F659C65F726}"/>
    <cellStyle name="40% - Accent2 2 6 3" xfId="5802" xr:uid="{00000000-0005-0000-0000-0000AA040000}"/>
    <cellStyle name="40% - Accent2 2 6 3 2" xfId="14241" xr:uid="{5725F4CB-8A1A-4AD0-8B98-06959B15512A}"/>
    <cellStyle name="40% - Accent2 2 6 4" xfId="10023" xr:uid="{22EE8B6B-A4E4-450A-9AF2-595197431006}"/>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799" xr:uid="{C0EC233E-84E8-4125-B97A-E3671A552864}"/>
    <cellStyle name="40% - Accent2 2 7 2 3" xfId="12581" xr:uid="{E93D3513-3B3F-45E8-94AD-9A1E7A59A665}"/>
    <cellStyle name="40% - Accent2 2 7 3" xfId="6215" xr:uid="{00000000-0005-0000-0000-0000AE040000}"/>
    <cellStyle name="40% - Accent2 2 7 3 2" xfId="14654" xr:uid="{50D9052C-B28B-49D2-845B-EC42F096C119}"/>
    <cellStyle name="40% - Accent2 2 7 4" xfId="10436" xr:uid="{D6465CB4-BE8B-40C5-B5B8-EEFDFFCBA51A}"/>
    <cellStyle name="40% - Accent2 2 8" xfId="2321" xr:uid="{00000000-0005-0000-0000-0000AF040000}"/>
    <cellStyle name="40% - Accent2 2 8 2" xfId="6628" xr:uid="{00000000-0005-0000-0000-0000B0040000}"/>
    <cellStyle name="40% - Accent2 2 8 2 2" xfId="15067" xr:uid="{FF44CF2F-6813-4BF9-990A-D4AC88D0C9D3}"/>
    <cellStyle name="40% - Accent2 2 8 3" xfId="10849" xr:uid="{A93785FE-6808-42DF-8F67-4ABC4D180D61}"/>
    <cellStyle name="40% - Accent2 2 9" xfId="4562" xr:uid="{00000000-0005-0000-0000-0000B1040000}"/>
    <cellStyle name="40% - Accent2 2 9 2" xfId="13001" xr:uid="{48D57B19-419C-49CB-AA6B-E21548671EC9}"/>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5" xr:uid="{3E372BAA-5136-4CF0-B933-AB39865DA4DF}"/>
    <cellStyle name="40% - Accent2 3 2 2 2 3" xfId="11347" xr:uid="{AD59280B-477A-4813-951E-1834942F8F19}"/>
    <cellStyle name="40% - Accent2 3 2 2 3" xfId="4981" xr:uid="{00000000-0005-0000-0000-0000B7040000}"/>
    <cellStyle name="40% - Accent2 3 2 2 3 2" xfId="13420" xr:uid="{B91C749D-6ED6-44D8-97D6-909C9E9F20A6}"/>
    <cellStyle name="40% - Accent2 3 2 2 4" xfId="9202" xr:uid="{A3C175A1-936B-44F9-870F-C65C640E1349}"/>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78" xr:uid="{0409C962-816F-49C8-B8E8-A9FD473EB1EC}"/>
    <cellStyle name="40% - Accent2 3 2 3 2 3" xfId="11760" xr:uid="{A6016FF8-C9FD-49A8-94F7-28AEEBA54C67}"/>
    <cellStyle name="40% - Accent2 3 2 3 3" xfId="5394" xr:uid="{00000000-0005-0000-0000-0000BB040000}"/>
    <cellStyle name="40% - Accent2 3 2 3 3 2" xfId="13833" xr:uid="{8567EB64-7C10-406B-805D-2FC7CB491BE3}"/>
    <cellStyle name="40% - Accent2 3 2 3 4" xfId="9615" xr:uid="{B681462F-202A-4299-BF42-57D7B73F0355}"/>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1" xr:uid="{1FCB9993-A8E4-4FD3-A914-B31E614351E9}"/>
    <cellStyle name="40% - Accent2 3 2 4 2 3" xfId="12173" xr:uid="{2F35B0F1-37B6-46CD-A7FD-FC9BA8D68A4D}"/>
    <cellStyle name="40% - Accent2 3 2 4 3" xfId="5807" xr:uid="{00000000-0005-0000-0000-0000BF040000}"/>
    <cellStyle name="40% - Accent2 3 2 4 3 2" xfId="14246" xr:uid="{7B20CAC9-173C-4F90-9F0B-72A2B5FBA145}"/>
    <cellStyle name="40% - Accent2 3 2 4 4" xfId="10028" xr:uid="{AF9CD841-AA2B-4454-ADF6-56ECDEFC3B04}"/>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4" xr:uid="{9316AE45-1C89-40B8-BBDE-C722D79BA7AE}"/>
    <cellStyle name="40% - Accent2 3 2 5 2 3" xfId="12586" xr:uid="{F73FFD59-CA38-4BC5-926E-CABB9C299035}"/>
    <cellStyle name="40% - Accent2 3 2 5 3" xfId="6220" xr:uid="{00000000-0005-0000-0000-0000C3040000}"/>
    <cellStyle name="40% - Accent2 3 2 5 3 2" xfId="14659" xr:uid="{4228545D-B13B-4F3D-A1A4-2A4EB204A7B4}"/>
    <cellStyle name="40% - Accent2 3 2 5 4" xfId="10441" xr:uid="{11BC4C0E-E403-4F81-B279-962F3A77157E}"/>
    <cellStyle name="40% - Accent2 3 2 6" xfId="2326" xr:uid="{00000000-0005-0000-0000-0000C4040000}"/>
    <cellStyle name="40% - Accent2 3 2 6 2" xfId="6633" xr:uid="{00000000-0005-0000-0000-0000C5040000}"/>
    <cellStyle name="40% - Accent2 3 2 6 2 2" xfId="15072" xr:uid="{E772DDA1-FB8E-4636-ADE5-88E57481937C}"/>
    <cellStyle name="40% - Accent2 3 2 6 3" xfId="10854" xr:uid="{6A4C8E04-01EB-49E2-B571-D9519A16416A}"/>
    <cellStyle name="40% - Accent2 3 2 7" xfId="4567" xr:uid="{00000000-0005-0000-0000-0000C6040000}"/>
    <cellStyle name="40% - Accent2 3 2 7 2" xfId="13006" xr:uid="{D9E04A16-5B5C-4453-AA26-ADE227998865}"/>
    <cellStyle name="40% - Accent2 3 2 8" xfId="8788" xr:uid="{183F60E6-5FD9-4284-9711-E4A9AEAB0FF4}"/>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4" xr:uid="{CCEFC573-EF8C-49ED-8298-C81A5C7EB29E}"/>
    <cellStyle name="40% - Accent2 3 3 2 3" xfId="11346" xr:uid="{E7A91F06-F201-4A00-9450-A2E6BB1C6C46}"/>
    <cellStyle name="40% - Accent2 3 3 3" xfId="4980" xr:uid="{00000000-0005-0000-0000-0000CA040000}"/>
    <cellStyle name="40% - Accent2 3 3 3 2" xfId="13419" xr:uid="{18D8AB77-3D6A-4242-A92F-E630ACAC2E21}"/>
    <cellStyle name="40% - Accent2 3 3 4" xfId="9201" xr:uid="{5C758A45-3530-4FBB-A6D2-A7F38513BF09}"/>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77" xr:uid="{B641C93B-1EBF-4207-BDCF-04B478ECC5C6}"/>
    <cellStyle name="40% - Accent2 3 4 2 3" xfId="11759" xr:uid="{4BE7BC6F-B6D3-43CD-AAD1-5141F46C6C77}"/>
    <cellStyle name="40% - Accent2 3 4 3" xfId="5393" xr:uid="{00000000-0005-0000-0000-0000CE040000}"/>
    <cellStyle name="40% - Accent2 3 4 3 2" xfId="13832" xr:uid="{EEB8D86C-4435-412F-9A64-5B1AEAED4D13}"/>
    <cellStyle name="40% - Accent2 3 4 4" xfId="9614" xr:uid="{0FCD8E6D-7406-422A-8B1C-11F076426B5D}"/>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0" xr:uid="{D6A839E0-5DC6-4982-BCE9-D812CED4BD88}"/>
    <cellStyle name="40% - Accent2 3 5 2 3" xfId="12172" xr:uid="{46F3D891-CBB6-4FEE-A594-9FAED42DFF2B}"/>
    <cellStyle name="40% - Accent2 3 5 3" xfId="5806" xr:uid="{00000000-0005-0000-0000-0000D2040000}"/>
    <cellStyle name="40% - Accent2 3 5 3 2" xfId="14245" xr:uid="{7B0C5BBE-EDE7-4D96-8E6C-F157013A761F}"/>
    <cellStyle name="40% - Accent2 3 5 4" xfId="10027" xr:uid="{EFF40E51-40AC-4C34-8297-379CB43838CD}"/>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3" xr:uid="{1A680BE2-6569-4DC8-B972-F31C99AFF74D}"/>
    <cellStyle name="40% - Accent2 3 6 2 3" xfId="12585" xr:uid="{1ACAD411-65F4-4ABA-BFEC-3D84808A047B}"/>
    <cellStyle name="40% - Accent2 3 6 3" xfId="6219" xr:uid="{00000000-0005-0000-0000-0000D6040000}"/>
    <cellStyle name="40% - Accent2 3 6 3 2" xfId="14658" xr:uid="{264881E6-06C9-434E-B4E8-2BC45F3146E1}"/>
    <cellStyle name="40% - Accent2 3 6 4" xfId="10440" xr:uid="{7528B74E-AB8A-40BA-B1A7-FE363BF6E71A}"/>
    <cellStyle name="40% - Accent2 3 7" xfId="2325" xr:uid="{00000000-0005-0000-0000-0000D7040000}"/>
    <cellStyle name="40% - Accent2 3 7 2" xfId="6632" xr:uid="{00000000-0005-0000-0000-0000D8040000}"/>
    <cellStyle name="40% - Accent2 3 7 2 2" xfId="15071" xr:uid="{38272A99-D516-475F-8FC8-AF76EC6FD89C}"/>
    <cellStyle name="40% - Accent2 3 7 3" xfId="10853" xr:uid="{482AF6DF-5F66-4699-8A9B-4D99F7F130D3}"/>
    <cellStyle name="40% - Accent2 3 8" xfId="4566" xr:uid="{00000000-0005-0000-0000-0000D9040000}"/>
    <cellStyle name="40% - Accent2 3 8 2" xfId="13005" xr:uid="{1A7EF7BA-ED20-416B-AB78-ED93D8AD12F6}"/>
    <cellStyle name="40% - Accent2 3 9" xfId="8787" xr:uid="{A9D068EC-EB2A-4ECC-A5EC-101CA1E94BB2}"/>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6" xr:uid="{3E9FCC64-7446-4462-908E-EA40F5A4ADDB}"/>
    <cellStyle name="40% - Accent2 4 2 2 3" xfId="11348" xr:uid="{69933263-CC80-42F8-9F1E-619E575E2A2F}"/>
    <cellStyle name="40% - Accent2 4 2 3" xfId="4982" xr:uid="{00000000-0005-0000-0000-0000DE040000}"/>
    <cellStyle name="40% - Accent2 4 2 3 2" xfId="13421" xr:uid="{DFB446D9-272B-4C72-ABA6-8F32840F23B2}"/>
    <cellStyle name="40% - Accent2 4 2 4" xfId="9203" xr:uid="{5BAEEB21-6DF1-460E-86FF-AB3D75D0397E}"/>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79" xr:uid="{8B3052B6-6EC6-4B86-93B9-C5D777C51855}"/>
    <cellStyle name="40% - Accent2 4 3 2 3" xfId="11761" xr:uid="{67F313FF-ED74-42A6-B88E-1424096B1A64}"/>
    <cellStyle name="40% - Accent2 4 3 3" xfId="5395" xr:uid="{00000000-0005-0000-0000-0000E2040000}"/>
    <cellStyle name="40% - Accent2 4 3 3 2" xfId="13834" xr:uid="{CED19F49-2887-4CAE-92EC-E551107FF896}"/>
    <cellStyle name="40% - Accent2 4 3 4" xfId="9616" xr:uid="{B66163E3-F3D2-430C-897F-19ED28005409}"/>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2" xr:uid="{7836A501-B726-4BFC-B36E-4D82E0BC5749}"/>
    <cellStyle name="40% - Accent2 4 4 2 3" xfId="12174" xr:uid="{ED8BC6C8-4211-43E6-9913-B2EF2E3FC93C}"/>
    <cellStyle name="40% - Accent2 4 4 3" xfId="5808" xr:uid="{00000000-0005-0000-0000-0000E6040000}"/>
    <cellStyle name="40% - Accent2 4 4 3 2" xfId="14247" xr:uid="{E6F4C1C2-C870-469F-A86F-9690D435F90E}"/>
    <cellStyle name="40% - Accent2 4 4 4" xfId="10029" xr:uid="{8B413576-2ED8-4A70-9426-F532DBE0C2B3}"/>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5" xr:uid="{CBCF6150-1A01-4588-94F8-B7A9CAA7FA32}"/>
    <cellStyle name="40% - Accent2 4 5 2 3" xfId="12587" xr:uid="{9163CEB7-62E9-42B8-ADFD-088DA382D6B8}"/>
    <cellStyle name="40% - Accent2 4 5 3" xfId="6221" xr:uid="{00000000-0005-0000-0000-0000EA040000}"/>
    <cellStyle name="40% - Accent2 4 5 3 2" xfId="14660" xr:uid="{6CCE2E22-28B1-4D6E-B574-6BFE5BDD01C7}"/>
    <cellStyle name="40% - Accent2 4 5 4" xfId="10442" xr:uid="{43D6137A-5865-4B4D-A429-B1809E0CC651}"/>
    <cellStyle name="40% - Accent2 4 6" xfId="2327" xr:uid="{00000000-0005-0000-0000-0000EB040000}"/>
    <cellStyle name="40% - Accent2 4 6 2" xfId="6634" xr:uid="{00000000-0005-0000-0000-0000EC040000}"/>
    <cellStyle name="40% - Accent2 4 6 2 2" xfId="15073" xr:uid="{56F7AE00-3243-4FF8-86EE-2B094F9C8342}"/>
    <cellStyle name="40% - Accent2 4 6 3" xfId="10855" xr:uid="{4599517A-4CAC-4863-9623-3C0D0F5C9795}"/>
    <cellStyle name="40% - Accent2 4 7" xfId="4568" xr:uid="{00000000-0005-0000-0000-0000ED040000}"/>
    <cellStyle name="40% - Accent2 4 7 2" xfId="13007" xr:uid="{78CE3529-F5BB-4727-A53C-A6C9DCCB0BE5}"/>
    <cellStyle name="40% - Accent2 4 8" xfId="8789" xr:uid="{E75FE237-C134-4188-B50C-7DDF2DC32B97}"/>
    <cellStyle name="40% - Accent2 5" xfId="626" xr:uid="{00000000-0005-0000-0000-0000EE040000}"/>
    <cellStyle name="40% - Accent2 5 2" xfId="2897" xr:uid="{00000000-0005-0000-0000-0000EF040000}"/>
    <cellStyle name="40% - Accent2 5 2 2" xfId="7120" xr:uid="{00000000-0005-0000-0000-0000F0040000}"/>
    <cellStyle name="40% - Accent2 5 2 2 2" xfId="15559" xr:uid="{3C2BFE28-0B5F-43FF-99B3-C053FFEEC738}"/>
    <cellStyle name="40% - Accent2 5 2 3" xfId="11341" xr:uid="{7DC9C6FE-457F-46ED-9EED-B6566989CDA1}"/>
    <cellStyle name="40% - Accent2 5 3" xfId="4975" xr:uid="{00000000-0005-0000-0000-0000F1040000}"/>
    <cellStyle name="40% - Accent2 5 3 2" xfId="13414" xr:uid="{C0E36E86-ECD2-4C85-AC9D-E59D4FAA0990}"/>
    <cellStyle name="40% - Accent2 5 4" xfId="9196" xr:uid="{5217A23A-7665-4928-8A5A-654EBCF5C62C}"/>
    <cellStyle name="40% - Accent2 6" xfId="1079" xr:uid="{00000000-0005-0000-0000-0000F2040000}"/>
    <cellStyle name="40% - Accent2 6 2" xfId="3310" xr:uid="{00000000-0005-0000-0000-0000F3040000}"/>
    <cellStyle name="40% - Accent2 6 2 2" xfId="7533" xr:uid="{00000000-0005-0000-0000-0000F4040000}"/>
    <cellStyle name="40% - Accent2 6 2 2 2" xfId="15972" xr:uid="{576D7BF0-CC94-44FF-A78D-694B08A2E20C}"/>
    <cellStyle name="40% - Accent2 6 2 3" xfId="11754" xr:uid="{39D22E71-EAC7-4883-AACD-8453093D7E16}"/>
    <cellStyle name="40% - Accent2 6 3" xfId="5388" xr:uid="{00000000-0005-0000-0000-0000F5040000}"/>
    <cellStyle name="40% - Accent2 6 3 2" xfId="13827" xr:uid="{99CC912C-CC61-4B25-9FAF-95EA208F3336}"/>
    <cellStyle name="40% - Accent2 6 4" xfId="9609" xr:uid="{68D2C336-0F20-42C5-B41B-59D065D8D419}"/>
    <cellStyle name="40% - Accent2 7" xfId="1493" xr:uid="{00000000-0005-0000-0000-0000F6040000}"/>
    <cellStyle name="40% - Accent2 7 2" xfId="3723" xr:uid="{00000000-0005-0000-0000-0000F7040000}"/>
    <cellStyle name="40% - Accent2 7 2 2" xfId="7946" xr:uid="{00000000-0005-0000-0000-0000F8040000}"/>
    <cellStyle name="40% - Accent2 7 2 2 2" xfId="16385" xr:uid="{C78003FA-ECFF-4DB2-9910-38840C7D6A9A}"/>
    <cellStyle name="40% - Accent2 7 2 3" xfId="12167" xr:uid="{A04BD3C0-703A-4249-A320-55A2AA2CC25E}"/>
    <cellStyle name="40% - Accent2 7 3" xfId="5801" xr:uid="{00000000-0005-0000-0000-0000F9040000}"/>
    <cellStyle name="40% - Accent2 7 3 2" xfId="14240" xr:uid="{29960BFA-90CA-4986-8E83-4C6426E1B31B}"/>
    <cellStyle name="40% - Accent2 7 4" xfId="10022" xr:uid="{DFE16978-D131-45F6-9FC0-53B5F43DDDDB}"/>
    <cellStyle name="40% - Accent2 8" xfId="1907" xr:uid="{00000000-0005-0000-0000-0000FA040000}"/>
    <cellStyle name="40% - Accent2 8 2" xfId="4136" xr:uid="{00000000-0005-0000-0000-0000FB040000}"/>
    <cellStyle name="40% - Accent2 8 2 2" xfId="8359" xr:uid="{00000000-0005-0000-0000-0000FC040000}"/>
    <cellStyle name="40% - Accent2 8 2 2 2" xfId="16798" xr:uid="{CF4D0351-3ECF-4A38-B3C7-4181C498746F}"/>
    <cellStyle name="40% - Accent2 8 2 3" xfId="12580" xr:uid="{256E9A96-E87C-43CF-85A5-08BCDD4606EA}"/>
    <cellStyle name="40% - Accent2 8 3" xfId="6214" xr:uid="{00000000-0005-0000-0000-0000FD040000}"/>
    <cellStyle name="40% - Accent2 8 3 2" xfId="14653" xr:uid="{732842E7-0E8A-454E-90FC-48316B62147B}"/>
    <cellStyle name="40% - Accent2 8 4" xfId="10435" xr:uid="{37856114-53F5-4B32-B92B-4675580E9075}"/>
    <cellStyle name="40% - Accent2 9" xfId="2320" xr:uid="{00000000-0005-0000-0000-0000FE040000}"/>
    <cellStyle name="40% - Accent2 9 2" xfId="6627" xr:uid="{00000000-0005-0000-0000-0000FF040000}"/>
    <cellStyle name="40% - Accent2 9 2 2" xfId="15066" xr:uid="{E6BE078F-270F-4105-A96C-D1267653F089}"/>
    <cellStyle name="40% - Accent2 9 3" xfId="10848" xr:uid="{9211C404-2E54-405D-B722-675E1F1DC4E4}"/>
    <cellStyle name="40% - Accent3" xfId="65" builtinId="39" customBuiltin="1"/>
    <cellStyle name="40% - Accent3 10" xfId="4569" xr:uid="{00000000-0005-0000-0000-000001050000}"/>
    <cellStyle name="40% - Accent3 10 2" xfId="13008" xr:uid="{549CD63E-E963-4C25-A85B-9872A91216E0}"/>
    <cellStyle name="40% - Accent3 11" xfId="8790" xr:uid="{163FB37E-D44D-4080-A00A-1A52CCC85F10}"/>
    <cellStyle name="40% - Accent3 2" xfId="66" xr:uid="{00000000-0005-0000-0000-000002050000}"/>
    <cellStyle name="40% - Accent3 2 10" xfId="8791" xr:uid="{87478480-263F-4579-92B5-186607771AAD}"/>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0" xr:uid="{2717202E-FCB7-49B6-BBA6-1C57FE8D3E95}"/>
    <cellStyle name="40% - Accent3 2 2 2 2 2 3" xfId="11352" xr:uid="{29C4E2F6-9878-4225-BBA7-BA20696E43F4}"/>
    <cellStyle name="40% - Accent3 2 2 2 2 3" xfId="4986" xr:uid="{00000000-0005-0000-0000-000008050000}"/>
    <cellStyle name="40% - Accent3 2 2 2 2 3 2" xfId="13425" xr:uid="{67EA713F-0476-496D-A1B5-35423DD5ECB7}"/>
    <cellStyle name="40% - Accent3 2 2 2 2 4" xfId="9207" xr:uid="{9E7A34A8-324F-474B-9FC2-4DE02549CD16}"/>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3" xr:uid="{381452CF-2EF6-4591-8EEE-6EEDB5C20E0F}"/>
    <cellStyle name="40% - Accent3 2 2 2 3 2 3" xfId="11765" xr:uid="{F457A07B-2B9A-4D47-A70F-9F39E2654AA4}"/>
    <cellStyle name="40% - Accent3 2 2 2 3 3" xfId="5399" xr:uid="{00000000-0005-0000-0000-00000C050000}"/>
    <cellStyle name="40% - Accent3 2 2 2 3 3 2" xfId="13838" xr:uid="{59B86756-CB8C-476E-ABA9-0CB3DEC7EBDC}"/>
    <cellStyle name="40% - Accent3 2 2 2 3 4" xfId="9620" xr:uid="{12FA8F36-AD11-4F43-BE65-F56A79AC7EAA}"/>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6" xr:uid="{F8E25F56-4253-47D4-AC2F-F9E03EFAFB0D}"/>
    <cellStyle name="40% - Accent3 2 2 2 4 2 3" xfId="12178" xr:uid="{76B48519-1096-490D-B0F6-D8BB9D5A8665}"/>
    <cellStyle name="40% - Accent3 2 2 2 4 3" xfId="5812" xr:uid="{00000000-0005-0000-0000-000010050000}"/>
    <cellStyle name="40% - Accent3 2 2 2 4 3 2" xfId="14251" xr:uid="{106C3695-C5C5-4708-AB3D-C7E8705783D2}"/>
    <cellStyle name="40% - Accent3 2 2 2 4 4" xfId="10033" xr:uid="{FA573DD4-6540-4612-81A2-C351248F3CC8}"/>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09" xr:uid="{CF9A61AB-1586-45A7-A3E1-C984CE221DA7}"/>
    <cellStyle name="40% - Accent3 2 2 2 5 2 3" xfId="12591" xr:uid="{82A46A64-CB24-4886-B452-C1CFAAEA01CF}"/>
    <cellStyle name="40% - Accent3 2 2 2 5 3" xfId="6225" xr:uid="{00000000-0005-0000-0000-000014050000}"/>
    <cellStyle name="40% - Accent3 2 2 2 5 3 2" xfId="14664" xr:uid="{34283726-3E6A-4025-B690-8980FBE5C953}"/>
    <cellStyle name="40% - Accent3 2 2 2 5 4" xfId="10446" xr:uid="{EBF354E0-EE4A-42B4-9F06-DB6C4A370DD0}"/>
    <cellStyle name="40% - Accent3 2 2 2 6" xfId="2331" xr:uid="{00000000-0005-0000-0000-000015050000}"/>
    <cellStyle name="40% - Accent3 2 2 2 6 2" xfId="6638" xr:uid="{00000000-0005-0000-0000-000016050000}"/>
    <cellStyle name="40% - Accent3 2 2 2 6 2 2" xfId="15077" xr:uid="{1C932B15-9379-4C31-BC5E-AAA2A4DFDB8E}"/>
    <cellStyle name="40% - Accent3 2 2 2 6 3" xfId="10859" xr:uid="{E5EC513A-ADB6-4CAA-B15B-E5A7E073D501}"/>
    <cellStyle name="40% - Accent3 2 2 2 7" xfId="4572" xr:uid="{00000000-0005-0000-0000-000017050000}"/>
    <cellStyle name="40% - Accent3 2 2 2 7 2" xfId="13011" xr:uid="{EFBBB9CC-B8FA-4FE1-92F4-EA9BFA7FFE82}"/>
    <cellStyle name="40% - Accent3 2 2 2 8" xfId="8793" xr:uid="{2E09F416-3C69-4147-B384-98C73CFDECCA}"/>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69" xr:uid="{EE53A2F0-5492-4C2E-BB42-F602BDF74A21}"/>
    <cellStyle name="40% - Accent3 2 2 3 2 3" xfId="11351" xr:uid="{3FDB6774-8BF6-47C9-AC4E-8BC6C3C5B487}"/>
    <cellStyle name="40% - Accent3 2 2 3 3" xfId="4985" xr:uid="{00000000-0005-0000-0000-00001B050000}"/>
    <cellStyle name="40% - Accent3 2 2 3 3 2" xfId="13424" xr:uid="{513B7290-7601-449E-B1BB-670F4D784485}"/>
    <cellStyle name="40% - Accent3 2 2 3 4" xfId="9206" xr:uid="{E00F4039-0B68-4520-855D-B9D84E717553}"/>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2" xr:uid="{8CD862C9-CC17-46F4-B711-31E647C0B9F6}"/>
    <cellStyle name="40% - Accent3 2 2 4 2 3" xfId="11764" xr:uid="{73D754A0-AC15-4205-9387-AFB14239AC7D}"/>
    <cellStyle name="40% - Accent3 2 2 4 3" xfId="5398" xr:uid="{00000000-0005-0000-0000-00001F050000}"/>
    <cellStyle name="40% - Accent3 2 2 4 3 2" xfId="13837" xr:uid="{AB74F5F6-EC4F-45E6-A7B8-98042F9226FD}"/>
    <cellStyle name="40% - Accent3 2 2 4 4" xfId="9619" xr:uid="{4E2B9E5F-0E55-4E02-B35B-04E6A004AB81}"/>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5" xr:uid="{E2FAE9E3-AA02-4D9C-AAF2-6D1E59180AA9}"/>
    <cellStyle name="40% - Accent3 2 2 5 2 3" xfId="12177" xr:uid="{7B3372FA-32F6-40E0-B863-9BF28FCE3FE6}"/>
    <cellStyle name="40% - Accent3 2 2 5 3" xfId="5811" xr:uid="{00000000-0005-0000-0000-000023050000}"/>
    <cellStyle name="40% - Accent3 2 2 5 3 2" xfId="14250" xr:uid="{C5BC1DED-EB96-4814-9E31-C0BC1FB74AD4}"/>
    <cellStyle name="40% - Accent3 2 2 5 4" xfId="10032" xr:uid="{0BD03FFF-16AD-4D50-A207-9B6CB8650302}"/>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08" xr:uid="{C39B96FC-D362-409C-B47E-1675D2EB96AC}"/>
    <cellStyle name="40% - Accent3 2 2 6 2 3" xfId="12590" xr:uid="{162B4F1A-15AA-462F-97F0-60CCB164A713}"/>
    <cellStyle name="40% - Accent3 2 2 6 3" xfId="6224" xr:uid="{00000000-0005-0000-0000-000027050000}"/>
    <cellStyle name="40% - Accent3 2 2 6 3 2" xfId="14663" xr:uid="{B41B06C4-0161-47DD-AB6D-BBE867D51C36}"/>
    <cellStyle name="40% - Accent3 2 2 6 4" xfId="10445" xr:uid="{1831465F-D874-40D9-818E-4953D9805E6B}"/>
    <cellStyle name="40% - Accent3 2 2 7" xfId="2330" xr:uid="{00000000-0005-0000-0000-000028050000}"/>
    <cellStyle name="40% - Accent3 2 2 7 2" xfId="6637" xr:uid="{00000000-0005-0000-0000-000029050000}"/>
    <cellStyle name="40% - Accent3 2 2 7 2 2" xfId="15076" xr:uid="{410D8528-5C17-4E14-909C-3CB1EA465943}"/>
    <cellStyle name="40% - Accent3 2 2 7 3" xfId="10858" xr:uid="{0730708C-5EBD-40E8-890C-1EB273466F6E}"/>
    <cellStyle name="40% - Accent3 2 2 8" xfId="4571" xr:uid="{00000000-0005-0000-0000-00002A050000}"/>
    <cellStyle name="40% - Accent3 2 2 8 2" xfId="13010" xr:uid="{4B34F960-0FB4-4A8B-B35D-63C9C20D5B96}"/>
    <cellStyle name="40% - Accent3 2 2 9" xfId="8792" xr:uid="{AB6987ED-F52E-4FE3-88A0-D32D3586C033}"/>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1" xr:uid="{1ED8396F-B0AD-41D4-AFE7-1ABE4F4D8D81}"/>
    <cellStyle name="40% - Accent3 2 3 2 2 3" xfId="11353" xr:uid="{B3A146D7-F55B-4838-8AD0-9BF1AC0333BF}"/>
    <cellStyle name="40% - Accent3 2 3 2 3" xfId="4987" xr:uid="{00000000-0005-0000-0000-00002F050000}"/>
    <cellStyle name="40% - Accent3 2 3 2 3 2" xfId="13426" xr:uid="{8D71C368-545D-4693-A639-B60F4E82B538}"/>
    <cellStyle name="40% - Accent3 2 3 2 4" xfId="9208" xr:uid="{0DBDCDDA-7DB1-4706-B4FB-6DE7E9ECA2D5}"/>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4" xr:uid="{726ED68C-C4C6-42A5-80E0-A4429FB58462}"/>
    <cellStyle name="40% - Accent3 2 3 3 2 3" xfId="11766" xr:uid="{DDCE8377-33F7-401C-B7EC-FE56A023C021}"/>
    <cellStyle name="40% - Accent3 2 3 3 3" xfId="5400" xr:uid="{00000000-0005-0000-0000-000033050000}"/>
    <cellStyle name="40% - Accent3 2 3 3 3 2" xfId="13839" xr:uid="{46F688AE-9CFE-4750-A752-98F041C04345}"/>
    <cellStyle name="40% - Accent3 2 3 3 4" xfId="9621" xr:uid="{5AFEE55B-3F23-4808-A5D2-CC423E97A7D6}"/>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397" xr:uid="{C174D4DF-6702-45EC-AE37-4BA5540E88DE}"/>
    <cellStyle name="40% - Accent3 2 3 4 2 3" xfId="12179" xr:uid="{5CE80B8C-0A7D-4B9D-A214-BDC5F1963330}"/>
    <cellStyle name="40% - Accent3 2 3 4 3" xfId="5813" xr:uid="{00000000-0005-0000-0000-000037050000}"/>
    <cellStyle name="40% - Accent3 2 3 4 3 2" xfId="14252" xr:uid="{A4D44937-980B-4B98-8664-313F2579FE2D}"/>
    <cellStyle name="40% - Accent3 2 3 4 4" xfId="10034" xr:uid="{115D5C9F-F4FB-4FA8-9C7F-CB21C0046F5F}"/>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0" xr:uid="{19F19D07-B34C-4CF2-B0E7-B3E97CDD81A2}"/>
    <cellStyle name="40% - Accent3 2 3 5 2 3" xfId="12592" xr:uid="{0155ADAE-6B66-404C-9816-97CFDC0CFB28}"/>
    <cellStyle name="40% - Accent3 2 3 5 3" xfId="6226" xr:uid="{00000000-0005-0000-0000-00003B050000}"/>
    <cellStyle name="40% - Accent3 2 3 5 3 2" xfId="14665" xr:uid="{87A9AF0B-345A-401A-ADA3-9BD761E727FE}"/>
    <cellStyle name="40% - Accent3 2 3 5 4" xfId="10447" xr:uid="{CF011C59-35A5-40CB-B92E-5228561996B2}"/>
    <cellStyle name="40% - Accent3 2 3 6" xfId="2332" xr:uid="{00000000-0005-0000-0000-00003C050000}"/>
    <cellStyle name="40% - Accent3 2 3 6 2" xfId="6639" xr:uid="{00000000-0005-0000-0000-00003D050000}"/>
    <cellStyle name="40% - Accent3 2 3 6 2 2" xfId="15078" xr:uid="{131D0DE6-1BB4-4D36-9E05-1A98FC5A2EF8}"/>
    <cellStyle name="40% - Accent3 2 3 6 3" xfId="10860" xr:uid="{0114A853-402D-4502-A9B3-23215813927B}"/>
    <cellStyle name="40% - Accent3 2 3 7" xfId="4573" xr:uid="{00000000-0005-0000-0000-00003E050000}"/>
    <cellStyle name="40% - Accent3 2 3 7 2" xfId="13012" xr:uid="{5F450A2A-9069-4B36-9EE3-D127C4750F3B}"/>
    <cellStyle name="40% - Accent3 2 3 8" xfId="8794" xr:uid="{4E18276A-46A6-4FCF-89D2-68348B9E3387}"/>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68" xr:uid="{7A4C30D5-4E32-4C38-A35C-57306E0F2EB6}"/>
    <cellStyle name="40% - Accent3 2 4 2 3" xfId="11350" xr:uid="{2C66BABC-C7AA-4C10-B510-CE12CB50BC4F}"/>
    <cellStyle name="40% - Accent3 2 4 3" xfId="4984" xr:uid="{00000000-0005-0000-0000-000042050000}"/>
    <cellStyle name="40% - Accent3 2 4 3 2" xfId="13423" xr:uid="{8DB12594-2301-44D3-9D91-C09BA107EC16}"/>
    <cellStyle name="40% - Accent3 2 4 4" xfId="9205" xr:uid="{64C855EE-7397-4580-AD6E-C3D8FED95040}"/>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1" xr:uid="{AE4B3D9B-7C72-43C4-9B59-A984CEE5A46B}"/>
    <cellStyle name="40% - Accent3 2 5 2 3" xfId="11763" xr:uid="{08C3C017-616F-4AB5-9524-B641F418993B}"/>
    <cellStyle name="40% - Accent3 2 5 3" xfId="5397" xr:uid="{00000000-0005-0000-0000-000046050000}"/>
    <cellStyle name="40% - Accent3 2 5 3 2" xfId="13836" xr:uid="{E192070C-4243-4614-B04E-180ECA747597}"/>
    <cellStyle name="40% - Accent3 2 5 4" xfId="9618" xr:uid="{7BD0CFF2-A483-4B57-A220-006523340785}"/>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4" xr:uid="{69B89ED7-7D33-4483-A884-E1C7C375CB47}"/>
    <cellStyle name="40% - Accent3 2 6 2 3" xfId="12176" xr:uid="{1894966D-8F23-4429-8EC5-A4EA5067E78D}"/>
    <cellStyle name="40% - Accent3 2 6 3" xfId="5810" xr:uid="{00000000-0005-0000-0000-00004A050000}"/>
    <cellStyle name="40% - Accent3 2 6 3 2" xfId="14249" xr:uid="{4EDD4078-05B4-4408-8A91-F8E11B4692D1}"/>
    <cellStyle name="40% - Accent3 2 6 4" xfId="10031" xr:uid="{2B9D2CCC-1B2F-44F1-B98C-05173EEEE40F}"/>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07" xr:uid="{5415E269-887A-4EC4-9D89-A91752D35CE3}"/>
    <cellStyle name="40% - Accent3 2 7 2 3" xfId="12589" xr:uid="{24139181-3444-4FA1-8926-C4F8EC257DFF}"/>
    <cellStyle name="40% - Accent3 2 7 3" xfId="6223" xr:uid="{00000000-0005-0000-0000-00004E050000}"/>
    <cellStyle name="40% - Accent3 2 7 3 2" xfId="14662" xr:uid="{6FBA114F-ECA1-44ED-9B9F-345522B14192}"/>
    <cellStyle name="40% - Accent3 2 7 4" xfId="10444" xr:uid="{9C6E8195-4C3E-49F7-903F-C5827BF8E588}"/>
    <cellStyle name="40% - Accent3 2 8" xfId="2329" xr:uid="{00000000-0005-0000-0000-00004F050000}"/>
    <cellStyle name="40% - Accent3 2 8 2" xfId="6636" xr:uid="{00000000-0005-0000-0000-000050050000}"/>
    <cellStyle name="40% - Accent3 2 8 2 2" xfId="15075" xr:uid="{532882E5-602F-44A8-B1D9-A3B7A7989537}"/>
    <cellStyle name="40% - Accent3 2 8 3" xfId="10857" xr:uid="{2011CED3-B1EA-4822-B29F-7B424FFD8692}"/>
    <cellStyle name="40% - Accent3 2 9" xfId="4570" xr:uid="{00000000-0005-0000-0000-000051050000}"/>
    <cellStyle name="40% - Accent3 2 9 2" xfId="13009" xr:uid="{4D9AC5FE-1476-4C8A-9449-72FBDE24A91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3" xr:uid="{5CCC4778-CB1C-489D-B373-E712BC7EB0DB}"/>
    <cellStyle name="40% - Accent3 3 2 2 2 3" xfId="11355" xr:uid="{7AEC6C7F-19F4-4016-8055-B8AF3DD08FA8}"/>
    <cellStyle name="40% - Accent3 3 2 2 3" xfId="4989" xr:uid="{00000000-0005-0000-0000-000057050000}"/>
    <cellStyle name="40% - Accent3 3 2 2 3 2" xfId="13428" xr:uid="{A28631BC-B0BE-4567-8C95-24815051CF76}"/>
    <cellStyle name="40% - Accent3 3 2 2 4" xfId="9210" xr:uid="{8703B170-2DDE-4E85-B5D0-79EE7A2DF950}"/>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6" xr:uid="{1E35702A-8114-4A3B-B8F3-8369C7FEBB7D}"/>
    <cellStyle name="40% - Accent3 3 2 3 2 3" xfId="11768" xr:uid="{A3570F7D-C3F2-4312-BF52-BA34F042F318}"/>
    <cellStyle name="40% - Accent3 3 2 3 3" xfId="5402" xr:uid="{00000000-0005-0000-0000-00005B050000}"/>
    <cellStyle name="40% - Accent3 3 2 3 3 2" xfId="13841" xr:uid="{D792C4A1-44BF-4F2E-A38A-86F53BE02B52}"/>
    <cellStyle name="40% - Accent3 3 2 3 4" xfId="9623" xr:uid="{1EB813F2-922E-43B3-A6E6-1D46D3283A65}"/>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399" xr:uid="{DE276BA7-F074-461D-A99F-A2C1B3E4CF93}"/>
    <cellStyle name="40% - Accent3 3 2 4 2 3" xfId="12181" xr:uid="{1F6E686A-FABF-46CC-8C50-79EBC70CAB9E}"/>
    <cellStyle name="40% - Accent3 3 2 4 3" xfId="5815" xr:uid="{00000000-0005-0000-0000-00005F050000}"/>
    <cellStyle name="40% - Accent3 3 2 4 3 2" xfId="14254" xr:uid="{AABD1416-C645-470F-9E82-3B9F56B3A21A}"/>
    <cellStyle name="40% - Accent3 3 2 4 4" xfId="10036" xr:uid="{75D93966-9390-4A69-A283-97C74E4CE548}"/>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2" xr:uid="{A3E466EF-8B3D-4EFC-9672-798831B0FE49}"/>
    <cellStyle name="40% - Accent3 3 2 5 2 3" xfId="12594" xr:uid="{F4462AF3-343D-4073-BC28-6D7FE97D90E0}"/>
    <cellStyle name="40% - Accent3 3 2 5 3" xfId="6228" xr:uid="{00000000-0005-0000-0000-000063050000}"/>
    <cellStyle name="40% - Accent3 3 2 5 3 2" xfId="14667" xr:uid="{46C10F4A-97EF-45E3-AE92-1F69A44ABBEA}"/>
    <cellStyle name="40% - Accent3 3 2 5 4" xfId="10449" xr:uid="{387D4B27-6BC2-4DC7-AC74-7ACB8581CA03}"/>
    <cellStyle name="40% - Accent3 3 2 6" xfId="2334" xr:uid="{00000000-0005-0000-0000-000064050000}"/>
    <cellStyle name="40% - Accent3 3 2 6 2" xfId="6641" xr:uid="{00000000-0005-0000-0000-000065050000}"/>
    <cellStyle name="40% - Accent3 3 2 6 2 2" xfId="15080" xr:uid="{651A20B4-6EDB-49EA-976C-1CBC12B28301}"/>
    <cellStyle name="40% - Accent3 3 2 6 3" xfId="10862" xr:uid="{F46162A2-287E-464C-B458-0F9C47FEED68}"/>
    <cellStyle name="40% - Accent3 3 2 7" xfId="4575" xr:uid="{00000000-0005-0000-0000-000066050000}"/>
    <cellStyle name="40% - Accent3 3 2 7 2" xfId="13014" xr:uid="{243C5E12-8180-421F-834B-12F19DAB2596}"/>
    <cellStyle name="40% - Accent3 3 2 8" xfId="8796" xr:uid="{8B5CC381-58A3-4E89-A3B1-8AA61A9B0C69}"/>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2" xr:uid="{A2FAB058-04F4-4F43-9E45-FAE25A2E3610}"/>
    <cellStyle name="40% - Accent3 3 3 2 3" xfId="11354" xr:uid="{0068D974-8436-4CA0-8E8C-4BC96018778E}"/>
    <cellStyle name="40% - Accent3 3 3 3" xfId="4988" xr:uid="{00000000-0005-0000-0000-00006A050000}"/>
    <cellStyle name="40% - Accent3 3 3 3 2" xfId="13427" xr:uid="{AEA6D78E-141A-4E06-85AE-D93B2DC5716C}"/>
    <cellStyle name="40% - Accent3 3 3 4" xfId="9209" xr:uid="{07BF8B4F-F2D1-4114-8E72-D4AA23390924}"/>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5" xr:uid="{DD4E21E3-B8F3-4365-9175-153552FC3CB0}"/>
    <cellStyle name="40% - Accent3 3 4 2 3" xfId="11767" xr:uid="{8015E683-682C-4B1B-8BEC-3B567FD61E1F}"/>
    <cellStyle name="40% - Accent3 3 4 3" xfId="5401" xr:uid="{00000000-0005-0000-0000-00006E050000}"/>
    <cellStyle name="40% - Accent3 3 4 3 2" xfId="13840" xr:uid="{C119C25E-21E0-4138-9A68-225518497C9D}"/>
    <cellStyle name="40% - Accent3 3 4 4" xfId="9622" xr:uid="{A6A4661A-7D89-4E40-A4C6-555BCF970004}"/>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398" xr:uid="{C9F7C02D-E011-47E8-8BC8-1BB023AEBE7B}"/>
    <cellStyle name="40% - Accent3 3 5 2 3" xfId="12180" xr:uid="{D0D1C69E-27CF-4889-9346-CAA34B3124DC}"/>
    <cellStyle name="40% - Accent3 3 5 3" xfId="5814" xr:uid="{00000000-0005-0000-0000-000072050000}"/>
    <cellStyle name="40% - Accent3 3 5 3 2" xfId="14253" xr:uid="{D609E07F-A848-49CC-806C-77673A02D806}"/>
    <cellStyle name="40% - Accent3 3 5 4" xfId="10035" xr:uid="{3022E66D-9D25-4D02-815F-074F38E4F542}"/>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1" xr:uid="{FEC76240-A409-433B-8A1C-C82DD381D990}"/>
    <cellStyle name="40% - Accent3 3 6 2 3" xfId="12593" xr:uid="{2BE414F1-3F99-4FE6-A215-354BBA131047}"/>
    <cellStyle name="40% - Accent3 3 6 3" xfId="6227" xr:uid="{00000000-0005-0000-0000-000076050000}"/>
    <cellStyle name="40% - Accent3 3 6 3 2" xfId="14666" xr:uid="{14FE4025-8E08-4606-9ECA-DEBF12611F5B}"/>
    <cellStyle name="40% - Accent3 3 6 4" xfId="10448" xr:uid="{B9200AC1-795C-4E76-B8BD-AB14FBCA761C}"/>
    <cellStyle name="40% - Accent3 3 7" xfId="2333" xr:uid="{00000000-0005-0000-0000-000077050000}"/>
    <cellStyle name="40% - Accent3 3 7 2" xfId="6640" xr:uid="{00000000-0005-0000-0000-000078050000}"/>
    <cellStyle name="40% - Accent3 3 7 2 2" xfId="15079" xr:uid="{2E1C2100-0591-4650-9EA3-B1E4302F98D6}"/>
    <cellStyle name="40% - Accent3 3 7 3" xfId="10861" xr:uid="{771FC6A8-1A2B-480F-81D3-D8DAB62FFE01}"/>
    <cellStyle name="40% - Accent3 3 8" xfId="4574" xr:uid="{00000000-0005-0000-0000-000079050000}"/>
    <cellStyle name="40% - Accent3 3 8 2" xfId="13013" xr:uid="{90BEBC1E-DD8D-45DD-BCAE-0D1C80F5C1FC}"/>
    <cellStyle name="40% - Accent3 3 9" xfId="8795" xr:uid="{B25409AD-E45A-4561-B77F-72492728142A}"/>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4" xr:uid="{D1761C09-F52C-4493-A13B-35B32AE0EB77}"/>
    <cellStyle name="40% - Accent3 4 2 2 3" xfId="11356" xr:uid="{290B1C6C-C222-4469-A52C-2CC3F13F3135}"/>
    <cellStyle name="40% - Accent3 4 2 3" xfId="4990" xr:uid="{00000000-0005-0000-0000-00007E050000}"/>
    <cellStyle name="40% - Accent3 4 2 3 2" xfId="13429" xr:uid="{83C656AA-8AD3-45C1-8252-B14A5E27E586}"/>
    <cellStyle name="40% - Accent3 4 2 4" xfId="9211" xr:uid="{B1E5A7AB-6BF3-4E1D-B109-B4AD775AD89D}"/>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87" xr:uid="{F651FB71-9509-41E6-A9D2-6AB659B91613}"/>
    <cellStyle name="40% - Accent3 4 3 2 3" xfId="11769" xr:uid="{FB5C139C-0B0B-40F1-94B3-ED5CB21B9831}"/>
    <cellStyle name="40% - Accent3 4 3 3" xfId="5403" xr:uid="{00000000-0005-0000-0000-000082050000}"/>
    <cellStyle name="40% - Accent3 4 3 3 2" xfId="13842" xr:uid="{EC04632E-55E0-46F4-BCDE-2864DE36DCE8}"/>
    <cellStyle name="40% - Accent3 4 3 4" xfId="9624" xr:uid="{BCCDE493-44D8-4251-9FBE-6DE11E0E8189}"/>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0" xr:uid="{9F90992E-40A0-4A89-A6A4-AFC1E0758DED}"/>
    <cellStyle name="40% - Accent3 4 4 2 3" xfId="12182" xr:uid="{55F93101-46DE-4C01-8027-B9CB3F77B5B7}"/>
    <cellStyle name="40% - Accent3 4 4 3" xfId="5816" xr:uid="{00000000-0005-0000-0000-000086050000}"/>
    <cellStyle name="40% - Accent3 4 4 3 2" xfId="14255" xr:uid="{B9970073-AF82-4AF8-8539-04DCD185282B}"/>
    <cellStyle name="40% - Accent3 4 4 4" xfId="10037" xr:uid="{A4B3A99C-CDE3-4827-B42D-C3B021EF401C}"/>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3" xr:uid="{03EF4DD9-53A3-4535-AB05-4BC461816ACB}"/>
    <cellStyle name="40% - Accent3 4 5 2 3" xfId="12595" xr:uid="{80571E2D-28FC-4BC5-87E9-FA4D2AC726C7}"/>
    <cellStyle name="40% - Accent3 4 5 3" xfId="6229" xr:uid="{00000000-0005-0000-0000-00008A050000}"/>
    <cellStyle name="40% - Accent3 4 5 3 2" xfId="14668" xr:uid="{22EF6CFB-EEB4-4B10-A70A-4D929F0084EF}"/>
    <cellStyle name="40% - Accent3 4 5 4" xfId="10450" xr:uid="{E80107DE-E434-4AAF-B66A-F6337CFB3676}"/>
    <cellStyle name="40% - Accent3 4 6" xfId="2335" xr:uid="{00000000-0005-0000-0000-00008B050000}"/>
    <cellStyle name="40% - Accent3 4 6 2" xfId="6642" xr:uid="{00000000-0005-0000-0000-00008C050000}"/>
    <cellStyle name="40% - Accent3 4 6 2 2" xfId="15081" xr:uid="{87A25F2A-A7CC-4AA4-816A-4D040333B81F}"/>
    <cellStyle name="40% - Accent3 4 6 3" xfId="10863" xr:uid="{896FCFA4-3347-4B36-BA15-4D6EAAE8CB45}"/>
    <cellStyle name="40% - Accent3 4 7" xfId="4576" xr:uid="{00000000-0005-0000-0000-00008D050000}"/>
    <cellStyle name="40% - Accent3 4 7 2" xfId="13015" xr:uid="{0CEB065C-B317-4214-AFBA-0D2B84116F0E}"/>
    <cellStyle name="40% - Accent3 4 8" xfId="8797" xr:uid="{570D3BDF-487F-48C6-849E-9C6B611A0F1D}"/>
    <cellStyle name="40% - Accent3 5" xfId="634" xr:uid="{00000000-0005-0000-0000-00008E050000}"/>
    <cellStyle name="40% - Accent3 5 2" xfId="2905" xr:uid="{00000000-0005-0000-0000-00008F050000}"/>
    <cellStyle name="40% - Accent3 5 2 2" xfId="7128" xr:uid="{00000000-0005-0000-0000-000090050000}"/>
    <cellStyle name="40% - Accent3 5 2 2 2" xfId="15567" xr:uid="{A4EAEC97-B234-4D40-A3FA-71795F8116BA}"/>
    <cellStyle name="40% - Accent3 5 2 3" xfId="11349" xr:uid="{FCE44152-7BD6-408E-981F-58D42E2E1059}"/>
    <cellStyle name="40% - Accent3 5 3" xfId="4983" xr:uid="{00000000-0005-0000-0000-000091050000}"/>
    <cellStyle name="40% - Accent3 5 3 2" xfId="13422" xr:uid="{37BCFDB8-3390-45B7-A8EC-6E8B4DC6291B}"/>
    <cellStyle name="40% - Accent3 5 4" xfId="9204" xr:uid="{9FFB42FC-46EA-4C2E-BAA2-B47F9A0BE58E}"/>
    <cellStyle name="40% - Accent3 6" xfId="1087" xr:uid="{00000000-0005-0000-0000-000092050000}"/>
    <cellStyle name="40% - Accent3 6 2" xfId="3318" xr:uid="{00000000-0005-0000-0000-000093050000}"/>
    <cellStyle name="40% - Accent3 6 2 2" xfId="7541" xr:uid="{00000000-0005-0000-0000-000094050000}"/>
    <cellStyle name="40% - Accent3 6 2 2 2" xfId="15980" xr:uid="{B5DDB494-3206-405F-B75A-423ECFD4B147}"/>
    <cellStyle name="40% - Accent3 6 2 3" xfId="11762" xr:uid="{E9E3C81A-EC30-4423-A3E4-13406037A3D6}"/>
    <cellStyle name="40% - Accent3 6 3" xfId="5396" xr:uid="{00000000-0005-0000-0000-000095050000}"/>
    <cellStyle name="40% - Accent3 6 3 2" xfId="13835" xr:uid="{B0687A0F-002E-4E1A-85F8-0A7C919BBDC8}"/>
    <cellStyle name="40% - Accent3 6 4" xfId="9617" xr:uid="{615FB759-0D27-4EBC-8AA9-CA2BFE1B82D3}"/>
    <cellStyle name="40% - Accent3 7" xfId="1501" xr:uid="{00000000-0005-0000-0000-000096050000}"/>
    <cellStyle name="40% - Accent3 7 2" xfId="3731" xr:uid="{00000000-0005-0000-0000-000097050000}"/>
    <cellStyle name="40% - Accent3 7 2 2" xfId="7954" xr:uid="{00000000-0005-0000-0000-000098050000}"/>
    <cellStyle name="40% - Accent3 7 2 2 2" xfId="16393" xr:uid="{B294C319-9904-4F03-9AA2-4F3EBF7BFDC8}"/>
    <cellStyle name="40% - Accent3 7 2 3" xfId="12175" xr:uid="{0BA01856-204E-4B30-B944-080106F1494A}"/>
    <cellStyle name="40% - Accent3 7 3" xfId="5809" xr:uid="{00000000-0005-0000-0000-000099050000}"/>
    <cellStyle name="40% - Accent3 7 3 2" xfId="14248" xr:uid="{429F204E-5597-4C94-B861-42ACE7C56407}"/>
    <cellStyle name="40% - Accent3 7 4" xfId="10030" xr:uid="{0A9E3BFB-C3EB-4835-8BD3-69B25BE4EE32}"/>
    <cellStyle name="40% - Accent3 8" xfId="1915" xr:uid="{00000000-0005-0000-0000-00009A050000}"/>
    <cellStyle name="40% - Accent3 8 2" xfId="4144" xr:uid="{00000000-0005-0000-0000-00009B050000}"/>
    <cellStyle name="40% - Accent3 8 2 2" xfId="8367" xr:uid="{00000000-0005-0000-0000-00009C050000}"/>
    <cellStyle name="40% - Accent3 8 2 2 2" xfId="16806" xr:uid="{9BABF6F3-5BDE-43B9-9C76-8754C21F6961}"/>
    <cellStyle name="40% - Accent3 8 2 3" xfId="12588" xr:uid="{CB971978-258B-4AF5-ABD9-C6BD77FDDB5D}"/>
    <cellStyle name="40% - Accent3 8 3" xfId="6222" xr:uid="{00000000-0005-0000-0000-00009D050000}"/>
    <cellStyle name="40% - Accent3 8 3 2" xfId="14661" xr:uid="{79321E2D-54D1-461C-A14C-D1A30ADB38BB}"/>
    <cellStyle name="40% - Accent3 8 4" xfId="10443" xr:uid="{3E950B5F-7ACA-4D0E-803D-AD4812166B4B}"/>
    <cellStyle name="40% - Accent3 9" xfId="2328" xr:uid="{00000000-0005-0000-0000-00009E050000}"/>
    <cellStyle name="40% - Accent3 9 2" xfId="6635" xr:uid="{00000000-0005-0000-0000-00009F050000}"/>
    <cellStyle name="40% - Accent3 9 2 2" xfId="15074" xr:uid="{FDC3E184-8506-4003-9655-78E5AABBFFB5}"/>
    <cellStyle name="40% - Accent3 9 3" xfId="10856" xr:uid="{9AC12B01-E7C4-40AD-999A-0B527F9A99F5}"/>
    <cellStyle name="40% - Accent4" xfId="73" builtinId="43" customBuiltin="1"/>
    <cellStyle name="40% - Accent4 10" xfId="4577" xr:uid="{00000000-0005-0000-0000-0000A1050000}"/>
    <cellStyle name="40% - Accent4 10 2" xfId="13016" xr:uid="{5552F64F-43CE-4412-A4CE-391D15ED0950}"/>
    <cellStyle name="40% - Accent4 11" xfId="8798" xr:uid="{8469F75F-A39A-4D54-8590-9EEF6D2993B4}"/>
    <cellStyle name="40% - Accent4 2" xfId="74" xr:uid="{00000000-0005-0000-0000-0000A2050000}"/>
    <cellStyle name="40% - Accent4 2 10" xfId="8799" xr:uid="{F991BA16-5EE6-40FB-BE12-7978696990B3}"/>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78" xr:uid="{4F81B100-A345-448A-826A-148AAC49BC83}"/>
    <cellStyle name="40% - Accent4 2 2 2 2 2 3" xfId="11360" xr:uid="{D20B99A1-09F2-42EB-83FF-B39F3BA29007}"/>
    <cellStyle name="40% - Accent4 2 2 2 2 3" xfId="4994" xr:uid="{00000000-0005-0000-0000-0000A8050000}"/>
    <cellStyle name="40% - Accent4 2 2 2 2 3 2" xfId="13433" xr:uid="{06DD3DAE-6AC6-4D51-8BAD-41465F2B173F}"/>
    <cellStyle name="40% - Accent4 2 2 2 2 4" xfId="9215" xr:uid="{70F66A3B-532D-4383-9875-47A72EBF6C47}"/>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1" xr:uid="{D3E545ED-A197-40CB-A387-4B89D6BDD566}"/>
    <cellStyle name="40% - Accent4 2 2 2 3 2 3" xfId="11773" xr:uid="{63AB3D8A-9546-44CF-8C8A-D6A29ED5CCEC}"/>
    <cellStyle name="40% - Accent4 2 2 2 3 3" xfId="5407" xr:uid="{00000000-0005-0000-0000-0000AC050000}"/>
    <cellStyle name="40% - Accent4 2 2 2 3 3 2" xfId="13846" xr:uid="{C8D71B7E-35E7-4DE8-BB46-23683C2F1794}"/>
    <cellStyle name="40% - Accent4 2 2 2 3 4" xfId="9628" xr:uid="{6BB7C6E1-D521-4E2A-8F21-FA46EE36CC9F}"/>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4" xr:uid="{08533C52-FF95-4CFD-9665-78EC41B39C22}"/>
    <cellStyle name="40% - Accent4 2 2 2 4 2 3" xfId="12186" xr:uid="{EFDAD2F7-21FE-4518-973D-FAEF347DFBD2}"/>
    <cellStyle name="40% - Accent4 2 2 2 4 3" xfId="5820" xr:uid="{00000000-0005-0000-0000-0000B0050000}"/>
    <cellStyle name="40% - Accent4 2 2 2 4 3 2" xfId="14259" xr:uid="{52F06CBF-75A6-4E23-9B47-2C10338D64A6}"/>
    <cellStyle name="40% - Accent4 2 2 2 4 4" xfId="10041" xr:uid="{9B5E730E-D839-4299-A44F-77E2A659E319}"/>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17" xr:uid="{C9198A94-8EBF-4725-AA3A-5F730DB5790E}"/>
    <cellStyle name="40% - Accent4 2 2 2 5 2 3" xfId="12599" xr:uid="{C380238B-84DB-4426-AD9D-D8B35E094494}"/>
    <cellStyle name="40% - Accent4 2 2 2 5 3" xfId="6233" xr:uid="{00000000-0005-0000-0000-0000B4050000}"/>
    <cellStyle name="40% - Accent4 2 2 2 5 3 2" xfId="14672" xr:uid="{AD649937-A322-43E0-8CF5-30951F77FF90}"/>
    <cellStyle name="40% - Accent4 2 2 2 5 4" xfId="10454" xr:uid="{C9A328B4-432B-4C93-AD43-09D37E604F85}"/>
    <cellStyle name="40% - Accent4 2 2 2 6" xfId="2339" xr:uid="{00000000-0005-0000-0000-0000B5050000}"/>
    <cellStyle name="40% - Accent4 2 2 2 6 2" xfId="6646" xr:uid="{00000000-0005-0000-0000-0000B6050000}"/>
    <cellStyle name="40% - Accent4 2 2 2 6 2 2" xfId="15085" xr:uid="{02EDB100-5B72-4DE0-B4D0-99537505E024}"/>
    <cellStyle name="40% - Accent4 2 2 2 6 3" xfId="10867" xr:uid="{2BABAEAB-2243-4977-8AFB-2FD19DC4DC01}"/>
    <cellStyle name="40% - Accent4 2 2 2 7" xfId="4580" xr:uid="{00000000-0005-0000-0000-0000B7050000}"/>
    <cellStyle name="40% - Accent4 2 2 2 7 2" xfId="13019" xr:uid="{F4B0E637-721F-4C83-93C8-DF1AC025946B}"/>
    <cellStyle name="40% - Accent4 2 2 2 8" xfId="8801" xr:uid="{C4C64966-6E03-40D8-A5CD-BBD9D1616441}"/>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77" xr:uid="{9351768A-1B4B-4BAE-8D16-A06C97FA8E26}"/>
    <cellStyle name="40% - Accent4 2 2 3 2 3" xfId="11359" xr:uid="{14FC6D83-4CB3-4B7C-AAA3-299EDAB52AC7}"/>
    <cellStyle name="40% - Accent4 2 2 3 3" xfId="4993" xr:uid="{00000000-0005-0000-0000-0000BB050000}"/>
    <cellStyle name="40% - Accent4 2 2 3 3 2" xfId="13432" xr:uid="{6308731F-4A90-47B4-ACD9-2F26476BF482}"/>
    <cellStyle name="40% - Accent4 2 2 3 4" xfId="9214" xr:uid="{26F14AC9-D929-49F0-953B-D790CB22BE90}"/>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0" xr:uid="{EB3DF060-FBCC-480C-B5BE-79A7E4EE2272}"/>
    <cellStyle name="40% - Accent4 2 2 4 2 3" xfId="11772" xr:uid="{F55A8A3C-7DEF-4ACC-A133-DE4A07E0BB08}"/>
    <cellStyle name="40% - Accent4 2 2 4 3" xfId="5406" xr:uid="{00000000-0005-0000-0000-0000BF050000}"/>
    <cellStyle name="40% - Accent4 2 2 4 3 2" xfId="13845" xr:uid="{4861067B-8E8C-4E72-BE37-1E1EA2576575}"/>
    <cellStyle name="40% - Accent4 2 2 4 4" xfId="9627" xr:uid="{91D04D38-8838-4B07-A1AF-612657F606C7}"/>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3" xr:uid="{4BE30A27-4B69-4727-AB48-FA6C49AAC524}"/>
    <cellStyle name="40% - Accent4 2 2 5 2 3" xfId="12185" xr:uid="{ECE590DC-17A6-4328-A566-3671EC34C892}"/>
    <cellStyle name="40% - Accent4 2 2 5 3" xfId="5819" xr:uid="{00000000-0005-0000-0000-0000C3050000}"/>
    <cellStyle name="40% - Accent4 2 2 5 3 2" xfId="14258" xr:uid="{5F6B787E-1FC6-4AE8-9D61-3E20156FBFF9}"/>
    <cellStyle name="40% - Accent4 2 2 5 4" xfId="10040" xr:uid="{E19F7599-A755-4EED-9132-8D416F988814}"/>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6" xr:uid="{4A658063-AEF3-46E4-A852-2746CD6AA895}"/>
    <cellStyle name="40% - Accent4 2 2 6 2 3" xfId="12598" xr:uid="{7B22D138-5BFF-4158-9AA6-6A3B04AE2C34}"/>
    <cellStyle name="40% - Accent4 2 2 6 3" xfId="6232" xr:uid="{00000000-0005-0000-0000-0000C7050000}"/>
    <cellStyle name="40% - Accent4 2 2 6 3 2" xfId="14671" xr:uid="{AE36284E-1554-4039-86D6-B73B119FB165}"/>
    <cellStyle name="40% - Accent4 2 2 6 4" xfId="10453" xr:uid="{4B7A6CD6-24CB-4157-B553-7C62B5219700}"/>
    <cellStyle name="40% - Accent4 2 2 7" xfId="2338" xr:uid="{00000000-0005-0000-0000-0000C8050000}"/>
    <cellStyle name="40% - Accent4 2 2 7 2" xfId="6645" xr:uid="{00000000-0005-0000-0000-0000C9050000}"/>
    <cellStyle name="40% - Accent4 2 2 7 2 2" xfId="15084" xr:uid="{825E5C0D-9F87-4F29-851A-360C851A90DC}"/>
    <cellStyle name="40% - Accent4 2 2 7 3" xfId="10866" xr:uid="{89508693-7338-4E05-A7E1-196D9F18223B}"/>
    <cellStyle name="40% - Accent4 2 2 8" xfId="4579" xr:uid="{00000000-0005-0000-0000-0000CA050000}"/>
    <cellStyle name="40% - Accent4 2 2 8 2" xfId="13018" xr:uid="{F7BD99D1-C384-4566-BFFB-D5A820EC2C26}"/>
    <cellStyle name="40% - Accent4 2 2 9" xfId="8800" xr:uid="{77C77077-F1B3-409F-AC73-F8349110E94B}"/>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79" xr:uid="{96B706A3-A8CC-40CD-81FC-4CBAAA918472}"/>
    <cellStyle name="40% - Accent4 2 3 2 2 3" xfId="11361" xr:uid="{18A4BAA1-CF80-4456-BA73-9E83F587BDBB}"/>
    <cellStyle name="40% - Accent4 2 3 2 3" xfId="4995" xr:uid="{00000000-0005-0000-0000-0000CF050000}"/>
    <cellStyle name="40% - Accent4 2 3 2 3 2" xfId="13434" xr:uid="{B95C9B9D-748C-4C71-A735-277BB9F9EB25}"/>
    <cellStyle name="40% - Accent4 2 3 2 4" xfId="9216" xr:uid="{8807C754-8CD4-41E0-811F-C69233F6B91E}"/>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2" xr:uid="{FCD014A0-0EE2-4C1B-A475-9323587DFF24}"/>
    <cellStyle name="40% - Accent4 2 3 3 2 3" xfId="11774" xr:uid="{5AD23FBB-625C-4602-9D63-B2DC8945C796}"/>
    <cellStyle name="40% - Accent4 2 3 3 3" xfId="5408" xr:uid="{00000000-0005-0000-0000-0000D3050000}"/>
    <cellStyle name="40% - Accent4 2 3 3 3 2" xfId="13847" xr:uid="{BA74F5F1-25DE-45E1-9B6C-AF6CC8E79099}"/>
    <cellStyle name="40% - Accent4 2 3 3 4" xfId="9629" xr:uid="{DE279CA5-BA14-4DB4-BE3C-79C7D2984AFE}"/>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5" xr:uid="{870F896D-1CF7-456F-A6F6-2E415449F1DE}"/>
    <cellStyle name="40% - Accent4 2 3 4 2 3" xfId="12187" xr:uid="{02D944FE-9C07-4B55-9139-406EC39D8C1A}"/>
    <cellStyle name="40% - Accent4 2 3 4 3" xfId="5821" xr:uid="{00000000-0005-0000-0000-0000D7050000}"/>
    <cellStyle name="40% - Accent4 2 3 4 3 2" xfId="14260" xr:uid="{05C1D002-1206-47CE-96B9-916B314F0524}"/>
    <cellStyle name="40% - Accent4 2 3 4 4" xfId="10042" xr:uid="{9A1EE5EB-49FE-4CCF-9106-3B04F9964DB7}"/>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18" xr:uid="{B5C4A704-BA6A-4877-8DEA-7965F340B0BC}"/>
    <cellStyle name="40% - Accent4 2 3 5 2 3" xfId="12600" xr:uid="{F99E3516-30D4-43A0-B53F-D815D99E1348}"/>
    <cellStyle name="40% - Accent4 2 3 5 3" xfId="6234" xr:uid="{00000000-0005-0000-0000-0000DB050000}"/>
    <cellStyle name="40% - Accent4 2 3 5 3 2" xfId="14673" xr:uid="{662DABF0-8BAB-4F92-B4AF-56133914B355}"/>
    <cellStyle name="40% - Accent4 2 3 5 4" xfId="10455" xr:uid="{AEE7D818-B1B4-4577-B127-31D400894E0D}"/>
    <cellStyle name="40% - Accent4 2 3 6" xfId="2340" xr:uid="{00000000-0005-0000-0000-0000DC050000}"/>
    <cellStyle name="40% - Accent4 2 3 6 2" xfId="6647" xr:uid="{00000000-0005-0000-0000-0000DD050000}"/>
    <cellStyle name="40% - Accent4 2 3 6 2 2" xfId="15086" xr:uid="{D38EE8C0-A38E-4DCD-8145-0046AFECC19B}"/>
    <cellStyle name="40% - Accent4 2 3 6 3" xfId="10868" xr:uid="{F2F1839F-D34A-42B4-B437-BFDC0ED61148}"/>
    <cellStyle name="40% - Accent4 2 3 7" xfId="4581" xr:uid="{00000000-0005-0000-0000-0000DE050000}"/>
    <cellStyle name="40% - Accent4 2 3 7 2" xfId="13020" xr:uid="{011ABD7E-DC07-45CF-AC0A-0554D3A9BD80}"/>
    <cellStyle name="40% - Accent4 2 3 8" xfId="8802" xr:uid="{F6C23DEA-5E50-4A33-814B-181B4B00437E}"/>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6" xr:uid="{13A53726-A4AA-455B-9C84-635229F87C66}"/>
    <cellStyle name="40% - Accent4 2 4 2 3" xfId="11358" xr:uid="{4058DA2B-88AC-45BC-ACAE-AA1D99AFC118}"/>
    <cellStyle name="40% - Accent4 2 4 3" xfId="4992" xr:uid="{00000000-0005-0000-0000-0000E2050000}"/>
    <cellStyle name="40% - Accent4 2 4 3 2" xfId="13431" xr:uid="{69FA8D96-E5D4-4A41-B402-86EEC0522536}"/>
    <cellStyle name="40% - Accent4 2 4 4" xfId="9213" xr:uid="{7589EC71-CF1E-4EE9-9263-8F9840C73F74}"/>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89" xr:uid="{15DD1D46-C36E-4DF1-9D86-7A820A608F7B}"/>
    <cellStyle name="40% - Accent4 2 5 2 3" xfId="11771" xr:uid="{6837887F-2851-4801-AE4D-79BD6D95C175}"/>
    <cellStyle name="40% - Accent4 2 5 3" xfId="5405" xr:uid="{00000000-0005-0000-0000-0000E6050000}"/>
    <cellStyle name="40% - Accent4 2 5 3 2" xfId="13844" xr:uid="{EA607DC2-FBDA-461A-AFE0-DB0CCE814D1D}"/>
    <cellStyle name="40% - Accent4 2 5 4" xfId="9626" xr:uid="{7DF47D2F-9960-476C-A3E8-643EA1EEA7A1}"/>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2" xr:uid="{06053319-9B5C-42BD-9500-ED06F6364620}"/>
    <cellStyle name="40% - Accent4 2 6 2 3" xfId="12184" xr:uid="{56EAE1DA-BE04-4590-AF3B-4814561F2AF4}"/>
    <cellStyle name="40% - Accent4 2 6 3" xfId="5818" xr:uid="{00000000-0005-0000-0000-0000EA050000}"/>
    <cellStyle name="40% - Accent4 2 6 3 2" xfId="14257" xr:uid="{66B5E5BB-8C35-4227-B332-E70987395D32}"/>
    <cellStyle name="40% - Accent4 2 6 4" xfId="10039" xr:uid="{F5EA706F-6D2A-4659-9E78-127296F0476E}"/>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5" xr:uid="{B38D2DE2-48A3-466E-AED2-600177BDD0F1}"/>
    <cellStyle name="40% - Accent4 2 7 2 3" xfId="12597" xr:uid="{74F881FF-3969-482D-B7CC-A7C381ABE639}"/>
    <cellStyle name="40% - Accent4 2 7 3" xfId="6231" xr:uid="{00000000-0005-0000-0000-0000EE050000}"/>
    <cellStyle name="40% - Accent4 2 7 3 2" xfId="14670" xr:uid="{E39F9FAB-185E-4177-A0F2-C5BA978B8676}"/>
    <cellStyle name="40% - Accent4 2 7 4" xfId="10452" xr:uid="{65143C76-56A5-4F22-8A0B-1599C847D072}"/>
    <cellStyle name="40% - Accent4 2 8" xfId="2337" xr:uid="{00000000-0005-0000-0000-0000EF050000}"/>
    <cellStyle name="40% - Accent4 2 8 2" xfId="6644" xr:uid="{00000000-0005-0000-0000-0000F0050000}"/>
    <cellStyle name="40% - Accent4 2 8 2 2" xfId="15083" xr:uid="{9BAFA790-056A-4E8F-AD91-4FABDD3BBC85}"/>
    <cellStyle name="40% - Accent4 2 8 3" xfId="10865" xr:uid="{E71E3A17-FF66-4A11-B7DC-613F7E0FBAF6}"/>
    <cellStyle name="40% - Accent4 2 9" xfId="4578" xr:uid="{00000000-0005-0000-0000-0000F1050000}"/>
    <cellStyle name="40% - Accent4 2 9 2" xfId="13017" xr:uid="{8DEDA1B2-40BD-4676-A791-41295C5E303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1" xr:uid="{AD5A3877-6811-49A6-BE46-CF826271B0A3}"/>
    <cellStyle name="40% - Accent4 3 2 2 2 3" xfId="11363" xr:uid="{4D6F981C-5867-4F0C-AC5F-7143B401BBAE}"/>
    <cellStyle name="40% - Accent4 3 2 2 3" xfId="4997" xr:uid="{00000000-0005-0000-0000-0000F7050000}"/>
    <cellStyle name="40% - Accent4 3 2 2 3 2" xfId="13436" xr:uid="{266492D6-DD12-4EC3-84D7-2079728DA812}"/>
    <cellStyle name="40% - Accent4 3 2 2 4" xfId="9218" xr:uid="{FD1D9357-353F-4905-B752-E033ABD1B40E}"/>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4" xr:uid="{94C45C01-E21E-468B-8453-062F7768F0EB}"/>
    <cellStyle name="40% - Accent4 3 2 3 2 3" xfId="11776" xr:uid="{A464B746-5D47-44A1-8DF4-5F414CE4AE1B}"/>
    <cellStyle name="40% - Accent4 3 2 3 3" xfId="5410" xr:uid="{00000000-0005-0000-0000-0000FB050000}"/>
    <cellStyle name="40% - Accent4 3 2 3 3 2" xfId="13849" xr:uid="{68D30D9E-120D-4723-86C0-4DBD9BEBCF6A}"/>
    <cellStyle name="40% - Accent4 3 2 3 4" xfId="9631" xr:uid="{7ECE5597-C65D-4A50-BFDA-CE49EDD0ABED}"/>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07" xr:uid="{4F16B221-1729-472B-B179-F1D323E42121}"/>
    <cellStyle name="40% - Accent4 3 2 4 2 3" xfId="12189" xr:uid="{7D03FA1B-A52B-4D9F-B743-8CDDB3714DC6}"/>
    <cellStyle name="40% - Accent4 3 2 4 3" xfId="5823" xr:uid="{00000000-0005-0000-0000-0000FF050000}"/>
    <cellStyle name="40% - Accent4 3 2 4 3 2" xfId="14262" xr:uid="{C1FB96F5-F9AD-4202-9E2F-36C093ED947E}"/>
    <cellStyle name="40% - Accent4 3 2 4 4" xfId="10044" xr:uid="{5CF8CF39-740F-4E41-B2FC-6A7928927813}"/>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0" xr:uid="{472F383D-4981-4C68-8612-8CD1E5AA53E6}"/>
    <cellStyle name="40% - Accent4 3 2 5 2 3" xfId="12602" xr:uid="{C6B34889-02F6-4098-B27E-3659BE129BF8}"/>
    <cellStyle name="40% - Accent4 3 2 5 3" xfId="6236" xr:uid="{00000000-0005-0000-0000-000003060000}"/>
    <cellStyle name="40% - Accent4 3 2 5 3 2" xfId="14675" xr:uid="{D9E51C45-9787-4F65-A391-EE5EF10527EB}"/>
    <cellStyle name="40% - Accent4 3 2 5 4" xfId="10457" xr:uid="{46256761-FA4D-4053-B1D5-DAEE481DC421}"/>
    <cellStyle name="40% - Accent4 3 2 6" xfId="2342" xr:uid="{00000000-0005-0000-0000-000004060000}"/>
    <cellStyle name="40% - Accent4 3 2 6 2" xfId="6649" xr:uid="{00000000-0005-0000-0000-000005060000}"/>
    <cellStyle name="40% - Accent4 3 2 6 2 2" xfId="15088" xr:uid="{5940730B-3B65-4FD3-8175-75B90E4EEC9F}"/>
    <cellStyle name="40% - Accent4 3 2 6 3" xfId="10870" xr:uid="{6E9B785C-55F2-4D94-8942-138352C95A38}"/>
    <cellStyle name="40% - Accent4 3 2 7" xfId="4583" xr:uid="{00000000-0005-0000-0000-000006060000}"/>
    <cellStyle name="40% - Accent4 3 2 7 2" xfId="13022" xr:uid="{F394264A-091B-4719-91CE-624C12F6266C}"/>
    <cellStyle name="40% - Accent4 3 2 8" xfId="8804" xr:uid="{55BB6570-8131-475F-87C8-9C53991CD7F8}"/>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0" xr:uid="{48CBE0A6-A70B-4FAE-965B-3823A4881458}"/>
    <cellStyle name="40% - Accent4 3 3 2 3" xfId="11362" xr:uid="{976C677C-7097-404C-8101-2580993F79B1}"/>
    <cellStyle name="40% - Accent4 3 3 3" xfId="4996" xr:uid="{00000000-0005-0000-0000-00000A060000}"/>
    <cellStyle name="40% - Accent4 3 3 3 2" xfId="13435" xr:uid="{B491CCBD-7074-4960-8DA9-661EDD790424}"/>
    <cellStyle name="40% - Accent4 3 3 4" xfId="9217" xr:uid="{67845376-1A8D-48BE-A6EC-4FDB938D4AE6}"/>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3" xr:uid="{7BBBF75C-3C0C-4309-98E6-A09989C3FE7A}"/>
    <cellStyle name="40% - Accent4 3 4 2 3" xfId="11775" xr:uid="{CCD93E6C-21F0-45AA-91AC-5AC2EF944DD9}"/>
    <cellStyle name="40% - Accent4 3 4 3" xfId="5409" xr:uid="{00000000-0005-0000-0000-00000E060000}"/>
    <cellStyle name="40% - Accent4 3 4 3 2" xfId="13848" xr:uid="{C8DF17EA-4F98-4B47-BF92-8EF569A7284E}"/>
    <cellStyle name="40% - Accent4 3 4 4" xfId="9630" xr:uid="{3223981A-6F1D-4D27-AC9E-7CB7F3A3D0DC}"/>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6" xr:uid="{C25E682D-A7FE-4B03-AC51-F5EA934EEC7E}"/>
    <cellStyle name="40% - Accent4 3 5 2 3" xfId="12188" xr:uid="{4F3864D4-1DF1-4082-8650-86907114ACE1}"/>
    <cellStyle name="40% - Accent4 3 5 3" xfId="5822" xr:uid="{00000000-0005-0000-0000-000012060000}"/>
    <cellStyle name="40% - Accent4 3 5 3 2" xfId="14261" xr:uid="{BE553AC7-2026-4029-BF78-50108DEB4A5B}"/>
    <cellStyle name="40% - Accent4 3 5 4" xfId="10043" xr:uid="{2BB9F0F9-8DBE-4B88-8105-13BA94B7784A}"/>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19" xr:uid="{9737D861-C9BA-41D8-B236-442308C261CF}"/>
    <cellStyle name="40% - Accent4 3 6 2 3" xfId="12601" xr:uid="{9E9A70A9-ABB6-4309-AECE-F89653B074B9}"/>
    <cellStyle name="40% - Accent4 3 6 3" xfId="6235" xr:uid="{00000000-0005-0000-0000-000016060000}"/>
    <cellStyle name="40% - Accent4 3 6 3 2" xfId="14674" xr:uid="{9F5C1029-C629-4378-94F2-CF08EB119F0D}"/>
    <cellStyle name="40% - Accent4 3 6 4" xfId="10456" xr:uid="{2DEBF70D-C325-48C4-BAFC-C3C8DA8B55BD}"/>
    <cellStyle name="40% - Accent4 3 7" xfId="2341" xr:uid="{00000000-0005-0000-0000-000017060000}"/>
    <cellStyle name="40% - Accent4 3 7 2" xfId="6648" xr:uid="{00000000-0005-0000-0000-000018060000}"/>
    <cellStyle name="40% - Accent4 3 7 2 2" xfId="15087" xr:uid="{58A66708-DAA8-43BC-9179-5128910B64E8}"/>
    <cellStyle name="40% - Accent4 3 7 3" xfId="10869" xr:uid="{33630B6C-136C-4081-AA16-FD0CE1AF4E66}"/>
    <cellStyle name="40% - Accent4 3 8" xfId="4582" xr:uid="{00000000-0005-0000-0000-000019060000}"/>
    <cellStyle name="40% - Accent4 3 8 2" xfId="13021" xr:uid="{2DE198F8-7992-4924-AC33-428BFA3523B1}"/>
    <cellStyle name="40% - Accent4 3 9" xfId="8803" xr:uid="{D21D455D-CE9D-4B8B-9C0C-FEB7D6FF126F}"/>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2" xr:uid="{CF93688F-AD71-4C57-8507-DCF48F4AC645}"/>
    <cellStyle name="40% - Accent4 4 2 2 3" xfId="11364" xr:uid="{E1F5DAF5-9382-4944-8ED3-0138ECBC9744}"/>
    <cellStyle name="40% - Accent4 4 2 3" xfId="4998" xr:uid="{00000000-0005-0000-0000-00001E060000}"/>
    <cellStyle name="40% - Accent4 4 2 3 2" xfId="13437" xr:uid="{37ABCF74-2F5C-4825-80AE-8695A1523B99}"/>
    <cellStyle name="40% - Accent4 4 2 4" xfId="9219" xr:uid="{039900B5-C4FA-4656-B505-4720F42247C6}"/>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5" xr:uid="{43D5D8ED-CD7C-4319-A066-FFC4B633F184}"/>
    <cellStyle name="40% - Accent4 4 3 2 3" xfId="11777" xr:uid="{1F017F22-9528-46CB-9DEB-6B4F251BC634}"/>
    <cellStyle name="40% - Accent4 4 3 3" xfId="5411" xr:uid="{00000000-0005-0000-0000-000022060000}"/>
    <cellStyle name="40% - Accent4 4 3 3 2" xfId="13850" xr:uid="{DC66E493-5779-4A12-800A-F187BD23CE49}"/>
    <cellStyle name="40% - Accent4 4 3 4" xfId="9632" xr:uid="{13B5EFB1-9218-446E-B612-363EC12D7D40}"/>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08" xr:uid="{635089BC-51EF-4654-92F3-1B30628EBCA4}"/>
    <cellStyle name="40% - Accent4 4 4 2 3" xfId="12190" xr:uid="{364BE93A-689D-49D3-955E-9713E0556561}"/>
    <cellStyle name="40% - Accent4 4 4 3" xfId="5824" xr:uid="{00000000-0005-0000-0000-000026060000}"/>
    <cellStyle name="40% - Accent4 4 4 3 2" xfId="14263" xr:uid="{9B876A77-1104-40EF-A43D-DE37CEC2B398}"/>
    <cellStyle name="40% - Accent4 4 4 4" xfId="10045" xr:uid="{66808E60-3149-4030-9FDD-841CE8B0482A}"/>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1" xr:uid="{358C40AC-7C29-4E65-B572-305CC5054F12}"/>
    <cellStyle name="40% - Accent4 4 5 2 3" xfId="12603" xr:uid="{D864B97A-AFD8-4C2D-A9F2-30FB8693195D}"/>
    <cellStyle name="40% - Accent4 4 5 3" xfId="6237" xr:uid="{00000000-0005-0000-0000-00002A060000}"/>
    <cellStyle name="40% - Accent4 4 5 3 2" xfId="14676" xr:uid="{2B51258F-F1C6-4E02-B8EB-85CB985A3DC3}"/>
    <cellStyle name="40% - Accent4 4 5 4" xfId="10458" xr:uid="{96D6E0AF-C1E6-4BA2-8DFB-7DE7BFCB0113}"/>
    <cellStyle name="40% - Accent4 4 6" xfId="2343" xr:uid="{00000000-0005-0000-0000-00002B060000}"/>
    <cellStyle name="40% - Accent4 4 6 2" xfId="6650" xr:uid="{00000000-0005-0000-0000-00002C060000}"/>
    <cellStyle name="40% - Accent4 4 6 2 2" xfId="15089" xr:uid="{3241FF80-2EC8-4CAB-A537-FE0270CD5F5D}"/>
    <cellStyle name="40% - Accent4 4 6 3" xfId="10871" xr:uid="{2F08A472-B1CE-45F3-853F-A433779F1886}"/>
    <cellStyle name="40% - Accent4 4 7" xfId="4584" xr:uid="{00000000-0005-0000-0000-00002D060000}"/>
    <cellStyle name="40% - Accent4 4 7 2" xfId="13023" xr:uid="{A6A3308A-C920-4E92-9AC7-5D62078F39CE}"/>
    <cellStyle name="40% - Accent4 4 8" xfId="8805" xr:uid="{2D7D5E83-2533-4C90-8D5F-0B8AE819C4CE}"/>
    <cellStyle name="40% - Accent4 5" xfId="642" xr:uid="{00000000-0005-0000-0000-00002E060000}"/>
    <cellStyle name="40% - Accent4 5 2" xfId="2913" xr:uid="{00000000-0005-0000-0000-00002F060000}"/>
    <cellStyle name="40% - Accent4 5 2 2" xfId="7136" xr:uid="{00000000-0005-0000-0000-000030060000}"/>
    <cellStyle name="40% - Accent4 5 2 2 2" xfId="15575" xr:uid="{6CE20BBA-8605-4AA3-AC0B-97DBC5C24A15}"/>
    <cellStyle name="40% - Accent4 5 2 3" xfId="11357" xr:uid="{BD70BE04-93B8-439B-9CD4-C793F85402E7}"/>
    <cellStyle name="40% - Accent4 5 3" xfId="4991" xr:uid="{00000000-0005-0000-0000-000031060000}"/>
    <cellStyle name="40% - Accent4 5 3 2" xfId="13430" xr:uid="{E09A1814-48AC-4EC1-A86C-84EAF868EF65}"/>
    <cellStyle name="40% - Accent4 5 4" xfId="9212" xr:uid="{09470384-17BA-4F1F-82FC-6600F9526EB0}"/>
    <cellStyle name="40% - Accent4 6" xfId="1095" xr:uid="{00000000-0005-0000-0000-000032060000}"/>
    <cellStyle name="40% - Accent4 6 2" xfId="3326" xr:uid="{00000000-0005-0000-0000-000033060000}"/>
    <cellStyle name="40% - Accent4 6 2 2" xfId="7549" xr:uid="{00000000-0005-0000-0000-000034060000}"/>
    <cellStyle name="40% - Accent4 6 2 2 2" xfId="15988" xr:uid="{A6416EC3-766A-4E8A-AC1F-0CC737E7593D}"/>
    <cellStyle name="40% - Accent4 6 2 3" xfId="11770" xr:uid="{8F7E1158-64CB-482A-B0A1-6A0C7C52579F}"/>
    <cellStyle name="40% - Accent4 6 3" xfId="5404" xr:uid="{00000000-0005-0000-0000-000035060000}"/>
    <cellStyle name="40% - Accent4 6 3 2" xfId="13843" xr:uid="{D757F43E-CE10-4EF7-A880-96D3FFBEF6ED}"/>
    <cellStyle name="40% - Accent4 6 4" xfId="9625" xr:uid="{A8B1E33A-3315-4116-805B-11F30F9F3301}"/>
    <cellStyle name="40% - Accent4 7" xfId="1509" xr:uid="{00000000-0005-0000-0000-000036060000}"/>
    <cellStyle name="40% - Accent4 7 2" xfId="3739" xr:uid="{00000000-0005-0000-0000-000037060000}"/>
    <cellStyle name="40% - Accent4 7 2 2" xfId="7962" xr:uid="{00000000-0005-0000-0000-000038060000}"/>
    <cellStyle name="40% - Accent4 7 2 2 2" xfId="16401" xr:uid="{66D2FD22-3E61-48E7-A0B6-C7879C24F36A}"/>
    <cellStyle name="40% - Accent4 7 2 3" xfId="12183" xr:uid="{DBEA5F39-D959-4002-A1A1-068B2522B576}"/>
    <cellStyle name="40% - Accent4 7 3" xfId="5817" xr:uid="{00000000-0005-0000-0000-000039060000}"/>
    <cellStyle name="40% - Accent4 7 3 2" xfId="14256" xr:uid="{4E6720B7-52B6-44B5-850E-F83EA774C089}"/>
    <cellStyle name="40% - Accent4 7 4" xfId="10038" xr:uid="{DEE2E7F9-8461-4442-8456-4F1304C41621}"/>
    <cellStyle name="40% - Accent4 8" xfId="1923" xr:uid="{00000000-0005-0000-0000-00003A060000}"/>
    <cellStyle name="40% - Accent4 8 2" xfId="4152" xr:uid="{00000000-0005-0000-0000-00003B060000}"/>
    <cellStyle name="40% - Accent4 8 2 2" xfId="8375" xr:uid="{00000000-0005-0000-0000-00003C060000}"/>
    <cellStyle name="40% - Accent4 8 2 2 2" xfId="16814" xr:uid="{706E4963-7F93-4FE8-BED2-BD1353B91425}"/>
    <cellStyle name="40% - Accent4 8 2 3" xfId="12596" xr:uid="{7E86390B-1592-48C9-8FFD-71E1D9F1C8CF}"/>
    <cellStyle name="40% - Accent4 8 3" xfId="6230" xr:uid="{00000000-0005-0000-0000-00003D060000}"/>
    <cellStyle name="40% - Accent4 8 3 2" xfId="14669" xr:uid="{67BA092D-216B-4A4A-8478-B0C197990C47}"/>
    <cellStyle name="40% - Accent4 8 4" xfId="10451" xr:uid="{21CEB995-CEA5-49C1-A18B-44325FC4379B}"/>
    <cellStyle name="40% - Accent4 9" xfId="2336" xr:uid="{00000000-0005-0000-0000-00003E060000}"/>
    <cellStyle name="40% - Accent4 9 2" xfId="6643" xr:uid="{00000000-0005-0000-0000-00003F060000}"/>
    <cellStyle name="40% - Accent4 9 2 2" xfId="15082" xr:uid="{9AABB18B-C552-4137-8F5D-7D53374CF0C7}"/>
    <cellStyle name="40% - Accent4 9 3" xfId="10864" xr:uid="{0B275E64-6B44-4441-AD33-0B0D65B66883}"/>
    <cellStyle name="40% - Accent5" xfId="81" builtinId="47" customBuiltin="1"/>
    <cellStyle name="40% - Accent5 10" xfId="4585" xr:uid="{00000000-0005-0000-0000-000041060000}"/>
    <cellStyle name="40% - Accent5 10 2" xfId="13024" xr:uid="{45E046C4-CC9C-4C01-BC0D-BEA676CF9AB9}"/>
    <cellStyle name="40% - Accent5 11" xfId="8806" xr:uid="{146A92FF-5245-4DF1-B6EA-A75905EFBE46}"/>
    <cellStyle name="40% - Accent5 2" xfId="82" xr:uid="{00000000-0005-0000-0000-000042060000}"/>
    <cellStyle name="40% - Accent5 2 10" xfId="8807" xr:uid="{A4C3643D-2B8C-4CC6-B152-D36E0769A0F4}"/>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6" xr:uid="{951D7DA5-F11B-499C-AE1C-0E96B42D09F5}"/>
    <cellStyle name="40% - Accent5 2 2 2 2 2 3" xfId="11368" xr:uid="{60243A95-0ABA-4921-A6D9-ABF592D58CDF}"/>
    <cellStyle name="40% - Accent5 2 2 2 2 3" xfId="5002" xr:uid="{00000000-0005-0000-0000-000048060000}"/>
    <cellStyle name="40% - Accent5 2 2 2 2 3 2" xfId="13441" xr:uid="{C0C4DF00-3645-435C-8B18-E88DC518B8FD}"/>
    <cellStyle name="40% - Accent5 2 2 2 2 4" xfId="9223" xr:uid="{45746E19-9B35-43B7-99A6-9FAC5F9C0D8A}"/>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5999" xr:uid="{B7085D68-C2D8-4984-A689-832FC02C3D41}"/>
    <cellStyle name="40% - Accent5 2 2 2 3 2 3" xfId="11781" xr:uid="{3E0DEB57-DD4D-43FD-BEB0-F3F575546477}"/>
    <cellStyle name="40% - Accent5 2 2 2 3 3" xfId="5415" xr:uid="{00000000-0005-0000-0000-00004C060000}"/>
    <cellStyle name="40% - Accent5 2 2 2 3 3 2" xfId="13854" xr:uid="{44685EAC-460B-4ECA-811E-68A747CD10A5}"/>
    <cellStyle name="40% - Accent5 2 2 2 3 4" xfId="9636" xr:uid="{94553E6F-B38D-4B29-A6EB-3C5CA89492CC}"/>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2" xr:uid="{C2949CF8-73FB-40CF-90BB-C186037CF1DA}"/>
    <cellStyle name="40% - Accent5 2 2 2 4 2 3" xfId="12194" xr:uid="{B965E9A6-1346-4F4E-A276-3822358CEB70}"/>
    <cellStyle name="40% - Accent5 2 2 2 4 3" xfId="5828" xr:uid="{00000000-0005-0000-0000-000050060000}"/>
    <cellStyle name="40% - Accent5 2 2 2 4 3 2" xfId="14267" xr:uid="{B5ACF7DB-3152-400D-B415-68954BC7DCDC}"/>
    <cellStyle name="40% - Accent5 2 2 2 4 4" xfId="10049" xr:uid="{6C7DD294-FCB6-48B2-A21C-C397E738405A}"/>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5" xr:uid="{F7D53918-69A9-409B-847D-20A2069D5FBE}"/>
    <cellStyle name="40% - Accent5 2 2 2 5 2 3" xfId="12607" xr:uid="{CC4F570A-17E6-46E0-A073-1DF5C530E439}"/>
    <cellStyle name="40% - Accent5 2 2 2 5 3" xfId="6241" xr:uid="{00000000-0005-0000-0000-000054060000}"/>
    <cellStyle name="40% - Accent5 2 2 2 5 3 2" xfId="14680" xr:uid="{CE6FD453-105B-40F5-A753-4B069470C5CC}"/>
    <cellStyle name="40% - Accent5 2 2 2 5 4" xfId="10462" xr:uid="{519ECC43-90A5-4F97-B78A-0BF694E08EAD}"/>
    <cellStyle name="40% - Accent5 2 2 2 6" xfId="2347" xr:uid="{00000000-0005-0000-0000-000055060000}"/>
    <cellStyle name="40% - Accent5 2 2 2 6 2" xfId="6654" xr:uid="{00000000-0005-0000-0000-000056060000}"/>
    <cellStyle name="40% - Accent5 2 2 2 6 2 2" xfId="15093" xr:uid="{F0E88B7C-F2C2-4843-8502-3C21288355F9}"/>
    <cellStyle name="40% - Accent5 2 2 2 6 3" xfId="10875" xr:uid="{AC668262-85FF-4587-9355-B80DA376CC6A}"/>
    <cellStyle name="40% - Accent5 2 2 2 7" xfId="4588" xr:uid="{00000000-0005-0000-0000-000057060000}"/>
    <cellStyle name="40% - Accent5 2 2 2 7 2" xfId="13027" xr:uid="{816BF7EF-D852-4F46-9A11-A2E4D9399A27}"/>
    <cellStyle name="40% - Accent5 2 2 2 8" xfId="8809" xr:uid="{5F9B126B-8766-41AB-AD8F-8D83440E6826}"/>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5" xr:uid="{F6DDCB9A-108B-43F7-B129-5E9BE790FC5B}"/>
    <cellStyle name="40% - Accent5 2 2 3 2 3" xfId="11367" xr:uid="{911004D0-3314-4855-8B42-EF33617BB3D3}"/>
    <cellStyle name="40% - Accent5 2 2 3 3" xfId="5001" xr:uid="{00000000-0005-0000-0000-00005B060000}"/>
    <cellStyle name="40% - Accent5 2 2 3 3 2" xfId="13440" xr:uid="{53058E6A-5F22-40F7-8059-2CCF8794E15B}"/>
    <cellStyle name="40% - Accent5 2 2 3 4" xfId="9222" xr:uid="{230D2F60-9793-409C-89DD-5D115A4CDCF7}"/>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5998" xr:uid="{A9CE30AE-47F8-4D90-8035-041D9B4F964E}"/>
    <cellStyle name="40% - Accent5 2 2 4 2 3" xfId="11780" xr:uid="{B6F3E2A5-48AF-4AC3-9027-74BC36D81C8F}"/>
    <cellStyle name="40% - Accent5 2 2 4 3" xfId="5414" xr:uid="{00000000-0005-0000-0000-00005F060000}"/>
    <cellStyle name="40% - Accent5 2 2 4 3 2" xfId="13853" xr:uid="{EFA50965-84C3-4A11-B4A5-51654B3244AB}"/>
    <cellStyle name="40% - Accent5 2 2 4 4" xfId="9635" xr:uid="{385DF57B-DEDC-4B50-AC0E-896B933E0A04}"/>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1" xr:uid="{A6E6C370-0122-453C-8C0E-FA480D17F104}"/>
    <cellStyle name="40% - Accent5 2 2 5 2 3" xfId="12193" xr:uid="{59AD0BF1-752B-43E8-991C-60E0BF244A64}"/>
    <cellStyle name="40% - Accent5 2 2 5 3" xfId="5827" xr:uid="{00000000-0005-0000-0000-000063060000}"/>
    <cellStyle name="40% - Accent5 2 2 5 3 2" xfId="14266" xr:uid="{4BDC1929-F259-4AB6-9B74-E5EE7A754513}"/>
    <cellStyle name="40% - Accent5 2 2 5 4" xfId="10048" xr:uid="{CAEEDAFD-AD80-40FC-8A5C-F5BBAE67C02E}"/>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4" xr:uid="{8F43005A-9947-46B0-87BB-4DBB6EA836BE}"/>
    <cellStyle name="40% - Accent5 2 2 6 2 3" xfId="12606" xr:uid="{D3F58BD6-300F-4DF6-ADC0-5DB0E8A88056}"/>
    <cellStyle name="40% - Accent5 2 2 6 3" xfId="6240" xr:uid="{00000000-0005-0000-0000-000067060000}"/>
    <cellStyle name="40% - Accent5 2 2 6 3 2" xfId="14679" xr:uid="{DCE7922E-C18D-4C96-9B8B-7AFD0A580BB2}"/>
    <cellStyle name="40% - Accent5 2 2 6 4" xfId="10461" xr:uid="{3123561F-B3CE-4F28-B940-CEE74528FB01}"/>
    <cellStyle name="40% - Accent5 2 2 7" xfId="2346" xr:uid="{00000000-0005-0000-0000-000068060000}"/>
    <cellStyle name="40% - Accent5 2 2 7 2" xfId="6653" xr:uid="{00000000-0005-0000-0000-000069060000}"/>
    <cellStyle name="40% - Accent5 2 2 7 2 2" xfId="15092" xr:uid="{D3CB8ECC-522D-4542-B860-E244DB6F9D84}"/>
    <cellStyle name="40% - Accent5 2 2 7 3" xfId="10874" xr:uid="{8A6E95CB-4E11-4991-9A68-C4EF480F569B}"/>
    <cellStyle name="40% - Accent5 2 2 8" xfId="4587" xr:uid="{00000000-0005-0000-0000-00006A060000}"/>
    <cellStyle name="40% - Accent5 2 2 8 2" xfId="13026" xr:uid="{E49E46E4-650D-47F1-9AE1-C135761B7536}"/>
    <cellStyle name="40% - Accent5 2 2 9" xfId="8808" xr:uid="{A39C3A63-D4F3-4E92-9DA0-F1197EA9D8F9}"/>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87" xr:uid="{0884FE3B-D569-4E7A-8F53-A940722CEF26}"/>
    <cellStyle name="40% - Accent5 2 3 2 2 3" xfId="11369" xr:uid="{73555709-77B5-43F2-9FB7-2A07CD178B6D}"/>
    <cellStyle name="40% - Accent5 2 3 2 3" xfId="5003" xr:uid="{00000000-0005-0000-0000-00006F060000}"/>
    <cellStyle name="40% - Accent5 2 3 2 3 2" xfId="13442" xr:uid="{97FB8936-096C-4ADE-BEE7-8A719981D8D3}"/>
    <cellStyle name="40% - Accent5 2 3 2 4" xfId="9224" xr:uid="{D31D6BC2-7129-4708-9F84-B03198A39B1E}"/>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0" xr:uid="{996F1917-D20E-471F-BE3A-E3838406088E}"/>
    <cellStyle name="40% - Accent5 2 3 3 2 3" xfId="11782" xr:uid="{3DBE2B97-7028-4FEC-B088-B3DFF0CEA305}"/>
    <cellStyle name="40% - Accent5 2 3 3 3" xfId="5416" xr:uid="{00000000-0005-0000-0000-000073060000}"/>
    <cellStyle name="40% - Accent5 2 3 3 3 2" xfId="13855" xr:uid="{A95EDD16-70CA-45A7-AAFF-AA9D728A85F6}"/>
    <cellStyle name="40% - Accent5 2 3 3 4" xfId="9637" xr:uid="{6307DB9D-986A-4DEF-A8C3-F64617FB8BF5}"/>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3" xr:uid="{4683F849-F03A-44AE-9901-4977976FAD39}"/>
    <cellStyle name="40% - Accent5 2 3 4 2 3" xfId="12195" xr:uid="{38C7C8FF-9213-454F-AAF4-C02ADD421CC4}"/>
    <cellStyle name="40% - Accent5 2 3 4 3" xfId="5829" xr:uid="{00000000-0005-0000-0000-000077060000}"/>
    <cellStyle name="40% - Accent5 2 3 4 3 2" xfId="14268" xr:uid="{73C009A2-8801-482C-8634-10FD130C3019}"/>
    <cellStyle name="40% - Accent5 2 3 4 4" xfId="10050" xr:uid="{E917C022-B88C-4E8A-A63F-245BB79C1C31}"/>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6" xr:uid="{B25A6A26-2A7A-4893-9AFE-F10DE1238E16}"/>
    <cellStyle name="40% - Accent5 2 3 5 2 3" xfId="12608" xr:uid="{B42956D7-4998-4C55-A064-548EA3E48F2B}"/>
    <cellStyle name="40% - Accent5 2 3 5 3" xfId="6242" xr:uid="{00000000-0005-0000-0000-00007B060000}"/>
    <cellStyle name="40% - Accent5 2 3 5 3 2" xfId="14681" xr:uid="{1E60F939-DD4E-4ADB-91D7-742BE837502B}"/>
    <cellStyle name="40% - Accent5 2 3 5 4" xfId="10463" xr:uid="{5E125B97-C728-4110-BFC2-CCB99825D5DC}"/>
    <cellStyle name="40% - Accent5 2 3 6" xfId="2348" xr:uid="{00000000-0005-0000-0000-00007C060000}"/>
    <cellStyle name="40% - Accent5 2 3 6 2" xfId="6655" xr:uid="{00000000-0005-0000-0000-00007D060000}"/>
    <cellStyle name="40% - Accent5 2 3 6 2 2" xfId="15094" xr:uid="{C90190B4-AAA6-4FB5-A823-CA3EE3BCF805}"/>
    <cellStyle name="40% - Accent5 2 3 6 3" xfId="10876" xr:uid="{B08ACE78-A934-4A04-8C2A-4BAAA77CA572}"/>
    <cellStyle name="40% - Accent5 2 3 7" xfId="4589" xr:uid="{00000000-0005-0000-0000-00007E060000}"/>
    <cellStyle name="40% - Accent5 2 3 7 2" xfId="13028" xr:uid="{72D0B6F0-17AA-452B-A834-FB8E76A608FD}"/>
    <cellStyle name="40% - Accent5 2 3 8" xfId="8810" xr:uid="{4E97E48D-128E-4480-BC76-486048130955}"/>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4" xr:uid="{8CEA4968-07ED-4D27-BDB8-D4E7EE347001}"/>
    <cellStyle name="40% - Accent5 2 4 2 3" xfId="11366" xr:uid="{8149FA85-BE80-46B6-8C17-6EC2EF7E450A}"/>
    <cellStyle name="40% - Accent5 2 4 3" xfId="5000" xr:uid="{00000000-0005-0000-0000-000082060000}"/>
    <cellStyle name="40% - Accent5 2 4 3 2" xfId="13439" xr:uid="{42C20B07-D225-442A-B241-78090B25E30E}"/>
    <cellStyle name="40% - Accent5 2 4 4" xfId="9221" xr:uid="{265F35FE-CFF9-4852-BCD4-8F95A9B80DA8}"/>
    <cellStyle name="40% - Accent5 2 5" xfId="1104" xr:uid="{00000000-0005-0000-0000-000083060000}"/>
    <cellStyle name="40% - Accent5 2 5 2" xfId="3335" xr:uid="{00000000-0005-0000-0000-000084060000}"/>
    <cellStyle name="40% - Accent5 2 5 2 2" xfId="7558" xr:uid="{00000000-0005-0000-0000-000085060000}"/>
    <cellStyle name="40% - Accent5 2 5 2 2 2" xfId="15997" xr:uid="{BEA5FC7E-B97B-402B-91EE-8F0A9803EB3D}"/>
    <cellStyle name="40% - Accent5 2 5 2 3" xfId="11779" xr:uid="{028C5190-7720-40D1-8220-65CC15885AD1}"/>
    <cellStyle name="40% - Accent5 2 5 3" xfId="5413" xr:uid="{00000000-0005-0000-0000-000086060000}"/>
    <cellStyle name="40% - Accent5 2 5 3 2" xfId="13852" xr:uid="{B5C4F05C-A3CC-41C6-993E-2AF119F5E6C0}"/>
    <cellStyle name="40% - Accent5 2 5 4" xfId="9634" xr:uid="{FB33D35D-96DC-4344-98B4-D2C0A3A84E7F}"/>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0" xr:uid="{EC246E50-B6F9-415C-A1BE-06D50A6A7AEC}"/>
    <cellStyle name="40% - Accent5 2 6 2 3" xfId="12192" xr:uid="{57034CAB-0F11-42FD-A5F5-E278510D1545}"/>
    <cellStyle name="40% - Accent5 2 6 3" xfId="5826" xr:uid="{00000000-0005-0000-0000-00008A060000}"/>
    <cellStyle name="40% - Accent5 2 6 3 2" xfId="14265" xr:uid="{5DB78707-BFF2-4845-8081-3D4961AD3232}"/>
    <cellStyle name="40% - Accent5 2 6 4" xfId="10047" xr:uid="{E82472BE-CEF4-45CC-94FB-C74CA96C1792}"/>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3" xr:uid="{CF369BBF-6705-4569-9F16-B5A3A6F8C030}"/>
    <cellStyle name="40% - Accent5 2 7 2 3" xfId="12605" xr:uid="{705E2107-95EE-4126-B2C8-3BC71274CFA8}"/>
    <cellStyle name="40% - Accent5 2 7 3" xfId="6239" xr:uid="{00000000-0005-0000-0000-00008E060000}"/>
    <cellStyle name="40% - Accent5 2 7 3 2" xfId="14678" xr:uid="{B5F85925-A776-4C30-A919-9FE60FE67705}"/>
    <cellStyle name="40% - Accent5 2 7 4" xfId="10460" xr:uid="{9008A67C-31BC-4889-8AA1-F020DCDFC99E}"/>
    <cellStyle name="40% - Accent5 2 8" xfId="2345" xr:uid="{00000000-0005-0000-0000-00008F060000}"/>
    <cellStyle name="40% - Accent5 2 8 2" xfId="6652" xr:uid="{00000000-0005-0000-0000-000090060000}"/>
    <cellStyle name="40% - Accent5 2 8 2 2" xfId="15091" xr:uid="{7C98862B-19F0-490D-B33F-705375DB2868}"/>
    <cellStyle name="40% - Accent5 2 8 3" xfId="10873" xr:uid="{6BA75A8C-BE53-41ED-83DC-4839C84D91CA}"/>
    <cellStyle name="40% - Accent5 2 9" xfId="4586" xr:uid="{00000000-0005-0000-0000-000091060000}"/>
    <cellStyle name="40% - Accent5 2 9 2" xfId="13025" xr:uid="{9EF81EF1-A7ED-45B4-92DB-BA8CBA318535}"/>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89" xr:uid="{F7FD0460-E9E7-4889-ADC2-BC75EB0A33F0}"/>
    <cellStyle name="40% - Accent5 3 2 2 2 3" xfId="11371" xr:uid="{A23260F3-0403-42AD-8C92-E416CBFDC5D4}"/>
    <cellStyle name="40% - Accent5 3 2 2 3" xfId="5005" xr:uid="{00000000-0005-0000-0000-000097060000}"/>
    <cellStyle name="40% - Accent5 3 2 2 3 2" xfId="13444" xr:uid="{980A39FE-C268-4191-B16B-6B819F319B03}"/>
    <cellStyle name="40% - Accent5 3 2 2 4" xfId="9226" xr:uid="{226A882D-809E-432F-810F-51EE0D8165A5}"/>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2" xr:uid="{BF1D676A-0D33-47DF-BB7B-A1E4BB626DD1}"/>
    <cellStyle name="40% - Accent5 3 2 3 2 3" xfId="11784" xr:uid="{28F5C273-2795-429F-8D60-A449FF428E4D}"/>
    <cellStyle name="40% - Accent5 3 2 3 3" xfId="5418" xr:uid="{00000000-0005-0000-0000-00009B060000}"/>
    <cellStyle name="40% - Accent5 3 2 3 3 2" xfId="13857" xr:uid="{C9FDD795-A18B-4834-A694-9ECACC53927A}"/>
    <cellStyle name="40% - Accent5 3 2 3 4" xfId="9639" xr:uid="{E4CBD1ED-0704-4687-9CC6-0EDE78CCBDFC}"/>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5" xr:uid="{376C28BE-95BA-4A2A-9C47-757FADC1DC5F}"/>
    <cellStyle name="40% - Accent5 3 2 4 2 3" xfId="12197" xr:uid="{EA7FB6BE-5EBE-449E-8B1C-0CB1D8D3A2E0}"/>
    <cellStyle name="40% - Accent5 3 2 4 3" xfId="5831" xr:uid="{00000000-0005-0000-0000-00009F060000}"/>
    <cellStyle name="40% - Accent5 3 2 4 3 2" xfId="14270" xr:uid="{E47B1B80-5678-4637-90EE-F1B115BEF455}"/>
    <cellStyle name="40% - Accent5 3 2 4 4" xfId="10052" xr:uid="{5A92334F-902B-4B22-86F2-950E78D7334A}"/>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28" xr:uid="{31923CA2-034C-4C8C-8FF0-FE6A21C0BA62}"/>
    <cellStyle name="40% - Accent5 3 2 5 2 3" xfId="12610" xr:uid="{D4BBFEE7-0184-4E52-96FF-19685C34AA0E}"/>
    <cellStyle name="40% - Accent5 3 2 5 3" xfId="6244" xr:uid="{00000000-0005-0000-0000-0000A3060000}"/>
    <cellStyle name="40% - Accent5 3 2 5 3 2" xfId="14683" xr:uid="{D9175846-613F-45EC-BACE-6D70B0E2C948}"/>
    <cellStyle name="40% - Accent5 3 2 5 4" xfId="10465" xr:uid="{FAF64EDF-BBCE-47AC-B409-D415F0A77E1B}"/>
    <cellStyle name="40% - Accent5 3 2 6" xfId="2350" xr:uid="{00000000-0005-0000-0000-0000A4060000}"/>
    <cellStyle name="40% - Accent5 3 2 6 2" xfId="6657" xr:uid="{00000000-0005-0000-0000-0000A5060000}"/>
    <cellStyle name="40% - Accent5 3 2 6 2 2" xfId="15096" xr:uid="{B3F936DF-81F2-4F73-801D-0EEF24B93968}"/>
    <cellStyle name="40% - Accent5 3 2 6 3" xfId="10878" xr:uid="{8C7CC135-F536-4CAE-A85C-D58A96C949BF}"/>
    <cellStyle name="40% - Accent5 3 2 7" xfId="4591" xr:uid="{00000000-0005-0000-0000-0000A6060000}"/>
    <cellStyle name="40% - Accent5 3 2 7 2" xfId="13030" xr:uid="{802D4EBC-967F-46B2-AA89-609F5198D33C}"/>
    <cellStyle name="40% - Accent5 3 2 8" xfId="8812" xr:uid="{C8E627F0-708D-4266-B7AD-9CE16DE9D013}"/>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88" xr:uid="{F8CB775C-190D-4A76-93AF-14D0FA4C6167}"/>
    <cellStyle name="40% - Accent5 3 3 2 3" xfId="11370" xr:uid="{92D7B759-5828-474C-A950-4F91DAB0B815}"/>
    <cellStyle name="40% - Accent5 3 3 3" xfId="5004" xr:uid="{00000000-0005-0000-0000-0000AA060000}"/>
    <cellStyle name="40% - Accent5 3 3 3 2" xfId="13443" xr:uid="{7C7EAFB5-DF94-479F-B4AE-AA2E5E236E94}"/>
    <cellStyle name="40% - Accent5 3 3 4" xfId="9225" xr:uid="{0045CC50-78F3-4539-A586-7A8B5C16BC80}"/>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1" xr:uid="{28CABA48-D7C5-4610-B4EC-34D96E7AC62F}"/>
    <cellStyle name="40% - Accent5 3 4 2 3" xfId="11783" xr:uid="{2F3ED680-EC03-4133-BB74-25BE88AAC176}"/>
    <cellStyle name="40% - Accent5 3 4 3" xfId="5417" xr:uid="{00000000-0005-0000-0000-0000AE060000}"/>
    <cellStyle name="40% - Accent5 3 4 3 2" xfId="13856" xr:uid="{1E332511-5144-4E1E-9F31-BC79594A03F7}"/>
    <cellStyle name="40% - Accent5 3 4 4" xfId="9638" xr:uid="{A5FB6AC4-9EE0-4BF2-8145-8260A8A682CA}"/>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4" xr:uid="{CCF7D02B-6FF9-41A1-A283-DA7AD66254FE}"/>
    <cellStyle name="40% - Accent5 3 5 2 3" xfId="12196" xr:uid="{49057EAA-C7B4-49B7-B5A0-29510DD94452}"/>
    <cellStyle name="40% - Accent5 3 5 3" xfId="5830" xr:uid="{00000000-0005-0000-0000-0000B2060000}"/>
    <cellStyle name="40% - Accent5 3 5 3 2" xfId="14269" xr:uid="{5152E234-DC34-4503-A886-83C023DC0539}"/>
    <cellStyle name="40% - Accent5 3 5 4" xfId="10051" xr:uid="{1546E38E-739F-4A98-8A75-A20F0FC03CF7}"/>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27" xr:uid="{4B861EBE-A4B8-4A26-8C50-B74DEFFE677A}"/>
    <cellStyle name="40% - Accent5 3 6 2 3" xfId="12609" xr:uid="{C0A39171-46BF-4357-A364-89157D52362D}"/>
    <cellStyle name="40% - Accent5 3 6 3" xfId="6243" xr:uid="{00000000-0005-0000-0000-0000B6060000}"/>
    <cellStyle name="40% - Accent5 3 6 3 2" xfId="14682" xr:uid="{B48C66ED-D01E-4DBD-BE18-9EE564B2386C}"/>
    <cellStyle name="40% - Accent5 3 6 4" xfId="10464" xr:uid="{6E40989B-CA7F-441C-9A11-6626C207B5E8}"/>
    <cellStyle name="40% - Accent5 3 7" xfId="2349" xr:uid="{00000000-0005-0000-0000-0000B7060000}"/>
    <cellStyle name="40% - Accent5 3 7 2" xfId="6656" xr:uid="{00000000-0005-0000-0000-0000B8060000}"/>
    <cellStyle name="40% - Accent5 3 7 2 2" xfId="15095" xr:uid="{217FC55D-0C46-454F-8320-179DC4F4D2D4}"/>
    <cellStyle name="40% - Accent5 3 7 3" xfId="10877" xr:uid="{2EE5E317-5244-46BB-9125-0BC43B27007E}"/>
    <cellStyle name="40% - Accent5 3 8" xfId="4590" xr:uid="{00000000-0005-0000-0000-0000B9060000}"/>
    <cellStyle name="40% - Accent5 3 8 2" xfId="13029" xr:uid="{19945C1F-64A5-4CDB-AD1C-A5208D4668C9}"/>
    <cellStyle name="40% - Accent5 3 9" xfId="8811" xr:uid="{3DE7F120-C5EE-435B-8C11-436D9D9516DA}"/>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0" xr:uid="{0E387733-4BF1-4B20-A8DA-0476D5354BF9}"/>
    <cellStyle name="40% - Accent5 4 2 2 3" xfId="11372" xr:uid="{F144015B-9AE1-4AAA-B5A1-0A3631A9C9C9}"/>
    <cellStyle name="40% - Accent5 4 2 3" xfId="5006" xr:uid="{00000000-0005-0000-0000-0000BE060000}"/>
    <cellStyle name="40% - Accent5 4 2 3 2" xfId="13445" xr:uid="{76329DC6-E547-4C79-9FDD-32A8DE63954A}"/>
    <cellStyle name="40% - Accent5 4 2 4" xfId="9227" xr:uid="{7025D8BC-D56D-4B8A-A716-C51DAC80643C}"/>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3" xr:uid="{12E9D768-7741-4CF8-BDA7-2E578915025D}"/>
    <cellStyle name="40% - Accent5 4 3 2 3" xfId="11785" xr:uid="{DD70FFE0-C8C9-4806-AD0F-5308C2B78C6A}"/>
    <cellStyle name="40% - Accent5 4 3 3" xfId="5419" xr:uid="{00000000-0005-0000-0000-0000C2060000}"/>
    <cellStyle name="40% - Accent5 4 3 3 2" xfId="13858" xr:uid="{656C186D-A487-4456-8B15-8FE5FB8C93FE}"/>
    <cellStyle name="40% - Accent5 4 3 4" xfId="9640" xr:uid="{AE78599E-7416-49E8-AE3D-C519C48D1DA6}"/>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6" xr:uid="{A7DD4221-B3F3-4BE1-9CDF-A56B023E4812}"/>
    <cellStyle name="40% - Accent5 4 4 2 3" xfId="12198" xr:uid="{2482BF14-DE79-49A9-B9CD-D915AC82512F}"/>
    <cellStyle name="40% - Accent5 4 4 3" xfId="5832" xr:uid="{00000000-0005-0000-0000-0000C6060000}"/>
    <cellStyle name="40% - Accent5 4 4 3 2" xfId="14271" xr:uid="{8B57FBF1-250B-410D-9449-0B1C4D0DFF27}"/>
    <cellStyle name="40% - Accent5 4 4 4" xfId="10053" xr:uid="{C935300C-39B5-4DCF-ACB2-4FA9324D9514}"/>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29" xr:uid="{03B731D3-7B27-4063-8244-9AE96B27E6DA}"/>
    <cellStyle name="40% - Accent5 4 5 2 3" xfId="12611" xr:uid="{64068DF7-B2BC-4EE0-9AE8-D88EE9E47EEA}"/>
    <cellStyle name="40% - Accent5 4 5 3" xfId="6245" xr:uid="{00000000-0005-0000-0000-0000CA060000}"/>
    <cellStyle name="40% - Accent5 4 5 3 2" xfId="14684" xr:uid="{E2D6E199-D7E0-4E62-A3B4-A4B03E7C0F9A}"/>
    <cellStyle name="40% - Accent5 4 5 4" xfId="10466" xr:uid="{92B108BE-B72F-46A1-964F-3C5FFC4F3243}"/>
    <cellStyle name="40% - Accent5 4 6" xfId="2351" xr:uid="{00000000-0005-0000-0000-0000CB060000}"/>
    <cellStyle name="40% - Accent5 4 6 2" xfId="6658" xr:uid="{00000000-0005-0000-0000-0000CC060000}"/>
    <cellStyle name="40% - Accent5 4 6 2 2" xfId="15097" xr:uid="{17DD945A-F5E6-4A39-A5A4-F825B4002A79}"/>
    <cellStyle name="40% - Accent5 4 6 3" xfId="10879" xr:uid="{5EE215AD-9AFA-4071-BBA0-579EBFA7354A}"/>
    <cellStyle name="40% - Accent5 4 7" xfId="4592" xr:uid="{00000000-0005-0000-0000-0000CD060000}"/>
    <cellStyle name="40% - Accent5 4 7 2" xfId="13031" xr:uid="{D5FF4904-016B-4C82-8AD2-C5AA1389FA0A}"/>
    <cellStyle name="40% - Accent5 4 8" xfId="8813" xr:uid="{0D43082D-0D3C-4549-B249-2C1C96381C79}"/>
    <cellStyle name="40% - Accent5 5" xfId="650" xr:uid="{00000000-0005-0000-0000-0000CE060000}"/>
    <cellStyle name="40% - Accent5 5 2" xfId="2921" xr:uid="{00000000-0005-0000-0000-0000CF060000}"/>
    <cellStyle name="40% - Accent5 5 2 2" xfId="7144" xr:uid="{00000000-0005-0000-0000-0000D0060000}"/>
    <cellStyle name="40% - Accent5 5 2 2 2" xfId="15583" xr:uid="{3A42A2F2-A5C5-4FDB-8288-F0E001480DAE}"/>
    <cellStyle name="40% - Accent5 5 2 3" xfId="11365" xr:uid="{F6EA4A19-F6D2-4284-B2C4-2528C6436228}"/>
    <cellStyle name="40% - Accent5 5 3" xfId="4999" xr:uid="{00000000-0005-0000-0000-0000D1060000}"/>
    <cellStyle name="40% - Accent5 5 3 2" xfId="13438" xr:uid="{9425BC99-4AC7-4829-815D-2196E3228470}"/>
    <cellStyle name="40% - Accent5 5 4" xfId="9220" xr:uid="{39F05922-5F4C-461E-B305-CE35185BD16B}"/>
    <cellStyle name="40% - Accent5 6" xfId="1103" xr:uid="{00000000-0005-0000-0000-0000D2060000}"/>
    <cellStyle name="40% - Accent5 6 2" xfId="3334" xr:uid="{00000000-0005-0000-0000-0000D3060000}"/>
    <cellStyle name="40% - Accent5 6 2 2" xfId="7557" xr:uid="{00000000-0005-0000-0000-0000D4060000}"/>
    <cellStyle name="40% - Accent5 6 2 2 2" xfId="15996" xr:uid="{179D7BEA-971C-4CA4-83DF-ACB1802D7F9C}"/>
    <cellStyle name="40% - Accent5 6 2 3" xfId="11778" xr:uid="{65F0AC2A-3617-4844-AC44-88F7BD81A5DF}"/>
    <cellStyle name="40% - Accent5 6 3" xfId="5412" xr:uid="{00000000-0005-0000-0000-0000D5060000}"/>
    <cellStyle name="40% - Accent5 6 3 2" xfId="13851" xr:uid="{1E1D8548-100D-4C34-AD15-9747A972DE81}"/>
    <cellStyle name="40% - Accent5 6 4" xfId="9633" xr:uid="{F286405B-A504-445B-BADC-90559097CF9D}"/>
    <cellStyle name="40% - Accent5 7" xfId="1517" xr:uid="{00000000-0005-0000-0000-0000D6060000}"/>
    <cellStyle name="40% - Accent5 7 2" xfId="3747" xr:uid="{00000000-0005-0000-0000-0000D7060000}"/>
    <cellStyle name="40% - Accent5 7 2 2" xfId="7970" xr:uid="{00000000-0005-0000-0000-0000D8060000}"/>
    <cellStyle name="40% - Accent5 7 2 2 2" xfId="16409" xr:uid="{FC09C14F-E8FA-44F9-AA38-2C5E86366B70}"/>
    <cellStyle name="40% - Accent5 7 2 3" xfId="12191" xr:uid="{F0BA805A-3356-469D-81D9-36971D542766}"/>
    <cellStyle name="40% - Accent5 7 3" xfId="5825" xr:uid="{00000000-0005-0000-0000-0000D9060000}"/>
    <cellStyle name="40% - Accent5 7 3 2" xfId="14264" xr:uid="{28AA080D-71C8-466E-9CB7-842730837BCB}"/>
    <cellStyle name="40% - Accent5 7 4" xfId="10046" xr:uid="{7503D56C-079E-4890-B531-5F3965D8F0E9}"/>
    <cellStyle name="40% - Accent5 8" xfId="1931" xr:uid="{00000000-0005-0000-0000-0000DA060000}"/>
    <cellStyle name="40% - Accent5 8 2" xfId="4160" xr:uid="{00000000-0005-0000-0000-0000DB060000}"/>
    <cellStyle name="40% - Accent5 8 2 2" xfId="8383" xr:uid="{00000000-0005-0000-0000-0000DC060000}"/>
    <cellStyle name="40% - Accent5 8 2 2 2" xfId="16822" xr:uid="{0EA3E5B4-3FD1-4588-BB30-1B38B431E0D6}"/>
    <cellStyle name="40% - Accent5 8 2 3" xfId="12604" xr:uid="{A989E14C-63B3-4FA4-B364-27757468598A}"/>
    <cellStyle name="40% - Accent5 8 3" xfId="6238" xr:uid="{00000000-0005-0000-0000-0000DD060000}"/>
    <cellStyle name="40% - Accent5 8 3 2" xfId="14677" xr:uid="{D1393594-93DA-42D3-BBAC-DBF74B81061D}"/>
    <cellStyle name="40% - Accent5 8 4" xfId="10459" xr:uid="{D396578A-919B-49BA-A661-47734D45C064}"/>
    <cellStyle name="40% - Accent5 9" xfId="2344" xr:uid="{00000000-0005-0000-0000-0000DE060000}"/>
    <cellStyle name="40% - Accent5 9 2" xfId="6651" xr:uid="{00000000-0005-0000-0000-0000DF060000}"/>
    <cellStyle name="40% - Accent5 9 2 2" xfId="15090" xr:uid="{845751C0-7E00-4412-AB84-A19748904CCD}"/>
    <cellStyle name="40% - Accent5 9 3" xfId="10872" xr:uid="{120C7BF9-7845-4C9F-9DA2-B9CF82A883BA}"/>
    <cellStyle name="40% - Accent6" xfId="89" builtinId="51" customBuiltin="1"/>
    <cellStyle name="40% - Accent6 10" xfId="4593" xr:uid="{00000000-0005-0000-0000-0000E1060000}"/>
    <cellStyle name="40% - Accent6 10 2" xfId="13032" xr:uid="{32BFDF67-CE16-4996-B616-7C502CC3C24B}"/>
    <cellStyle name="40% - Accent6 11" xfId="8814" xr:uid="{9AAA1737-EB57-4A14-872A-4A37913DBC38}"/>
    <cellStyle name="40% - Accent6 2" xfId="90" xr:uid="{00000000-0005-0000-0000-0000E2060000}"/>
    <cellStyle name="40% - Accent6 2 10" xfId="8815" xr:uid="{AF2E0D54-90A1-44F0-A4F3-01695A2B3191}"/>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4" xr:uid="{0D39C257-FA4F-479F-B2C9-1DAE12868F3A}"/>
    <cellStyle name="40% - Accent6 2 2 2 2 2 3" xfId="11376" xr:uid="{69D07AFB-B52F-4F81-A268-4E22C1BCC452}"/>
    <cellStyle name="40% - Accent6 2 2 2 2 3" xfId="5010" xr:uid="{00000000-0005-0000-0000-0000E8060000}"/>
    <cellStyle name="40% - Accent6 2 2 2 2 3 2" xfId="13449" xr:uid="{6A6D30AC-DE12-4FE5-920D-8A06D60D79E6}"/>
    <cellStyle name="40% - Accent6 2 2 2 2 4" xfId="9231" xr:uid="{58763BF5-BE38-45B4-BB4E-0788BBB5503D}"/>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07" xr:uid="{B04A5B12-469A-4245-8D4A-EABB076F701B}"/>
    <cellStyle name="40% - Accent6 2 2 2 3 2 3" xfId="11789" xr:uid="{E3245146-AA06-4460-BF07-9321BF1F2D13}"/>
    <cellStyle name="40% - Accent6 2 2 2 3 3" xfId="5423" xr:uid="{00000000-0005-0000-0000-0000EC060000}"/>
    <cellStyle name="40% - Accent6 2 2 2 3 3 2" xfId="13862" xr:uid="{73FFE977-E4A1-4B95-A076-16A13A1CFB62}"/>
    <cellStyle name="40% - Accent6 2 2 2 3 4" xfId="9644" xr:uid="{ECF25E2D-1DF3-4BBC-803C-F5A61E8D8198}"/>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0" xr:uid="{7A7C309A-1425-46B7-9836-DED06E0F5B9A}"/>
    <cellStyle name="40% - Accent6 2 2 2 4 2 3" xfId="12202" xr:uid="{094CC9C6-ADCC-4448-BB7D-EF6C37EEBD5C}"/>
    <cellStyle name="40% - Accent6 2 2 2 4 3" xfId="5836" xr:uid="{00000000-0005-0000-0000-0000F0060000}"/>
    <cellStyle name="40% - Accent6 2 2 2 4 3 2" xfId="14275" xr:uid="{85C1DF66-7C07-4C15-A80E-AAAE6FFB5A8F}"/>
    <cellStyle name="40% - Accent6 2 2 2 4 4" xfId="10057" xr:uid="{A79D459E-079E-412C-9C1A-56E896C113F1}"/>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3" xr:uid="{434F15BC-0372-4B2C-8AD2-DDBF7C7A196E}"/>
    <cellStyle name="40% - Accent6 2 2 2 5 2 3" xfId="12615" xr:uid="{8809F84C-F71A-4268-8287-663AD80E9B66}"/>
    <cellStyle name="40% - Accent6 2 2 2 5 3" xfId="6249" xr:uid="{00000000-0005-0000-0000-0000F4060000}"/>
    <cellStyle name="40% - Accent6 2 2 2 5 3 2" xfId="14688" xr:uid="{CF278603-BDFD-45EB-99C7-191D7007EF11}"/>
    <cellStyle name="40% - Accent6 2 2 2 5 4" xfId="10470" xr:uid="{D7CEA9B5-88B9-4462-9E5F-363856DF51BF}"/>
    <cellStyle name="40% - Accent6 2 2 2 6" xfId="2355" xr:uid="{00000000-0005-0000-0000-0000F5060000}"/>
    <cellStyle name="40% - Accent6 2 2 2 6 2" xfId="6662" xr:uid="{00000000-0005-0000-0000-0000F6060000}"/>
    <cellStyle name="40% - Accent6 2 2 2 6 2 2" xfId="15101" xr:uid="{1D2F6A5E-EE36-45E0-BCEB-F9E31ADFC7FB}"/>
    <cellStyle name="40% - Accent6 2 2 2 6 3" xfId="10883" xr:uid="{8A4A0F61-F0E1-4888-90FA-49E6ECA4D7BC}"/>
    <cellStyle name="40% - Accent6 2 2 2 7" xfId="4596" xr:uid="{00000000-0005-0000-0000-0000F7060000}"/>
    <cellStyle name="40% - Accent6 2 2 2 7 2" xfId="13035" xr:uid="{DBF4ABBF-5290-4E5F-AD46-8A41641CCEC0}"/>
    <cellStyle name="40% - Accent6 2 2 2 8" xfId="8817" xr:uid="{261769A5-B578-4325-8D57-4E88EBC38E1B}"/>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3" xr:uid="{E7E3EB22-8C36-4D01-A0C3-05E2F457F0A7}"/>
    <cellStyle name="40% - Accent6 2 2 3 2 3" xfId="11375" xr:uid="{C9EBB7DC-BC35-47F5-8DBA-98C026CAF86D}"/>
    <cellStyle name="40% - Accent6 2 2 3 3" xfId="5009" xr:uid="{00000000-0005-0000-0000-0000FB060000}"/>
    <cellStyle name="40% - Accent6 2 2 3 3 2" xfId="13448" xr:uid="{5EDBD7E7-51C9-41B8-A0FD-FD2D916ED7D1}"/>
    <cellStyle name="40% - Accent6 2 2 3 4" xfId="9230" xr:uid="{29410E9B-6DF2-45F5-A0AB-519F9042BCCB}"/>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6" xr:uid="{C9231377-4F16-4BA5-BAB6-0CDB032353CB}"/>
    <cellStyle name="40% - Accent6 2 2 4 2 3" xfId="11788" xr:uid="{627E161D-4D97-4558-A63D-EC24A1044F35}"/>
    <cellStyle name="40% - Accent6 2 2 4 3" xfId="5422" xr:uid="{00000000-0005-0000-0000-0000FF060000}"/>
    <cellStyle name="40% - Accent6 2 2 4 3 2" xfId="13861" xr:uid="{4AF7C55B-A1B6-4027-B583-F987CFAF0674}"/>
    <cellStyle name="40% - Accent6 2 2 4 4" xfId="9643" xr:uid="{DF0223EE-FEDE-482C-B790-955E3AA4FC2B}"/>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19" xr:uid="{3319CDA0-E107-4F81-85B7-426F87F597F4}"/>
    <cellStyle name="40% - Accent6 2 2 5 2 3" xfId="12201" xr:uid="{2C6DA0B9-4FED-4B45-8F50-491508C825DE}"/>
    <cellStyle name="40% - Accent6 2 2 5 3" xfId="5835" xr:uid="{00000000-0005-0000-0000-000003070000}"/>
    <cellStyle name="40% - Accent6 2 2 5 3 2" xfId="14274" xr:uid="{E9C4D73C-6407-47CC-8F87-6AC8F0BEC93B}"/>
    <cellStyle name="40% - Accent6 2 2 5 4" xfId="10056" xr:uid="{E3E7BB8F-11A2-494F-B118-4EB8D7CB5025}"/>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2" xr:uid="{EC58AB03-BACA-484F-8C3C-5329DF7C11BA}"/>
    <cellStyle name="40% - Accent6 2 2 6 2 3" xfId="12614" xr:uid="{00F0DC87-C874-48CB-8EE0-07089D2BB975}"/>
    <cellStyle name="40% - Accent6 2 2 6 3" xfId="6248" xr:uid="{00000000-0005-0000-0000-000007070000}"/>
    <cellStyle name="40% - Accent6 2 2 6 3 2" xfId="14687" xr:uid="{1CA7E0FD-D228-4129-BC86-6F02CE935104}"/>
    <cellStyle name="40% - Accent6 2 2 6 4" xfId="10469" xr:uid="{B2C282D7-E633-441C-84FE-301C64A94DCB}"/>
    <cellStyle name="40% - Accent6 2 2 7" xfId="2354" xr:uid="{00000000-0005-0000-0000-000008070000}"/>
    <cellStyle name="40% - Accent6 2 2 7 2" xfId="6661" xr:uid="{00000000-0005-0000-0000-000009070000}"/>
    <cellStyle name="40% - Accent6 2 2 7 2 2" xfId="15100" xr:uid="{D86B0E89-DEB4-41E0-BFD0-757E30EFAF21}"/>
    <cellStyle name="40% - Accent6 2 2 7 3" xfId="10882" xr:uid="{8AA335D4-0A55-4F34-9D75-F2FF1EF6430C}"/>
    <cellStyle name="40% - Accent6 2 2 8" xfId="4595" xr:uid="{00000000-0005-0000-0000-00000A070000}"/>
    <cellStyle name="40% - Accent6 2 2 8 2" xfId="13034" xr:uid="{777918CD-FAA7-44D6-A075-F3CC01401AF4}"/>
    <cellStyle name="40% - Accent6 2 2 9" xfId="8816" xr:uid="{DEB6E7F3-9DD0-4D09-8CBF-7DF438CA5774}"/>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5" xr:uid="{277403F3-FF93-471D-A454-FE346571B70E}"/>
    <cellStyle name="40% - Accent6 2 3 2 2 3" xfId="11377" xr:uid="{8E091D5E-1011-44E3-84E8-2EA50482BF92}"/>
    <cellStyle name="40% - Accent6 2 3 2 3" xfId="5011" xr:uid="{00000000-0005-0000-0000-00000F070000}"/>
    <cellStyle name="40% - Accent6 2 3 2 3 2" xfId="13450" xr:uid="{915BCAE8-0945-413E-A012-957E12B7472F}"/>
    <cellStyle name="40% - Accent6 2 3 2 4" xfId="9232" xr:uid="{0EC5C12C-7C39-4D52-A1FB-2B270F3BE37D}"/>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08" xr:uid="{3365EA22-24C4-436B-9D49-611456DD466C}"/>
    <cellStyle name="40% - Accent6 2 3 3 2 3" xfId="11790" xr:uid="{4017DDE2-23B4-4AEB-8D26-7E51A0824A03}"/>
    <cellStyle name="40% - Accent6 2 3 3 3" xfId="5424" xr:uid="{00000000-0005-0000-0000-000013070000}"/>
    <cellStyle name="40% - Accent6 2 3 3 3 2" xfId="13863" xr:uid="{8E25A397-96FA-429E-8FC2-CD094A7AD3D2}"/>
    <cellStyle name="40% - Accent6 2 3 3 4" xfId="9645" xr:uid="{35486463-36EA-45C1-B540-A0AB4658D000}"/>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1" xr:uid="{7555157E-D853-4A83-A358-059DCE621396}"/>
    <cellStyle name="40% - Accent6 2 3 4 2 3" xfId="12203" xr:uid="{9D66ABB4-9AE3-435A-88FA-31416F4E12CE}"/>
    <cellStyle name="40% - Accent6 2 3 4 3" xfId="5837" xr:uid="{00000000-0005-0000-0000-000017070000}"/>
    <cellStyle name="40% - Accent6 2 3 4 3 2" xfId="14276" xr:uid="{C20E5B54-EB51-4F4D-BBA1-E6827C645B7D}"/>
    <cellStyle name="40% - Accent6 2 3 4 4" xfId="10058" xr:uid="{2B2637D6-E345-4681-971C-BEF7ED18ED67}"/>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4" xr:uid="{41343F67-D2E4-48AD-93E6-E6A3FA2EC759}"/>
    <cellStyle name="40% - Accent6 2 3 5 2 3" xfId="12616" xr:uid="{F48E8AB2-5735-4A1B-9FBF-AF5EDE9ABE39}"/>
    <cellStyle name="40% - Accent6 2 3 5 3" xfId="6250" xr:uid="{00000000-0005-0000-0000-00001B070000}"/>
    <cellStyle name="40% - Accent6 2 3 5 3 2" xfId="14689" xr:uid="{CBCF46F4-C367-41D8-BFE1-7B9A0A0F2155}"/>
    <cellStyle name="40% - Accent6 2 3 5 4" xfId="10471" xr:uid="{46B4793F-DD8D-4721-86E4-F9BBA509BC4A}"/>
    <cellStyle name="40% - Accent6 2 3 6" xfId="2356" xr:uid="{00000000-0005-0000-0000-00001C070000}"/>
    <cellStyle name="40% - Accent6 2 3 6 2" xfId="6663" xr:uid="{00000000-0005-0000-0000-00001D070000}"/>
    <cellStyle name="40% - Accent6 2 3 6 2 2" xfId="15102" xr:uid="{D6EF8B38-C169-44F7-ABAE-6D4CDA61DC23}"/>
    <cellStyle name="40% - Accent6 2 3 6 3" xfId="10884" xr:uid="{D431D691-B291-4E93-9B6E-852C420D0350}"/>
    <cellStyle name="40% - Accent6 2 3 7" xfId="4597" xr:uid="{00000000-0005-0000-0000-00001E070000}"/>
    <cellStyle name="40% - Accent6 2 3 7 2" xfId="13036" xr:uid="{9D864BDF-7E92-490D-8D68-71E1D83DB0A8}"/>
    <cellStyle name="40% - Accent6 2 3 8" xfId="8818" xr:uid="{530A9559-B467-4BA4-8A1D-4EE36AF0A8CF}"/>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2" xr:uid="{BEEB2003-3A5B-4437-A5D0-1FD9E8DD3885}"/>
    <cellStyle name="40% - Accent6 2 4 2 3" xfId="11374" xr:uid="{A778374A-F336-46D6-93D9-F3DD10DFB970}"/>
    <cellStyle name="40% - Accent6 2 4 3" xfId="5008" xr:uid="{00000000-0005-0000-0000-000022070000}"/>
    <cellStyle name="40% - Accent6 2 4 3 2" xfId="13447" xr:uid="{20DB407E-0CD9-4B7E-AEEE-DD0A2F789BE7}"/>
    <cellStyle name="40% - Accent6 2 4 4" xfId="9229" xr:uid="{21581E87-5B53-4BAD-B6DC-9C401EB04BA7}"/>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5" xr:uid="{2E63A095-6ED0-412A-9D73-15560DA6DB29}"/>
    <cellStyle name="40% - Accent6 2 5 2 3" xfId="11787" xr:uid="{D8B9DD4E-08DB-4922-9AB0-B54947F04C70}"/>
    <cellStyle name="40% - Accent6 2 5 3" xfId="5421" xr:uid="{00000000-0005-0000-0000-000026070000}"/>
    <cellStyle name="40% - Accent6 2 5 3 2" xfId="13860" xr:uid="{B87D5FD2-785A-458C-80D3-4FE482795764}"/>
    <cellStyle name="40% - Accent6 2 5 4" xfId="9642" xr:uid="{66656EC3-D4EA-4165-935A-65E6D8FE1F9D}"/>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18" xr:uid="{F0918FEA-E2AD-4070-A8C2-AF12392B8E76}"/>
    <cellStyle name="40% - Accent6 2 6 2 3" xfId="12200" xr:uid="{B89DB71A-4576-49EC-9F6B-546E46001FE7}"/>
    <cellStyle name="40% - Accent6 2 6 3" xfId="5834" xr:uid="{00000000-0005-0000-0000-00002A070000}"/>
    <cellStyle name="40% - Accent6 2 6 3 2" xfId="14273" xr:uid="{CB0FE5E4-D5ED-4FE8-9799-B4C387014363}"/>
    <cellStyle name="40% - Accent6 2 6 4" xfId="10055" xr:uid="{E8811B01-AC0E-4B11-B26A-8FF0FC07C7FF}"/>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1" xr:uid="{CB06BA4F-7E38-48FA-924E-9E0AFD99D03A}"/>
    <cellStyle name="40% - Accent6 2 7 2 3" xfId="12613" xr:uid="{A4601455-D158-4093-964D-2155EF495A3F}"/>
    <cellStyle name="40% - Accent6 2 7 3" xfId="6247" xr:uid="{00000000-0005-0000-0000-00002E070000}"/>
    <cellStyle name="40% - Accent6 2 7 3 2" xfId="14686" xr:uid="{9CA367B4-6A4E-4596-8E77-B3BFBC4CBA2E}"/>
    <cellStyle name="40% - Accent6 2 7 4" xfId="10468" xr:uid="{03648494-0A1D-4AEB-8F11-09172EFD3460}"/>
    <cellStyle name="40% - Accent6 2 8" xfId="2353" xr:uid="{00000000-0005-0000-0000-00002F070000}"/>
    <cellStyle name="40% - Accent6 2 8 2" xfId="6660" xr:uid="{00000000-0005-0000-0000-000030070000}"/>
    <cellStyle name="40% - Accent6 2 8 2 2" xfId="15099" xr:uid="{1464728E-F867-4F0E-9207-6E8C03419E31}"/>
    <cellStyle name="40% - Accent6 2 8 3" xfId="10881" xr:uid="{33123215-C7FF-418E-8F21-4E2C04E7384D}"/>
    <cellStyle name="40% - Accent6 2 9" xfId="4594" xr:uid="{00000000-0005-0000-0000-000031070000}"/>
    <cellStyle name="40% - Accent6 2 9 2" xfId="13033" xr:uid="{343BFB7B-C6D5-4A7F-9525-A64D72DA5BB7}"/>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597" xr:uid="{0A46107A-40A7-4E91-9A4C-54AEEDC7B3C0}"/>
    <cellStyle name="40% - Accent6 3 2 2 2 3" xfId="11379" xr:uid="{390A76FB-872B-4C05-A117-2891DF18B403}"/>
    <cellStyle name="40% - Accent6 3 2 2 3" xfId="5013" xr:uid="{00000000-0005-0000-0000-000037070000}"/>
    <cellStyle name="40% - Accent6 3 2 2 3 2" xfId="13452" xr:uid="{0937D2FF-5568-4EA9-B4C9-3C0D6B1C246E}"/>
    <cellStyle name="40% - Accent6 3 2 2 4" xfId="9234" xr:uid="{A86F46BF-1008-44C8-B964-2F3F5D005FC6}"/>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0" xr:uid="{3CCE0B1C-6377-4DE6-A072-B7FB4F3F8D6F}"/>
    <cellStyle name="40% - Accent6 3 2 3 2 3" xfId="11792" xr:uid="{D15180F5-492C-4E18-AAA8-4776C5E6960C}"/>
    <cellStyle name="40% - Accent6 3 2 3 3" xfId="5426" xr:uid="{00000000-0005-0000-0000-00003B070000}"/>
    <cellStyle name="40% - Accent6 3 2 3 3 2" xfId="13865" xr:uid="{ADA73AAF-2DDA-4EDA-AAE9-314940517EEA}"/>
    <cellStyle name="40% - Accent6 3 2 3 4" xfId="9647" xr:uid="{0B0D7C1E-8C97-4E48-B4B0-42962A8B4058}"/>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3" xr:uid="{FBF6918E-948B-474D-BCD4-1500164E9200}"/>
    <cellStyle name="40% - Accent6 3 2 4 2 3" xfId="12205" xr:uid="{884F5A17-E640-46E8-AE78-3859C2EF3888}"/>
    <cellStyle name="40% - Accent6 3 2 4 3" xfId="5839" xr:uid="{00000000-0005-0000-0000-00003F070000}"/>
    <cellStyle name="40% - Accent6 3 2 4 3 2" xfId="14278" xr:uid="{4628B35D-7AA2-4609-B4BB-33F7B1226222}"/>
    <cellStyle name="40% - Accent6 3 2 4 4" xfId="10060" xr:uid="{60C2811B-D763-4677-9E45-C93A895A0E35}"/>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6" xr:uid="{4B08E60A-9ED6-4F95-AFED-0B32D6050693}"/>
    <cellStyle name="40% - Accent6 3 2 5 2 3" xfId="12618" xr:uid="{07B2FB07-31D3-4084-A891-E1DE07913F7F}"/>
    <cellStyle name="40% - Accent6 3 2 5 3" xfId="6252" xr:uid="{00000000-0005-0000-0000-000043070000}"/>
    <cellStyle name="40% - Accent6 3 2 5 3 2" xfId="14691" xr:uid="{2833BE0C-67E9-41E8-A65F-C2A9E1032E5F}"/>
    <cellStyle name="40% - Accent6 3 2 5 4" xfId="10473" xr:uid="{1F5128BB-13CB-4518-BBD3-0389AFA3E4ED}"/>
    <cellStyle name="40% - Accent6 3 2 6" xfId="2358" xr:uid="{00000000-0005-0000-0000-000044070000}"/>
    <cellStyle name="40% - Accent6 3 2 6 2" xfId="6665" xr:uid="{00000000-0005-0000-0000-000045070000}"/>
    <cellStyle name="40% - Accent6 3 2 6 2 2" xfId="15104" xr:uid="{AE76300E-A61E-4374-864B-A4C671986FA1}"/>
    <cellStyle name="40% - Accent6 3 2 6 3" xfId="10886" xr:uid="{8DDC7332-7A66-4173-A5E5-C51D621945C7}"/>
    <cellStyle name="40% - Accent6 3 2 7" xfId="4599" xr:uid="{00000000-0005-0000-0000-000046070000}"/>
    <cellStyle name="40% - Accent6 3 2 7 2" xfId="13038" xr:uid="{8F08A92F-DAAC-41F3-8D02-75620318D24C}"/>
    <cellStyle name="40% - Accent6 3 2 8" xfId="8820" xr:uid="{6563D943-3E00-48AB-AD5E-00DBD6B7668B}"/>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6" xr:uid="{BD5F6A3B-E695-46B8-9DE1-995FA6A56D6D}"/>
    <cellStyle name="40% - Accent6 3 3 2 3" xfId="11378" xr:uid="{D09C091E-C3DF-4427-83D6-47DB964AF3E3}"/>
    <cellStyle name="40% - Accent6 3 3 3" xfId="5012" xr:uid="{00000000-0005-0000-0000-00004A070000}"/>
    <cellStyle name="40% - Accent6 3 3 3 2" xfId="13451" xr:uid="{E476C2C3-B1C5-4879-8BC6-D89656ED2983}"/>
    <cellStyle name="40% - Accent6 3 3 4" xfId="9233" xr:uid="{42E1E556-2752-4325-825B-AE9CAC6F9713}"/>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09" xr:uid="{DDCB8BB5-0063-45C6-BB24-ADC94CF556F5}"/>
    <cellStyle name="40% - Accent6 3 4 2 3" xfId="11791" xr:uid="{D45C38D0-856A-4E56-A1DA-796E043CFF53}"/>
    <cellStyle name="40% - Accent6 3 4 3" xfId="5425" xr:uid="{00000000-0005-0000-0000-00004E070000}"/>
    <cellStyle name="40% - Accent6 3 4 3 2" xfId="13864" xr:uid="{A450398E-CBC5-43A9-9346-E728F5E364F2}"/>
    <cellStyle name="40% - Accent6 3 4 4" xfId="9646" xr:uid="{AEFE23C9-5FC7-410B-BBC6-C2B55D6A88C4}"/>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2" xr:uid="{9F4A66F3-38A2-489C-BA8A-FF38DB129C72}"/>
    <cellStyle name="40% - Accent6 3 5 2 3" xfId="12204" xr:uid="{F824DE63-B54D-4E57-9826-B3DB91B559AB}"/>
    <cellStyle name="40% - Accent6 3 5 3" xfId="5838" xr:uid="{00000000-0005-0000-0000-000052070000}"/>
    <cellStyle name="40% - Accent6 3 5 3 2" xfId="14277" xr:uid="{3BE1C169-0B22-4C7E-A74B-8CE1D08A40B0}"/>
    <cellStyle name="40% - Accent6 3 5 4" xfId="10059" xr:uid="{63C3DCD1-A5ED-4658-BF84-31A6A0133C5A}"/>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5" xr:uid="{E024C925-FCEC-44D5-8526-6A9639D0211B}"/>
    <cellStyle name="40% - Accent6 3 6 2 3" xfId="12617" xr:uid="{342141C4-AF24-4FD2-8BF9-CA59586D21EA}"/>
    <cellStyle name="40% - Accent6 3 6 3" xfId="6251" xr:uid="{00000000-0005-0000-0000-000056070000}"/>
    <cellStyle name="40% - Accent6 3 6 3 2" xfId="14690" xr:uid="{4542E7D1-7F50-412D-98A2-AC5D254C5E8F}"/>
    <cellStyle name="40% - Accent6 3 6 4" xfId="10472" xr:uid="{D1F4362D-1C95-4835-A9BD-ADA9967F4377}"/>
    <cellStyle name="40% - Accent6 3 7" xfId="2357" xr:uid="{00000000-0005-0000-0000-000057070000}"/>
    <cellStyle name="40% - Accent6 3 7 2" xfId="6664" xr:uid="{00000000-0005-0000-0000-000058070000}"/>
    <cellStyle name="40% - Accent6 3 7 2 2" xfId="15103" xr:uid="{C74D642F-A0AB-4963-A8C5-C8A2D7A2CFBA}"/>
    <cellStyle name="40% - Accent6 3 7 3" xfId="10885" xr:uid="{FC576D12-5150-40F2-A6AF-172FD5212946}"/>
    <cellStyle name="40% - Accent6 3 8" xfId="4598" xr:uid="{00000000-0005-0000-0000-000059070000}"/>
    <cellStyle name="40% - Accent6 3 8 2" xfId="13037" xr:uid="{4802A6F4-48AE-4C95-A359-38CA3CB8B0E2}"/>
    <cellStyle name="40% - Accent6 3 9" xfId="8819" xr:uid="{D115A960-8F7F-401A-B36E-B97276DC7718}"/>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598" xr:uid="{FC50C88D-8068-4496-A61F-468B081AB140}"/>
    <cellStyle name="40% - Accent6 4 2 2 3" xfId="11380" xr:uid="{695B58D7-B505-42E1-9E7F-4CBAB42BB536}"/>
    <cellStyle name="40% - Accent6 4 2 3" xfId="5014" xr:uid="{00000000-0005-0000-0000-00005E070000}"/>
    <cellStyle name="40% - Accent6 4 2 3 2" xfId="13453" xr:uid="{1F65A5D0-4E6C-4E80-9314-BD3647D30052}"/>
    <cellStyle name="40% - Accent6 4 2 4" xfId="9235" xr:uid="{343A254C-8358-47F2-966C-7AB3EE6EF7D2}"/>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1" xr:uid="{C59E4D30-396A-4294-BB08-F4B9AE18B904}"/>
    <cellStyle name="40% - Accent6 4 3 2 3" xfId="11793" xr:uid="{C28E658E-FD2D-471E-9944-B272DE75C291}"/>
    <cellStyle name="40% - Accent6 4 3 3" xfId="5427" xr:uid="{00000000-0005-0000-0000-000062070000}"/>
    <cellStyle name="40% - Accent6 4 3 3 2" xfId="13866" xr:uid="{E75BCE38-917D-44F7-8559-64E8857EA9FF}"/>
    <cellStyle name="40% - Accent6 4 3 4" xfId="9648" xr:uid="{FAD07950-B852-4E53-9E96-FD2366CC95FF}"/>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4" xr:uid="{C564E9B4-B50C-4DE9-8ECA-F4867B090E07}"/>
    <cellStyle name="40% - Accent6 4 4 2 3" xfId="12206" xr:uid="{6DBC2A66-79E6-4B1B-BEA1-EDC652453D7E}"/>
    <cellStyle name="40% - Accent6 4 4 3" xfId="5840" xr:uid="{00000000-0005-0000-0000-000066070000}"/>
    <cellStyle name="40% - Accent6 4 4 3 2" xfId="14279" xr:uid="{1A2A1EF0-913B-457B-A122-BD44D75C211C}"/>
    <cellStyle name="40% - Accent6 4 4 4" xfId="10061" xr:uid="{C927C3EF-6C9B-4161-8C62-0D462ACC06DB}"/>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37" xr:uid="{FC445AC8-32E2-45A3-9C99-91EF05113BDE}"/>
    <cellStyle name="40% - Accent6 4 5 2 3" xfId="12619" xr:uid="{DF8FF8B7-9E56-41B8-BFE7-F42DB1BAA375}"/>
    <cellStyle name="40% - Accent6 4 5 3" xfId="6253" xr:uid="{00000000-0005-0000-0000-00006A070000}"/>
    <cellStyle name="40% - Accent6 4 5 3 2" xfId="14692" xr:uid="{206D7203-8FBD-498A-BC12-ED2701804FE4}"/>
    <cellStyle name="40% - Accent6 4 5 4" xfId="10474" xr:uid="{A3DD7079-6792-49B2-8C61-CE5A6B0C17E0}"/>
    <cellStyle name="40% - Accent6 4 6" xfId="2359" xr:uid="{00000000-0005-0000-0000-00006B070000}"/>
    <cellStyle name="40% - Accent6 4 6 2" xfId="6666" xr:uid="{00000000-0005-0000-0000-00006C070000}"/>
    <cellStyle name="40% - Accent6 4 6 2 2" xfId="15105" xr:uid="{4F6372DB-2BF7-452E-91A2-1B50201A6E82}"/>
    <cellStyle name="40% - Accent6 4 6 3" xfId="10887" xr:uid="{9B94AA8F-D9D2-46FF-8404-534E3E205093}"/>
    <cellStyle name="40% - Accent6 4 7" xfId="4600" xr:uid="{00000000-0005-0000-0000-00006D070000}"/>
    <cellStyle name="40% - Accent6 4 7 2" xfId="13039" xr:uid="{6343F8F8-D633-4593-AA25-3F5449B5AF18}"/>
    <cellStyle name="40% - Accent6 4 8" xfId="8821" xr:uid="{0F52B545-2353-433A-9548-8720FDB59C8D}"/>
    <cellStyle name="40% - Accent6 5" xfId="658" xr:uid="{00000000-0005-0000-0000-00006E070000}"/>
    <cellStyle name="40% - Accent6 5 2" xfId="2929" xr:uid="{00000000-0005-0000-0000-00006F070000}"/>
    <cellStyle name="40% - Accent6 5 2 2" xfId="7152" xr:uid="{00000000-0005-0000-0000-000070070000}"/>
    <cellStyle name="40% - Accent6 5 2 2 2" xfId="15591" xr:uid="{4F3E7350-A9A9-4F28-85F7-36184576BEED}"/>
    <cellStyle name="40% - Accent6 5 2 3" xfId="11373" xr:uid="{4FFEEBB8-03B8-42F2-95D2-CD4CB55F9F1A}"/>
    <cellStyle name="40% - Accent6 5 3" xfId="5007" xr:uid="{00000000-0005-0000-0000-000071070000}"/>
    <cellStyle name="40% - Accent6 5 3 2" xfId="13446" xr:uid="{DB038CAA-478B-4C56-A1D2-DF03E6475BCC}"/>
    <cellStyle name="40% - Accent6 5 4" xfId="9228" xr:uid="{5A3E0F12-1F42-4E0F-AFD2-D123DA9AB2CA}"/>
    <cellStyle name="40% - Accent6 6" xfId="1111" xr:uid="{00000000-0005-0000-0000-000072070000}"/>
    <cellStyle name="40% - Accent6 6 2" xfId="3342" xr:uid="{00000000-0005-0000-0000-000073070000}"/>
    <cellStyle name="40% - Accent6 6 2 2" xfId="7565" xr:uid="{00000000-0005-0000-0000-000074070000}"/>
    <cellStyle name="40% - Accent6 6 2 2 2" xfId="16004" xr:uid="{790E7CD4-9736-419E-8DF7-380ACE6201C1}"/>
    <cellStyle name="40% - Accent6 6 2 3" xfId="11786" xr:uid="{CE14E8C0-3990-4867-8823-455AC228EC34}"/>
    <cellStyle name="40% - Accent6 6 3" xfId="5420" xr:uid="{00000000-0005-0000-0000-000075070000}"/>
    <cellStyle name="40% - Accent6 6 3 2" xfId="13859" xr:uid="{19A5CD11-08F5-4869-996A-7EA21682869B}"/>
    <cellStyle name="40% - Accent6 6 4" xfId="9641" xr:uid="{5F820B9E-20B4-4D22-ABD5-2713952884A0}"/>
    <cellStyle name="40% - Accent6 7" xfId="1525" xr:uid="{00000000-0005-0000-0000-000076070000}"/>
    <cellStyle name="40% - Accent6 7 2" xfId="3755" xr:uid="{00000000-0005-0000-0000-000077070000}"/>
    <cellStyle name="40% - Accent6 7 2 2" xfId="7978" xr:uid="{00000000-0005-0000-0000-000078070000}"/>
    <cellStyle name="40% - Accent6 7 2 2 2" xfId="16417" xr:uid="{E3E6CFCD-26EF-4632-8A51-580C9F8217FE}"/>
    <cellStyle name="40% - Accent6 7 2 3" xfId="12199" xr:uid="{8BFBA0B6-9314-4827-8571-58DF390D34EB}"/>
    <cellStyle name="40% - Accent6 7 3" xfId="5833" xr:uid="{00000000-0005-0000-0000-000079070000}"/>
    <cellStyle name="40% - Accent6 7 3 2" xfId="14272" xr:uid="{C8F3288C-88A0-4A39-9246-1D3103DB7652}"/>
    <cellStyle name="40% - Accent6 7 4" xfId="10054" xr:uid="{66826610-D09F-445F-97CC-B244598224AD}"/>
    <cellStyle name="40% - Accent6 8" xfId="1939" xr:uid="{00000000-0005-0000-0000-00007A070000}"/>
    <cellStyle name="40% - Accent6 8 2" xfId="4168" xr:uid="{00000000-0005-0000-0000-00007B070000}"/>
    <cellStyle name="40% - Accent6 8 2 2" xfId="8391" xr:uid="{00000000-0005-0000-0000-00007C070000}"/>
    <cellStyle name="40% - Accent6 8 2 2 2" xfId="16830" xr:uid="{B0127794-EBA0-44F1-A392-40F8849E64F7}"/>
    <cellStyle name="40% - Accent6 8 2 3" xfId="12612" xr:uid="{607A4445-4ACB-4CDA-B9DC-327A9962048B}"/>
    <cellStyle name="40% - Accent6 8 3" xfId="6246" xr:uid="{00000000-0005-0000-0000-00007D070000}"/>
    <cellStyle name="40% - Accent6 8 3 2" xfId="14685" xr:uid="{72282647-6DFC-4EA2-949C-566B9F7F1B74}"/>
    <cellStyle name="40% - Accent6 8 4" xfId="10467" xr:uid="{3B6A1BC8-254C-4C61-BD53-1EA329DF5A05}"/>
    <cellStyle name="40% - Accent6 9" xfId="2352" xr:uid="{00000000-0005-0000-0000-00007E070000}"/>
    <cellStyle name="40% - Accent6 9 2" xfId="6659" xr:uid="{00000000-0005-0000-0000-00007F070000}"/>
    <cellStyle name="40% - Accent6 9 2 2" xfId="15098" xr:uid="{AC02E176-571A-482B-B030-27FB8E117A56}"/>
    <cellStyle name="40% - Accent6 9 3" xfId="10880" xr:uid="{DB9FD2B9-90AC-4522-AC70-C5F192098E2F}"/>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3" xr:uid="{7D15C9A2-325C-460F-8A45-8E576FFA5338}"/>
    <cellStyle name="Comma 4 2 2 2 10 3" xfId="11205" xr:uid="{16655158-EE44-40F1-806A-F0D781A4818A}"/>
    <cellStyle name="Comma 4 2 2 2 11" xfId="4601" xr:uid="{00000000-0005-0000-0000-0000A3070000}"/>
    <cellStyle name="Comma 4 2 2 2 11 2" xfId="13040" xr:uid="{F483FA1F-2441-472B-A5A2-4F1D84BA6770}"/>
    <cellStyle name="Comma 4 2 2 2 12" xfId="8822" xr:uid="{35224A87-541D-4583-BFC4-B73233AD70B0}"/>
    <cellStyle name="Comma 4 2 2 2 2" xfId="129" xr:uid="{00000000-0005-0000-0000-0000A4070000}"/>
    <cellStyle name="Comma 4 2 2 2 2 10" xfId="4602" xr:uid="{00000000-0005-0000-0000-0000A5070000}"/>
    <cellStyle name="Comma 4 2 2 2 2 10 2" xfId="13041" xr:uid="{9FF63B49-8138-4BF6-8D18-A4CA24B178E4}"/>
    <cellStyle name="Comma 4 2 2 2 2 11" xfId="8823" xr:uid="{63E509CA-1A0B-412E-B9FF-054F766B7F7E}"/>
    <cellStyle name="Comma 4 2 2 2 2 2" xfId="130" xr:uid="{00000000-0005-0000-0000-0000A6070000}"/>
    <cellStyle name="Comma 4 2 2 2 2 2 10" xfId="8824" xr:uid="{FE599CA6-0792-4EF0-BC2E-57D7F0F5AFCF}"/>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1" xr:uid="{A8C9F064-8260-470C-A92C-55C75F0E1EC2}"/>
    <cellStyle name="Comma 4 2 2 2 2 2 2 2 3" xfId="11383" xr:uid="{5D3537CB-720B-4152-9BD2-CCFF0CD7DA5F}"/>
    <cellStyle name="Comma 4 2 2 2 2 2 2 3" xfId="5017" xr:uid="{00000000-0005-0000-0000-0000AA070000}"/>
    <cellStyle name="Comma 4 2 2 2 2 2 2 3 2" xfId="13456" xr:uid="{F0B810DA-0756-43E3-8899-AFCC11503D53}"/>
    <cellStyle name="Comma 4 2 2 2 2 2 2 4" xfId="9238" xr:uid="{2995937F-364A-4852-A7E1-6C60E267E13F}"/>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4" xr:uid="{5CF53B70-1F72-47B2-AB03-F94120BABB95}"/>
    <cellStyle name="Comma 4 2 2 2 2 2 3 2 3" xfId="11796" xr:uid="{9692031E-E77B-4906-B04F-BD1C3B1342AA}"/>
    <cellStyle name="Comma 4 2 2 2 2 2 3 3" xfId="5430" xr:uid="{00000000-0005-0000-0000-0000AE070000}"/>
    <cellStyle name="Comma 4 2 2 2 2 2 3 3 2" xfId="13869" xr:uid="{B8D69D09-90B5-4B47-AAFC-6332653A1D50}"/>
    <cellStyle name="Comma 4 2 2 2 2 2 3 4" xfId="9651" xr:uid="{9EFEF14F-AECB-449B-8967-C160AEFB2F29}"/>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27" xr:uid="{A4C831EC-904A-42B9-848F-95A9D10FC522}"/>
    <cellStyle name="Comma 4 2 2 2 2 2 4 2 3" xfId="12209" xr:uid="{EDC18728-96C7-46D2-AAD5-582AEDCFED10}"/>
    <cellStyle name="Comma 4 2 2 2 2 2 4 3" xfId="5843" xr:uid="{00000000-0005-0000-0000-0000B2070000}"/>
    <cellStyle name="Comma 4 2 2 2 2 2 4 3 2" xfId="14282" xr:uid="{EC4F9E1E-B5B7-45E0-9963-1E4988AF9F61}"/>
    <cellStyle name="Comma 4 2 2 2 2 2 4 4" xfId="10064" xr:uid="{6A6E7AEF-30B8-437A-91C1-3F5A7441B353}"/>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0" xr:uid="{300586FC-7B4C-4809-A1B2-E3AE5F68DCF2}"/>
    <cellStyle name="Comma 4 2 2 2 2 2 5 2 3" xfId="12622" xr:uid="{66418045-5032-49CF-A95A-55432C4FA860}"/>
    <cellStyle name="Comma 4 2 2 2 2 2 5 3" xfId="6256" xr:uid="{00000000-0005-0000-0000-0000B6070000}"/>
    <cellStyle name="Comma 4 2 2 2 2 2 5 3 2" xfId="14695" xr:uid="{4C908DA6-AF6C-421C-AD34-E7AA72BAB9FC}"/>
    <cellStyle name="Comma 4 2 2 2 2 2 5 4" xfId="10477" xr:uid="{0B5E45CC-7A42-4867-A62E-A6378A9E6023}"/>
    <cellStyle name="Comma 4 2 2 2 2 2 6" xfId="2384" xr:uid="{00000000-0005-0000-0000-0000B7070000}"/>
    <cellStyle name="Comma 4 2 2 2 2 2 6 2" xfId="6669" xr:uid="{00000000-0005-0000-0000-0000B8070000}"/>
    <cellStyle name="Comma 4 2 2 2 2 2 6 2 2" xfId="15108" xr:uid="{EAC8CBC6-7E3B-483A-9D4E-1654CA9D618D}"/>
    <cellStyle name="Comma 4 2 2 2 2 2 6 3" xfId="10890" xr:uid="{B3E827C0-4B72-4B68-B574-3177D54D03B9}"/>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5" xr:uid="{0436870C-785A-480E-A273-89F43DB0B370}"/>
    <cellStyle name="Comma 4 2 2 2 2 2 8 3" xfId="11207" xr:uid="{6ACEBB29-1779-49FA-804C-63DFB94C9867}"/>
    <cellStyle name="Comma 4 2 2 2 2 2 9" xfId="4603" xr:uid="{00000000-0005-0000-0000-0000BC070000}"/>
    <cellStyle name="Comma 4 2 2 2 2 2 9 2" xfId="13042" xr:uid="{87C0DB6D-1F7F-4BDD-85A9-16E0D1348646}"/>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0" xr:uid="{77797F1E-9064-47C3-BB3B-BFA3DB3C6A6C}"/>
    <cellStyle name="Comma 4 2 2 2 2 3 2 3" xfId="11382" xr:uid="{0F1FDE27-2ADD-46B2-8278-DDB64C140491}"/>
    <cellStyle name="Comma 4 2 2 2 2 3 3" xfId="5016" xr:uid="{00000000-0005-0000-0000-0000C0070000}"/>
    <cellStyle name="Comma 4 2 2 2 2 3 3 2" xfId="13455" xr:uid="{7783E265-99C0-4269-8846-B9D65BA0F21D}"/>
    <cellStyle name="Comma 4 2 2 2 2 3 4" xfId="9237" xr:uid="{396B787A-F827-41E6-868A-2B6A6960917F}"/>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3" xr:uid="{D0CDA4A0-9D17-4AF2-A2F1-EBEBD4151EA7}"/>
    <cellStyle name="Comma 4 2 2 2 2 4 2 3" xfId="11795" xr:uid="{BA09FF95-5DDC-4BCE-9C51-5630ABC98CE1}"/>
    <cellStyle name="Comma 4 2 2 2 2 4 3" xfId="5429" xr:uid="{00000000-0005-0000-0000-0000C4070000}"/>
    <cellStyle name="Comma 4 2 2 2 2 4 3 2" xfId="13868" xr:uid="{16112372-66FC-4FF0-B0E7-4BBBE9FF740C}"/>
    <cellStyle name="Comma 4 2 2 2 2 4 4" xfId="9650" xr:uid="{1CD85933-2646-4799-A448-17D6101CE07F}"/>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6" xr:uid="{95EC0282-A2E5-4CD3-B3C4-9CFB2ADC1576}"/>
    <cellStyle name="Comma 4 2 2 2 2 5 2 3" xfId="12208" xr:uid="{B92CF8C1-7B85-4949-907F-1FF254BA5DE3}"/>
    <cellStyle name="Comma 4 2 2 2 2 5 3" xfId="5842" xr:uid="{00000000-0005-0000-0000-0000C8070000}"/>
    <cellStyle name="Comma 4 2 2 2 2 5 3 2" xfId="14281" xr:uid="{197D941C-0A8F-4142-9EF0-A357DFAFB273}"/>
    <cellStyle name="Comma 4 2 2 2 2 5 4" xfId="10063" xr:uid="{A40DB4DE-4C05-4DF9-9B6B-90F82F438D28}"/>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39" xr:uid="{44084B88-3F14-4055-98DA-3E507CDD71DB}"/>
    <cellStyle name="Comma 4 2 2 2 2 6 2 3" xfId="12621" xr:uid="{E75A65BC-CECC-4F23-9D63-017FA5430448}"/>
    <cellStyle name="Comma 4 2 2 2 2 6 3" xfId="6255" xr:uid="{00000000-0005-0000-0000-0000CC070000}"/>
    <cellStyle name="Comma 4 2 2 2 2 6 3 2" xfId="14694" xr:uid="{783AC310-022A-483C-AABF-B86C7DDCB9C6}"/>
    <cellStyle name="Comma 4 2 2 2 2 6 4" xfId="10476" xr:uid="{122D7309-BC9E-42F8-B236-ADEC48B5356B}"/>
    <cellStyle name="Comma 4 2 2 2 2 7" xfId="2383" xr:uid="{00000000-0005-0000-0000-0000CD070000}"/>
    <cellStyle name="Comma 4 2 2 2 2 7 2" xfId="6668" xr:uid="{00000000-0005-0000-0000-0000CE070000}"/>
    <cellStyle name="Comma 4 2 2 2 2 7 2 2" xfId="15107" xr:uid="{DB19B7EF-95AB-42C9-8929-C4613C89539E}"/>
    <cellStyle name="Comma 4 2 2 2 2 7 3" xfId="10889" xr:uid="{6F968E0C-CF29-436E-BCAF-D1CA53EF6D04}"/>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4" xr:uid="{ADBAAA1A-5295-4CC3-AED5-2AF58691CC61}"/>
    <cellStyle name="Comma 4 2 2 2 2 9 3" xfId="11206" xr:uid="{60B271F3-785D-4725-BB92-2890863B56C2}"/>
    <cellStyle name="Comma 4 2 2 2 3" xfId="131" xr:uid="{00000000-0005-0000-0000-0000D2070000}"/>
    <cellStyle name="Comma 4 2 2 2 3 10" xfId="8825" xr:uid="{BF032E31-F5C0-45DC-82BF-91D0E0143C9F}"/>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2" xr:uid="{000B8244-BA9B-4015-A5E0-66C76C00F3C0}"/>
    <cellStyle name="Comma 4 2 2 2 3 2 2 3" xfId="11384" xr:uid="{6FCA0924-DD61-483E-9D64-455C05650F22}"/>
    <cellStyle name="Comma 4 2 2 2 3 2 3" xfId="5018" xr:uid="{00000000-0005-0000-0000-0000D6070000}"/>
    <cellStyle name="Comma 4 2 2 2 3 2 3 2" xfId="13457" xr:uid="{3BD81A75-4B13-4028-B215-ACD38899F0B1}"/>
    <cellStyle name="Comma 4 2 2 2 3 2 4" xfId="9239" xr:uid="{50DB2E77-1695-41F3-A28F-9520C974BC06}"/>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5" xr:uid="{FBE951DA-C276-4B44-9928-CBD73F8B86BA}"/>
    <cellStyle name="Comma 4 2 2 2 3 3 2 3" xfId="11797" xr:uid="{115ECA52-E2FE-4FC6-B19E-1C4D1789181F}"/>
    <cellStyle name="Comma 4 2 2 2 3 3 3" xfId="5431" xr:uid="{00000000-0005-0000-0000-0000DA070000}"/>
    <cellStyle name="Comma 4 2 2 2 3 3 3 2" xfId="13870" xr:uid="{6A620FF6-FA20-491A-8924-E2640B169279}"/>
    <cellStyle name="Comma 4 2 2 2 3 3 4" xfId="9652" xr:uid="{0CC37735-FD8C-44BC-ACE6-8A891681DDD8}"/>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28" xr:uid="{875748F6-C943-4B92-A49E-4D5DDE0D61A4}"/>
    <cellStyle name="Comma 4 2 2 2 3 4 2 3" xfId="12210" xr:uid="{D5DE6CA4-C4A7-4A72-826B-4E360BAE0132}"/>
    <cellStyle name="Comma 4 2 2 2 3 4 3" xfId="5844" xr:uid="{00000000-0005-0000-0000-0000DE070000}"/>
    <cellStyle name="Comma 4 2 2 2 3 4 3 2" xfId="14283" xr:uid="{2522B2DD-1631-42DA-A2F2-0574AE0FF17C}"/>
    <cellStyle name="Comma 4 2 2 2 3 4 4" xfId="10065" xr:uid="{2252849B-FF4B-43CD-950F-F8096979E159}"/>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1" xr:uid="{ADC9D9F8-F775-4685-8416-3D475A8B64F9}"/>
    <cellStyle name="Comma 4 2 2 2 3 5 2 3" xfId="12623" xr:uid="{2E3CC353-74AD-4E06-9843-5698C8B79A48}"/>
    <cellStyle name="Comma 4 2 2 2 3 5 3" xfId="6257" xr:uid="{00000000-0005-0000-0000-0000E2070000}"/>
    <cellStyle name="Comma 4 2 2 2 3 5 3 2" xfId="14696" xr:uid="{A1D907E0-F3EC-4525-B778-98CDC483FFA9}"/>
    <cellStyle name="Comma 4 2 2 2 3 5 4" xfId="10478" xr:uid="{074378D0-10A0-4B08-953B-2279F8170FCF}"/>
    <cellStyle name="Comma 4 2 2 2 3 6" xfId="2385" xr:uid="{00000000-0005-0000-0000-0000E3070000}"/>
    <cellStyle name="Comma 4 2 2 2 3 6 2" xfId="6670" xr:uid="{00000000-0005-0000-0000-0000E4070000}"/>
    <cellStyle name="Comma 4 2 2 2 3 6 2 2" xfId="15109" xr:uid="{7ED4C9C4-32F3-4654-8EAD-E98A8BB7F058}"/>
    <cellStyle name="Comma 4 2 2 2 3 6 3" xfId="10891" xr:uid="{283FCB60-C7F8-4891-B299-190F7F099367}"/>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6" xr:uid="{15064A0D-7976-4F71-8258-788629BC1C22}"/>
    <cellStyle name="Comma 4 2 2 2 3 8 3" xfId="11208" xr:uid="{09BD1946-030D-4F64-9C4D-1E87426DD604}"/>
    <cellStyle name="Comma 4 2 2 2 3 9" xfId="4604" xr:uid="{00000000-0005-0000-0000-0000E8070000}"/>
    <cellStyle name="Comma 4 2 2 2 3 9 2" xfId="13043" xr:uid="{8404DC88-EE63-4C12-952B-A59536A496C3}"/>
    <cellStyle name="Comma 4 2 2 2 4" xfId="666" xr:uid="{00000000-0005-0000-0000-0000E9070000}"/>
    <cellStyle name="Comma 4 2 2 2 4 2" xfId="2937" xr:uid="{00000000-0005-0000-0000-0000EA070000}"/>
    <cellStyle name="Comma 4 2 2 2 4 2 2" xfId="7160" xr:uid="{00000000-0005-0000-0000-0000EB070000}"/>
    <cellStyle name="Comma 4 2 2 2 4 2 2 2" xfId="15599" xr:uid="{6182146D-8E82-453A-A6FE-3AE5C5CDD908}"/>
    <cellStyle name="Comma 4 2 2 2 4 2 3" xfId="11381" xr:uid="{A88873AB-3D3B-406C-9B56-0511545F8499}"/>
    <cellStyle name="Comma 4 2 2 2 4 3" xfId="5015" xr:uid="{00000000-0005-0000-0000-0000EC070000}"/>
    <cellStyle name="Comma 4 2 2 2 4 3 2" xfId="13454" xr:uid="{44524D01-6009-4AD8-BCD1-DBBB38620DDB}"/>
    <cellStyle name="Comma 4 2 2 2 4 4" xfId="9236" xr:uid="{5AF0B5F0-3FDB-4C23-B86D-B5D528F0C9BF}"/>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2" xr:uid="{16B533AD-8962-4E8B-9225-9F409625921A}"/>
    <cellStyle name="Comma 4 2 2 2 5 2 3" xfId="11794" xr:uid="{13FA1D60-21C5-46EF-ADBE-140B621584BE}"/>
    <cellStyle name="Comma 4 2 2 2 5 3" xfId="5428" xr:uid="{00000000-0005-0000-0000-0000F0070000}"/>
    <cellStyle name="Comma 4 2 2 2 5 3 2" xfId="13867" xr:uid="{2F8137E4-3F4F-40C8-AA97-1B9964082E38}"/>
    <cellStyle name="Comma 4 2 2 2 5 4" xfId="9649" xr:uid="{A9C9D9A8-CB1C-4BCF-B388-86247F960830}"/>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5" xr:uid="{CCF8A1C2-A0AD-4536-BECC-403B68CD637F}"/>
    <cellStyle name="Comma 4 2 2 2 6 2 3" xfId="12207" xr:uid="{8FBCF315-673F-4E5E-A24B-71E8517C3B53}"/>
    <cellStyle name="Comma 4 2 2 2 6 3" xfId="5841" xr:uid="{00000000-0005-0000-0000-0000F4070000}"/>
    <cellStyle name="Comma 4 2 2 2 6 3 2" xfId="14280" xr:uid="{BCF6CC91-4C31-4E21-B782-6D3F207E76B3}"/>
    <cellStyle name="Comma 4 2 2 2 6 4" xfId="10062" xr:uid="{C50888A7-FEB6-4CF4-829B-7F2B4B155C1E}"/>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38" xr:uid="{C2A5E348-5071-4A2B-99E9-A0982D80E9B2}"/>
    <cellStyle name="Comma 4 2 2 2 7 2 3" xfId="12620" xr:uid="{BDCC9727-5471-4C9F-8D9B-3E5EFC54C614}"/>
    <cellStyle name="Comma 4 2 2 2 7 3" xfId="6254" xr:uid="{00000000-0005-0000-0000-0000F8070000}"/>
    <cellStyle name="Comma 4 2 2 2 7 3 2" xfId="14693" xr:uid="{8F139A7F-4D5D-4632-8185-90864E73DBBB}"/>
    <cellStyle name="Comma 4 2 2 2 7 4" xfId="10475" xr:uid="{9837B00F-E1D1-459B-A054-A98A38948CD6}"/>
    <cellStyle name="Comma 4 2 2 2 8" xfId="2382" xr:uid="{00000000-0005-0000-0000-0000F9070000}"/>
    <cellStyle name="Comma 4 2 2 2 8 2" xfId="6667" xr:uid="{00000000-0005-0000-0000-0000FA070000}"/>
    <cellStyle name="Comma 4 2 2 2 8 2 2" xfId="15106" xr:uid="{CECA7A85-E46A-4B6C-B197-996891787A8C}"/>
    <cellStyle name="Comma 4 2 2 2 8 3" xfId="10888" xr:uid="{A02DD85E-26F6-4A7C-A55B-4723B558DB5A}"/>
    <cellStyle name="Comma 4 2 2 2 9" xfId="2381" xr:uid="{00000000-0005-0000-0000-0000FB070000}"/>
    <cellStyle name="Comma 4 2 2 3" xfId="132" xr:uid="{00000000-0005-0000-0000-0000FC070000}"/>
    <cellStyle name="Comma 4 2 2 3 10" xfId="4605" xr:uid="{00000000-0005-0000-0000-0000FD070000}"/>
    <cellStyle name="Comma 4 2 2 3 10 2" xfId="13044" xr:uid="{BEDF9FAF-0542-4036-8045-B01DFE625BF0}"/>
    <cellStyle name="Comma 4 2 2 3 11" xfId="8826" xr:uid="{DD192D33-D620-46F8-A606-80409298A957}"/>
    <cellStyle name="Comma 4 2 2 3 2" xfId="133" xr:uid="{00000000-0005-0000-0000-0000FE070000}"/>
    <cellStyle name="Comma 4 2 2 3 2 10" xfId="8827" xr:uid="{C436BB8F-E61B-4708-AEE1-53FA19A75B61}"/>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4" xr:uid="{8169C743-1B54-4938-9897-5A87C449DD1B}"/>
    <cellStyle name="Comma 4 2 2 3 2 2 2 3" xfId="11386" xr:uid="{61EF1AC8-FC7B-43B4-80F5-4359D0D7DC57}"/>
    <cellStyle name="Comma 4 2 2 3 2 2 3" xfId="5020" xr:uid="{00000000-0005-0000-0000-000002080000}"/>
    <cellStyle name="Comma 4 2 2 3 2 2 3 2" xfId="13459" xr:uid="{1D1A7316-7AD0-4C26-811D-4CD587A83364}"/>
    <cellStyle name="Comma 4 2 2 3 2 2 4" xfId="9241" xr:uid="{2927222E-C420-4EB7-ABAF-189CA8762791}"/>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17" xr:uid="{35F2C39E-32CE-421B-BEB7-33C0872E3C4F}"/>
    <cellStyle name="Comma 4 2 2 3 2 3 2 3" xfId="11799" xr:uid="{8F668D12-3F81-4434-9B46-E97618B5224C}"/>
    <cellStyle name="Comma 4 2 2 3 2 3 3" xfId="5433" xr:uid="{00000000-0005-0000-0000-000006080000}"/>
    <cellStyle name="Comma 4 2 2 3 2 3 3 2" xfId="13872" xr:uid="{48ED726B-6F1B-4452-9DC1-C34607C3964A}"/>
    <cellStyle name="Comma 4 2 2 3 2 3 4" xfId="9654" xr:uid="{5991C695-C428-46EA-8F40-A9E5BF23562F}"/>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0" xr:uid="{2DF09751-9E32-4BA3-9630-224F6BFE5760}"/>
    <cellStyle name="Comma 4 2 2 3 2 4 2 3" xfId="12212" xr:uid="{AB4E9E2A-4976-4A48-A499-3A45CF3E4E55}"/>
    <cellStyle name="Comma 4 2 2 3 2 4 3" xfId="5846" xr:uid="{00000000-0005-0000-0000-00000A080000}"/>
    <cellStyle name="Comma 4 2 2 3 2 4 3 2" xfId="14285" xr:uid="{A0AD0F51-27D2-45DA-AAD3-722D5EE821DE}"/>
    <cellStyle name="Comma 4 2 2 3 2 4 4" xfId="10067" xr:uid="{E8B5A0FE-6451-4A71-A9B2-5B57E573144E}"/>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3" xr:uid="{807967DF-99AF-42F5-9D21-C3DC8CD3C6F7}"/>
    <cellStyle name="Comma 4 2 2 3 2 5 2 3" xfId="12625" xr:uid="{FD56BD92-281A-4B15-AF08-7C354AAE2990}"/>
    <cellStyle name="Comma 4 2 2 3 2 5 3" xfId="6259" xr:uid="{00000000-0005-0000-0000-00000E080000}"/>
    <cellStyle name="Comma 4 2 2 3 2 5 3 2" xfId="14698" xr:uid="{C89A583C-30D9-4220-BA20-1BE6CA2ADD39}"/>
    <cellStyle name="Comma 4 2 2 3 2 5 4" xfId="10480" xr:uid="{EDAD9841-AD82-485E-BF4C-4F85A8B75616}"/>
    <cellStyle name="Comma 4 2 2 3 2 6" xfId="2387" xr:uid="{00000000-0005-0000-0000-00000F080000}"/>
    <cellStyle name="Comma 4 2 2 3 2 6 2" xfId="6672" xr:uid="{00000000-0005-0000-0000-000010080000}"/>
    <cellStyle name="Comma 4 2 2 3 2 6 2 2" xfId="15111" xr:uid="{246A1450-9FDF-4141-9764-152323C9FBCB}"/>
    <cellStyle name="Comma 4 2 2 3 2 6 3" xfId="10893" xr:uid="{65F4FA8D-464A-4659-8F03-01E210B4FCA1}"/>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28" xr:uid="{7F852B80-8AF0-4188-970A-8893AA9820EC}"/>
    <cellStyle name="Comma 4 2 2 3 2 8 3" xfId="11210" xr:uid="{5CDDE329-FE59-40A5-A1C9-B72A49F0A4D0}"/>
    <cellStyle name="Comma 4 2 2 3 2 9" xfId="4606" xr:uid="{00000000-0005-0000-0000-000014080000}"/>
    <cellStyle name="Comma 4 2 2 3 2 9 2" xfId="13045" xr:uid="{35F9D60F-11DD-47AD-8FE5-CD46C22848F2}"/>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3" xr:uid="{2229D9F1-E67F-48EF-8799-30862691E8CD}"/>
    <cellStyle name="Comma 4 2 2 3 3 2 3" xfId="11385" xr:uid="{F8072243-2791-4312-9539-2A3CB7284D90}"/>
    <cellStyle name="Comma 4 2 2 3 3 3" xfId="5019" xr:uid="{00000000-0005-0000-0000-000018080000}"/>
    <cellStyle name="Comma 4 2 2 3 3 3 2" xfId="13458" xr:uid="{C27D9235-CB37-4395-9279-0856B7918018}"/>
    <cellStyle name="Comma 4 2 2 3 3 4" xfId="9240" xr:uid="{B4AB87FB-2FE7-44AE-B0E5-34F410F05F9D}"/>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6" xr:uid="{4D44CDBE-47DE-4B1B-9CFA-95DC44B762F1}"/>
    <cellStyle name="Comma 4 2 2 3 4 2 3" xfId="11798" xr:uid="{43CD782A-6015-43AD-883C-DB8DC6527543}"/>
    <cellStyle name="Comma 4 2 2 3 4 3" xfId="5432" xr:uid="{00000000-0005-0000-0000-00001C080000}"/>
    <cellStyle name="Comma 4 2 2 3 4 3 2" xfId="13871" xr:uid="{087E701E-CAE1-4634-BAA1-5F0E9840F3A9}"/>
    <cellStyle name="Comma 4 2 2 3 4 4" xfId="9653" xr:uid="{D40001FF-428B-4245-9E8A-C017FA199996}"/>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29" xr:uid="{B2EEAC75-D1D7-4B6F-8689-FD4641748839}"/>
    <cellStyle name="Comma 4 2 2 3 5 2 3" xfId="12211" xr:uid="{DFB65EE0-CCE2-40A8-8C74-BE442C978549}"/>
    <cellStyle name="Comma 4 2 2 3 5 3" xfId="5845" xr:uid="{00000000-0005-0000-0000-000020080000}"/>
    <cellStyle name="Comma 4 2 2 3 5 3 2" xfId="14284" xr:uid="{64BBB621-E392-475C-8232-B8DBC507CA5A}"/>
    <cellStyle name="Comma 4 2 2 3 5 4" xfId="10066" xr:uid="{B96DA39F-00A0-4357-BF5B-8A710DA2066F}"/>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2" xr:uid="{15267ACA-8717-4120-8C35-EE65FD4C898B}"/>
    <cellStyle name="Comma 4 2 2 3 6 2 3" xfId="12624" xr:uid="{1793148F-5C54-41CA-B315-F90740C04F94}"/>
    <cellStyle name="Comma 4 2 2 3 6 3" xfId="6258" xr:uid="{00000000-0005-0000-0000-000024080000}"/>
    <cellStyle name="Comma 4 2 2 3 6 3 2" xfId="14697" xr:uid="{6DA6862B-8B01-461C-A1FC-7E9B92E3A1A1}"/>
    <cellStyle name="Comma 4 2 2 3 6 4" xfId="10479" xr:uid="{CF8201A1-E1E3-4F33-AE8B-EF0FA48EC3E8}"/>
    <cellStyle name="Comma 4 2 2 3 7" xfId="2386" xr:uid="{00000000-0005-0000-0000-000025080000}"/>
    <cellStyle name="Comma 4 2 2 3 7 2" xfId="6671" xr:uid="{00000000-0005-0000-0000-000026080000}"/>
    <cellStyle name="Comma 4 2 2 3 7 2 2" xfId="15110" xr:uid="{229BB261-8A74-4E97-97D9-0B413B0D3EE4}"/>
    <cellStyle name="Comma 4 2 2 3 7 3" xfId="10892" xr:uid="{80D2B7DD-7CF8-47C4-903D-B0437EF9FA1D}"/>
    <cellStyle name="Comma 4 2 2 3 8" xfId="2377" xr:uid="{00000000-0005-0000-0000-000027080000}"/>
    <cellStyle name="Comma 4 2 2 3 9" xfId="2764" xr:uid="{00000000-0005-0000-0000-000028080000}"/>
    <cellStyle name="Comma 4 2 2 3 9 2" xfId="6988" xr:uid="{00000000-0005-0000-0000-000029080000}"/>
    <cellStyle name="Comma 4 2 2 3 9 2 2" xfId="15427" xr:uid="{55EE37B9-8CE5-4D37-A5E8-D7596BC0B283}"/>
    <cellStyle name="Comma 4 2 2 3 9 3" xfId="11209" xr:uid="{7D38C25A-BF55-4296-9AFC-4522DB637F84}"/>
    <cellStyle name="Comma 4 2 2 4" xfId="134" xr:uid="{00000000-0005-0000-0000-00002A080000}"/>
    <cellStyle name="Comma 4 2 2 4 10" xfId="8828" xr:uid="{8709B225-F914-48F8-9CA4-136F6001734F}"/>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5" xr:uid="{299F640A-650D-4147-9051-9B7DC00150A9}"/>
    <cellStyle name="Comma 4 2 2 4 2 2 3" xfId="11387" xr:uid="{70897601-6AAF-40FE-AA27-639C8E45514E}"/>
    <cellStyle name="Comma 4 2 2 4 2 3" xfId="5021" xr:uid="{00000000-0005-0000-0000-00002E080000}"/>
    <cellStyle name="Comma 4 2 2 4 2 3 2" xfId="13460" xr:uid="{FD9B1A85-DBC4-49A3-98D9-1A5D3049403A}"/>
    <cellStyle name="Comma 4 2 2 4 2 4" xfId="9242" xr:uid="{91B11442-77A5-42EC-8ED3-356F4C5E5C5F}"/>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18" xr:uid="{F4A993EA-9928-4AC3-9F25-348A4050C628}"/>
    <cellStyle name="Comma 4 2 2 4 3 2 3" xfId="11800" xr:uid="{8225FAF7-CBFD-443D-998C-0CC06FC10A32}"/>
    <cellStyle name="Comma 4 2 2 4 3 3" xfId="5434" xr:uid="{00000000-0005-0000-0000-000032080000}"/>
    <cellStyle name="Comma 4 2 2 4 3 3 2" xfId="13873" xr:uid="{294753C4-4454-446D-92D5-B06BE994E716}"/>
    <cellStyle name="Comma 4 2 2 4 3 4" xfId="9655" xr:uid="{B2BAD1C8-1066-451A-89B4-6D212A092580}"/>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1" xr:uid="{05B0D248-52FC-4758-8D86-3411ADE2709C}"/>
    <cellStyle name="Comma 4 2 2 4 4 2 3" xfId="12213" xr:uid="{6A52B568-CEE7-4A5D-B41E-C019A02A4C03}"/>
    <cellStyle name="Comma 4 2 2 4 4 3" xfId="5847" xr:uid="{00000000-0005-0000-0000-000036080000}"/>
    <cellStyle name="Comma 4 2 2 4 4 3 2" xfId="14286" xr:uid="{D00C0CAF-E1CD-451F-AADF-F1AB69F680D7}"/>
    <cellStyle name="Comma 4 2 2 4 4 4" xfId="10068" xr:uid="{1B89D4AC-A00B-4931-883A-98673E7ACD0E}"/>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4" xr:uid="{EF5E6264-3B77-4EF2-9BEA-68D3A6D3AB96}"/>
    <cellStyle name="Comma 4 2 2 4 5 2 3" xfId="12626" xr:uid="{C6B2B64B-BF55-4AC1-9B47-8E48380F8296}"/>
    <cellStyle name="Comma 4 2 2 4 5 3" xfId="6260" xr:uid="{00000000-0005-0000-0000-00003A080000}"/>
    <cellStyle name="Comma 4 2 2 4 5 3 2" xfId="14699" xr:uid="{56FC4B9E-8B24-4A77-90A3-171DAA1D9786}"/>
    <cellStyle name="Comma 4 2 2 4 5 4" xfId="10481" xr:uid="{7FE4CF9A-E584-420E-BA4B-C751445C7D83}"/>
    <cellStyle name="Comma 4 2 2 4 6" xfId="2388" xr:uid="{00000000-0005-0000-0000-00003B080000}"/>
    <cellStyle name="Comma 4 2 2 4 6 2" xfId="6673" xr:uid="{00000000-0005-0000-0000-00003C080000}"/>
    <cellStyle name="Comma 4 2 2 4 6 2 2" xfId="15112" xr:uid="{8C8FF9BE-C6A4-4C50-8EC6-520864F47AB2}"/>
    <cellStyle name="Comma 4 2 2 4 6 3" xfId="10894" xr:uid="{99E373C4-CB71-4ED7-9805-A47F9EACDA51}"/>
    <cellStyle name="Comma 4 2 2 4 7" xfId="2375" xr:uid="{00000000-0005-0000-0000-00003D080000}"/>
    <cellStyle name="Comma 4 2 2 4 8" xfId="2766" xr:uid="{00000000-0005-0000-0000-00003E080000}"/>
    <cellStyle name="Comma 4 2 2 4 8 2" xfId="6990" xr:uid="{00000000-0005-0000-0000-00003F080000}"/>
    <cellStyle name="Comma 4 2 2 4 8 2 2" xfId="15429" xr:uid="{B5B69755-7A5E-4F8A-AB92-B5F07CF1FFDA}"/>
    <cellStyle name="Comma 4 2 2 4 8 3" xfId="11211" xr:uid="{71182C70-5CC9-4411-9142-C51C6144F841}"/>
    <cellStyle name="Comma 4 2 2 4 9" xfId="4607" xr:uid="{00000000-0005-0000-0000-000040080000}"/>
    <cellStyle name="Comma 4 2 2 4 9 2" xfId="13046" xr:uid="{02277D4D-A24C-47C3-BD97-3C66BC97138B}"/>
    <cellStyle name="Comma 4 2 2 5" xfId="135" xr:uid="{00000000-0005-0000-0000-000041080000}"/>
    <cellStyle name="Comma 4 2 2 5 10" xfId="8829" xr:uid="{FD4D874F-2A09-45B5-A9BF-76125823FADF}"/>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6" xr:uid="{CF01CA8A-10E6-4AC4-BAF0-6EEB254BACD2}"/>
    <cellStyle name="Comma 4 2 2 5 2 2 3" xfId="11388" xr:uid="{71F3F337-FAA3-4ABE-AADF-6CFD26E745E2}"/>
    <cellStyle name="Comma 4 2 2 5 2 3" xfId="5022" xr:uid="{00000000-0005-0000-0000-000045080000}"/>
    <cellStyle name="Comma 4 2 2 5 2 3 2" xfId="13461" xr:uid="{F4134BAF-2B3E-4897-BAE8-1FDDBD29E2CA}"/>
    <cellStyle name="Comma 4 2 2 5 2 4" xfId="9243" xr:uid="{757C0E01-49AF-44FE-9DAB-74F6C12BEABC}"/>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19" xr:uid="{9036F188-168F-4BE3-8F1C-BD2D0442D181}"/>
    <cellStyle name="Comma 4 2 2 5 3 2 3" xfId="11801" xr:uid="{ECD930B5-6EAC-49B0-819C-57A64A6DD2B7}"/>
    <cellStyle name="Comma 4 2 2 5 3 3" xfId="5435" xr:uid="{00000000-0005-0000-0000-000049080000}"/>
    <cellStyle name="Comma 4 2 2 5 3 3 2" xfId="13874" xr:uid="{BBB99226-24FD-4EE0-9E5F-917653422F2E}"/>
    <cellStyle name="Comma 4 2 2 5 3 4" xfId="9656" xr:uid="{E2DF1A8E-098B-42B8-8F29-B4AF660AC5E8}"/>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2" xr:uid="{1CCB8232-E8C0-44BB-84FA-81CDEE8483C9}"/>
    <cellStyle name="Comma 4 2 2 5 4 2 3" xfId="12214" xr:uid="{021A0352-4A5F-494E-AC38-6220CF3F5B58}"/>
    <cellStyle name="Comma 4 2 2 5 4 3" xfId="5848" xr:uid="{00000000-0005-0000-0000-00004D080000}"/>
    <cellStyle name="Comma 4 2 2 5 4 3 2" xfId="14287" xr:uid="{D74F2D6F-232B-4521-BBCB-FF09ED91C7F9}"/>
    <cellStyle name="Comma 4 2 2 5 4 4" xfId="10069" xr:uid="{BDCE3D5B-7DE5-41DD-AF9D-1F925257716E}"/>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5" xr:uid="{FE272190-74FD-4BB6-AA93-14860EA4936C}"/>
    <cellStyle name="Comma 4 2 2 5 5 2 3" xfId="12627" xr:uid="{8045ACA9-D138-4D41-AB70-D04EDA93A427}"/>
    <cellStyle name="Comma 4 2 2 5 5 3" xfId="6261" xr:uid="{00000000-0005-0000-0000-000051080000}"/>
    <cellStyle name="Comma 4 2 2 5 5 3 2" xfId="14700" xr:uid="{8FA5C0B2-6D4A-491B-BA61-755CA39E4074}"/>
    <cellStyle name="Comma 4 2 2 5 5 4" xfId="10482" xr:uid="{0637C580-016E-453F-8440-8BC8B5976C27}"/>
    <cellStyle name="Comma 4 2 2 5 6" xfId="2389" xr:uid="{00000000-0005-0000-0000-000052080000}"/>
    <cellStyle name="Comma 4 2 2 5 6 2" xfId="6674" xr:uid="{00000000-0005-0000-0000-000053080000}"/>
    <cellStyle name="Comma 4 2 2 5 6 2 2" xfId="15113" xr:uid="{BE576EFD-EA15-4096-A5CE-6FAEFEB9229E}"/>
    <cellStyle name="Comma 4 2 2 5 6 3" xfId="10895" xr:uid="{F9DF6D42-58B1-45B8-9512-0F6567AFEC88}"/>
    <cellStyle name="Comma 4 2 2 5 7" xfId="2374" xr:uid="{00000000-0005-0000-0000-000054080000}"/>
    <cellStyle name="Comma 4 2 2 5 8" xfId="2767" xr:uid="{00000000-0005-0000-0000-000055080000}"/>
    <cellStyle name="Comma 4 2 2 5 8 2" xfId="6991" xr:uid="{00000000-0005-0000-0000-000056080000}"/>
    <cellStyle name="Comma 4 2 2 5 8 2 2" xfId="15430" xr:uid="{ECB4FAB0-4C27-4C8B-9A45-4914E920985F}"/>
    <cellStyle name="Comma 4 2 2 5 8 3" xfId="11212" xr:uid="{FC7A2371-4F79-4E2D-A3F7-9038F1C0E159}"/>
    <cellStyle name="Comma 4 2 2 5 9" xfId="4608" xr:uid="{00000000-0005-0000-0000-000057080000}"/>
    <cellStyle name="Comma 4 2 2 5 9 2" xfId="13047" xr:uid="{2BE5A5EC-8CDA-4CAD-9EBA-31BE625C5F17}"/>
    <cellStyle name="Comma 4 2 3" xfId="136" xr:uid="{00000000-0005-0000-0000-000058080000}"/>
    <cellStyle name="Comma 4 2 3 10" xfId="2768" xr:uid="{00000000-0005-0000-0000-000059080000}"/>
    <cellStyle name="Comma 4 2 3 10 2" xfId="6992" xr:uid="{00000000-0005-0000-0000-00005A080000}"/>
    <cellStyle name="Comma 4 2 3 10 2 2" xfId="15431" xr:uid="{7A1979F1-B042-4CD0-BFE0-C3BE6861FE3E}"/>
    <cellStyle name="Comma 4 2 3 10 3" xfId="11213" xr:uid="{03C1E3E2-B714-489E-A425-1EA55F8D3F24}"/>
    <cellStyle name="Comma 4 2 3 11" xfId="4609" xr:uid="{00000000-0005-0000-0000-00005B080000}"/>
    <cellStyle name="Comma 4 2 3 11 2" xfId="13048" xr:uid="{E5CC7B4E-A4BA-43DA-B327-9E0FAACCCF53}"/>
    <cellStyle name="Comma 4 2 3 12" xfId="8830" xr:uid="{B4B39EE6-0436-4BA7-B73E-A8C508E9D3DD}"/>
    <cellStyle name="Comma 4 2 3 2" xfId="137" xr:uid="{00000000-0005-0000-0000-00005C080000}"/>
    <cellStyle name="Comma 4 2 3 2 10" xfId="4610" xr:uid="{00000000-0005-0000-0000-00005D080000}"/>
    <cellStyle name="Comma 4 2 3 2 10 2" xfId="13049" xr:uid="{189664D4-F6FD-4434-AED2-2CD149585513}"/>
    <cellStyle name="Comma 4 2 3 2 11" xfId="8831" xr:uid="{6B5DD4F0-DEDB-444E-9F6E-3F3BEF4E6091}"/>
    <cellStyle name="Comma 4 2 3 2 2" xfId="138" xr:uid="{00000000-0005-0000-0000-00005E080000}"/>
    <cellStyle name="Comma 4 2 3 2 2 10" xfId="8832" xr:uid="{12F14E37-4D70-4693-A564-6AD4B937AF28}"/>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09" xr:uid="{26816F01-58E0-4A36-8833-BF4A2DCD61F3}"/>
    <cellStyle name="Comma 4 2 3 2 2 2 2 3" xfId="11391" xr:uid="{D10E570D-2628-4E43-8C04-4F38D8C4BB4A}"/>
    <cellStyle name="Comma 4 2 3 2 2 2 3" xfId="5025" xr:uid="{00000000-0005-0000-0000-000062080000}"/>
    <cellStyle name="Comma 4 2 3 2 2 2 3 2" xfId="13464" xr:uid="{300D7ABF-3FF1-4A49-85DE-60975DA50AC9}"/>
    <cellStyle name="Comma 4 2 3 2 2 2 4" xfId="9246" xr:uid="{9FFE0F8E-55E2-437F-96F9-AA0546BD90C3}"/>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2" xr:uid="{0EFB9C9D-CDE9-4BE4-A917-458C8F33D4EE}"/>
    <cellStyle name="Comma 4 2 3 2 2 3 2 3" xfId="11804" xr:uid="{7C27D255-D5D2-48AC-BCEC-4D666E969910}"/>
    <cellStyle name="Comma 4 2 3 2 2 3 3" xfId="5438" xr:uid="{00000000-0005-0000-0000-000066080000}"/>
    <cellStyle name="Comma 4 2 3 2 2 3 3 2" xfId="13877" xr:uid="{1B67DE6C-7472-40FA-9598-EB382878697C}"/>
    <cellStyle name="Comma 4 2 3 2 2 3 4" xfId="9659" xr:uid="{5E594318-A846-447C-B803-7F1672D91637}"/>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5" xr:uid="{DADC498C-F111-405D-A366-D1C7D6D2991C}"/>
    <cellStyle name="Comma 4 2 3 2 2 4 2 3" xfId="12217" xr:uid="{10BE27A2-4EC0-48EB-B79C-753B64A6A124}"/>
    <cellStyle name="Comma 4 2 3 2 2 4 3" xfId="5851" xr:uid="{00000000-0005-0000-0000-00006A080000}"/>
    <cellStyle name="Comma 4 2 3 2 2 4 3 2" xfId="14290" xr:uid="{8778C899-441F-4AA1-9E81-CD06D70B17E9}"/>
    <cellStyle name="Comma 4 2 3 2 2 4 4" xfId="10072" xr:uid="{F5234ABD-7DFF-4E9B-B60E-9543F79596EE}"/>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48" xr:uid="{350CA802-3189-438F-B8F9-04A5FCBFCDB0}"/>
    <cellStyle name="Comma 4 2 3 2 2 5 2 3" xfId="12630" xr:uid="{1FA58501-339A-475F-8877-EF7B49F5AC61}"/>
    <cellStyle name="Comma 4 2 3 2 2 5 3" xfId="6264" xr:uid="{00000000-0005-0000-0000-00006E080000}"/>
    <cellStyle name="Comma 4 2 3 2 2 5 3 2" xfId="14703" xr:uid="{D7FABC86-108B-4DAE-A640-ED8656423DE2}"/>
    <cellStyle name="Comma 4 2 3 2 2 5 4" xfId="10485" xr:uid="{CDEA1B3C-2B6B-4401-93FB-9CE32B1CB2D2}"/>
    <cellStyle name="Comma 4 2 3 2 2 6" xfId="2392" xr:uid="{00000000-0005-0000-0000-00006F080000}"/>
    <cellStyle name="Comma 4 2 3 2 2 6 2" xfId="6677" xr:uid="{00000000-0005-0000-0000-000070080000}"/>
    <cellStyle name="Comma 4 2 3 2 2 6 2 2" xfId="15116" xr:uid="{BE093652-27CC-4ED8-8098-F84CB2800441}"/>
    <cellStyle name="Comma 4 2 3 2 2 6 3" xfId="10898" xr:uid="{B8ACC464-78AD-48D3-A5FA-BDA75F9C0361}"/>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3" xr:uid="{BE2EBB6B-E9AA-4F24-8E39-52C3256145D6}"/>
    <cellStyle name="Comma 4 2 3 2 2 8 3" xfId="11215" xr:uid="{3B4ACF1C-A935-46B8-8C5C-6D54DB26D4D4}"/>
    <cellStyle name="Comma 4 2 3 2 2 9" xfId="4611" xr:uid="{00000000-0005-0000-0000-000074080000}"/>
    <cellStyle name="Comma 4 2 3 2 2 9 2" xfId="13050" xr:uid="{EE6D31B6-D382-418A-B88A-15E8DA065AF3}"/>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08" xr:uid="{0CBC97E0-919A-45AC-BA18-0610B502685C}"/>
    <cellStyle name="Comma 4 2 3 2 3 2 3" xfId="11390" xr:uid="{D2AE922E-956D-44B4-A6C5-E3E00AE87456}"/>
    <cellStyle name="Comma 4 2 3 2 3 3" xfId="5024" xr:uid="{00000000-0005-0000-0000-000078080000}"/>
    <cellStyle name="Comma 4 2 3 2 3 3 2" xfId="13463" xr:uid="{BCEC0955-F4BB-450D-9198-BFD933C2C58B}"/>
    <cellStyle name="Comma 4 2 3 2 3 4" xfId="9245" xr:uid="{103750CD-076F-42F5-8818-ED1C19626261}"/>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1" xr:uid="{D101738D-CDB5-426C-BEF3-2A2512DB1DEC}"/>
    <cellStyle name="Comma 4 2 3 2 4 2 3" xfId="11803" xr:uid="{962C5F61-F0B5-4E75-8DFE-8BE3782C6091}"/>
    <cellStyle name="Comma 4 2 3 2 4 3" xfId="5437" xr:uid="{00000000-0005-0000-0000-00007C080000}"/>
    <cellStyle name="Comma 4 2 3 2 4 3 2" xfId="13876" xr:uid="{3E25020E-3CB6-4793-92A7-9F5380F4F30C}"/>
    <cellStyle name="Comma 4 2 3 2 4 4" xfId="9658" xr:uid="{EF67CB4B-F163-4382-B702-0B5A23C7EC2B}"/>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4" xr:uid="{DA99F88F-E6BC-4361-A30A-89757FB75979}"/>
    <cellStyle name="Comma 4 2 3 2 5 2 3" xfId="12216" xr:uid="{E3F52C92-74E8-425F-A9EC-22D33924E25D}"/>
    <cellStyle name="Comma 4 2 3 2 5 3" xfId="5850" xr:uid="{00000000-0005-0000-0000-000080080000}"/>
    <cellStyle name="Comma 4 2 3 2 5 3 2" xfId="14289" xr:uid="{7D2F1832-9F4E-4A79-A6A5-985044D75480}"/>
    <cellStyle name="Comma 4 2 3 2 5 4" xfId="10071" xr:uid="{054BF8C6-583C-41F7-AFBC-75BF6BBCFEE0}"/>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47" xr:uid="{792A6E94-D2C2-43A3-AB80-411CCCFF1EB0}"/>
    <cellStyle name="Comma 4 2 3 2 6 2 3" xfId="12629" xr:uid="{77BA8A40-1593-4244-A0DF-BD5F29ECA8A1}"/>
    <cellStyle name="Comma 4 2 3 2 6 3" xfId="6263" xr:uid="{00000000-0005-0000-0000-000084080000}"/>
    <cellStyle name="Comma 4 2 3 2 6 3 2" xfId="14702" xr:uid="{C4CD4A64-1333-446B-AB07-BD4E59B796CC}"/>
    <cellStyle name="Comma 4 2 3 2 6 4" xfId="10484" xr:uid="{934FF832-DFD5-4548-A4E5-056CCE749CE9}"/>
    <cellStyle name="Comma 4 2 3 2 7" xfId="2391" xr:uid="{00000000-0005-0000-0000-000085080000}"/>
    <cellStyle name="Comma 4 2 3 2 7 2" xfId="6676" xr:uid="{00000000-0005-0000-0000-000086080000}"/>
    <cellStyle name="Comma 4 2 3 2 7 2 2" xfId="15115" xr:uid="{5805BA51-7A63-492B-9B29-4DCBA7B1713E}"/>
    <cellStyle name="Comma 4 2 3 2 7 3" xfId="10897" xr:uid="{BD809046-49B2-42C4-9724-05AD31E8D353}"/>
    <cellStyle name="Comma 4 2 3 2 8" xfId="2372" xr:uid="{00000000-0005-0000-0000-000087080000}"/>
    <cellStyle name="Comma 4 2 3 2 9" xfId="2769" xr:uid="{00000000-0005-0000-0000-000088080000}"/>
    <cellStyle name="Comma 4 2 3 2 9 2" xfId="6993" xr:uid="{00000000-0005-0000-0000-000089080000}"/>
    <cellStyle name="Comma 4 2 3 2 9 2 2" xfId="15432" xr:uid="{7F3F075A-10FF-4EDD-9519-FFCB2A99A695}"/>
    <cellStyle name="Comma 4 2 3 2 9 3" xfId="11214" xr:uid="{B3629265-7B6C-45DB-9A44-6633B3CF9F5E}"/>
    <cellStyle name="Comma 4 2 3 3" xfId="139" xr:uid="{00000000-0005-0000-0000-00008A080000}"/>
    <cellStyle name="Comma 4 2 3 3 10" xfId="8833" xr:uid="{85158BE0-A24B-4697-8BB5-928B17835576}"/>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0" xr:uid="{55E06840-99B3-4414-8184-D4ED947BBFA1}"/>
    <cellStyle name="Comma 4 2 3 3 2 2 3" xfId="11392" xr:uid="{E6553A60-B840-4EDE-8B15-50C694C152C1}"/>
    <cellStyle name="Comma 4 2 3 3 2 3" xfId="5026" xr:uid="{00000000-0005-0000-0000-00008E080000}"/>
    <cellStyle name="Comma 4 2 3 3 2 3 2" xfId="13465" xr:uid="{10B26A9A-AC45-4AC1-BF92-D3F45824D566}"/>
    <cellStyle name="Comma 4 2 3 3 2 4" xfId="9247" xr:uid="{3CFFE36A-4E0B-432F-B5A3-4AF34E9A8152}"/>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3" xr:uid="{41D0319D-606F-4B2B-BC19-95B07B61DA41}"/>
    <cellStyle name="Comma 4 2 3 3 3 2 3" xfId="11805" xr:uid="{77641E27-AF98-481A-83AB-73D6D7E3AA9D}"/>
    <cellStyle name="Comma 4 2 3 3 3 3" xfId="5439" xr:uid="{00000000-0005-0000-0000-000092080000}"/>
    <cellStyle name="Comma 4 2 3 3 3 3 2" xfId="13878" xr:uid="{2941BE99-7ACB-48D6-BDF0-66EA750011A2}"/>
    <cellStyle name="Comma 4 2 3 3 3 4" xfId="9660" xr:uid="{506E8888-52AA-45BF-A687-8D4B8E477894}"/>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6" xr:uid="{15E85FF8-FBE7-498D-A45E-FC8189103E87}"/>
    <cellStyle name="Comma 4 2 3 3 4 2 3" xfId="12218" xr:uid="{A2F0922B-0DF3-4AA0-8DCF-BE2EDADBBF23}"/>
    <cellStyle name="Comma 4 2 3 3 4 3" xfId="5852" xr:uid="{00000000-0005-0000-0000-000096080000}"/>
    <cellStyle name="Comma 4 2 3 3 4 3 2" xfId="14291" xr:uid="{910B479C-3BA0-4650-B070-7A1547DA808D}"/>
    <cellStyle name="Comma 4 2 3 3 4 4" xfId="10073" xr:uid="{890AAF3A-9388-4523-ABAF-A966BB6C7ED4}"/>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49" xr:uid="{F17F1ED0-718D-4934-B9C7-A21D521BAB81}"/>
    <cellStyle name="Comma 4 2 3 3 5 2 3" xfId="12631" xr:uid="{73486C43-8AEB-44F7-9FCC-D82ECA9D0853}"/>
    <cellStyle name="Comma 4 2 3 3 5 3" xfId="6265" xr:uid="{00000000-0005-0000-0000-00009A080000}"/>
    <cellStyle name="Comma 4 2 3 3 5 3 2" xfId="14704" xr:uid="{B7502927-E264-4F67-AC5F-4803979509FD}"/>
    <cellStyle name="Comma 4 2 3 3 5 4" xfId="10486" xr:uid="{AFBAE579-DB82-4420-A510-1B2988A4C330}"/>
    <cellStyle name="Comma 4 2 3 3 6" xfId="2393" xr:uid="{00000000-0005-0000-0000-00009B080000}"/>
    <cellStyle name="Comma 4 2 3 3 6 2" xfId="6678" xr:uid="{00000000-0005-0000-0000-00009C080000}"/>
    <cellStyle name="Comma 4 2 3 3 6 2 2" xfId="15117" xr:uid="{7B0504FD-7680-4B70-A33B-9DB8A4ACAF27}"/>
    <cellStyle name="Comma 4 2 3 3 6 3" xfId="10899" xr:uid="{6552AA74-5B9D-40FE-A1D7-9F53ADED2923}"/>
    <cellStyle name="Comma 4 2 3 3 7" xfId="2370" xr:uid="{00000000-0005-0000-0000-00009D080000}"/>
    <cellStyle name="Comma 4 2 3 3 8" xfId="2771" xr:uid="{00000000-0005-0000-0000-00009E080000}"/>
    <cellStyle name="Comma 4 2 3 3 8 2" xfId="6995" xr:uid="{00000000-0005-0000-0000-00009F080000}"/>
    <cellStyle name="Comma 4 2 3 3 8 2 2" xfId="15434" xr:uid="{67BAB6BD-2556-4938-B2B4-5D67D843E6A8}"/>
    <cellStyle name="Comma 4 2 3 3 8 3" xfId="11216" xr:uid="{72D00715-4933-4DAC-AC08-4DBBA9D6AF33}"/>
    <cellStyle name="Comma 4 2 3 3 9" xfId="4612" xr:uid="{00000000-0005-0000-0000-0000A0080000}"/>
    <cellStyle name="Comma 4 2 3 3 9 2" xfId="13051" xr:uid="{F463B9C8-0656-4E1E-909C-62BB8B4B372C}"/>
    <cellStyle name="Comma 4 2 3 4" xfId="674" xr:uid="{00000000-0005-0000-0000-0000A1080000}"/>
    <cellStyle name="Comma 4 2 3 4 2" xfId="2945" xr:uid="{00000000-0005-0000-0000-0000A2080000}"/>
    <cellStyle name="Comma 4 2 3 4 2 2" xfId="7168" xr:uid="{00000000-0005-0000-0000-0000A3080000}"/>
    <cellStyle name="Comma 4 2 3 4 2 2 2" xfId="15607" xr:uid="{41F3E847-0084-47D9-8BB4-7D522056A577}"/>
    <cellStyle name="Comma 4 2 3 4 2 3" xfId="11389" xr:uid="{46B8F066-196B-4FA5-A3C0-A3AF9D79644F}"/>
    <cellStyle name="Comma 4 2 3 4 3" xfId="5023" xr:uid="{00000000-0005-0000-0000-0000A4080000}"/>
    <cellStyle name="Comma 4 2 3 4 3 2" xfId="13462" xr:uid="{B1BAD864-09FE-455A-AB91-6E0DF30DB26E}"/>
    <cellStyle name="Comma 4 2 3 4 4" xfId="9244" xr:uid="{EF71FE55-A41A-4D85-B57C-3979FBC801FB}"/>
    <cellStyle name="Comma 4 2 3 5" xfId="1127" xr:uid="{00000000-0005-0000-0000-0000A5080000}"/>
    <cellStyle name="Comma 4 2 3 5 2" xfId="3358" xr:uid="{00000000-0005-0000-0000-0000A6080000}"/>
    <cellStyle name="Comma 4 2 3 5 2 2" xfId="7581" xr:uid="{00000000-0005-0000-0000-0000A7080000}"/>
    <cellStyle name="Comma 4 2 3 5 2 2 2" xfId="16020" xr:uid="{CF5F5BC9-2F39-4E33-8BA5-765D8FC4DD59}"/>
    <cellStyle name="Comma 4 2 3 5 2 3" xfId="11802" xr:uid="{0031652E-A50A-4C43-9821-A1B12482C8C8}"/>
    <cellStyle name="Comma 4 2 3 5 3" xfId="5436" xr:uid="{00000000-0005-0000-0000-0000A8080000}"/>
    <cellStyle name="Comma 4 2 3 5 3 2" xfId="13875" xr:uid="{098F4008-1FB6-4FB1-BC94-D78657B7BEB0}"/>
    <cellStyle name="Comma 4 2 3 5 4" xfId="9657" xr:uid="{52DD1E73-6C8B-4F09-889A-6996DA095C81}"/>
    <cellStyle name="Comma 4 2 3 6" xfId="1541" xr:uid="{00000000-0005-0000-0000-0000A9080000}"/>
    <cellStyle name="Comma 4 2 3 6 2" xfId="3771" xr:uid="{00000000-0005-0000-0000-0000AA080000}"/>
    <cellStyle name="Comma 4 2 3 6 2 2" xfId="7994" xr:uid="{00000000-0005-0000-0000-0000AB080000}"/>
    <cellStyle name="Comma 4 2 3 6 2 2 2" xfId="16433" xr:uid="{07544EC9-A202-495B-8411-928F087EDEDE}"/>
    <cellStyle name="Comma 4 2 3 6 2 3" xfId="12215" xr:uid="{7D5EA20F-A93A-4BF1-8FFA-6F633A1E25D7}"/>
    <cellStyle name="Comma 4 2 3 6 3" xfId="5849" xr:uid="{00000000-0005-0000-0000-0000AC080000}"/>
    <cellStyle name="Comma 4 2 3 6 3 2" xfId="14288" xr:uid="{1CF73B74-FDC8-479F-AF40-6709726922A9}"/>
    <cellStyle name="Comma 4 2 3 6 4" xfId="10070" xr:uid="{464078D9-C484-4FAC-AFCE-E0ABE257015F}"/>
    <cellStyle name="Comma 4 2 3 7" xfId="1955" xr:uid="{00000000-0005-0000-0000-0000AD080000}"/>
    <cellStyle name="Comma 4 2 3 7 2" xfId="4184" xr:uid="{00000000-0005-0000-0000-0000AE080000}"/>
    <cellStyle name="Comma 4 2 3 7 2 2" xfId="8407" xr:uid="{00000000-0005-0000-0000-0000AF080000}"/>
    <cellStyle name="Comma 4 2 3 7 2 2 2" xfId="16846" xr:uid="{F00B3D8A-0F32-4C87-8006-4A074787910D}"/>
    <cellStyle name="Comma 4 2 3 7 2 3" xfId="12628" xr:uid="{4527B26E-6F77-403E-9233-C44A9208ABCD}"/>
    <cellStyle name="Comma 4 2 3 7 3" xfId="6262" xr:uid="{00000000-0005-0000-0000-0000B0080000}"/>
    <cellStyle name="Comma 4 2 3 7 3 2" xfId="14701" xr:uid="{51F38119-B9A8-40A5-90A6-23D566CB3EA6}"/>
    <cellStyle name="Comma 4 2 3 7 4" xfId="10483" xr:uid="{79866711-5502-4BAA-BBF4-F239BB843D1F}"/>
    <cellStyle name="Comma 4 2 3 8" xfId="2390" xr:uid="{00000000-0005-0000-0000-0000B1080000}"/>
    <cellStyle name="Comma 4 2 3 8 2" xfId="6675" xr:uid="{00000000-0005-0000-0000-0000B2080000}"/>
    <cellStyle name="Comma 4 2 3 8 2 2" xfId="15114" xr:uid="{D036EDC3-20FF-4E08-A687-2B231C9D6290}"/>
    <cellStyle name="Comma 4 2 3 8 3" xfId="10896" xr:uid="{095014A2-6FC9-4216-8585-546CAF5D444D}"/>
    <cellStyle name="Comma 4 2 3 9" xfId="2373" xr:uid="{00000000-0005-0000-0000-0000B3080000}"/>
    <cellStyle name="Comma 4 2 4" xfId="140" xr:uid="{00000000-0005-0000-0000-0000B4080000}"/>
    <cellStyle name="Comma 4 2 4 10" xfId="4613" xr:uid="{00000000-0005-0000-0000-0000B5080000}"/>
    <cellStyle name="Comma 4 2 4 10 2" xfId="13052" xr:uid="{EDA57B3D-6A5E-413D-89C0-3FD92A2202FC}"/>
    <cellStyle name="Comma 4 2 4 11" xfId="8834" xr:uid="{CC1379C6-87AE-4B75-B55A-BA1835F47B06}"/>
    <cellStyle name="Comma 4 2 4 2" xfId="141" xr:uid="{00000000-0005-0000-0000-0000B6080000}"/>
    <cellStyle name="Comma 4 2 4 2 10" xfId="8835" xr:uid="{B96F7A1C-CD40-4440-A0EC-2E648A7BDEDB}"/>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2" xr:uid="{3EA18AA8-83F9-4234-A3EA-67B19FB1337A}"/>
    <cellStyle name="Comma 4 2 4 2 2 2 3" xfId="11394" xr:uid="{F7CCD52D-6507-4512-B901-4E48B5026E8F}"/>
    <cellStyle name="Comma 4 2 4 2 2 3" xfId="5028" xr:uid="{00000000-0005-0000-0000-0000BA080000}"/>
    <cellStyle name="Comma 4 2 4 2 2 3 2" xfId="13467" xr:uid="{8880DDDD-BA00-48CA-AEBD-655D66EFA967}"/>
    <cellStyle name="Comma 4 2 4 2 2 4" xfId="9249" xr:uid="{93D56C62-C3E5-49BC-BA91-801488AE0212}"/>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5" xr:uid="{24E80CAF-0312-4A96-A078-ABD4F307344D}"/>
    <cellStyle name="Comma 4 2 4 2 3 2 3" xfId="11807" xr:uid="{F7785049-9AFD-4F8D-B1FE-346435401037}"/>
    <cellStyle name="Comma 4 2 4 2 3 3" xfId="5441" xr:uid="{00000000-0005-0000-0000-0000BE080000}"/>
    <cellStyle name="Comma 4 2 4 2 3 3 2" xfId="13880" xr:uid="{88D0470B-F670-4272-ADF1-E84573B96F1D}"/>
    <cellStyle name="Comma 4 2 4 2 3 4" xfId="9662" xr:uid="{AB25AFB0-52D9-4E52-BB4C-2EB014F0D95E}"/>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38" xr:uid="{4E173ACE-806A-43D8-BBAB-A3D084E141FB}"/>
    <cellStyle name="Comma 4 2 4 2 4 2 3" xfId="12220" xr:uid="{1C461BD7-0C65-463B-8322-AF26D2267D43}"/>
    <cellStyle name="Comma 4 2 4 2 4 3" xfId="5854" xr:uid="{00000000-0005-0000-0000-0000C2080000}"/>
    <cellStyle name="Comma 4 2 4 2 4 3 2" xfId="14293" xr:uid="{1967D72B-A9FD-4914-B556-B5D099E51E16}"/>
    <cellStyle name="Comma 4 2 4 2 4 4" xfId="10075" xr:uid="{118EF9E6-4A45-4380-9953-BE2CFD0DC9D0}"/>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1" xr:uid="{D50B198F-B36A-459F-8E81-BB0625DDB623}"/>
    <cellStyle name="Comma 4 2 4 2 5 2 3" xfId="12633" xr:uid="{E24F7631-DCC9-4150-BBC9-573904333A52}"/>
    <cellStyle name="Comma 4 2 4 2 5 3" xfId="6267" xr:uid="{00000000-0005-0000-0000-0000C6080000}"/>
    <cellStyle name="Comma 4 2 4 2 5 3 2" xfId="14706" xr:uid="{3051949B-2C83-4F18-9746-685DC6208AB2}"/>
    <cellStyle name="Comma 4 2 4 2 5 4" xfId="10488" xr:uid="{EDF4DAD6-A2B0-48A4-B62A-1E136F48CFB4}"/>
    <cellStyle name="Comma 4 2 4 2 6" xfId="2395" xr:uid="{00000000-0005-0000-0000-0000C7080000}"/>
    <cellStyle name="Comma 4 2 4 2 6 2" xfId="6680" xr:uid="{00000000-0005-0000-0000-0000C8080000}"/>
    <cellStyle name="Comma 4 2 4 2 6 2 2" xfId="15119" xr:uid="{934F4149-B6DF-4882-9443-FD242400E071}"/>
    <cellStyle name="Comma 4 2 4 2 6 3" xfId="10901" xr:uid="{7A937247-4E66-4C86-84E4-3075EBA4F249}"/>
    <cellStyle name="Comma 4 2 4 2 7" xfId="2368" xr:uid="{00000000-0005-0000-0000-0000C9080000}"/>
    <cellStyle name="Comma 4 2 4 2 8" xfId="2773" xr:uid="{00000000-0005-0000-0000-0000CA080000}"/>
    <cellStyle name="Comma 4 2 4 2 8 2" xfId="6997" xr:uid="{00000000-0005-0000-0000-0000CB080000}"/>
    <cellStyle name="Comma 4 2 4 2 8 2 2" xfId="15436" xr:uid="{44A63522-7B16-4CFC-9077-DC2BFE1B08C7}"/>
    <cellStyle name="Comma 4 2 4 2 8 3" xfId="11218" xr:uid="{5342F773-BA55-4867-AEEF-A8EE5EE790D2}"/>
    <cellStyle name="Comma 4 2 4 2 9" xfId="4614" xr:uid="{00000000-0005-0000-0000-0000CC080000}"/>
    <cellStyle name="Comma 4 2 4 2 9 2" xfId="13053" xr:uid="{EA625A5A-4890-42A6-A2CB-47ABA608998B}"/>
    <cellStyle name="Comma 4 2 4 3" xfId="678" xr:uid="{00000000-0005-0000-0000-0000CD080000}"/>
    <cellStyle name="Comma 4 2 4 3 2" xfId="2949" xr:uid="{00000000-0005-0000-0000-0000CE080000}"/>
    <cellStyle name="Comma 4 2 4 3 2 2" xfId="7172" xr:uid="{00000000-0005-0000-0000-0000CF080000}"/>
    <cellStyle name="Comma 4 2 4 3 2 2 2" xfId="15611" xr:uid="{5463EC72-74B6-4C6E-AD47-5DDF4D340618}"/>
    <cellStyle name="Comma 4 2 4 3 2 3" xfId="11393" xr:uid="{13350949-D9BF-4549-8860-74B4C26F850F}"/>
    <cellStyle name="Comma 4 2 4 3 3" xfId="5027" xr:uid="{00000000-0005-0000-0000-0000D0080000}"/>
    <cellStyle name="Comma 4 2 4 3 3 2" xfId="13466" xr:uid="{151A4C3A-A51A-4C11-8981-94AFA7F9F978}"/>
    <cellStyle name="Comma 4 2 4 3 4" xfId="9248" xr:uid="{3E7CCFB0-2718-4514-BD70-BF02023D0515}"/>
    <cellStyle name="Comma 4 2 4 4" xfId="1131" xr:uid="{00000000-0005-0000-0000-0000D1080000}"/>
    <cellStyle name="Comma 4 2 4 4 2" xfId="3362" xr:uid="{00000000-0005-0000-0000-0000D2080000}"/>
    <cellStyle name="Comma 4 2 4 4 2 2" xfId="7585" xr:uid="{00000000-0005-0000-0000-0000D3080000}"/>
    <cellStyle name="Comma 4 2 4 4 2 2 2" xfId="16024" xr:uid="{D4A3CBA2-8BCD-438B-AA8D-4BD4F16EBEB9}"/>
    <cellStyle name="Comma 4 2 4 4 2 3" xfId="11806" xr:uid="{FC3D5E91-D2F5-49A7-AE43-4C9B97425B76}"/>
    <cellStyle name="Comma 4 2 4 4 3" xfId="5440" xr:uid="{00000000-0005-0000-0000-0000D4080000}"/>
    <cellStyle name="Comma 4 2 4 4 3 2" xfId="13879" xr:uid="{309AF5ED-0A7F-4561-B6DC-ACD4DB93118F}"/>
    <cellStyle name="Comma 4 2 4 4 4" xfId="9661" xr:uid="{0DE7B4EB-0911-4EA7-9F16-A09899238EE9}"/>
    <cellStyle name="Comma 4 2 4 5" xfId="1545" xr:uid="{00000000-0005-0000-0000-0000D5080000}"/>
    <cellStyle name="Comma 4 2 4 5 2" xfId="3775" xr:uid="{00000000-0005-0000-0000-0000D6080000}"/>
    <cellStyle name="Comma 4 2 4 5 2 2" xfId="7998" xr:uid="{00000000-0005-0000-0000-0000D7080000}"/>
    <cellStyle name="Comma 4 2 4 5 2 2 2" xfId="16437" xr:uid="{093584C8-F179-4409-AD1D-EB8DE0385AC8}"/>
    <cellStyle name="Comma 4 2 4 5 2 3" xfId="12219" xr:uid="{62E01B86-B345-4DA8-B3E9-5127B771E0CF}"/>
    <cellStyle name="Comma 4 2 4 5 3" xfId="5853" xr:uid="{00000000-0005-0000-0000-0000D8080000}"/>
    <cellStyle name="Comma 4 2 4 5 3 2" xfId="14292" xr:uid="{7684580B-B4C0-43C2-8393-97DEFEF3A17D}"/>
    <cellStyle name="Comma 4 2 4 5 4" xfId="10074" xr:uid="{25FFD2CF-E930-4680-8831-35122B3C01F2}"/>
    <cellStyle name="Comma 4 2 4 6" xfId="1959" xr:uid="{00000000-0005-0000-0000-0000D9080000}"/>
    <cellStyle name="Comma 4 2 4 6 2" xfId="4188" xr:uid="{00000000-0005-0000-0000-0000DA080000}"/>
    <cellStyle name="Comma 4 2 4 6 2 2" xfId="8411" xr:uid="{00000000-0005-0000-0000-0000DB080000}"/>
    <cellStyle name="Comma 4 2 4 6 2 2 2" xfId="16850" xr:uid="{415789B2-0B3F-4548-A4CD-60C0E40EE10E}"/>
    <cellStyle name="Comma 4 2 4 6 2 3" xfId="12632" xr:uid="{94D828F7-8F9D-4185-B1FA-8EF95B9F9E3C}"/>
    <cellStyle name="Comma 4 2 4 6 3" xfId="6266" xr:uid="{00000000-0005-0000-0000-0000DC080000}"/>
    <cellStyle name="Comma 4 2 4 6 3 2" xfId="14705" xr:uid="{2D44B98D-DDD0-4D62-A4F5-1CB3F182CE57}"/>
    <cellStyle name="Comma 4 2 4 6 4" xfId="10487" xr:uid="{E36C83B5-6236-44B6-B4F6-02816DCA9923}"/>
    <cellStyle name="Comma 4 2 4 7" xfId="2394" xr:uid="{00000000-0005-0000-0000-0000DD080000}"/>
    <cellStyle name="Comma 4 2 4 7 2" xfId="6679" xr:uid="{00000000-0005-0000-0000-0000DE080000}"/>
    <cellStyle name="Comma 4 2 4 7 2 2" xfId="15118" xr:uid="{8AF88CC8-E7A1-45D0-90FF-5547334276FE}"/>
    <cellStyle name="Comma 4 2 4 7 3" xfId="10900" xr:uid="{C4639AD8-7705-4DB0-935C-7BC5B3861718}"/>
    <cellStyle name="Comma 4 2 4 8" xfId="2369" xr:uid="{00000000-0005-0000-0000-0000DF080000}"/>
    <cellStyle name="Comma 4 2 4 9" xfId="2772" xr:uid="{00000000-0005-0000-0000-0000E0080000}"/>
    <cellStyle name="Comma 4 2 4 9 2" xfId="6996" xr:uid="{00000000-0005-0000-0000-0000E1080000}"/>
    <cellStyle name="Comma 4 2 4 9 2 2" xfId="15435" xr:uid="{5FAFA441-CC25-4FD8-9B10-AF8F8E4606CB}"/>
    <cellStyle name="Comma 4 2 4 9 3" xfId="11217" xr:uid="{CD47E52E-6A5E-424D-B93A-D30A839E9AB2}"/>
    <cellStyle name="Comma 4 2 5" xfId="142" xr:uid="{00000000-0005-0000-0000-0000E2080000}"/>
    <cellStyle name="Comma 4 2 5 10" xfId="8836" xr:uid="{20D84AB4-53EA-4D8E-B9E3-5B6D4FC89D1B}"/>
    <cellStyle name="Comma 4 2 5 2" xfId="680" xr:uid="{00000000-0005-0000-0000-0000E3080000}"/>
    <cellStyle name="Comma 4 2 5 2 2" xfId="2951" xr:uid="{00000000-0005-0000-0000-0000E4080000}"/>
    <cellStyle name="Comma 4 2 5 2 2 2" xfId="7174" xr:uid="{00000000-0005-0000-0000-0000E5080000}"/>
    <cellStyle name="Comma 4 2 5 2 2 2 2" xfId="15613" xr:uid="{E46C961A-14E2-4667-B102-8798A8A694D0}"/>
    <cellStyle name="Comma 4 2 5 2 2 3" xfId="11395" xr:uid="{6FF8C6CA-2BAD-4086-9134-238435DD61FE}"/>
    <cellStyle name="Comma 4 2 5 2 3" xfId="5029" xr:uid="{00000000-0005-0000-0000-0000E6080000}"/>
    <cellStyle name="Comma 4 2 5 2 3 2" xfId="13468" xr:uid="{57A31B2B-189F-4F11-8739-53DBB46DB4C6}"/>
    <cellStyle name="Comma 4 2 5 2 4" xfId="9250" xr:uid="{06D51F74-54DA-415C-842E-7953123A9064}"/>
    <cellStyle name="Comma 4 2 5 3" xfId="1133" xr:uid="{00000000-0005-0000-0000-0000E7080000}"/>
    <cellStyle name="Comma 4 2 5 3 2" xfId="3364" xr:uid="{00000000-0005-0000-0000-0000E8080000}"/>
    <cellStyle name="Comma 4 2 5 3 2 2" xfId="7587" xr:uid="{00000000-0005-0000-0000-0000E9080000}"/>
    <cellStyle name="Comma 4 2 5 3 2 2 2" xfId="16026" xr:uid="{2F671520-B404-4B3E-9F7D-6CC28EF4A7EF}"/>
    <cellStyle name="Comma 4 2 5 3 2 3" xfId="11808" xr:uid="{B7AF2780-B819-4312-8C99-5D71B75E62DB}"/>
    <cellStyle name="Comma 4 2 5 3 3" xfId="5442" xr:uid="{00000000-0005-0000-0000-0000EA080000}"/>
    <cellStyle name="Comma 4 2 5 3 3 2" xfId="13881" xr:uid="{0B408F23-9B10-407D-A6A1-08C2890E3F5F}"/>
    <cellStyle name="Comma 4 2 5 3 4" xfId="9663" xr:uid="{94D08004-9400-40B3-8FB5-59E86FE225D0}"/>
    <cellStyle name="Comma 4 2 5 4" xfId="1547" xr:uid="{00000000-0005-0000-0000-0000EB080000}"/>
    <cellStyle name="Comma 4 2 5 4 2" xfId="3777" xr:uid="{00000000-0005-0000-0000-0000EC080000}"/>
    <cellStyle name="Comma 4 2 5 4 2 2" xfId="8000" xr:uid="{00000000-0005-0000-0000-0000ED080000}"/>
    <cellStyle name="Comma 4 2 5 4 2 2 2" xfId="16439" xr:uid="{5FF56926-E82E-4038-BF73-D071515E91B3}"/>
    <cellStyle name="Comma 4 2 5 4 2 3" xfId="12221" xr:uid="{B874003F-A287-45C7-A9CB-2687B16F569A}"/>
    <cellStyle name="Comma 4 2 5 4 3" xfId="5855" xr:uid="{00000000-0005-0000-0000-0000EE080000}"/>
    <cellStyle name="Comma 4 2 5 4 3 2" xfId="14294" xr:uid="{F6B94299-1C36-434B-8384-9638A77BF41F}"/>
    <cellStyle name="Comma 4 2 5 4 4" xfId="10076" xr:uid="{68C09927-04BC-4344-A9B5-B249A8E895CA}"/>
    <cellStyle name="Comma 4 2 5 5" xfId="1961" xr:uid="{00000000-0005-0000-0000-0000EF080000}"/>
    <cellStyle name="Comma 4 2 5 5 2" xfId="4190" xr:uid="{00000000-0005-0000-0000-0000F0080000}"/>
    <cellStyle name="Comma 4 2 5 5 2 2" xfId="8413" xr:uid="{00000000-0005-0000-0000-0000F1080000}"/>
    <cellStyle name="Comma 4 2 5 5 2 2 2" xfId="16852" xr:uid="{658A8CD8-73C3-42BB-9B5A-A353CED0D756}"/>
    <cellStyle name="Comma 4 2 5 5 2 3" xfId="12634" xr:uid="{D98B8E4B-9A7B-479E-87A0-C262858B94FD}"/>
    <cellStyle name="Comma 4 2 5 5 3" xfId="6268" xr:uid="{00000000-0005-0000-0000-0000F2080000}"/>
    <cellStyle name="Comma 4 2 5 5 3 2" xfId="14707" xr:uid="{F756582E-F1F5-4B12-A348-C5DE0BF2086C}"/>
    <cellStyle name="Comma 4 2 5 5 4" xfId="10489" xr:uid="{50AA7FB1-A794-4B4B-BED3-8FE0B4B5DD97}"/>
    <cellStyle name="Comma 4 2 5 6" xfId="2396" xr:uid="{00000000-0005-0000-0000-0000F3080000}"/>
    <cellStyle name="Comma 4 2 5 6 2" xfId="6681" xr:uid="{00000000-0005-0000-0000-0000F4080000}"/>
    <cellStyle name="Comma 4 2 5 6 2 2" xfId="15120" xr:uid="{A07D3314-959C-4786-B8A7-1B785C892D9A}"/>
    <cellStyle name="Comma 4 2 5 6 3" xfId="10902" xr:uid="{6F0E6181-D636-4A74-BCB9-DE0C2068EEE4}"/>
    <cellStyle name="Comma 4 2 5 7" xfId="2367" xr:uid="{00000000-0005-0000-0000-0000F5080000}"/>
    <cellStyle name="Comma 4 2 5 8" xfId="2774" xr:uid="{00000000-0005-0000-0000-0000F6080000}"/>
    <cellStyle name="Comma 4 2 5 8 2" xfId="6998" xr:uid="{00000000-0005-0000-0000-0000F7080000}"/>
    <cellStyle name="Comma 4 2 5 8 2 2" xfId="15437" xr:uid="{669D1C1F-70E6-43C4-8AEE-3FCE373E96B0}"/>
    <cellStyle name="Comma 4 2 5 8 3" xfId="11219" xr:uid="{4AAA5B62-9EB7-4C33-8CFC-6204EF71B0D7}"/>
    <cellStyle name="Comma 4 2 5 9" xfId="4615" xr:uid="{00000000-0005-0000-0000-0000F8080000}"/>
    <cellStyle name="Comma 4 2 5 9 2" xfId="13054" xr:uid="{0F892208-35FC-42D5-BFB9-E9A0261A33B1}"/>
    <cellStyle name="Comma 4 2 6" xfId="143" xr:uid="{00000000-0005-0000-0000-0000F9080000}"/>
    <cellStyle name="Comma 4 2 6 10" xfId="8837" xr:uid="{564CCE7A-C025-4C7E-B690-9131579E59C6}"/>
    <cellStyle name="Comma 4 2 6 2" xfId="681" xr:uid="{00000000-0005-0000-0000-0000FA080000}"/>
    <cellStyle name="Comma 4 2 6 2 2" xfId="2952" xr:uid="{00000000-0005-0000-0000-0000FB080000}"/>
    <cellStyle name="Comma 4 2 6 2 2 2" xfId="7175" xr:uid="{00000000-0005-0000-0000-0000FC080000}"/>
    <cellStyle name="Comma 4 2 6 2 2 2 2" xfId="15614" xr:uid="{3C32DCAE-6F51-44D0-9736-0483E34116C0}"/>
    <cellStyle name="Comma 4 2 6 2 2 3" xfId="11396" xr:uid="{78E6E5C4-56F0-48E5-84CF-4F4F8F59403E}"/>
    <cellStyle name="Comma 4 2 6 2 3" xfId="5030" xr:uid="{00000000-0005-0000-0000-0000FD080000}"/>
    <cellStyle name="Comma 4 2 6 2 3 2" xfId="13469" xr:uid="{EFE1C8B2-7C0B-4F8D-84A4-A568C012495D}"/>
    <cellStyle name="Comma 4 2 6 2 4" xfId="9251" xr:uid="{BAF37E9D-73AF-44B4-B262-C6BDAB229B33}"/>
    <cellStyle name="Comma 4 2 6 3" xfId="1134" xr:uid="{00000000-0005-0000-0000-0000FE080000}"/>
    <cellStyle name="Comma 4 2 6 3 2" xfId="3365" xr:uid="{00000000-0005-0000-0000-0000FF080000}"/>
    <cellStyle name="Comma 4 2 6 3 2 2" xfId="7588" xr:uid="{00000000-0005-0000-0000-000000090000}"/>
    <cellStyle name="Comma 4 2 6 3 2 2 2" xfId="16027" xr:uid="{1913ED84-1FC3-4740-A238-27D84AF90919}"/>
    <cellStyle name="Comma 4 2 6 3 2 3" xfId="11809" xr:uid="{FB76651C-F58C-4F77-81EF-8956A443EE5D}"/>
    <cellStyle name="Comma 4 2 6 3 3" xfId="5443" xr:uid="{00000000-0005-0000-0000-000001090000}"/>
    <cellStyle name="Comma 4 2 6 3 3 2" xfId="13882" xr:uid="{2616C985-7A3D-4A21-AD8F-F247464DA8A8}"/>
    <cellStyle name="Comma 4 2 6 3 4" xfId="9664" xr:uid="{3C7321D5-45AF-4B94-AD2E-45C9BC9EAC28}"/>
    <cellStyle name="Comma 4 2 6 4" xfId="1548" xr:uid="{00000000-0005-0000-0000-000002090000}"/>
    <cellStyle name="Comma 4 2 6 4 2" xfId="3778" xr:uid="{00000000-0005-0000-0000-000003090000}"/>
    <cellStyle name="Comma 4 2 6 4 2 2" xfId="8001" xr:uid="{00000000-0005-0000-0000-000004090000}"/>
    <cellStyle name="Comma 4 2 6 4 2 2 2" xfId="16440" xr:uid="{D19A056F-3E3A-464D-85BE-93F1FC92012C}"/>
    <cellStyle name="Comma 4 2 6 4 2 3" xfId="12222" xr:uid="{10436B9B-D6D3-4BEF-AED5-CFB7FD6EAA71}"/>
    <cellStyle name="Comma 4 2 6 4 3" xfId="5856" xr:uid="{00000000-0005-0000-0000-000005090000}"/>
    <cellStyle name="Comma 4 2 6 4 3 2" xfId="14295" xr:uid="{A330C903-5DC4-4274-8DFF-118125058E00}"/>
    <cellStyle name="Comma 4 2 6 4 4" xfId="10077" xr:uid="{C60EABB9-6C66-42FF-834E-AF95C57A67BF}"/>
    <cellStyle name="Comma 4 2 6 5" xfId="1962" xr:uid="{00000000-0005-0000-0000-000006090000}"/>
    <cellStyle name="Comma 4 2 6 5 2" xfId="4191" xr:uid="{00000000-0005-0000-0000-000007090000}"/>
    <cellStyle name="Comma 4 2 6 5 2 2" xfId="8414" xr:uid="{00000000-0005-0000-0000-000008090000}"/>
    <cellStyle name="Comma 4 2 6 5 2 2 2" xfId="16853" xr:uid="{10BD87AF-0292-4083-A910-E5B852033D4F}"/>
    <cellStyle name="Comma 4 2 6 5 2 3" xfId="12635" xr:uid="{4A0B0537-F92F-44E9-BD09-8BF38D27AFE6}"/>
    <cellStyle name="Comma 4 2 6 5 3" xfId="6269" xr:uid="{00000000-0005-0000-0000-000009090000}"/>
    <cellStyle name="Comma 4 2 6 5 3 2" xfId="14708" xr:uid="{78931176-BAC7-4B31-8400-0DE212AB6C78}"/>
    <cellStyle name="Comma 4 2 6 5 4" xfId="10490" xr:uid="{2469CE95-22E8-4C67-B65F-9D1E615563E7}"/>
    <cellStyle name="Comma 4 2 6 6" xfId="2397" xr:uid="{00000000-0005-0000-0000-00000A090000}"/>
    <cellStyle name="Comma 4 2 6 6 2" xfId="6682" xr:uid="{00000000-0005-0000-0000-00000B090000}"/>
    <cellStyle name="Comma 4 2 6 6 2 2" xfId="15121" xr:uid="{29D6ACCF-C3DD-4685-A5E5-A360987D0B9F}"/>
    <cellStyle name="Comma 4 2 6 6 3" xfId="10903" xr:uid="{494A5929-E830-4108-A04B-E2B8D82BB47F}"/>
    <cellStyle name="Comma 4 2 6 7" xfId="2366" xr:uid="{00000000-0005-0000-0000-00000C090000}"/>
    <cellStyle name="Comma 4 2 6 8" xfId="2775" xr:uid="{00000000-0005-0000-0000-00000D090000}"/>
    <cellStyle name="Comma 4 2 6 8 2" xfId="6999" xr:uid="{00000000-0005-0000-0000-00000E090000}"/>
    <cellStyle name="Comma 4 2 6 8 2 2" xfId="15438" xr:uid="{622B8366-5EE3-400D-90FA-494FEBD68A74}"/>
    <cellStyle name="Comma 4 2 6 8 3" xfId="11220" xr:uid="{BBF63788-D510-4347-9E4D-497E221C65A6}"/>
    <cellStyle name="Comma 4 2 6 9" xfId="4616" xr:uid="{00000000-0005-0000-0000-00000F090000}"/>
    <cellStyle name="Comma 4 2 6 9 2" xfId="13055" xr:uid="{64267EA0-7064-4D74-899D-02247273A58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39" xr:uid="{0D3E27BF-6F61-4968-A8E9-D622C413DC07}"/>
    <cellStyle name="Comma 4 3 2 10 3" xfId="11221" xr:uid="{24F6F06D-892C-4D42-8F67-3FC33929DB9B}"/>
    <cellStyle name="Comma 4 3 2 11" xfId="4617" xr:uid="{00000000-0005-0000-0000-000014090000}"/>
    <cellStyle name="Comma 4 3 2 11 2" xfId="13056" xr:uid="{0BD454B0-B02E-4D55-A1E4-CF9538ADF453}"/>
    <cellStyle name="Comma 4 3 2 12" xfId="8838" xr:uid="{7C9CD2F8-2047-47FC-B045-3CB4D2F2B18F}"/>
    <cellStyle name="Comma 4 3 2 2" xfId="146" xr:uid="{00000000-0005-0000-0000-000015090000}"/>
    <cellStyle name="Comma 4 3 2 2 10" xfId="4618" xr:uid="{00000000-0005-0000-0000-000016090000}"/>
    <cellStyle name="Comma 4 3 2 2 10 2" xfId="13057" xr:uid="{0D69FB25-F1B5-45FF-91D4-E980DB0533AF}"/>
    <cellStyle name="Comma 4 3 2 2 11" xfId="8839" xr:uid="{789E6BEC-67C4-493A-896D-68C85028D6B9}"/>
    <cellStyle name="Comma 4 3 2 2 2" xfId="147" xr:uid="{00000000-0005-0000-0000-000017090000}"/>
    <cellStyle name="Comma 4 3 2 2 2 10" xfId="8840" xr:uid="{70A888FF-A1B0-4754-8E4C-0C4E295B1ABC}"/>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17" xr:uid="{17868573-1D99-44C0-AE9A-62C24055DDB5}"/>
    <cellStyle name="Comma 4 3 2 2 2 2 2 3" xfId="11399" xr:uid="{5DA3F8AD-E62F-42A4-8D8F-145E8E920C75}"/>
    <cellStyle name="Comma 4 3 2 2 2 2 3" xfId="5033" xr:uid="{00000000-0005-0000-0000-00001B090000}"/>
    <cellStyle name="Comma 4 3 2 2 2 2 3 2" xfId="13472" xr:uid="{5239A659-0B85-4EE9-A1B0-DFE6AA4F023E}"/>
    <cellStyle name="Comma 4 3 2 2 2 2 4" xfId="9254" xr:uid="{C04E05D9-A72B-4832-A53F-1E0B14D4CBAC}"/>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0" xr:uid="{5902D142-2D4E-4285-8C01-168069726621}"/>
    <cellStyle name="Comma 4 3 2 2 2 3 2 3" xfId="11812" xr:uid="{579FA96E-1338-4BD1-B970-72D992B68228}"/>
    <cellStyle name="Comma 4 3 2 2 2 3 3" xfId="5446" xr:uid="{00000000-0005-0000-0000-00001F090000}"/>
    <cellStyle name="Comma 4 3 2 2 2 3 3 2" xfId="13885" xr:uid="{E9C3E4BF-4813-4495-8DE1-E3A2CA941425}"/>
    <cellStyle name="Comma 4 3 2 2 2 3 4" xfId="9667" xr:uid="{C41967AE-9632-40F2-B49B-60E0C489A0DB}"/>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3" xr:uid="{26628966-A8F1-406B-AAC1-028D995C4B3A}"/>
    <cellStyle name="Comma 4 3 2 2 2 4 2 3" xfId="12225" xr:uid="{DFC29BB2-CDE4-40AC-83E1-F254EFC04E07}"/>
    <cellStyle name="Comma 4 3 2 2 2 4 3" xfId="5859" xr:uid="{00000000-0005-0000-0000-000023090000}"/>
    <cellStyle name="Comma 4 3 2 2 2 4 3 2" xfId="14298" xr:uid="{9C8AF27C-7A1F-4184-B8E6-418111E035C7}"/>
    <cellStyle name="Comma 4 3 2 2 2 4 4" xfId="10080" xr:uid="{2411CF7D-D1AE-4EB1-92A0-0A2DA7F2DFAD}"/>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6" xr:uid="{9D297B35-873A-4B1E-8CAF-CA880EBE27D5}"/>
    <cellStyle name="Comma 4 3 2 2 2 5 2 3" xfId="12638" xr:uid="{581D03FF-B389-4E9C-97AC-7C189477A5FA}"/>
    <cellStyle name="Comma 4 3 2 2 2 5 3" xfId="6272" xr:uid="{00000000-0005-0000-0000-000027090000}"/>
    <cellStyle name="Comma 4 3 2 2 2 5 3 2" xfId="14711" xr:uid="{0A92955A-406C-45C0-B7DC-1585B7864F4E}"/>
    <cellStyle name="Comma 4 3 2 2 2 5 4" xfId="10493" xr:uid="{BB7D3618-3B0C-4608-8CFA-190A51A7CA4B}"/>
    <cellStyle name="Comma 4 3 2 2 2 6" xfId="2400" xr:uid="{00000000-0005-0000-0000-000028090000}"/>
    <cellStyle name="Comma 4 3 2 2 2 6 2" xfId="6685" xr:uid="{00000000-0005-0000-0000-000029090000}"/>
    <cellStyle name="Comma 4 3 2 2 2 6 2 2" xfId="15124" xr:uid="{59E629D6-4534-4D73-B5FC-5614D5B25E88}"/>
    <cellStyle name="Comma 4 3 2 2 2 6 3" xfId="10906" xr:uid="{FCEB9D6D-E7AC-40D2-8D9B-DA4F8A0D0985}"/>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1" xr:uid="{2C530276-EF34-415B-8CCA-7D9C6E5AEC29}"/>
    <cellStyle name="Comma 4 3 2 2 2 8 3" xfId="11223" xr:uid="{687DC0A1-AA11-4F0B-8FD1-543CB96D6403}"/>
    <cellStyle name="Comma 4 3 2 2 2 9" xfId="4619" xr:uid="{00000000-0005-0000-0000-00002D090000}"/>
    <cellStyle name="Comma 4 3 2 2 2 9 2" xfId="13058" xr:uid="{26A30BDA-9AAB-40EF-9720-55BDC5E1EBEA}"/>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6" xr:uid="{2DF2EE09-57D8-4E86-97D2-6C8DB8780667}"/>
    <cellStyle name="Comma 4 3 2 2 3 2 3" xfId="11398" xr:uid="{2FC591E2-343A-4A67-9F67-6987D9D440E0}"/>
    <cellStyle name="Comma 4 3 2 2 3 3" xfId="5032" xr:uid="{00000000-0005-0000-0000-000031090000}"/>
    <cellStyle name="Comma 4 3 2 2 3 3 2" xfId="13471" xr:uid="{D887CBA3-B018-41AF-9F1D-1F050C41AC8C}"/>
    <cellStyle name="Comma 4 3 2 2 3 4" xfId="9253" xr:uid="{7D0A4238-A9F2-4C4C-8C2B-0386B0BCFC4D}"/>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29" xr:uid="{A6946819-D39A-49A3-A167-6B40A1FA50FF}"/>
    <cellStyle name="Comma 4 3 2 2 4 2 3" xfId="11811" xr:uid="{F892771F-C86A-4D45-B163-04F0CBEE0E57}"/>
    <cellStyle name="Comma 4 3 2 2 4 3" xfId="5445" xr:uid="{00000000-0005-0000-0000-000035090000}"/>
    <cellStyle name="Comma 4 3 2 2 4 3 2" xfId="13884" xr:uid="{8DBB15CF-8841-470D-9E10-C6DBE26C6E69}"/>
    <cellStyle name="Comma 4 3 2 2 4 4" xfId="9666" xr:uid="{0416BDA9-8D0E-4BA9-BFEE-83D1CA662832}"/>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2" xr:uid="{123CF6B2-C7D2-4BA6-B5DF-F7A7553A84F5}"/>
    <cellStyle name="Comma 4 3 2 2 5 2 3" xfId="12224" xr:uid="{3D548BA7-D59D-443C-9810-7C214CDD16A3}"/>
    <cellStyle name="Comma 4 3 2 2 5 3" xfId="5858" xr:uid="{00000000-0005-0000-0000-000039090000}"/>
    <cellStyle name="Comma 4 3 2 2 5 3 2" xfId="14297" xr:uid="{07CA0BF7-778F-4D8E-9039-B1704BBCBB8B}"/>
    <cellStyle name="Comma 4 3 2 2 5 4" xfId="10079" xr:uid="{AD2E767E-95A3-401F-8FE4-DF933572757F}"/>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5" xr:uid="{177A4C91-82B0-4898-B32A-D2E0341493D0}"/>
    <cellStyle name="Comma 4 3 2 2 6 2 3" xfId="12637" xr:uid="{2E0F71BB-7106-430A-8D5A-ACD7A71A9FF7}"/>
    <cellStyle name="Comma 4 3 2 2 6 3" xfId="6271" xr:uid="{00000000-0005-0000-0000-00003D090000}"/>
    <cellStyle name="Comma 4 3 2 2 6 3 2" xfId="14710" xr:uid="{E47519B0-6D51-4C4F-BDF3-7EB38B0930FA}"/>
    <cellStyle name="Comma 4 3 2 2 6 4" xfId="10492" xr:uid="{A17B5BB5-490A-4A6A-A59A-201EBB79D2DD}"/>
    <cellStyle name="Comma 4 3 2 2 7" xfId="2399" xr:uid="{00000000-0005-0000-0000-00003E090000}"/>
    <cellStyle name="Comma 4 3 2 2 7 2" xfId="6684" xr:uid="{00000000-0005-0000-0000-00003F090000}"/>
    <cellStyle name="Comma 4 3 2 2 7 2 2" xfId="15123" xr:uid="{846796E2-2D7F-41A0-BDEB-20991B66F274}"/>
    <cellStyle name="Comma 4 3 2 2 7 3" xfId="10905" xr:uid="{2939FEFA-A252-43C6-BF0E-A5E14A48841B}"/>
    <cellStyle name="Comma 4 3 2 2 8" xfId="2364" xr:uid="{00000000-0005-0000-0000-000040090000}"/>
    <cellStyle name="Comma 4 3 2 2 9" xfId="2777" xr:uid="{00000000-0005-0000-0000-000041090000}"/>
    <cellStyle name="Comma 4 3 2 2 9 2" xfId="7001" xr:uid="{00000000-0005-0000-0000-000042090000}"/>
    <cellStyle name="Comma 4 3 2 2 9 2 2" xfId="15440" xr:uid="{AD3C75CE-AA23-4E2E-A462-F72C5582C64D}"/>
    <cellStyle name="Comma 4 3 2 2 9 3" xfId="11222" xr:uid="{5DE46CF5-51EC-42BA-8534-FC7790BE83D8}"/>
    <cellStyle name="Comma 4 3 2 3" xfId="148" xr:uid="{00000000-0005-0000-0000-000043090000}"/>
    <cellStyle name="Comma 4 3 2 3 10" xfId="8841" xr:uid="{09F8099D-0A54-4F38-8AE3-DC322BC74539}"/>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18" xr:uid="{696CD415-D5B1-4400-A5DD-20C4B6560468}"/>
    <cellStyle name="Comma 4 3 2 3 2 2 3" xfId="11400" xr:uid="{60B7E4F3-FBE7-4639-8102-7E7EDC9FFFCD}"/>
    <cellStyle name="Comma 4 3 2 3 2 3" xfId="5034" xr:uid="{00000000-0005-0000-0000-000047090000}"/>
    <cellStyle name="Comma 4 3 2 3 2 3 2" xfId="13473" xr:uid="{17539AF5-1436-486C-B09C-9CEA6E5567FB}"/>
    <cellStyle name="Comma 4 3 2 3 2 4" xfId="9255" xr:uid="{92C81939-B98F-4D0A-8F40-A333C1300FE1}"/>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1" xr:uid="{89EA3AD4-0A44-4BED-9BBF-8BCE44AF90B0}"/>
    <cellStyle name="Comma 4 3 2 3 3 2 3" xfId="11813" xr:uid="{D43E5428-D10D-4165-9349-D468884A97E3}"/>
    <cellStyle name="Comma 4 3 2 3 3 3" xfId="5447" xr:uid="{00000000-0005-0000-0000-00004B090000}"/>
    <cellStyle name="Comma 4 3 2 3 3 3 2" xfId="13886" xr:uid="{CE7D5D21-B848-472B-A536-6F656583BE0B}"/>
    <cellStyle name="Comma 4 3 2 3 3 4" xfId="9668" xr:uid="{37863C79-7FDD-4DF4-B953-CB7DDB878381}"/>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4" xr:uid="{2CD727AF-A415-426C-A325-DAD2229D70FA}"/>
    <cellStyle name="Comma 4 3 2 3 4 2 3" xfId="12226" xr:uid="{3D324CFD-CF65-4A99-98B4-E6AB5613C1DB}"/>
    <cellStyle name="Comma 4 3 2 3 4 3" xfId="5860" xr:uid="{00000000-0005-0000-0000-00004F090000}"/>
    <cellStyle name="Comma 4 3 2 3 4 3 2" xfId="14299" xr:uid="{88C217E9-B2CC-4440-9EB8-74D26291BB6B}"/>
    <cellStyle name="Comma 4 3 2 3 4 4" xfId="10081" xr:uid="{55591804-4084-435C-9831-5C8A9DA02BD9}"/>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57" xr:uid="{47C995BD-BABE-46F1-B08F-96DA516E25D0}"/>
    <cellStyle name="Comma 4 3 2 3 5 2 3" xfId="12639" xr:uid="{ED6DFEAA-7EED-416C-9818-37A1AAE57D1C}"/>
    <cellStyle name="Comma 4 3 2 3 5 3" xfId="6273" xr:uid="{00000000-0005-0000-0000-000053090000}"/>
    <cellStyle name="Comma 4 3 2 3 5 3 2" xfId="14712" xr:uid="{2784B1AA-239A-4F66-9A5B-BE3C0C32F081}"/>
    <cellStyle name="Comma 4 3 2 3 5 4" xfId="10494" xr:uid="{D802F2A0-1CFF-4D5D-88E9-F81D80A49BFF}"/>
    <cellStyle name="Comma 4 3 2 3 6" xfId="2401" xr:uid="{00000000-0005-0000-0000-000054090000}"/>
    <cellStyle name="Comma 4 3 2 3 6 2" xfId="6686" xr:uid="{00000000-0005-0000-0000-000055090000}"/>
    <cellStyle name="Comma 4 3 2 3 6 2 2" xfId="15125" xr:uid="{D887D168-D039-40DF-A527-E0026A36FA9E}"/>
    <cellStyle name="Comma 4 3 2 3 6 3" xfId="10907" xr:uid="{D317323C-2562-4441-B8C5-87DC3551713B}"/>
    <cellStyle name="Comma 4 3 2 3 7" xfId="2362" xr:uid="{00000000-0005-0000-0000-000056090000}"/>
    <cellStyle name="Comma 4 3 2 3 8" xfId="2779" xr:uid="{00000000-0005-0000-0000-000057090000}"/>
    <cellStyle name="Comma 4 3 2 3 8 2" xfId="7003" xr:uid="{00000000-0005-0000-0000-000058090000}"/>
    <cellStyle name="Comma 4 3 2 3 8 2 2" xfId="15442" xr:uid="{429C9DA4-3055-4764-9069-D6A0EE96E81B}"/>
    <cellStyle name="Comma 4 3 2 3 8 3" xfId="11224" xr:uid="{F1EFBCAB-1075-4F3F-B409-EBFA276BB411}"/>
    <cellStyle name="Comma 4 3 2 3 9" xfId="4620" xr:uid="{00000000-0005-0000-0000-000059090000}"/>
    <cellStyle name="Comma 4 3 2 3 9 2" xfId="13059" xr:uid="{09482778-3184-466B-B869-138350592A0E}"/>
    <cellStyle name="Comma 4 3 2 4" xfId="682" xr:uid="{00000000-0005-0000-0000-00005A090000}"/>
    <cellStyle name="Comma 4 3 2 4 2" xfId="2953" xr:uid="{00000000-0005-0000-0000-00005B090000}"/>
    <cellStyle name="Comma 4 3 2 4 2 2" xfId="7176" xr:uid="{00000000-0005-0000-0000-00005C090000}"/>
    <cellStyle name="Comma 4 3 2 4 2 2 2" xfId="15615" xr:uid="{723F3633-DA2D-461B-8719-D9FBEA097863}"/>
    <cellStyle name="Comma 4 3 2 4 2 3" xfId="11397" xr:uid="{A2400E12-0561-41EB-A0A1-2F9568AFE507}"/>
    <cellStyle name="Comma 4 3 2 4 3" xfId="5031" xr:uid="{00000000-0005-0000-0000-00005D090000}"/>
    <cellStyle name="Comma 4 3 2 4 3 2" xfId="13470" xr:uid="{BDB3136F-B135-4B54-8C03-B105F744A0AF}"/>
    <cellStyle name="Comma 4 3 2 4 4" xfId="9252" xr:uid="{4D4C79C8-3178-4BA0-9494-BE818A58D4F0}"/>
    <cellStyle name="Comma 4 3 2 5" xfId="1135" xr:uid="{00000000-0005-0000-0000-00005E090000}"/>
    <cellStyle name="Comma 4 3 2 5 2" xfId="3366" xr:uid="{00000000-0005-0000-0000-00005F090000}"/>
    <cellStyle name="Comma 4 3 2 5 2 2" xfId="7589" xr:uid="{00000000-0005-0000-0000-000060090000}"/>
    <cellStyle name="Comma 4 3 2 5 2 2 2" xfId="16028" xr:uid="{4824549C-DCF8-41C3-9A00-ACAE7BE20984}"/>
    <cellStyle name="Comma 4 3 2 5 2 3" xfId="11810" xr:uid="{B9FA7FF2-ABDA-4029-AA37-8BD2EBB9E3E0}"/>
    <cellStyle name="Comma 4 3 2 5 3" xfId="5444" xr:uid="{00000000-0005-0000-0000-000061090000}"/>
    <cellStyle name="Comma 4 3 2 5 3 2" xfId="13883" xr:uid="{CB641A71-B03D-443A-8BAB-A6289AE8355E}"/>
    <cellStyle name="Comma 4 3 2 5 4" xfId="9665" xr:uid="{B3B00B26-60B6-49A2-80DE-37D10C9AE2AB}"/>
    <cellStyle name="Comma 4 3 2 6" xfId="1549" xr:uid="{00000000-0005-0000-0000-000062090000}"/>
    <cellStyle name="Comma 4 3 2 6 2" xfId="3779" xr:uid="{00000000-0005-0000-0000-000063090000}"/>
    <cellStyle name="Comma 4 3 2 6 2 2" xfId="8002" xr:uid="{00000000-0005-0000-0000-000064090000}"/>
    <cellStyle name="Comma 4 3 2 6 2 2 2" xfId="16441" xr:uid="{0498649C-E1E3-4561-9076-F984121DB5F4}"/>
    <cellStyle name="Comma 4 3 2 6 2 3" xfId="12223" xr:uid="{F0B5A6B5-BE5E-4F4E-93E3-25A3F6D2CCF2}"/>
    <cellStyle name="Comma 4 3 2 6 3" xfId="5857" xr:uid="{00000000-0005-0000-0000-000065090000}"/>
    <cellStyle name="Comma 4 3 2 6 3 2" xfId="14296" xr:uid="{A2737D7B-FD1B-4993-8B5C-B2FB3D51E996}"/>
    <cellStyle name="Comma 4 3 2 6 4" xfId="10078" xr:uid="{500B8118-47EA-4870-8C95-69E694F2227B}"/>
    <cellStyle name="Comma 4 3 2 7" xfId="1963" xr:uid="{00000000-0005-0000-0000-000066090000}"/>
    <cellStyle name="Comma 4 3 2 7 2" xfId="4192" xr:uid="{00000000-0005-0000-0000-000067090000}"/>
    <cellStyle name="Comma 4 3 2 7 2 2" xfId="8415" xr:uid="{00000000-0005-0000-0000-000068090000}"/>
    <cellStyle name="Comma 4 3 2 7 2 2 2" xfId="16854" xr:uid="{094DCDBA-5685-4226-866C-095E6B9A6534}"/>
    <cellStyle name="Comma 4 3 2 7 2 3" xfId="12636" xr:uid="{D9F2FA7B-BAF7-4D1A-B0CC-FE0B55C18B13}"/>
    <cellStyle name="Comma 4 3 2 7 3" xfId="6270" xr:uid="{00000000-0005-0000-0000-000069090000}"/>
    <cellStyle name="Comma 4 3 2 7 3 2" xfId="14709" xr:uid="{9AA78A99-77C9-4406-9BAF-A0D67E2D7B34}"/>
    <cellStyle name="Comma 4 3 2 7 4" xfId="10491" xr:uid="{DD128AA7-3C86-422D-B9E3-2B3E7F096178}"/>
    <cellStyle name="Comma 4 3 2 8" xfId="2398" xr:uid="{00000000-0005-0000-0000-00006A090000}"/>
    <cellStyle name="Comma 4 3 2 8 2" xfId="6683" xr:uid="{00000000-0005-0000-0000-00006B090000}"/>
    <cellStyle name="Comma 4 3 2 8 2 2" xfId="15122" xr:uid="{417C6E3D-00EB-4648-9AE1-BBB41CD9F814}"/>
    <cellStyle name="Comma 4 3 2 8 3" xfId="10904" xr:uid="{56231841-9322-4B44-BB01-5BEE1B71A510}"/>
    <cellStyle name="Comma 4 3 2 9" xfId="2365" xr:uid="{00000000-0005-0000-0000-00006C090000}"/>
    <cellStyle name="Comma 4 3 3" xfId="149" xr:uid="{00000000-0005-0000-0000-00006D090000}"/>
    <cellStyle name="Comma 4 3 3 10" xfId="4621" xr:uid="{00000000-0005-0000-0000-00006E090000}"/>
    <cellStyle name="Comma 4 3 3 10 2" xfId="13060" xr:uid="{5DAE10FE-D4D8-40BC-A5D1-254C8F2EF1D5}"/>
    <cellStyle name="Comma 4 3 3 11" xfId="8842" xr:uid="{BDB86C0A-BCDC-430D-9C76-C70AA19BB8A3}"/>
    <cellStyle name="Comma 4 3 3 2" xfId="150" xr:uid="{00000000-0005-0000-0000-00006F090000}"/>
    <cellStyle name="Comma 4 3 3 2 10" xfId="8843" xr:uid="{26D4CAE7-5FBD-4453-8924-882F7E780E84}"/>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0" xr:uid="{FCAA7BF7-056B-47C9-B07B-840E99F36016}"/>
    <cellStyle name="Comma 4 3 3 2 2 2 3" xfId="11402" xr:uid="{5B68EB4C-7F5C-4A6F-8B5A-41344D1AC47F}"/>
    <cellStyle name="Comma 4 3 3 2 2 3" xfId="5036" xr:uid="{00000000-0005-0000-0000-000073090000}"/>
    <cellStyle name="Comma 4 3 3 2 2 3 2" xfId="13475" xr:uid="{A320D589-A5DB-4C32-B920-C68D823E6D0A}"/>
    <cellStyle name="Comma 4 3 3 2 2 4" xfId="9257" xr:uid="{2ACC405A-39F8-4F32-A0E6-9BBA25DDC51B}"/>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3" xr:uid="{2F6A93C8-C858-4B93-98C6-7DBDBB21A338}"/>
    <cellStyle name="Comma 4 3 3 2 3 2 3" xfId="11815" xr:uid="{233398EF-BB51-47F9-88D6-1167EC78EB46}"/>
    <cellStyle name="Comma 4 3 3 2 3 3" xfId="5449" xr:uid="{00000000-0005-0000-0000-000077090000}"/>
    <cellStyle name="Comma 4 3 3 2 3 3 2" xfId="13888" xr:uid="{16D1F8E8-D007-4ED6-AC3F-AA3EDC931BFC}"/>
    <cellStyle name="Comma 4 3 3 2 3 4" xfId="9670" xr:uid="{9278CEF0-5B6C-4809-8B95-E2035EFAFB8B}"/>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6" xr:uid="{B77C73AD-E6DD-46C3-AF60-2D0108F7970A}"/>
    <cellStyle name="Comma 4 3 3 2 4 2 3" xfId="12228" xr:uid="{BE04382D-9CE0-49E1-8194-D71B283002F3}"/>
    <cellStyle name="Comma 4 3 3 2 4 3" xfId="5862" xr:uid="{00000000-0005-0000-0000-00007B090000}"/>
    <cellStyle name="Comma 4 3 3 2 4 3 2" xfId="14301" xr:uid="{5E563EA2-9D4F-46FF-8A32-F52265738C6F}"/>
    <cellStyle name="Comma 4 3 3 2 4 4" xfId="10083" xr:uid="{68F59E23-F72D-4936-AF96-56683D922BAC}"/>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59" xr:uid="{D88F6581-8ABD-4019-BD19-2B98F326E299}"/>
    <cellStyle name="Comma 4 3 3 2 5 2 3" xfId="12641" xr:uid="{64B0569A-73CF-496D-8118-9DCEEA4D79CF}"/>
    <cellStyle name="Comma 4 3 3 2 5 3" xfId="6275" xr:uid="{00000000-0005-0000-0000-00007F090000}"/>
    <cellStyle name="Comma 4 3 3 2 5 3 2" xfId="14714" xr:uid="{5482E369-649F-4B47-AF77-9029FFA2E348}"/>
    <cellStyle name="Comma 4 3 3 2 5 4" xfId="10496" xr:uid="{2458570F-DFCD-4DB4-8798-023359418E26}"/>
    <cellStyle name="Comma 4 3 3 2 6" xfId="2403" xr:uid="{00000000-0005-0000-0000-000080090000}"/>
    <cellStyle name="Comma 4 3 3 2 6 2" xfId="6688" xr:uid="{00000000-0005-0000-0000-000081090000}"/>
    <cellStyle name="Comma 4 3 3 2 6 2 2" xfId="15127" xr:uid="{77F6DF11-A364-4DE8-8F7F-5093B7314DA0}"/>
    <cellStyle name="Comma 4 3 3 2 6 3" xfId="10909" xr:uid="{4F5E5BB0-8BBD-45CE-8BEF-8D3ACBEA5D7D}"/>
    <cellStyle name="Comma 4 3 3 2 7" xfId="2360" xr:uid="{00000000-0005-0000-0000-000082090000}"/>
    <cellStyle name="Comma 4 3 3 2 8" xfId="2781" xr:uid="{00000000-0005-0000-0000-000083090000}"/>
    <cellStyle name="Comma 4 3 3 2 8 2" xfId="7005" xr:uid="{00000000-0005-0000-0000-000084090000}"/>
    <cellStyle name="Comma 4 3 3 2 8 2 2" xfId="15444" xr:uid="{6B4C099E-F259-43A3-9402-79828B070A5A}"/>
    <cellStyle name="Comma 4 3 3 2 8 3" xfId="11226" xr:uid="{D5F6412F-022A-4574-912B-DBEAE0D8DC1C}"/>
    <cellStyle name="Comma 4 3 3 2 9" xfId="4622" xr:uid="{00000000-0005-0000-0000-000085090000}"/>
    <cellStyle name="Comma 4 3 3 2 9 2" xfId="13061" xr:uid="{545C288D-60E8-4A4D-A4D8-35AE876E1856}"/>
    <cellStyle name="Comma 4 3 3 3" xfId="686" xr:uid="{00000000-0005-0000-0000-000086090000}"/>
    <cellStyle name="Comma 4 3 3 3 2" xfId="2957" xr:uid="{00000000-0005-0000-0000-000087090000}"/>
    <cellStyle name="Comma 4 3 3 3 2 2" xfId="7180" xr:uid="{00000000-0005-0000-0000-000088090000}"/>
    <cellStyle name="Comma 4 3 3 3 2 2 2" xfId="15619" xr:uid="{3D4391F3-E3B9-452A-9644-7B8CC5542892}"/>
    <cellStyle name="Comma 4 3 3 3 2 3" xfId="11401" xr:uid="{336686EB-B988-48F3-9581-12784FCD5106}"/>
    <cellStyle name="Comma 4 3 3 3 3" xfId="5035" xr:uid="{00000000-0005-0000-0000-000089090000}"/>
    <cellStyle name="Comma 4 3 3 3 3 2" xfId="13474" xr:uid="{6ABA71AF-3651-45C4-A0F7-1962A22F8702}"/>
    <cellStyle name="Comma 4 3 3 3 4" xfId="9256" xr:uid="{182F5390-B066-4FCB-88CE-8D060F5CE84A}"/>
    <cellStyle name="Comma 4 3 3 4" xfId="1139" xr:uid="{00000000-0005-0000-0000-00008A090000}"/>
    <cellStyle name="Comma 4 3 3 4 2" xfId="3370" xr:uid="{00000000-0005-0000-0000-00008B090000}"/>
    <cellStyle name="Comma 4 3 3 4 2 2" xfId="7593" xr:uid="{00000000-0005-0000-0000-00008C090000}"/>
    <cellStyle name="Comma 4 3 3 4 2 2 2" xfId="16032" xr:uid="{7E184273-E31A-425A-A46B-4EE7BD88702E}"/>
    <cellStyle name="Comma 4 3 3 4 2 3" xfId="11814" xr:uid="{4E6B2A58-A66F-472D-AAA5-A57F71B3EB50}"/>
    <cellStyle name="Comma 4 3 3 4 3" xfId="5448" xr:uid="{00000000-0005-0000-0000-00008D090000}"/>
    <cellStyle name="Comma 4 3 3 4 3 2" xfId="13887" xr:uid="{E84162C9-6E4F-4A46-BB8F-A2DAE31DD7EA}"/>
    <cellStyle name="Comma 4 3 3 4 4" xfId="9669" xr:uid="{CCB6C799-F311-41BD-8265-6EBB7C2B6735}"/>
    <cellStyle name="Comma 4 3 3 5" xfId="1553" xr:uid="{00000000-0005-0000-0000-00008E090000}"/>
    <cellStyle name="Comma 4 3 3 5 2" xfId="3783" xr:uid="{00000000-0005-0000-0000-00008F090000}"/>
    <cellStyle name="Comma 4 3 3 5 2 2" xfId="8006" xr:uid="{00000000-0005-0000-0000-000090090000}"/>
    <cellStyle name="Comma 4 3 3 5 2 2 2" xfId="16445" xr:uid="{0FDA7A0D-0B2E-4DD7-85AE-AB7A5B248BB2}"/>
    <cellStyle name="Comma 4 3 3 5 2 3" xfId="12227" xr:uid="{C540EDF1-F911-41EC-8756-5D90BBD09ECC}"/>
    <cellStyle name="Comma 4 3 3 5 3" xfId="5861" xr:uid="{00000000-0005-0000-0000-000091090000}"/>
    <cellStyle name="Comma 4 3 3 5 3 2" xfId="14300" xr:uid="{F23695EC-05FB-4185-8AD3-5850B5C39AEA}"/>
    <cellStyle name="Comma 4 3 3 5 4" xfId="10082" xr:uid="{D966F0CA-1F82-4827-93E7-988C3FE0CB8B}"/>
    <cellStyle name="Comma 4 3 3 6" xfId="1967" xr:uid="{00000000-0005-0000-0000-000092090000}"/>
    <cellStyle name="Comma 4 3 3 6 2" xfId="4196" xr:uid="{00000000-0005-0000-0000-000093090000}"/>
    <cellStyle name="Comma 4 3 3 6 2 2" xfId="8419" xr:uid="{00000000-0005-0000-0000-000094090000}"/>
    <cellStyle name="Comma 4 3 3 6 2 2 2" xfId="16858" xr:uid="{C736D6CF-F676-42C1-9EC7-50D021B67A17}"/>
    <cellStyle name="Comma 4 3 3 6 2 3" xfId="12640" xr:uid="{E3947CBE-C444-4723-9BD3-F80DE863DB8D}"/>
    <cellStyle name="Comma 4 3 3 6 3" xfId="6274" xr:uid="{00000000-0005-0000-0000-000095090000}"/>
    <cellStyle name="Comma 4 3 3 6 3 2" xfId="14713" xr:uid="{7609B2BD-C4AD-4EEE-A752-1C8E5B3412E7}"/>
    <cellStyle name="Comma 4 3 3 6 4" xfId="10495" xr:uid="{D890A6BC-6B95-4B67-AE11-A490CD6CA829}"/>
    <cellStyle name="Comma 4 3 3 7" xfId="2402" xr:uid="{00000000-0005-0000-0000-000096090000}"/>
    <cellStyle name="Comma 4 3 3 7 2" xfId="6687" xr:uid="{00000000-0005-0000-0000-000097090000}"/>
    <cellStyle name="Comma 4 3 3 7 2 2" xfId="15126" xr:uid="{A0E7599C-2F01-4E5A-AFB1-9E16752C188B}"/>
    <cellStyle name="Comma 4 3 3 7 3" xfId="10908" xr:uid="{D2AE1647-72F7-44B7-A02A-1DFD486B9E71}"/>
    <cellStyle name="Comma 4 3 3 8" xfId="2361" xr:uid="{00000000-0005-0000-0000-000098090000}"/>
    <cellStyle name="Comma 4 3 3 9" xfId="2780" xr:uid="{00000000-0005-0000-0000-000099090000}"/>
    <cellStyle name="Comma 4 3 3 9 2" xfId="7004" xr:uid="{00000000-0005-0000-0000-00009A090000}"/>
    <cellStyle name="Comma 4 3 3 9 2 2" xfId="15443" xr:uid="{26C6A9C3-662D-447B-BB55-EC52E1740DD7}"/>
    <cellStyle name="Comma 4 3 3 9 3" xfId="11225" xr:uid="{7DEFDC1B-022B-4E90-B4FB-498AA40A232E}"/>
    <cellStyle name="Comma 4 3 4" xfId="151" xr:uid="{00000000-0005-0000-0000-00009B090000}"/>
    <cellStyle name="Comma 4 3 4 10" xfId="8844" xr:uid="{0C18C2DB-0268-4C47-A5CE-0BEBFF58F8ED}"/>
    <cellStyle name="Comma 4 3 4 2" xfId="688" xr:uid="{00000000-0005-0000-0000-00009C090000}"/>
    <cellStyle name="Comma 4 3 4 2 2" xfId="2959" xr:uid="{00000000-0005-0000-0000-00009D090000}"/>
    <cellStyle name="Comma 4 3 4 2 2 2" xfId="7182" xr:uid="{00000000-0005-0000-0000-00009E090000}"/>
    <cellStyle name="Comma 4 3 4 2 2 2 2" xfId="15621" xr:uid="{2B382485-3E0D-4B3B-B4E8-56DA47BC3E36}"/>
    <cellStyle name="Comma 4 3 4 2 2 3" xfId="11403" xr:uid="{7FCEFF18-A395-4F71-92D0-E5B3E40E4747}"/>
    <cellStyle name="Comma 4 3 4 2 3" xfId="5037" xr:uid="{00000000-0005-0000-0000-00009F090000}"/>
    <cellStyle name="Comma 4 3 4 2 3 2" xfId="13476" xr:uid="{22763DE6-E6A4-41E6-B05B-B0D53D27F6B9}"/>
    <cellStyle name="Comma 4 3 4 2 4" xfId="9258" xr:uid="{88C3133D-360C-4FE7-900B-B41B2CC50F01}"/>
    <cellStyle name="Comma 4 3 4 3" xfId="1141" xr:uid="{00000000-0005-0000-0000-0000A0090000}"/>
    <cellStyle name="Comma 4 3 4 3 2" xfId="3372" xr:uid="{00000000-0005-0000-0000-0000A1090000}"/>
    <cellStyle name="Comma 4 3 4 3 2 2" xfId="7595" xr:uid="{00000000-0005-0000-0000-0000A2090000}"/>
    <cellStyle name="Comma 4 3 4 3 2 2 2" xfId="16034" xr:uid="{63120059-AAC7-425D-B921-1E4BA8703CE1}"/>
    <cellStyle name="Comma 4 3 4 3 2 3" xfId="11816" xr:uid="{C20B34EF-D66F-494C-B910-FBA21EB7AC80}"/>
    <cellStyle name="Comma 4 3 4 3 3" xfId="5450" xr:uid="{00000000-0005-0000-0000-0000A3090000}"/>
    <cellStyle name="Comma 4 3 4 3 3 2" xfId="13889" xr:uid="{C5B47301-0585-4F83-B113-F90541378A51}"/>
    <cellStyle name="Comma 4 3 4 3 4" xfId="9671" xr:uid="{76FB42BE-0825-46E3-A291-113DECB64DBD}"/>
    <cellStyle name="Comma 4 3 4 4" xfId="1555" xr:uid="{00000000-0005-0000-0000-0000A4090000}"/>
    <cellStyle name="Comma 4 3 4 4 2" xfId="3785" xr:uid="{00000000-0005-0000-0000-0000A5090000}"/>
    <cellStyle name="Comma 4 3 4 4 2 2" xfId="8008" xr:uid="{00000000-0005-0000-0000-0000A6090000}"/>
    <cellStyle name="Comma 4 3 4 4 2 2 2" xfId="16447" xr:uid="{E864F5A1-FE74-4E6C-BFCC-40504E3DD18F}"/>
    <cellStyle name="Comma 4 3 4 4 2 3" xfId="12229" xr:uid="{F9FB39B7-0146-4CF1-AB0C-11DA019AC323}"/>
    <cellStyle name="Comma 4 3 4 4 3" xfId="5863" xr:uid="{00000000-0005-0000-0000-0000A7090000}"/>
    <cellStyle name="Comma 4 3 4 4 3 2" xfId="14302" xr:uid="{6952A2F6-8B7E-4AEE-B701-CD2B938A3076}"/>
    <cellStyle name="Comma 4 3 4 4 4" xfId="10084" xr:uid="{7C740049-2D46-4FA5-9265-CD2BDED15AAD}"/>
    <cellStyle name="Comma 4 3 4 5" xfId="1969" xr:uid="{00000000-0005-0000-0000-0000A8090000}"/>
    <cellStyle name="Comma 4 3 4 5 2" xfId="4198" xr:uid="{00000000-0005-0000-0000-0000A9090000}"/>
    <cellStyle name="Comma 4 3 4 5 2 2" xfId="8421" xr:uid="{00000000-0005-0000-0000-0000AA090000}"/>
    <cellStyle name="Comma 4 3 4 5 2 2 2" xfId="16860" xr:uid="{4F67BF46-35C3-45DF-A2E5-FFB1FB5ADED2}"/>
    <cellStyle name="Comma 4 3 4 5 2 3" xfId="12642" xr:uid="{C0BE541D-ABCE-401D-AFA4-82C1BAD24058}"/>
    <cellStyle name="Comma 4 3 4 5 3" xfId="6276" xr:uid="{00000000-0005-0000-0000-0000AB090000}"/>
    <cellStyle name="Comma 4 3 4 5 3 2" xfId="14715" xr:uid="{1D8E0903-8E28-4907-A9FF-314E6739B26A}"/>
    <cellStyle name="Comma 4 3 4 5 4" xfId="10497" xr:uid="{8282E662-424A-41EC-B81C-70CE75513AEC}"/>
    <cellStyle name="Comma 4 3 4 6" xfId="2404" xr:uid="{00000000-0005-0000-0000-0000AC090000}"/>
    <cellStyle name="Comma 4 3 4 6 2" xfId="6689" xr:uid="{00000000-0005-0000-0000-0000AD090000}"/>
    <cellStyle name="Comma 4 3 4 6 2 2" xfId="15128" xr:uid="{1D91E3D9-0B9D-4E03-BF1B-A605C75B31E3}"/>
    <cellStyle name="Comma 4 3 4 6 3" xfId="10910" xr:uid="{E4C3B844-B040-4219-8C15-DE880F471BD0}"/>
    <cellStyle name="Comma 4 3 4 7" xfId="2700" xr:uid="{00000000-0005-0000-0000-0000AE090000}"/>
    <cellStyle name="Comma 4 3 4 8" xfId="2782" xr:uid="{00000000-0005-0000-0000-0000AF090000}"/>
    <cellStyle name="Comma 4 3 4 8 2" xfId="7006" xr:uid="{00000000-0005-0000-0000-0000B0090000}"/>
    <cellStyle name="Comma 4 3 4 8 2 2" xfId="15445" xr:uid="{BCFC806B-B866-4768-8E88-E14B77046081}"/>
    <cellStyle name="Comma 4 3 4 8 3" xfId="11227" xr:uid="{3A69958F-E2F0-4804-8123-C64B63EC30EE}"/>
    <cellStyle name="Comma 4 3 4 9" xfId="4623" xr:uid="{00000000-0005-0000-0000-0000B1090000}"/>
    <cellStyle name="Comma 4 3 4 9 2" xfId="13062" xr:uid="{2E1C2058-81D9-4F1A-8806-E9AE84C7DA57}"/>
    <cellStyle name="Comma 4 3 5" xfId="152" xr:uid="{00000000-0005-0000-0000-0000B2090000}"/>
    <cellStyle name="Comma 4 3 5 10" xfId="8845" xr:uid="{7EBAF2D9-547E-48FF-A6C9-4B719C8ECEFB}"/>
    <cellStyle name="Comma 4 3 5 2" xfId="689" xr:uid="{00000000-0005-0000-0000-0000B3090000}"/>
    <cellStyle name="Comma 4 3 5 2 2" xfId="2960" xr:uid="{00000000-0005-0000-0000-0000B4090000}"/>
    <cellStyle name="Comma 4 3 5 2 2 2" xfId="7183" xr:uid="{00000000-0005-0000-0000-0000B5090000}"/>
    <cellStyle name="Comma 4 3 5 2 2 2 2" xfId="15622" xr:uid="{5025DB79-7894-4232-ACB7-704014F9574D}"/>
    <cellStyle name="Comma 4 3 5 2 2 3" xfId="11404" xr:uid="{0BC2C1DF-BF14-4567-B0E3-B9373C9D87B5}"/>
    <cellStyle name="Comma 4 3 5 2 3" xfId="5038" xr:uid="{00000000-0005-0000-0000-0000B6090000}"/>
    <cellStyle name="Comma 4 3 5 2 3 2" xfId="13477" xr:uid="{BCDFE085-E6E3-4A51-A5A6-6F2B9DC214FE}"/>
    <cellStyle name="Comma 4 3 5 2 4" xfId="9259" xr:uid="{7C3E00DD-C5AD-4A1A-A7E3-EABE4207271C}"/>
    <cellStyle name="Comma 4 3 5 3" xfId="1142" xr:uid="{00000000-0005-0000-0000-0000B7090000}"/>
    <cellStyle name="Comma 4 3 5 3 2" xfId="3373" xr:uid="{00000000-0005-0000-0000-0000B8090000}"/>
    <cellStyle name="Comma 4 3 5 3 2 2" xfId="7596" xr:uid="{00000000-0005-0000-0000-0000B9090000}"/>
    <cellStyle name="Comma 4 3 5 3 2 2 2" xfId="16035" xr:uid="{71BA11B4-C7F9-4461-9794-248BDF2B1FAC}"/>
    <cellStyle name="Comma 4 3 5 3 2 3" xfId="11817" xr:uid="{1DF93C4A-B14C-4CCB-9E3E-C23D87FD5270}"/>
    <cellStyle name="Comma 4 3 5 3 3" xfId="5451" xr:uid="{00000000-0005-0000-0000-0000BA090000}"/>
    <cellStyle name="Comma 4 3 5 3 3 2" xfId="13890" xr:uid="{E6C16603-37BF-4068-802B-F206566255C0}"/>
    <cellStyle name="Comma 4 3 5 3 4" xfId="9672" xr:uid="{58EE73D2-114C-4CB6-A987-F4C86C7C26DA}"/>
    <cellStyle name="Comma 4 3 5 4" xfId="1556" xr:uid="{00000000-0005-0000-0000-0000BB090000}"/>
    <cellStyle name="Comma 4 3 5 4 2" xfId="3786" xr:uid="{00000000-0005-0000-0000-0000BC090000}"/>
    <cellStyle name="Comma 4 3 5 4 2 2" xfId="8009" xr:uid="{00000000-0005-0000-0000-0000BD090000}"/>
    <cellStyle name="Comma 4 3 5 4 2 2 2" xfId="16448" xr:uid="{D70F9E13-D879-4DF9-A87C-0076D8BE23CE}"/>
    <cellStyle name="Comma 4 3 5 4 2 3" xfId="12230" xr:uid="{744BA638-F63D-48FA-B392-5A3936EF6417}"/>
    <cellStyle name="Comma 4 3 5 4 3" xfId="5864" xr:uid="{00000000-0005-0000-0000-0000BE090000}"/>
    <cellStyle name="Comma 4 3 5 4 3 2" xfId="14303" xr:uid="{45B88D40-CCA3-4A57-86CE-7789E62A297B}"/>
    <cellStyle name="Comma 4 3 5 4 4" xfId="10085" xr:uid="{FC2EFC6A-F6DE-4B4E-A7D2-BF384CFE30B6}"/>
    <cellStyle name="Comma 4 3 5 5" xfId="1970" xr:uid="{00000000-0005-0000-0000-0000BF090000}"/>
    <cellStyle name="Comma 4 3 5 5 2" xfId="4199" xr:uid="{00000000-0005-0000-0000-0000C0090000}"/>
    <cellStyle name="Comma 4 3 5 5 2 2" xfId="8422" xr:uid="{00000000-0005-0000-0000-0000C1090000}"/>
    <cellStyle name="Comma 4 3 5 5 2 2 2" xfId="16861" xr:uid="{64D2A099-0253-4A46-AE3C-3365DDE6B5DB}"/>
    <cellStyle name="Comma 4 3 5 5 2 3" xfId="12643" xr:uid="{E0457F9A-FA10-4CC2-8D47-5AE1597E3B11}"/>
    <cellStyle name="Comma 4 3 5 5 3" xfId="6277" xr:uid="{00000000-0005-0000-0000-0000C2090000}"/>
    <cellStyle name="Comma 4 3 5 5 3 2" xfId="14716" xr:uid="{8266CF91-5011-49D3-8045-83471ADB404B}"/>
    <cellStyle name="Comma 4 3 5 5 4" xfId="10498" xr:uid="{2BC5FBF7-74B5-4780-9F99-57173663192E}"/>
    <cellStyle name="Comma 4 3 5 6" xfId="2405" xr:uid="{00000000-0005-0000-0000-0000C3090000}"/>
    <cellStyle name="Comma 4 3 5 6 2" xfId="6690" xr:uid="{00000000-0005-0000-0000-0000C4090000}"/>
    <cellStyle name="Comma 4 3 5 6 2 2" xfId="15129" xr:uid="{BD7F5D38-C357-4761-BF60-326964B65643}"/>
    <cellStyle name="Comma 4 3 5 6 3" xfId="10911" xr:uid="{9845B1D4-969F-4017-92E1-E45A02BF849D}"/>
    <cellStyle name="Comma 4 3 5 7" xfId="2701" xr:uid="{00000000-0005-0000-0000-0000C5090000}"/>
    <cellStyle name="Comma 4 3 5 8" xfId="2783" xr:uid="{00000000-0005-0000-0000-0000C6090000}"/>
    <cellStyle name="Comma 4 3 5 8 2" xfId="7007" xr:uid="{00000000-0005-0000-0000-0000C7090000}"/>
    <cellStyle name="Comma 4 3 5 8 2 2" xfId="15446" xr:uid="{8449E667-8541-4F4E-873C-AC9D7A64A5A2}"/>
    <cellStyle name="Comma 4 3 5 8 3" xfId="11228" xr:uid="{E6A84543-60EA-4256-837E-3A7BE6E7C556}"/>
    <cellStyle name="Comma 4 3 5 9" xfId="4624" xr:uid="{00000000-0005-0000-0000-0000C8090000}"/>
    <cellStyle name="Comma 4 3 5 9 2" xfId="13063" xr:uid="{1F6AAF3A-337B-44D0-86C6-9DC0753E82F8}"/>
    <cellStyle name="Comma 4 4" xfId="153" xr:uid="{00000000-0005-0000-0000-0000C9090000}"/>
    <cellStyle name="Comma 4 4 10" xfId="2784" xr:uid="{00000000-0005-0000-0000-0000CA090000}"/>
    <cellStyle name="Comma 4 4 10 2" xfId="7008" xr:uid="{00000000-0005-0000-0000-0000CB090000}"/>
    <cellStyle name="Comma 4 4 10 2 2" xfId="15447" xr:uid="{FAD556A9-A40B-479F-9EFF-39EE3B240CFC}"/>
    <cellStyle name="Comma 4 4 10 3" xfId="11229" xr:uid="{34153AB1-FAB9-4706-ACC3-06372C2DFF45}"/>
    <cellStyle name="Comma 4 4 11" xfId="4625" xr:uid="{00000000-0005-0000-0000-0000CC090000}"/>
    <cellStyle name="Comma 4 4 11 2" xfId="13064" xr:uid="{A888E61E-66E4-4F13-8DC3-552EE8A28B8D}"/>
    <cellStyle name="Comma 4 4 12" xfId="8846" xr:uid="{CEBBD85E-CFEA-4DA4-85E6-D211FB7E2381}"/>
    <cellStyle name="Comma 4 4 2" xfId="154" xr:uid="{00000000-0005-0000-0000-0000CD090000}"/>
    <cellStyle name="Comma 4 4 2 10" xfId="4626" xr:uid="{00000000-0005-0000-0000-0000CE090000}"/>
    <cellStyle name="Comma 4 4 2 10 2" xfId="13065" xr:uid="{E4ABB821-4306-4A62-9FD0-238836217B6F}"/>
    <cellStyle name="Comma 4 4 2 11" xfId="8847" xr:uid="{2662A2AA-5062-4A32-B4B6-7C184F3DAB92}"/>
    <cellStyle name="Comma 4 4 2 2" xfId="155" xr:uid="{00000000-0005-0000-0000-0000CF090000}"/>
    <cellStyle name="Comma 4 4 2 2 10" xfId="8848" xr:uid="{5890AEA4-E437-4422-9272-B654DFD18D57}"/>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5" xr:uid="{2056240C-5BFA-4B06-B6EA-B1A9D5875A37}"/>
    <cellStyle name="Comma 4 4 2 2 2 2 3" xfId="11407" xr:uid="{9566D81B-BC8B-4843-A230-FDBF52B32C9B}"/>
    <cellStyle name="Comma 4 4 2 2 2 3" xfId="5041" xr:uid="{00000000-0005-0000-0000-0000D3090000}"/>
    <cellStyle name="Comma 4 4 2 2 2 3 2" xfId="13480" xr:uid="{79BAED06-BFFF-479D-94AA-B5197A714A7A}"/>
    <cellStyle name="Comma 4 4 2 2 2 4" xfId="9262" xr:uid="{EEC84330-3945-458F-8903-ACC8259FBFF6}"/>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38" xr:uid="{5EF8D1F7-9EAE-4119-BB63-15A03ED1B907}"/>
    <cellStyle name="Comma 4 4 2 2 3 2 3" xfId="11820" xr:uid="{7554D8A0-233F-4B57-A70D-2A41366CC264}"/>
    <cellStyle name="Comma 4 4 2 2 3 3" xfId="5454" xr:uid="{00000000-0005-0000-0000-0000D7090000}"/>
    <cellStyle name="Comma 4 4 2 2 3 3 2" xfId="13893" xr:uid="{5D7D1B82-07B7-47CE-8361-55A50936335E}"/>
    <cellStyle name="Comma 4 4 2 2 3 4" xfId="9675" xr:uid="{896305B6-4957-4ABB-BC11-FAE1AEE252CC}"/>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1" xr:uid="{67E23680-B454-4E35-85B4-7C08D863C060}"/>
    <cellStyle name="Comma 4 4 2 2 4 2 3" xfId="12233" xr:uid="{3E368A40-996A-468A-B936-559F236EAAAE}"/>
    <cellStyle name="Comma 4 4 2 2 4 3" xfId="5867" xr:uid="{00000000-0005-0000-0000-0000DB090000}"/>
    <cellStyle name="Comma 4 4 2 2 4 3 2" xfId="14306" xr:uid="{E34681AD-77FD-4559-BCA3-500485DAAC9C}"/>
    <cellStyle name="Comma 4 4 2 2 4 4" xfId="10088" xr:uid="{41FEC8A8-F22C-4775-BE53-E2D150D37C04}"/>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4" xr:uid="{59429346-1316-418F-98D9-B6E97FB802DD}"/>
    <cellStyle name="Comma 4 4 2 2 5 2 3" xfId="12646" xr:uid="{0A127D65-979A-4202-A3CF-BD1D139750EC}"/>
    <cellStyle name="Comma 4 4 2 2 5 3" xfId="6280" xr:uid="{00000000-0005-0000-0000-0000DF090000}"/>
    <cellStyle name="Comma 4 4 2 2 5 3 2" xfId="14719" xr:uid="{09DD7C4D-F915-4735-88AB-00DA5F221178}"/>
    <cellStyle name="Comma 4 4 2 2 5 4" xfId="10501" xr:uid="{085CA44C-F242-46F5-84B8-890D69215C8E}"/>
    <cellStyle name="Comma 4 4 2 2 6" xfId="2408" xr:uid="{00000000-0005-0000-0000-0000E0090000}"/>
    <cellStyle name="Comma 4 4 2 2 6 2" xfId="6693" xr:uid="{00000000-0005-0000-0000-0000E1090000}"/>
    <cellStyle name="Comma 4 4 2 2 6 2 2" xfId="15132" xr:uid="{AC9B3A7B-E251-47A9-AA24-76BE2441B787}"/>
    <cellStyle name="Comma 4 4 2 2 6 3" xfId="10914" xr:uid="{07C120C3-6914-4AA6-91CE-D4A9BB2F42EC}"/>
    <cellStyle name="Comma 4 4 2 2 7" xfId="2704" xr:uid="{00000000-0005-0000-0000-0000E2090000}"/>
    <cellStyle name="Comma 4 4 2 2 8" xfId="2786" xr:uid="{00000000-0005-0000-0000-0000E3090000}"/>
    <cellStyle name="Comma 4 4 2 2 8 2" xfId="7010" xr:uid="{00000000-0005-0000-0000-0000E4090000}"/>
    <cellStyle name="Comma 4 4 2 2 8 2 2" xfId="15449" xr:uid="{12D5F635-FC65-4633-AB70-4607D090E36F}"/>
    <cellStyle name="Comma 4 4 2 2 8 3" xfId="11231" xr:uid="{93F9745D-46FB-43D8-9D53-ED67D323A556}"/>
    <cellStyle name="Comma 4 4 2 2 9" xfId="4627" xr:uid="{00000000-0005-0000-0000-0000E5090000}"/>
    <cellStyle name="Comma 4 4 2 2 9 2" xfId="13066" xr:uid="{4B802A97-16C8-49B6-AE0C-80F8B4A1F351}"/>
    <cellStyle name="Comma 4 4 2 3" xfId="691" xr:uid="{00000000-0005-0000-0000-0000E6090000}"/>
    <cellStyle name="Comma 4 4 2 3 2" xfId="2962" xr:uid="{00000000-0005-0000-0000-0000E7090000}"/>
    <cellStyle name="Comma 4 4 2 3 2 2" xfId="7185" xr:uid="{00000000-0005-0000-0000-0000E8090000}"/>
    <cellStyle name="Comma 4 4 2 3 2 2 2" xfId="15624" xr:uid="{0B18E86E-31CF-4B2C-B9BB-60DBA99BE7C6}"/>
    <cellStyle name="Comma 4 4 2 3 2 3" xfId="11406" xr:uid="{143C8F17-0A42-4AFA-8ABD-0302FF6A1180}"/>
    <cellStyle name="Comma 4 4 2 3 3" xfId="5040" xr:uid="{00000000-0005-0000-0000-0000E9090000}"/>
    <cellStyle name="Comma 4 4 2 3 3 2" xfId="13479" xr:uid="{F0F3EB48-8F6D-4986-8D18-DF2DE5FAF1D8}"/>
    <cellStyle name="Comma 4 4 2 3 4" xfId="9261" xr:uid="{55E135B9-148A-483B-825F-D9B7FAC08516}"/>
    <cellStyle name="Comma 4 4 2 4" xfId="1144" xr:uid="{00000000-0005-0000-0000-0000EA090000}"/>
    <cellStyle name="Comma 4 4 2 4 2" xfId="3375" xr:uid="{00000000-0005-0000-0000-0000EB090000}"/>
    <cellStyle name="Comma 4 4 2 4 2 2" xfId="7598" xr:uid="{00000000-0005-0000-0000-0000EC090000}"/>
    <cellStyle name="Comma 4 4 2 4 2 2 2" xfId="16037" xr:uid="{88A6B366-F86F-48DF-BB65-5C85C3487B40}"/>
    <cellStyle name="Comma 4 4 2 4 2 3" xfId="11819" xr:uid="{49F4B3C8-3459-4280-8424-B48BD0A04A87}"/>
    <cellStyle name="Comma 4 4 2 4 3" xfId="5453" xr:uid="{00000000-0005-0000-0000-0000ED090000}"/>
    <cellStyle name="Comma 4 4 2 4 3 2" xfId="13892" xr:uid="{3046FE97-0D9C-46AE-A210-3AFC37EAE6B2}"/>
    <cellStyle name="Comma 4 4 2 4 4" xfId="9674" xr:uid="{2F5C7DEB-8D1C-4C8B-9F08-72EAABC51D57}"/>
    <cellStyle name="Comma 4 4 2 5" xfId="1558" xr:uid="{00000000-0005-0000-0000-0000EE090000}"/>
    <cellStyle name="Comma 4 4 2 5 2" xfId="3788" xr:uid="{00000000-0005-0000-0000-0000EF090000}"/>
    <cellStyle name="Comma 4 4 2 5 2 2" xfId="8011" xr:uid="{00000000-0005-0000-0000-0000F0090000}"/>
    <cellStyle name="Comma 4 4 2 5 2 2 2" xfId="16450" xr:uid="{7FE12BD1-3120-44BF-87B7-4226355314D3}"/>
    <cellStyle name="Comma 4 4 2 5 2 3" xfId="12232" xr:uid="{9BFF1028-B64D-4701-B1DB-3FC9C96CF85C}"/>
    <cellStyle name="Comma 4 4 2 5 3" xfId="5866" xr:uid="{00000000-0005-0000-0000-0000F1090000}"/>
    <cellStyle name="Comma 4 4 2 5 3 2" xfId="14305" xr:uid="{DEDCF38D-927F-4B71-A917-F9DD5E8849EB}"/>
    <cellStyle name="Comma 4 4 2 5 4" xfId="10087" xr:uid="{A2240771-BE70-4655-BEBA-378FD0109104}"/>
    <cellStyle name="Comma 4 4 2 6" xfId="1972" xr:uid="{00000000-0005-0000-0000-0000F2090000}"/>
    <cellStyle name="Comma 4 4 2 6 2" xfId="4201" xr:uid="{00000000-0005-0000-0000-0000F3090000}"/>
    <cellStyle name="Comma 4 4 2 6 2 2" xfId="8424" xr:uid="{00000000-0005-0000-0000-0000F4090000}"/>
    <cellStyle name="Comma 4 4 2 6 2 2 2" xfId="16863" xr:uid="{8F682D22-8C99-4457-96AA-14190D01F541}"/>
    <cellStyle name="Comma 4 4 2 6 2 3" xfId="12645" xr:uid="{B8EA7414-C415-4545-9C47-F0A9A33F8E01}"/>
    <cellStyle name="Comma 4 4 2 6 3" xfId="6279" xr:uid="{00000000-0005-0000-0000-0000F5090000}"/>
    <cellStyle name="Comma 4 4 2 6 3 2" xfId="14718" xr:uid="{E78EBDCD-7F09-4DD4-8D12-D5055AC86A11}"/>
    <cellStyle name="Comma 4 4 2 6 4" xfId="10500" xr:uid="{F296EAE2-9EF2-4D2A-A326-28807C244C74}"/>
    <cellStyle name="Comma 4 4 2 7" xfId="2407" xr:uid="{00000000-0005-0000-0000-0000F6090000}"/>
    <cellStyle name="Comma 4 4 2 7 2" xfId="6692" xr:uid="{00000000-0005-0000-0000-0000F7090000}"/>
    <cellStyle name="Comma 4 4 2 7 2 2" xfId="15131" xr:uid="{03F57F15-B939-491E-A54B-8C5BD5A1D911}"/>
    <cellStyle name="Comma 4 4 2 7 3" xfId="10913" xr:uid="{3621CB88-42B0-4DAA-986F-BE043081FE03}"/>
    <cellStyle name="Comma 4 4 2 8" xfId="2703" xr:uid="{00000000-0005-0000-0000-0000F8090000}"/>
    <cellStyle name="Comma 4 4 2 9" xfId="2785" xr:uid="{00000000-0005-0000-0000-0000F9090000}"/>
    <cellStyle name="Comma 4 4 2 9 2" xfId="7009" xr:uid="{00000000-0005-0000-0000-0000FA090000}"/>
    <cellStyle name="Comma 4 4 2 9 2 2" xfId="15448" xr:uid="{AD32B385-375C-4812-9902-5C44444E6A9B}"/>
    <cellStyle name="Comma 4 4 2 9 3" xfId="11230" xr:uid="{EBB493A3-2376-4061-96ED-0CBD9A41AA38}"/>
    <cellStyle name="Comma 4 4 3" xfId="156" xr:uid="{00000000-0005-0000-0000-0000FB090000}"/>
    <cellStyle name="Comma 4 4 3 10" xfId="8849" xr:uid="{473326C2-D682-4C76-B4B5-8B716D7331B0}"/>
    <cellStyle name="Comma 4 4 3 2" xfId="693" xr:uid="{00000000-0005-0000-0000-0000FC090000}"/>
    <cellStyle name="Comma 4 4 3 2 2" xfId="2964" xr:uid="{00000000-0005-0000-0000-0000FD090000}"/>
    <cellStyle name="Comma 4 4 3 2 2 2" xfId="7187" xr:uid="{00000000-0005-0000-0000-0000FE090000}"/>
    <cellStyle name="Comma 4 4 3 2 2 2 2" xfId="15626" xr:uid="{7B2A83E1-D33A-4E55-9C77-3CD9248D5589}"/>
    <cellStyle name="Comma 4 4 3 2 2 3" xfId="11408" xr:uid="{AC454147-CF2A-4304-860B-7D03E4BF036C}"/>
    <cellStyle name="Comma 4 4 3 2 3" xfId="5042" xr:uid="{00000000-0005-0000-0000-0000FF090000}"/>
    <cellStyle name="Comma 4 4 3 2 3 2" xfId="13481" xr:uid="{0076702F-5109-49CC-AD0E-94BF3C181F97}"/>
    <cellStyle name="Comma 4 4 3 2 4" xfId="9263" xr:uid="{9EC379CC-E6AD-4440-9ADC-10631EA4990C}"/>
    <cellStyle name="Comma 4 4 3 3" xfId="1146" xr:uid="{00000000-0005-0000-0000-0000000A0000}"/>
    <cellStyle name="Comma 4 4 3 3 2" xfId="3377" xr:uid="{00000000-0005-0000-0000-0000010A0000}"/>
    <cellStyle name="Comma 4 4 3 3 2 2" xfId="7600" xr:uid="{00000000-0005-0000-0000-0000020A0000}"/>
    <cellStyle name="Comma 4 4 3 3 2 2 2" xfId="16039" xr:uid="{EAAF0E1D-8EA3-41FD-96F1-D0D9F158794C}"/>
    <cellStyle name="Comma 4 4 3 3 2 3" xfId="11821" xr:uid="{B9AA04C6-C4EF-46C4-B610-CFAE0F445ED5}"/>
    <cellStyle name="Comma 4 4 3 3 3" xfId="5455" xr:uid="{00000000-0005-0000-0000-0000030A0000}"/>
    <cellStyle name="Comma 4 4 3 3 3 2" xfId="13894" xr:uid="{FFF7BACD-9331-488B-B7E8-622251AC5641}"/>
    <cellStyle name="Comma 4 4 3 3 4" xfId="9676" xr:uid="{420798E4-3145-46B2-8A42-FA24F233D23C}"/>
    <cellStyle name="Comma 4 4 3 4" xfId="1560" xr:uid="{00000000-0005-0000-0000-0000040A0000}"/>
    <cellStyle name="Comma 4 4 3 4 2" xfId="3790" xr:uid="{00000000-0005-0000-0000-0000050A0000}"/>
    <cellStyle name="Comma 4 4 3 4 2 2" xfId="8013" xr:uid="{00000000-0005-0000-0000-0000060A0000}"/>
    <cellStyle name="Comma 4 4 3 4 2 2 2" xfId="16452" xr:uid="{8FE71471-9962-4F77-A709-932F317EFA11}"/>
    <cellStyle name="Comma 4 4 3 4 2 3" xfId="12234" xr:uid="{EE16564F-58D3-40E8-875E-6C578222478B}"/>
    <cellStyle name="Comma 4 4 3 4 3" xfId="5868" xr:uid="{00000000-0005-0000-0000-0000070A0000}"/>
    <cellStyle name="Comma 4 4 3 4 3 2" xfId="14307" xr:uid="{12833837-FB84-4CBB-9807-706337343BB3}"/>
    <cellStyle name="Comma 4 4 3 4 4" xfId="10089" xr:uid="{D0F8842F-576F-43B9-BF32-BB158A57E375}"/>
    <cellStyle name="Comma 4 4 3 5" xfId="1974" xr:uid="{00000000-0005-0000-0000-0000080A0000}"/>
    <cellStyle name="Comma 4 4 3 5 2" xfId="4203" xr:uid="{00000000-0005-0000-0000-0000090A0000}"/>
    <cellStyle name="Comma 4 4 3 5 2 2" xfId="8426" xr:uid="{00000000-0005-0000-0000-00000A0A0000}"/>
    <cellStyle name="Comma 4 4 3 5 2 2 2" xfId="16865" xr:uid="{EA7CBF01-86CC-4CD2-8867-05D5A9B43E03}"/>
    <cellStyle name="Comma 4 4 3 5 2 3" xfId="12647" xr:uid="{90583AB1-771F-4A21-B976-38DDD3C5A753}"/>
    <cellStyle name="Comma 4 4 3 5 3" xfId="6281" xr:uid="{00000000-0005-0000-0000-00000B0A0000}"/>
    <cellStyle name="Comma 4 4 3 5 3 2" xfId="14720" xr:uid="{8F6DE211-93B0-4910-8878-C4296888A6CD}"/>
    <cellStyle name="Comma 4 4 3 5 4" xfId="10502" xr:uid="{7986F3B7-A69C-4BBB-8720-F5EB741175B0}"/>
    <cellStyle name="Comma 4 4 3 6" xfId="2409" xr:uid="{00000000-0005-0000-0000-00000C0A0000}"/>
    <cellStyle name="Comma 4 4 3 6 2" xfId="6694" xr:uid="{00000000-0005-0000-0000-00000D0A0000}"/>
    <cellStyle name="Comma 4 4 3 6 2 2" xfId="15133" xr:uid="{7C1DAEAC-9FBE-45DD-9C95-9F5B8CA1287B}"/>
    <cellStyle name="Comma 4 4 3 6 3" xfId="10915" xr:uid="{3DFDA52F-59CE-4530-831F-1785A74D5414}"/>
    <cellStyle name="Comma 4 4 3 7" xfId="2705" xr:uid="{00000000-0005-0000-0000-00000E0A0000}"/>
    <cellStyle name="Comma 4 4 3 8" xfId="2787" xr:uid="{00000000-0005-0000-0000-00000F0A0000}"/>
    <cellStyle name="Comma 4 4 3 8 2" xfId="7011" xr:uid="{00000000-0005-0000-0000-0000100A0000}"/>
    <cellStyle name="Comma 4 4 3 8 2 2" xfId="15450" xr:uid="{C1D747ED-57D6-4B1C-8542-27624822EA7E}"/>
    <cellStyle name="Comma 4 4 3 8 3" xfId="11232" xr:uid="{328D8EA9-F445-4260-AB1A-7B1B37247BD7}"/>
    <cellStyle name="Comma 4 4 3 9" xfId="4628" xr:uid="{00000000-0005-0000-0000-0000110A0000}"/>
    <cellStyle name="Comma 4 4 3 9 2" xfId="13067" xr:uid="{FFD32BAD-7EA5-428C-9A19-57104E2698D3}"/>
    <cellStyle name="Comma 4 4 4" xfId="690" xr:uid="{00000000-0005-0000-0000-0000120A0000}"/>
    <cellStyle name="Comma 4 4 4 2" xfId="2961" xr:uid="{00000000-0005-0000-0000-0000130A0000}"/>
    <cellStyle name="Comma 4 4 4 2 2" xfId="7184" xr:uid="{00000000-0005-0000-0000-0000140A0000}"/>
    <cellStyle name="Comma 4 4 4 2 2 2" xfId="15623" xr:uid="{04862099-6400-4039-9F52-3D2A2BC28CAC}"/>
    <cellStyle name="Comma 4 4 4 2 3" xfId="11405" xr:uid="{549BB2DD-8B1E-4BC3-87DA-8D0484F30284}"/>
    <cellStyle name="Comma 4 4 4 3" xfId="5039" xr:uid="{00000000-0005-0000-0000-0000150A0000}"/>
    <cellStyle name="Comma 4 4 4 3 2" xfId="13478" xr:uid="{E8DDEB10-7B69-4F8F-B024-1888878D7541}"/>
    <cellStyle name="Comma 4 4 4 4" xfId="9260" xr:uid="{73EAAFFE-3BC1-4A4F-A5B8-4E1A731BB05B}"/>
    <cellStyle name="Comma 4 4 5" xfId="1143" xr:uid="{00000000-0005-0000-0000-0000160A0000}"/>
    <cellStyle name="Comma 4 4 5 2" xfId="3374" xr:uid="{00000000-0005-0000-0000-0000170A0000}"/>
    <cellStyle name="Comma 4 4 5 2 2" xfId="7597" xr:uid="{00000000-0005-0000-0000-0000180A0000}"/>
    <cellStyle name="Comma 4 4 5 2 2 2" xfId="16036" xr:uid="{AEA2489D-8C1F-4AFD-B3AF-F8D3D3F7D320}"/>
    <cellStyle name="Comma 4 4 5 2 3" xfId="11818" xr:uid="{1EE422DF-F66A-4122-8AA0-9BE291013946}"/>
    <cellStyle name="Comma 4 4 5 3" xfId="5452" xr:uid="{00000000-0005-0000-0000-0000190A0000}"/>
    <cellStyle name="Comma 4 4 5 3 2" xfId="13891" xr:uid="{B92D6F80-0695-4C1A-9F13-091DEC718FF8}"/>
    <cellStyle name="Comma 4 4 5 4" xfId="9673" xr:uid="{EA31851A-4B93-47C5-A9FE-D89B05DA6A68}"/>
    <cellStyle name="Comma 4 4 6" xfId="1557" xr:uid="{00000000-0005-0000-0000-00001A0A0000}"/>
    <cellStyle name="Comma 4 4 6 2" xfId="3787" xr:uid="{00000000-0005-0000-0000-00001B0A0000}"/>
    <cellStyle name="Comma 4 4 6 2 2" xfId="8010" xr:uid="{00000000-0005-0000-0000-00001C0A0000}"/>
    <cellStyle name="Comma 4 4 6 2 2 2" xfId="16449" xr:uid="{CB291DA6-4482-4860-ABE1-3D3F023B8887}"/>
    <cellStyle name="Comma 4 4 6 2 3" xfId="12231" xr:uid="{3F3FD97F-CBAF-4A17-9523-F5AE26C070D5}"/>
    <cellStyle name="Comma 4 4 6 3" xfId="5865" xr:uid="{00000000-0005-0000-0000-00001D0A0000}"/>
    <cellStyle name="Comma 4 4 6 3 2" xfId="14304" xr:uid="{15CB2A66-A6A0-49EA-B733-DD465491B31B}"/>
    <cellStyle name="Comma 4 4 6 4" xfId="10086" xr:uid="{CFF24587-C507-4C11-89E9-F9A5846E893B}"/>
    <cellStyle name="Comma 4 4 7" xfId="1971" xr:uid="{00000000-0005-0000-0000-00001E0A0000}"/>
    <cellStyle name="Comma 4 4 7 2" xfId="4200" xr:uid="{00000000-0005-0000-0000-00001F0A0000}"/>
    <cellStyle name="Comma 4 4 7 2 2" xfId="8423" xr:uid="{00000000-0005-0000-0000-0000200A0000}"/>
    <cellStyle name="Comma 4 4 7 2 2 2" xfId="16862" xr:uid="{3FEC3A5D-8008-45C6-8FB7-629B3091A5B5}"/>
    <cellStyle name="Comma 4 4 7 2 3" xfId="12644" xr:uid="{CCC219FC-DD2C-47D4-B56C-729BEE903AE2}"/>
    <cellStyle name="Comma 4 4 7 3" xfId="6278" xr:uid="{00000000-0005-0000-0000-0000210A0000}"/>
    <cellStyle name="Comma 4 4 7 3 2" xfId="14717" xr:uid="{7BFB4DAD-0F2A-490E-B769-95032E936130}"/>
    <cellStyle name="Comma 4 4 7 4" xfId="10499" xr:uid="{11584C36-CF0F-419E-93B2-E20FC6B5A32F}"/>
    <cellStyle name="Comma 4 4 8" xfId="2406" xr:uid="{00000000-0005-0000-0000-0000220A0000}"/>
    <cellStyle name="Comma 4 4 8 2" xfId="6691" xr:uid="{00000000-0005-0000-0000-0000230A0000}"/>
    <cellStyle name="Comma 4 4 8 2 2" xfId="15130" xr:uid="{4F92B764-0C41-4DE2-A601-C80B0982B34C}"/>
    <cellStyle name="Comma 4 4 8 3" xfId="10912" xr:uid="{1657B326-12FF-4950-A998-C61EA6562EFA}"/>
    <cellStyle name="Comma 4 4 9" xfId="2702" xr:uid="{00000000-0005-0000-0000-0000240A0000}"/>
    <cellStyle name="Comma 4 5" xfId="157" xr:uid="{00000000-0005-0000-0000-0000250A0000}"/>
    <cellStyle name="Comma 4 5 10" xfId="4629" xr:uid="{00000000-0005-0000-0000-0000260A0000}"/>
    <cellStyle name="Comma 4 5 10 2" xfId="13068" xr:uid="{F1D8C1E0-478E-4A49-9C87-A1E7924D36CD}"/>
    <cellStyle name="Comma 4 5 11" xfId="8850" xr:uid="{33819F46-480E-4E51-81CE-2A5311233692}"/>
    <cellStyle name="Comma 4 5 2" xfId="158" xr:uid="{00000000-0005-0000-0000-0000270A0000}"/>
    <cellStyle name="Comma 4 5 2 10" xfId="8851" xr:uid="{8336605C-96C0-4378-BCB2-1A3452A57F51}"/>
    <cellStyle name="Comma 4 5 2 2" xfId="695" xr:uid="{00000000-0005-0000-0000-0000280A0000}"/>
    <cellStyle name="Comma 4 5 2 2 2" xfId="2966" xr:uid="{00000000-0005-0000-0000-0000290A0000}"/>
    <cellStyle name="Comma 4 5 2 2 2 2" xfId="7189" xr:uid="{00000000-0005-0000-0000-00002A0A0000}"/>
    <cellStyle name="Comma 4 5 2 2 2 2 2" xfId="15628" xr:uid="{45731196-9D25-423C-AF60-BA3E926F0782}"/>
    <cellStyle name="Comma 4 5 2 2 2 3" xfId="11410" xr:uid="{12A79766-D23C-42BC-80AC-11A92D997E2D}"/>
    <cellStyle name="Comma 4 5 2 2 3" xfId="5044" xr:uid="{00000000-0005-0000-0000-00002B0A0000}"/>
    <cellStyle name="Comma 4 5 2 2 3 2" xfId="13483" xr:uid="{15EF5887-C4B8-4E00-AEB2-D8B32C34AE36}"/>
    <cellStyle name="Comma 4 5 2 2 4" xfId="9265" xr:uid="{BA768669-9F2D-4E1B-92A0-9C2B1EE6FF24}"/>
    <cellStyle name="Comma 4 5 2 3" xfId="1148" xr:uid="{00000000-0005-0000-0000-00002C0A0000}"/>
    <cellStyle name="Comma 4 5 2 3 2" xfId="3379" xr:uid="{00000000-0005-0000-0000-00002D0A0000}"/>
    <cellStyle name="Comma 4 5 2 3 2 2" xfId="7602" xr:uid="{00000000-0005-0000-0000-00002E0A0000}"/>
    <cellStyle name="Comma 4 5 2 3 2 2 2" xfId="16041" xr:uid="{D78D18BC-5F32-436B-9A5B-7EDC8F1DCAE1}"/>
    <cellStyle name="Comma 4 5 2 3 2 3" xfId="11823" xr:uid="{1F8941CB-7A2B-4A95-9275-4976FF117EF1}"/>
    <cellStyle name="Comma 4 5 2 3 3" xfId="5457" xr:uid="{00000000-0005-0000-0000-00002F0A0000}"/>
    <cellStyle name="Comma 4 5 2 3 3 2" xfId="13896" xr:uid="{238CF937-CA95-4104-A1D5-5B7B97CF949F}"/>
    <cellStyle name="Comma 4 5 2 3 4" xfId="9678" xr:uid="{A3D70570-0AC6-4426-A033-9B81F7820AB3}"/>
    <cellStyle name="Comma 4 5 2 4" xfId="1562" xr:uid="{00000000-0005-0000-0000-0000300A0000}"/>
    <cellStyle name="Comma 4 5 2 4 2" xfId="3792" xr:uid="{00000000-0005-0000-0000-0000310A0000}"/>
    <cellStyle name="Comma 4 5 2 4 2 2" xfId="8015" xr:uid="{00000000-0005-0000-0000-0000320A0000}"/>
    <cellStyle name="Comma 4 5 2 4 2 2 2" xfId="16454" xr:uid="{4A76CB60-335D-4B93-8BC6-8DCB0310A71A}"/>
    <cellStyle name="Comma 4 5 2 4 2 3" xfId="12236" xr:uid="{1A372230-1BB4-415B-85D9-A918805D53DF}"/>
    <cellStyle name="Comma 4 5 2 4 3" xfId="5870" xr:uid="{00000000-0005-0000-0000-0000330A0000}"/>
    <cellStyle name="Comma 4 5 2 4 3 2" xfId="14309" xr:uid="{98C4EFC5-0C35-4E33-BC1A-BB1BCD73313E}"/>
    <cellStyle name="Comma 4 5 2 4 4" xfId="10091" xr:uid="{5C1D247A-54F3-4092-86C8-479EDBED716E}"/>
    <cellStyle name="Comma 4 5 2 5" xfId="1976" xr:uid="{00000000-0005-0000-0000-0000340A0000}"/>
    <cellStyle name="Comma 4 5 2 5 2" xfId="4205" xr:uid="{00000000-0005-0000-0000-0000350A0000}"/>
    <cellStyle name="Comma 4 5 2 5 2 2" xfId="8428" xr:uid="{00000000-0005-0000-0000-0000360A0000}"/>
    <cellStyle name="Comma 4 5 2 5 2 2 2" xfId="16867" xr:uid="{34D0B40D-D442-4F3C-B44E-263FA998C583}"/>
    <cellStyle name="Comma 4 5 2 5 2 3" xfId="12649" xr:uid="{91FD274F-0FB2-42D3-BBDF-B79C38CEEC18}"/>
    <cellStyle name="Comma 4 5 2 5 3" xfId="6283" xr:uid="{00000000-0005-0000-0000-0000370A0000}"/>
    <cellStyle name="Comma 4 5 2 5 3 2" xfId="14722" xr:uid="{BD334496-8FCB-4ADB-86F4-41AA1210825D}"/>
    <cellStyle name="Comma 4 5 2 5 4" xfId="10504" xr:uid="{58C23C25-C001-4E07-8B44-A6BB245C23C6}"/>
    <cellStyle name="Comma 4 5 2 6" xfId="2411" xr:uid="{00000000-0005-0000-0000-0000380A0000}"/>
    <cellStyle name="Comma 4 5 2 6 2" xfId="6696" xr:uid="{00000000-0005-0000-0000-0000390A0000}"/>
    <cellStyle name="Comma 4 5 2 6 2 2" xfId="15135" xr:uid="{F7FB8281-978C-49F6-B4CD-573A47F772C1}"/>
    <cellStyle name="Comma 4 5 2 6 3" xfId="10917" xr:uid="{9AA41B00-C2D0-4FA8-AAA5-42A22C6D864C}"/>
    <cellStyle name="Comma 4 5 2 7" xfId="2707" xr:uid="{00000000-0005-0000-0000-00003A0A0000}"/>
    <cellStyle name="Comma 4 5 2 8" xfId="2789" xr:uid="{00000000-0005-0000-0000-00003B0A0000}"/>
    <cellStyle name="Comma 4 5 2 8 2" xfId="7013" xr:uid="{00000000-0005-0000-0000-00003C0A0000}"/>
    <cellStyle name="Comma 4 5 2 8 2 2" xfId="15452" xr:uid="{1A3E94AD-E837-4D2E-B84B-0CBF74D361D5}"/>
    <cellStyle name="Comma 4 5 2 8 3" xfId="11234" xr:uid="{3104249C-F262-45A1-8CB7-20C3EA389B6F}"/>
    <cellStyle name="Comma 4 5 2 9" xfId="4630" xr:uid="{00000000-0005-0000-0000-00003D0A0000}"/>
    <cellStyle name="Comma 4 5 2 9 2" xfId="13069" xr:uid="{96AE6DC4-2E28-41A4-BDFD-0995ABACAC07}"/>
    <cellStyle name="Comma 4 5 3" xfId="694" xr:uid="{00000000-0005-0000-0000-00003E0A0000}"/>
    <cellStyle name="Comma 4 5 3 2" xfId="2965" xr:uid="{00000000-0005-0000-0000-00003F0A0000}"/>
    <cellStyle name="Comma 4 5 3 2 2" xfId="7188" xr:uid="{00000000-0005-0000-0000-0000400A0000}"/>
    <cellStyle name="Comma 4 5 3 2 2 2" xfId="15627" xr:uid="{3D5BBA39-1BD5-4614-9F6B-9C71A15A390F}"/>
    <cellStyle name="Comma 4 5 3 2 3" xfId="11409" xr:uid="{F5CEFB3F-673B-4216-8E33-30D38221F6A7}"/>
    <cellStyle name="Comma 4 5 3 3" xfId="5043" xr:uid="{00000000-0005-0000-0000-0000410A0000}"/>
    <cellStyle name="Comma 4 5 3 3 2" xfId="13482" xr:uid="{0EFF234A-0ACE-4D21-B4A7-F1FFC11A0A26}"/>
    <cellStyle name="Comma 4 5 3 4" xfId="9264" xr:uid="{65828ED5-9689-4F66-AE12-2C9456081394}"/>
    <cellStyle name="Comma 4 5 4" xfId="1147" xr:uid="{00000000-0005-0000-0000-0000420A0000}"/>
    <cellStyle name="Comma 4 5 4 2" xfId="3378" xr:uid="{00000000-0005-0000-0000-0000430A0000}"/>
    <cellStyle name="Comma 4 5 4 2 2" xfId="7601" xr:uid="{00000000-0005-0000-0000-0000440A0000}"/>
    <cellStyle name="Comma 4 5 4 2 2 2" xfId="16040" xr:uid="{C3C93C43-FCAB-48AF-9BAC-AE4FF3EEA8BD}"/>
    <cellStyle name="Comma 4 5 4 2 3" xfId="11822" xr:uid="{E491B625-DB62-4DC5-B02B-1267312404E1}"/>
    <cellStyle name="Comma 4 5 4 3" xfId="5456" xr:uid="{00000000-0005-0000-0000-0000450A0000}"/>
    <cellStyle name="Comma 4 5 4 3 2" xfId="13895" xr:uid="{640DD9C5-9FB3-4BDA-8EAE-2373B084AA8A}"/>
    <cellStyle name="Comma 4 5 4 4" xfId="9677" xr:uid="{F44119B6-F499-46F1-85AB-E207723C010B}"/>
    <cellStyle name="Comma 4 5 5" xfId="1561" xr:uid="{00000000-0005-0000-0000-0000460A0000}"/>
    <cellStyle name="Comma 4 5 5 2" xfId="3791" xr:uid="{00000000-0005-0000-0000-0000470A0000}"/>
    <cellStyle name="Comma 4 5 5 2 2" xfId="8014" xr:uid="{00000000-0005-0000-0000-0000480A0000}"/>
    <cellStyle name="Comma 4 5 5 2 2 2" xfId="16453" xr:uid="{2A1EEDAC-A763-4BFB-A986-7BFC9C938224}"/>
    <cellStyle name="Comma 4 5 5 2 3" xfId="12235" xr:uid="{F292BB10-8F68-412D-BD35-CE4FBF97F1F1}"/>
    <cellStyle name="Comma 4 5 5 3" xfId="5869" xr:uid="{00000000-0005-0000-0000-0000490A0000}"/>
    <cellStyle name="Comma 4 5 5 3 2" xfId="14308" xr:uid="{3347E874-6744-4A93-9B14-A85FA551A13B}"/>
    <cellStyle name="Comma 4 5 5 4" xfId="10090" xr:uid="{8F9E5808-D067-4D1D-9E82-B7A808C1326B}"/>
    <cellStyle name="Comma 4 5 6" xfId="1975" xr:uid="{00000000-0005-0000-0000-00004A0A0000}"/>
    <cellStyle name="Comma 4 5 6 2" xfId="4204" xr:uid="{00000000-0005-0000-0000-00004B0A0000}"/>
    <cellStyle name="Comma 4 5 6 2 2" xfId="8427" xr:uid="{00000000-0005-0000-0000-00004C0A0000}"/>
    <cellStyle name="Comma 4 5 6 2 2 2" xfId="16866" xr:uid="{8946471A-8E90-4444-A7A7-5E72407D8290}"/>
    <cellStyle name="Comma 4 5 6 2 3" xfId="12648" xr:uid="{99C6EF44-4F35-471D-8999-2AE1BA62AB08}"/>
    <cellStyle name="Comma 4 5 6 3" xfId="6282" xr:uid="{00000000-0005-0000-0000-00004D0A0000}"/>
    <cellStyle name="Comma 4 5 6 3 2" xfId="14721" xr:uid="{26520BF6-4AA8-4592-A2BD-0C33552774D0}"/>
    <cellStyle name="Comma 4 5 6 4" xfId="10503" xr:uid="{71347C3C-59E8-4873-A1F3-C1B8B3B160C3}"/>
    <cellStyle name="Comma 4 5 7" xfId="2410" xr:uid="{00000000-0005-0000-0000-00004E0A0000}"/>
    <cellStyle name="Comma 4 5 7 2" xfId="6695" xr:uid="{00000000-0005-0000-0000-00004F0A0000}"/>
    <cellStyle name="Comma 4 5 7 2 2" xfId="15134" xr:uid="{66D5E57C-AF87-403B-ADA7-B7F11680A8AD}"/>
    <cellStyle name="Comma 4 5 7 3" xfId="10916" xr:uid="{0B6E035D-FCEE-436F-B66D-14CABE7825BE}"/>
    <cellStyle name="Comma 4 5 8" xfId="2706" xr:uid="{00000000-0005-0000-0000-0000500A0000}"/>
    <cellStyle name="Comma 4 5 9" xfId="2788" xr:uid="{00000000-0005-0000-0000-0000510A0000}"/>
    <cellStyle name="Comma 4 5 9 2" xfId="7012" xr:uid="{00000000-0005-0000-0000-0000520A0000}"/>
    <cellStyle name="Comma 4 5 9 2 2" xfId="15451" xr:uid="{CE64F75D-A379-4382-B53E-6AF294A6536C}"/>
    <cellStyle name="Comma 4 5 9 3" xfId="11233" xr:uid="{175D6F8B-56C7-4786-8B8E-01D49172EA16}"/>
    <cellStyle name="Comma 4 6" xfId="159" xr:uid="{00000000-0005-0000-0000-0000530A0000}"/>
    <cellStyle name="Comma 4 6 10" xfId="8852" xr:uid="{11FBEA8B-A3F7-4651-8067-CB2AC4F8D53F}"/>
    <cellStyle name="Comma 4 6 2" xfId="696" xr:uid="{00000000-0005-0000-0000-0000540A0000}"/>
    <cellStyle name="Comma 4 6 2 2" xfId="2967" xr:uid="{00000000-0005-0000-0000-0000550A0000}"/>
    <cellStyle name="Comma 4 6 2 2 2" xfId="7190" xr:uid="{00000000-0005-0000-0000-0000560A0000}"/>
    <cellStyle name="Comma 4 6 2 2 2 2" xfId="15629" xr:uid="{85740961-EF80-4551-BECA-118B274B0F4A}"/>
    <cellStyle name="Comma 4 6 2 2 3" xfId="11411" xr:uid="{F22C67C7-2289-4D23-8A0F-FBC1E4B1BE17}"/>
    <cellStyle name="Comma 4 6 2 3" xfId="5045" xr:uid="{00000000-0005-0000-0000-0000570A0000}"/>
    <cellStyle name="Comma 4 6 2 3 2" xfId="13484" xr:uid="{A35E2918-696F-4621-BF6C-9E7F7E610374}"/>
    <cellStyle name="Comma 4 6 2 4" xfId="9266" xr:uid="{40404B4F-C3D1-4AD5-9C1D-655470E15536}"/>
    <cellStyle name="Comma 4 6 3" xfId="1149" xr:uid="{00000000-0005-0000-0000-0000580A0000}"/>
    <cellStyle name="Comma 4 6 3 2" xfId="3380" xr:uid="{00000000-0005-0000-0000-0000590A0000}"/>
    <cellStyle name="Comma 4 6 3 2 2" xfId="7603" xr:uid="{00000000-0005-0000-0000-00005A0A0000}"/>
    <cellStyle name="Comma 4 6 3 2 2 2" xfId="16042" xr:uid="{38D0BF65-2452-40C0-B4D8-EE158E87474A}"/>
    <cellStyle name="Comma 4 6 3 2 3" xfId="11824" xr:uid="{F91A4143-47BD-4455-AE40-5CD3E60D124F}"/>
    <cellStyle name="Comma 4 6 3 3" xfId="5458" xr:uid="{00000000-0005-0000-0000-00005B0A0000}"/>
    <cellStyle name="Comma 4 6 3 3 2" xfId="13897" xr:uid="{295675E8-51E7-4B67-A547-8EBFD7FE3039}"/>
    <cellStyle name="Comma 4 6 3 4" xfId="9679" xr:uid="{0A94C935-136B-4A9D-8A73-B973181A21F2}"/>
    <cellStyle name="Comma 4 6 4" xfId="1563" xr:uid="{00000000-0005-0000-0000-00005C0A0000}"/>
    <cellStyle name="Comma 4 6 4 2" xfId="3793" xr:uid="{00000000-0005-0000-0000-00005D0A0000}"/>
    <cellStyle name="Comma 4 6 4 2 2" xfId="8016" xr:uid="{00000000-0005-0000-0000-00005E0A0000}"/>
    <cellStyle name="Comma 4 6 4 2 2 2" xfId="16455" xr:uid="{E8714066-372E-40F9-9872-70BA4F3A53B4}"/>
    <cellStyle name="Comma 4 6 4 2 3" xfId="12237" xr:uid="{942808E3-389E-434C-A482-13929FBA1346}"/>
    <cellStyle name="Comma 4 6 4 3" xfId="5871" xr:uid="{00000000-0005-0000-0000-00005F0A0000}"/>
    <cellStyle name="Comma 4 6 4 3 2" xfId="14310" xr:uid="{BCE86FFE-F43B-433C-A62C-1344A5D5454A}"/>
    <cellStyle name="Comma 4 6 4 4" xfId="10092" xr:uid="{5D7A721C-2B6E-40D9-8F5E-DA29FF19A3DE}"/>
    <cellStyle name="Comma 4 6 5" xfId="1977" xr:uid="{00000000-0005-0000-0000-0000600A0000}"/>
    <cellStyle name="Comma 4 6 5 2" xfId="4206" xr:uid="{00000000-0005-0000-0000-0000610A0000}"/>
    <cellStyle name="Comma 4 6 5 2 2" xfId="8429" xr:uid="{00000000-0005-0000-0000-0000620A0000}"/>
    <cellStyle name="Comma 4 6 5 2 2 2" xfId="16868" xr:uid="{484679F2-180C-4B74-8DF7-0DB2A67B0E58}"/>
    <cellStyle name="Comma 4 6 5 2 3" xfId="12650" xr:uid="{F6ABDD19-662B-40AE-B339-59068D08FA98}"/>
    <cellStyle name="Comma 4 6 5 3" xfId="6284" xr:uid="{00000000-0005-0000-0000-0000630A0000}"/>
    <cellStyle name="Comma 4 6 5 3 2" xfId="14723" xr:uid="{E0C21E56-AB73-4F24-BB24-7FF86A73B0C7}"/>
    <cellStyle name="Comma 4 6 5 4" xfId="10505" xr:uid="{15884D05-2691-41A2-AE2B-A563716C932A}"/>
    <cellStyle name="Comma 4 6 6" xfId="2412" xr:uid="{00000000-0005-0000-0000-0000640A0000}"/>
    <cellStyle name="Comma 4 6 6 2" xfId="6697" xr:uid="{00000000-0005-0000-0000-0000650A0000}"/>
    <cellStyle name="Comma 4 6 6 2 2" xfId="15136" xr:uid="{BDF9F1A8-BAC6-4AD2-BC78-4EFDC0A38DFB}"/>
    <cellStyle name="Comma 4 6 6 3" xfId="10918" xr:uid="{DF6B0287-88FB-44CB-BD61-E737D71323F9}"/>
    <cellStyle name="Comma 4 6 7" xfId="2708" xr:uid="{00000000-0005-0000-0000-0000660A0000}"/>
    <cellStyle name="Comma 4 6 8" xfId="2790" xr:uid="{00000000-0005-0000-0000-0000670A0000}"/>
    <cellStyle name="Comma 4 6 8 2" xfId="7014" xr:uid="{00000000-0005-0000-0000-0000680A0000}"/>
    <cellStyle name="Comma 4 6 8 2 2" xfId="15453" xr:uid="{874D4189-8CBB-46E5-B1CC-6885B99B0752}"/>
    <cellStyle name="Comma 4 6 8 3" xfId="11235" xr:uid="{9346A898-C70A-4DDB-809A-27069E4F7CA9}"/>
    <cellStyle name="Comma 4 6 9" xfId="4631" xr:uid="{00000000-0005-0000-0000-0000690A0000}"/>
    <cellStyle name="Comma 4 6 9 2" xfId="13070" xr:uid="{8A1D299B-977E-4802-9013-F407AD8F9838}"/>
    <cellStyle name="Comma 4 7" xfId="160" xr:uid="{00000000-0005-0000-0000-00006A0A0000}"/>
    <cellStyle name="Comma 4 7 10" xfId="8853" xr:uid="{7E0D9399-9C8E-4FDE-A606-1867D1B903C6}"/>
    <cellStyle name="Comma 4 7 2" xfId="697" xr:uid="{00000000-0005-0000-0000-00006B0A0000}"/>
    <cellStyle name="Comma 4 7 2 2" xfId="2968" xr:uid="{00000000-0005-0000-0000-00006C0A0000}"/>
    <cellStyle name="Comma 4 7 2 2 2" xfId="7191" xr:uid="{00000000-0005-0000-0000-00006D0A0000}"/>
    <cellStyle name="Comma 4 7 2 2 2 2" xfId="15630" xr:uid="{80719F10-5B81-4E65-90A1-7DE431745831}"/>
    <cellStyle name="Comma 4 7 2 2 3" xfId="11412" xr:uid="{4812FA77-0C0E-4132-A50D-425BDEFBF4E6}"/>
    <cellStyle name="Comma 4 7 2 3" xfId="5046" xr:uid="{00000000-0005-0000-0000-00006E0A0000}"/>
    <cellStyle name="Comma 4 7 2 3 2" xfId="13485" xr:uid="{0E029B4B-D163-42D7-BA46-5D26B1D11FE0}"/>
    <cellStyle name="Comma 4 7 2 4" xfId="9267" xr:uid="{24119AA0-7BA8-4D1D-81FD-721F6112EEDA}"/>
    <cellStyle name="Comma 4 7 3" xfId="1150" xr:uid="{00000000-0005-0000-0000-00006F0A0000}"/>
    <cellStyle name="Comma 4 7 3 2" xfId="3381" xr:uid="{00000000-0005-0000-0000-0000700A0000}"/>
    <cellStyle name="Comma 4 7 3 2 2" xfId="7604" xr:uid="{00000000-0005-0000-0000-0000710A0000}"/>
    <cellStyle name="Comma 4 7 3 2 2 2" xfId="16043" xr:uid="{FD2042A3-F67B-47C3-84DC-61B147EC96E4}"/>
    <cellStyle name="Comma 4 7 3 2 3" xfId="11825" xr:uid="{9D41828A-2613-43F0-8F5E-21B38FD731C1}"/>
    <cellStyle name="Comma 4 7 3 3" xfId="5459" xr:uid="{00000000-0005-0000-0000-0000720A0000}"/>
    <cellStyle name="Comma 4 7 3 3 2" xfId="13898" xr:uid="{4D3F2C6B-EC7C-4143-A77B-2B6FB2276B2F}"/>
    <cellStyle name="Comma 4 7 3 4" xfId="9680" xr:uid="{3FA7D14A-F277-408A-8694-FD5D923AD915}"/>
    <cellStyle name="Comma 4 7 4" xfId="1564" xr:uid="{00000000-0005-0000-0000-0000730A0000}"/>
    <cellStyle name="Comma 4 7 4 2" xfId="3794" xr:uid="{00000000-0005-0000-0000-0000740A0000}"/>
    <cellStyle name="Comma 4 7 4 2 2" xfId="8017" xr:uid="{00000000-0005-0000-0000-0000750A0000}"/>
    <cellStyle name="Comma 4 7 4 2 2 2" xfId="16456" xr:uid="{0972482F-E45A-4BC1-BA29-FBC98106FD25}"/>
    <cellStyle name="Comma 4 7 4 2 3" xfId="12238" xr:uid="{9CA880EA-0290-429F-BB47-715669EFAE70}"/>
    <cellStyle name="Comma 4 7 4 3" xfId="5872" xr:uid="{00000000-0005-0000-0000-0000760A0000}"/>
    <cellStyle name="Comma 4 7 4 3 2" xfId="14311" xr:uid="{1695824B-6DBE-4C3E-A3A8-8D148E2713E1}"/>
    <cellStyle name="Comma 4 7 4 4" xfId="10093" xr:uid="{35336EDD-A6E6-435A-99AE-E85612B1F860}"/>
    <cellStyle name="Comma 4 7 5" xfId="1978" xr:uid="{00000000-0005-0000-0000-0000770A0000}"/>
    <cellStyle name="Comma 4 7 5 2" xfId="4207" xr:uid="{00000000-0005-0000-0000-0000780A0000}"/>
    <cellStyle name="Comma 4 7 5 2 2" xfId="8430" xr:uid="{00000000-0005-0000-0000-0000790A0000}"/>
    <cellStyle name="Comma 4 7 5 2 2 2" xfId="16869" xr:uid="{662FFC28-CCFE-4153-B168-95103E7904C1}"/>
    <cellStyle name="Comma 4 7 5 2 3" xfId="12651" xr:uid="{99A9A81D-20C8-47F3-BE83-A4ADAB7676F9}"/>
    <cellStyle name="Comma 4 7 5 3" xfId="6285" xr:uid="{00000000-0005-0000-0000-00007A0A0000}"/>
    <cellStyle name="Comma 4 7 5 3 2" xfId="14724" xr:uid="{16F98B3B-F111-489B-8645-1E417A258DC1}"/>
    <cellStyle name="Comma 4 7 5 4" xfId="10506" xr:uid="{B4970B39-F21F-475A-A8EA-6FBB04F8BFA4}"/>
    <cellStyle name="Comma 4 7 6" xfId="2413" xr:uid="{00000000-0005-0000-0000-00007B0A0000}"/>
    <cellStyle name="Comma 4 7 6 2" xfId="6698" xr:uid="{00000000-0005-0000-0000-00007C0A0000}"/>
    <cellStyle name="Comma 4 7 6 2 2" xfId="15137" xr:uid="{2EC14EE5-D6AF-4ADD-9625-01652F12272B}"/>
    <cellStyle name="Comma 4 7 6 3" xfId="10919" xr:uid="{B2123F40-C282-4E48-8D7E-815CCC75141E}"/>
    <cellStyle name="Comma 4 7 7" xfId="2709" xr:uid="{00000000-0005-0000-0000-00007D0A0000}"/>
    <cellStyle name="Comma 4 7 8" xfId="2791" xr:uid="{00000000-0005-0000-0000-00007E0A0000}"/>
    <cellStyle name="Comma 4 7 8 2" xfId="7015" xr:uid="{00000000-0005-0000-0000-00007F0A0000}"/>
    <cellStyle name="Comma 4 7 8 2 2" xfId="15454" xr:uid="{D252F488-CC3D-4AF6-8EA2-4923253CA370}"/>
    <cellStyle name="Comma 4 7 8 3" xfId="11236" xr:uid="{0820CC53-7F5B-45CE-A3A8-F9CBB5CE9E48}"/>
    <cellStyle name="Comma 4 7 9" xfId="4632" xr:uid="{00000000-0005-0000-0000-0000800A0000}"/>
    <cellStyle name="Comma 4 7 9 2" xfId="13071" xr:uid="{DB54A197-19F6-469A-841B-B11B211C21D3}"/>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39" xr:uid="{FEA677C5-FE88-488A-9916-FBD4782FC273}"/>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6" xr:uid="{09E37449-F506-4847-8C30-E990D1A378A6}"/>
    <cellStyle name="Currency 14 3" xfId="8720" xr:uid="{729B09A7-2394-4D7C-912C-1471FB3455A3}"/>
    <cellStyle name="Currency 14 3 2" xfId="8724" xr:uid="{1945FB0F-31EC-4D98-B64C-BAFBADA341A1}"/>
    <cellStyle name="Currency 14 3 2 2" xfId="17162" xr:uid="{EF655052-7331-4C23-A395-183C69FEE87B}"/>
    <cellStyle name="Currency 14 3 3" xfId="17159" xr:uid="{07B5449A-89FC-48A0-87D9-874132CE7BFA}"/>
    <cellStyle name="Currency 14 4" xfId="12942" xr:uid="{713AF540-59D1-40A3-A9C6-3BE7C158B995}"/>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5" xr:uid="{EFAC838E-24C8-428F-A8FE-BB6043215375}"/>
    <cellStyle name="Currency 3 2 2 10 3" xfId="11237" xr:uid="{62CCD3AD-7445-4EF7-8B7C-F5630F7D88A5}"/>
    <cellStyle name="Currency 3 2 2 11" xfId="4633" xr:uid="{00000000-0005-0000-0000-0000A50A0000}"/>
    <cellStyle name="Currency 3 2 2 11 2" xfId="13072" xr:uid="{A0308F2E-6161-49A3-9DB4-FCAFBF79354B}"/>
    <cellStyle name="Currency 3 2 2 12" xfId="8854" xr:uid="{160ACC07-CEF3-405D-B22E-73E058F27EED}"/>
    <cellStyle name="Currency 3 2 2 2" xfId="179" xr:uid="{00000000-0005-0000-0000-0000A60A0000}"/>
    <cellStyle name="Currency 3 2 2 2 10" xfId="4634" xr:uid="{00000000-0005-0000-0000-0000A70A0000}"/>
    <cellStyle name="Currency 3 2 2 2 10 2" xfId="13073" xr:uid="{0DA2A7EE-03D9-473D-A9FC-D060EBD6BD9B}"/>
    <cellStyle name="Currency 3 2 2 2 11" xfId="8855" xr:uid="{03101425-6273-45C9-8F74-56F78FA1AE2E}"/>
    <cellStyle name="Currency 3 2 2 2 2" xfId="180" xr:uid="{00000000-0005-0000-0000-0000A80A0000}"/>
    <cellStyle name="Currency 3 2 2 2 2 10" xfId="8856" xr:uid="{E30BA5CF-1E76-4D52-88C4-AA9BD78DE69E}"/>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3" xr:uid="{9C8A83F0-F2A2-4AF6-A1FA-B631026012C2}"/>
    <cellStyle name="Currency 3 2 2 2 2 2 2 3" xfId="11415" xr:uid="{9CA12DF5-6A47-4511-AEA8-815ECC8AD8AD}"/>
    <cellStyle name="Currency 3 2 2 2 2 2 3" xfId="5049" xr:uid="{00000000-0005-0000-0000-0000AC0A0000}"/>
    <cellStyle name="Currency 3 2 2 2 2 2 3 2" xfId="13488" xr:uid="{E592D154-5DB4-446F-868A-BE699C5EA8EA}"/>
    <cellStyle name="Currency 3 2 2 2 2 2 4" xfId="9270" xr:uid="{0543A940-6466-4D41-BE69-9CF49D2755F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6" xr:uid="{D2132E7C-2B0E-4A0E-B910-67DAB505490D}"/>
    <cellStyle name="Currency 3 2 2 2 2 3 2 3" xfId="11828" xr:uid="{CC17C755-4686-4D35-999D-C14FD9E7F6AF}"/>
    <cellStyle name="Currency 3 2 2 2 2 3 3" xfId="5462" xr:uid="{00000000-0005-0000-0000-0000B00A0000}"/>
    <cellStyle name="Currency 3 2 2 2 2 3 3 2" xfId="13901" xr:uid="{A891C58F-1BC1-41F6-8B5B-7B0F61AA5401}"/>
    <cellStyle name="Currency 3 2 2 2 2 3 4" xfId="9683" xr:uid="{D09A9714-0BFD-40DF-9394-F6CCC360E251}"/>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59" xr:uid="{43064EF8-03BA-45A4-85CD-AF656A6DD4C7}"/>
    <cellStyle name="Currency 3 2 2 2 2 4 2 3" xfId="12241" xr:uid="{0862BFB1-CEA4-464A-BD59-300C136A6F83}"/>
    <cellStyle name="Currency 3 2 2 2 2 4 3" xfId="5875" xr:uid="{00000000-0005-0000-0000-0000B40A0000}"/>
    <cellStyle name="Currency 3 2 2 2 2 4 3 2" xfId="14314" xr:uid="{D9E9D792-B887-4E3D-944A-AA49D56D55D1}"/>
    <cellStyle name="Currency 3 2 2 2 2 4 4" xfId="10096" xr:uid="{9759F0B5-98EE-43C3-B9C8-AC6123138C11}"/>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2" xr:uid="{3D5B4EC1-128F-4612-8970-F4776F18CC3D}"/>
    <cellStyle name="Currency 3 2 2 2 2 5 2 3" xfId="12654" xr:uid="{2335DB78-FC6D-4812-BA59-F150DF399C9A}"/>
    <cellStyle name="Currency 3 2 2 2 2 5 3" xfId="6288" xr:uid="{00000000-0005-0000-0000-0000B80A0000}"/>
    <cellStyle name="Currency 3 2 2 2 2 5 3 2" xfId="14727" xr:uid="{7DBD6981-E37E-4A5B-B462-3CE48C557AF5}"/>
    <cellStyle name="Currency 3 2 2 2 2 5 4" xfId="10509" xr:uid="{C69F7A59-2BA1-4DC4-A15F-A142E85B4162}"/>
    <cellStyle name="Currency 3 2 2 2 2 6" xfId="2416" xr:uid="{00000000-0005-0000-0000-0000B90A0000}"/>
    <cellStyle name="Currency 3 2 2 2 2 6 2" xfId="6701" xr:uid="{00000000-0005-0000-0000-0000BA0A0000}"/>
    <cellStyle name="Currency 3 2 2 2 2 6 2 2" xfId="15140" xr:uid="{54CBB15D-4242-4683-87F6-0D5313F27E99}"/>
    <cellStyle name="Currency 3 2 2 2 2 6 3" xfId="10922" xr:uid="{6C16607B-60C9-41D9-A2E0-8C6535BE46C1}"/>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57" xr:uid="{D490C903-37C6-4CA5-B716-1D2A849C53D8}"/>
    <cellStyle name="Currency 3 2 2 2 2 8 3" xfId="11239" xr:uid="{629345E6-D8BF-42E7-96F0-4333C460481F}"/>
    <cellStyle name="Currency 3 2 2 2 2 9" xfId="4635" xr:uid="{00000000-0005-0000-0000-0000BE0A0000}"/>
    <cellStyle name="Currency 3 2 2 2 2 9 2" xfId="13074" xr:uid="{4DB286DF-9F5F-47F9-AB06-A99AED442BA6}"/>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2" xr:uid="{0E31370E-170B-47F1-8B10-D9B1EAF524C7}"/>
    <cellStyle name="Currency 3 2 2 2 3 2 3" xfId="11414" xr:uid="{5530BE46-A0AE-4CDB-8CF1-6BBFC43A9EC0}"/>
    <cellStyle name="Currency 3 2 2 2 3 3" xfId="5048" xr:uid="{00000000-0005-0000-0000-0000C20A0000}"/>
    <cellStyle name="Currency 3 2 2 2 3 3 2" xfId="13487" xr:uid="{170225BB-EDB9-40D5-8FBD-297EA2DAF6F0}"/>
    <cellStyle name="Currency 3 2 2 2 3 4" xfId="9269" xr:uid="{D3015F9D-C626-47FA-913C-71EA42395848}"/>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5" xr:uid="{FAAD765B-BC44-402E-8CBA-C08C143EDACD}"/>
    <cellStyle name="Currency 3 2 2 2 4 2 3" xfId="11827" xr:uid="{9AA4F43F-0C1C-4C63-AD39-274A03487FA6}"/>
    <cellStyle name="Currency 3 2 2 2 4 3" xfId="5461" xr:uid="{00000000-0005-0000-0000-0000C60A0000}"/>
    <cellStyle name="Currency 3 2 2 2 4 3 2" xfId="13900" xr:uid="{03FEBC5A-A29C-4754-8074-9E8A9690C6D2}"/>
    <cellStyle name="Currency 3 2 2 2 4 4" xfId="9682" xr:uid="{17449FF0-8B26-46DD-82DA-0138EEF10E3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58" xr:uid="{526FE3CA-4818-4C91-98E7-1CD465C75B10}"/>
    <cellStyle name="Currency 3 2 2 2 5 2 3" xfId="12240" xr:uid="{9E98F8FF-9396-4EE4-90EA-4315F57E392B}"/>
    <cellStyle name="Currency 3 2 2 2 5 3" xfId="5874" xr:uid="{00000000-0005-0000-0000-0000CA0A0000}"/>
    <cellStyle name="Currency 3 2 2 2 5 3 2" xfId="14313" xr:uid="{F9E464B6-6E0A-444E-8166-6C78BEFD218E}"/>
    <cellStyle name="Currency 3 2 2 2 5 4" xfId="10095" xr:uid="{30A245B4-2550-4A80-A6B0-CCDA327D27DD}"/>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1" xr:uid="{8A518DCE-A279-4E2F-BE61-EA90FDD2B4C7}"/>
    <cellStyle name="Currency 3 2 2 2 6 2 3" xfId="12653" xr:uid="{9C3174F3-A9C4-40CF-82FD-8605272B9DC4}"/>
    <cellStyle name="Currency 3 2 2 2 6 3" xfId="6287" xr:uid="{00000000-0005-0000-0000-0000CE0A0000}"/>
    <cellStyle name="Currency 3 2 2 2 6 3 2" xfId="14726" xr:uid="{7490D79E-E44E-47AA-BC2A-C7AE1F06DBEB}"/>
    <cellStyle name="Currency 3 2 2 2 6 4" xfId="10508" xr:uid="{8D025B15-4AF3-453B-90CE-327E0D406CD8}"/>
    <cellStyle name="Currency 3 2 2 2 7" xfId="2415" xr:uid="{00000000-0005-0000-0000-0000CF0A0000}"/>
    <cellStyle name="Currency 3 2 2 2 7 2" xfId="6700" xr:uid="{00000000-0005-0000-0000-0000D00A0000}"/>
    <cellStyle name="Currency 3 2 2 2 7 2 2" xfId="15139" xr:uid="{79F26943-3407-4DAC-BE35-23E851FE3D27}"/>
    <cellStyle name="Currency 3 2 2 2 7 3" xfId="10921" xr:uid="{72851C38-3A6F-4431-939F-685DF09295B0}"/>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6" xr:uid="{C6657DA5-A48C-426A-A00A-940A74DE65C2}"/>
    <cellStyle name="Currency 3 2 2 2 9 3" xfId="11238" xr:uid="{0511F697-FE7A-4FD8-8906-24901FE321A6}"/>
    <cellStyle name="Currency 3 2 2 3" xfId="181" xr:uid="{00000000-0005-0000-0000-0000D40A0000}"/>
    <cellStyle name="Currency 3 2 2 3 10" xfId="8857" xr:uid="{A1AD22E1-A6CC-4FDA-9E0E-4E7C6F1B6C53}"/>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4" xr:uid="{560FAEB2-CB76-4E20-9D72-C6024E14A79C}"/>
    <cellStyle name="Currency 3 2 2 3 2 2 3" xfId="11416" xr:uid="{2E7AE6A0-74DF-49A9-8271-5E73D774496A}"/>
    <cellStyle name="Currency 3 2 2 3 2 3" xfId="5050" xr:uid="{00000000-0005-0000-0000-0000D80A0000}"/>
    <cellStyle name="Currency 3 2 2 3 2 3 2" xfId="13489" xr:uid="{25697D6C-BD52-4470-A578-64F7A4117DE9}"/>
    <cellStyle name="Currency 3 2 2 3 2 4" xfId="9271" xr:uid="{8E3516CC-C1A1-4ED5-8EC4-9CC1A16DE9C7}"/>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47" xr:uid="{0B96A2C3-325B-4F2E-B7E4-2215B1579195}"/>
    <cellStyle name="Currency 3 2 2 3 3 2 3" xfId="11829" xr:uid="{CB25876B-9D6C-4978-B848-9E28854210AA}"/>
    <cellStyle name="Currency 3 2 2 3 3 3" xfId="5463" xr:uid="{00000000-0005-0000-0000-0000DC0A0000}"/>
    <cellStyle name="Currency 3 2 2 3 3 3 2" xfId="13902" xr:uid="{A16F9DBB-0B34-4CC2-8B8D-AB5B29297711}"/>
    <cellStyle name="Currency 3 2 2 3 3 4" xfId="9684" xr:uid="{7234B686-41FB-43C8-843B-BD91ED307BA8}"/>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0" xr:uid="{0C611687-009E-4241-8D5E-86D68DE0C345}"/>
    <cellStyle name="Currency 3 2 2 3 4 2 3" xfId="12242" xr:uid="{5A620D7B-A363-4BDC-81C6-DA422F30CB57}"/>
    <cellStyle name="Currency 3 2 2 3 4 3" xfId="5876" xr:uid="{00000000-0005-0000-0000-0000E00A0000}"/>
    <cellStyle name="Currency 3 2 2 3 4 3 2" xfId="14315" xr:uid="{A4F45C3A-00BC-4736-A057-9133AE7AD8DF}"/>
    <cellStyle name="Currency 3 2 2 3 4 4" xfId="10097" xr:uid="{F99E7CE8-4FEE-4B30-BDFB-B101F2EECC72}"/>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3" xr:uid="{E724F35F-F953-4684-AFFC-E57A76995ECD}"/>
    <cellStyle name="Currency 3 2 2 3 5 2 3" xfId="12655" xr:uid="{01DCECBC-7C51-4BE2-BA1F-EB678AC2F3D3}"/>
    <cellStyle name="Currency 3 2 2 3 5 3" xfId="6289" xr:uid="{00000000-0005-0000-0000-0000E40A0000}"/>
    <cellStyle name="Currency 3 2 2 3 5 3 2" xfId="14728" xr:uid="{6CF0D4D5-9D85-4F6D-9EB9-6E19D2BEFA18}"/>
    <cellStyle name="Currency 3 2 2 3 5 4" xfId="10510" xr:uid="{457A2B80-8091-402D-8B8D-44051DBB71C8}"/>
    <cellStyle name="Currency 3 2 2 3 6" xfId="2417" xr:uid="{00000000-0005-0000-0000-0000E50A0000}"/>
    <cellStyle name="Currency 3 2 2 3 6 2" xfId="6702" xr:uid="{00000000-0005-0000-0000-0000E60A0000}"/>
    <cellStyle name="Currency 3 2 2 3 6 2 2" xfId="15141" xr:uid="{0528FE87-7A84-4356-8232-9D8F683C5F3A}"/>
    <cellStyle name="Currency 3 2 2 3 6 3" xfId="10923" xr:uid="{DF93EFF3-7816-4BAB-80EB-FFE1266E0A81}"/>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58" xr:uid="{2E2AF649-5897-4EE3-A9EC-FC3051CD201C}"/>
    <cellStyle name="Currency 3 2 2 3 8 3" xfId="11240" xr:uid="{4A15979F-B50D-4649-9A37-DD2FE2F16124}"/>
    <cellStyle name="Currency 3 2 2 3 9" xfId="4636" xr:uid="{00000000-0005-0000-0000-0000EA0A0000}"/>
    <cellStyle name="Currency 3 2 2 3 9 2" xfId="13075" xr:uid="{6FA11AF6-177E-4865-B0CE-8C019951EF23}"/>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1" xr:uid="{497EB980-27E6-44CD-BF87-BEC95EA65328}"/>
    <cellStyle name="Currency 3 2 2 4 2 3" xfId="11413" xr:uid="{300A408C-7248-46C4-8B21-7767CD3906F5}"/>
    <cellStyle name="Currency 3 2 2 4 3" xfId="5047" xr:uid="{00000000-0005-0000-0000-0000EE0A0000}"/>
    <cellStyle name="Currency 3 2 2 4 3 2" xfId="13486" xr:uid="{850B951C-57EC-438C-BBC3-8426A30CBA92}"/>
    <cellStyle name="Currency 3 2 2 4 4" xfId="9268" xr:uid="{9F164D1D-D1D9-43FB-B02E-2232B03DB926}"/>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4" xr:uid="{82FD4BE5-CD1D-4C78-BBAC-806D0DBF782C}"/>
    <cellStyle name="Currency 3 2 2 5 2 3" xfId="11826" xr:uid="{B2574F50-0552-4936-887F-876254C96EEA}"/>
    <cellStyle name="Currency 3 2 2 5 3" xfId="5460" xr:uid="{00000000-0005-0000-0000-0000F20A0000}"/>
    <cellStyle name="Currency 3 2 2 5 3 2" xfId="13899" xr:uid="{496C0E92-0936-4C88-AA71-AF5FCA869338}"/>
    <cellStyle name="Currency 3 2 2 5 4" xfId="9681" xr:uid="{22FA5323-0735-4545-A063-2E9EE4C772B9}"/>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57" xr:uid="{5A2BF594-1B9B-486C-9A1F-B14A5A779A37}"/>
    <cellStyle name="Currency 3 2 2 6 2 3" xfId="12239" xr:uid="{815C53E8-5182-48FB-B995-DC60BB011E78}"/>
    <cellStyle name="Currency 3 2 2 6 3" xfId="5873" xr:uid="{00000000-0005-0000-0000-0000F60A0000}"/>
    <cellStyle name="Currency 3 2 2 6 3 2" xfId="14312" xr:uid="{9FEE4A26-66B2-45AD-9D57-593CCB6A88CC}"/>
    <cellStyle name="Currency 3 2 2 6 4" xfId="10094" xr:uid="{10DF8216-F1BA-45F6-9507-6FE25E92243A}"/>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0" xr:uid="{9C8A558D-B39D-47B0-941B-DE4154F2A16C}"/>
    <cellStyle name="Currency 3 2 2 7 2 3" xfId="12652" xr:uid="{1B976744-6736-44E3-A522-776975986781}"/>
    <cellStyle name="Currency 3 2 2 7 3" xfId="6286" xr:uid="{00000000-0005-0000-0000-0000FA0A0000}"/>
    <cellStyle name="Currency 3 2 2 7 3 2" xfId="14725" xr:uid="{25D64F6D-3824-4319-A735-45F0C74BDA86}"/>
    <cellStyle name="Currency 3 2 2 7 4" xfId="10507" xr:uid="{B09FA8FB-964E-4715-B767-7A45C359D276}"/>
    <cellStyle name="Currency 3 2 2 8" xfId="2414" xr:uid="{00000000-0005-0000-0000-0000FB0A0000}"/>
    <cellStyle name="Currency 3 2 2 8 2" xfId="6699" xr:uid="{00000000-0005-0000-0000-0000FC0A0000}"/>
    <cellStyle name="Currency 3 2 2 8 2 2" xfId="15138" xr:uid="{F727FCA2-2D0F-4C08-97E0-74024B7426B5}"/>
    <cellStyle name="Currency 3 2 2 8 3" xfId="10920" xr:uid="{C9E6CDA2-0A01-4890-80D8-19BF003E7A8A}"/>
    <cellStyle name="Currency 3 2 2 9" xfId="2711" xr:uid="{00000000-0005-0000-0000-0000FD0A0000}"/>
    <cellStyle name="Currency 3 2 3" xfId="182" xr:uid="{00000000-0005-0000-0000-0000FE0A0000}"/>
    <cellStyle name="Currency 3 2 3 10" xfId="4637" xr:uid="{00000000-0005-0000-0000-0000FF0A0000}"/>
    <cellStyle name="Currency 3 2 3 10 2" xfId="13076" xr:uid="{55F6965C-7CF0-41BD-9C0B-FE376D9340D1}"/>
    <cellStyle name="Currency 3 2 3 11" xfId="8858" xr:uid="{75D0D7BC-70A7-4F4C-A221-52355B3B09C2}"/>
    <cellStyle name="Currency 3 2 3 2" xfId="183" xr:uid="{00000000-0005-0000-0000-0000000B0000}"/>
    <cellStyle name="Currency 3 2 3 2 10" xfId="8859" xr:uid="{A6A210C9-1F10-46F8-B2C2-79F0D3CF802B}"/>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6" xr:uid="{2646FD31-629B-4F09-BDCF-362891DD0C6F}"/>
    <cellStyle name="Currency 3 2 3 2 2 2 3" xfId="11418" xr:uid="{3DF80BFA-DA06-44D6-85B0-B4295CD15BD9}"/>
    <cellStyle name="Currency 3 2 3 2 2 3" xfId="5052" xr:uid="{00000000-0005-0000-0000-0000040B0000}"/>
    <cellStyle name="Currency 3 2 3 2 2 3 2" xfId="13491" xr:uid="{8E28368A-86A9-494A-AC39-F2540DA03E24}"/>
    <cellStyle name="Currency 3 2 3 2 2 4" xfId="9273" xr:uid="{C710E094-D1A9-45FF-9A17-3F32261EC149}"/>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49" xr:uid="{C593400E-E1C3-48E4-8B4A-F01361DBDAC6}"/>
    <cellStyle name="Currency 3 2 3 2 3 2 3" xfId="11831" xr:uid="{2EA2E0C4-F43B-40B7-97B5-52CFDB39E5F9}"/>
    <cellStyle name="Currency 3 2 3 2 3 3" xfId="5465" xr:uid="{00000000-0005-0000-0000-0000080B0000}"/>
    <cellStyle name="Currency 3 2 3 2 3 3 2" xfId="13904" xr:uid="{D28C64B6-AF97-4C8B-9E93-B8E8953A9B57}"/>
    <cellStyle name="Currency 3 2 3 2 3 4" xfId="9686" xr:uid="{B34224B7-A9DE-41D1-8A88-C64B22900E51}"/>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2" xr:uid="{E58AF535-5DD2-43F9-9BB7-715ED064783A}"/>
    <cellStyle name="Currency 3 2 3 2 4 2 3" xfId="12244" xr:uid="{22169C29-7799-4B4C-9342-29910B711D89}"/>
    <cellStyle name="Currency 3 2 3 2 4 3" xfId="5878" xr:uid="{00000000-0005-0000-0000-00000C0B0000}"/>
    <cellStyle name="Currency 3 2 3 2 4 3 2" xfId="14317" xr:uid="{A1503D7A-D8E2-40CB-B0BD-B1C8D82E29FF}"/>
    <cellStyle name="Currency 3 2 3 2 4 4" xfId="10099" xr:uid="{F2226DAB-71AB-4A14-9D24-60B7919EEF02}"/>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5" xr:uid="{BAE9080C-1D47-418F-B4F7-47856E2C03F7}"/>
    <cellStyle name="Currency 3 2 3 2 5 2 3" xfId="12657" xr:uid="{94368D23-924E-449B-A784-D21880DF2C81}"/>
    <cellStyle name="Currency 3 2 3 2 5 3" xfId="6291" xr:uid="{00000000-0005-0000-0000-0000100B0000}"/>
    <cellStyle name="Currency 3 2 3 2 5 3 2" xfId="14730" xr:uid="{D5B00857-158A-4487-B2AB-588062D79142}"/>
    <cellStyle name="Currency 3 2 3 2 5 4" xfId="10512" xr:uid="{DDD7899B-7FFC-41A9-8A0D-E3D79AAC8733}"/>
    <cellStyle name="Currency 3 2 3 2 6" xfId="2419" xr:uid="{00000000-0005-0000-0000-0000110B0000}"/>
    <cellStyle name="Currency 3 2 3 2 6 2" xfId="6704" xr:uid="{00000000-0005-0000-0000-0000120B0000}"/>
    <cellStyle name="Currency 3 2 3 2 6 2 2" xfId="15143" xr:uid="{B6A07FA6-EA2A-4D5E-81FE-AC6B974AA4C2}"/>
    <cellStyle name="Currency 3 2 3 2 6 3" xfId="10925" xr:uid="{B48A8D0F-3A8B-4433-B746-BD75BF482320}"/>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0" xr:uid="{A26A6549-9003-41FB-9278-6776DFDD0495}"/>
    <cellStyle name="Currency 3 2 3 2 8 3" xfId="11242" xr:uid="{82B2B1BB-8411-4E38-AF5F-EDB35B6FC276}"/>
    <cellStyle name="Currency 3 2 3 2 9" xfId="4638" xr:uid="{00000000-0005-0000-0000-0000160B0000}"/>
    <cellStyle name="Currency 3 2 3 2 9 2" xfId="13077" xr:uid="{8DB6450D-DC89-4E49-B4AE-5547CDACFFC1}"/>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5" xr:uid="{633D7668-DB73-4FD1-AB57-D2AFDA57B447}"/>
    <cellStyle name="Currency 3 2 3 3 2 3" xfId="11417" xr:uid="{7315E85A-B0B1-4CCF-B3BE-F5784D0AC23F}"/>
    <cellStyle name="Currency 3 2 3 3 3" xfId="5051" xr:uid="{00000000-0005-0000-0000-00001A0B0000}"/>
    <cellStyle name="Currency 3 2 3 3 3 2" xfId="13490" xr:uid="{985C5B83-A9DA-482D-B1A5-076B984D7651}"/>
    <cellStyle name="Currency 3 2 3 3 4" xfId="9272" xr:uid="{413B844A-13E4-4612-A0CC-EC43A6FC6A53}"/>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48" xr:uid="{74FC32C1-4B46-4901-9E98-511C83DEC697}"/>
    <cellStyle name="Currency 3 2 3 4 2 3" xfId="11830" xr:uid="{09A161C5-B45C-4774-BDDB-A1BF88F5B93D}"/>
    <cellStyle name="Currency 3 2 3 4 3" xfId="5464" xr:uid="{00000000-0005-0000-0000-00001E0B0000}"/>
    <cellStyle name="Currency 3 2 3 4 3 2" xfId="13903" xr:uid="{454B26F0-7C19-4B17-BD32-7FAF52780033}"/>
    <cellStyle name="Currency 3 2 3 4 4" xfId="9685" xr:uid="{455EC446-92B1-476D-8BD9-CA6D83653586}"/>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1" xr:uid="{E3934FBD-FB57-4FF2-8404-F10FE41753B3}"/>
    <cellStyle name="Currency 3 2 3 5 2 3" xfId="12243" xr:uid="{F8E59BEE-B123-48FD-9364-584FF1F39D1F}"/>
    <cellStyle name="Currency 3 2 3 5 3" xfId="5877" xr:uid="{00000000-0005-0000-0000-0000220B0000}"/>
    <cellStyle name="Currency 3 2 3 5 3 2" xfId="14316" xr:uid="{F55BD9ED-4714-497A-8D67-3B8B68C2732D}"/>
    <cellStyle name="Currency 3 2 3 5 4" xfId="10098" xr:uid="{FED08A30-E1F9-406E-BF35-4C007392F819}"/>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4" xr:uid="{1855CE56-803D-4D61-B1DC-3B37B29E4414}"/>
    <cellStyle name="Currency 3 2 3 6 2 3" xfId="12656" xr:uid="{B41A6316-8A46-4C1B-8375-AA7A45ECD354}"/>
    <cellStyle name="Currency 3 2 3 6 3" xfId="6290" xr:uid="{00000000-0005-0000-0000-0000260B0000}"/>
    <cellStyle name="Currency 3 2 3 6 3 2" xfId="14729" xr:uid="{5B4BF76F-7BCF-4E76-974E-97FD8635B72E}"/>
    <cellStyle name="Currency 3 2 3 6 4" xfId="10511" xr:uid="{9485733A-EE76-48BA-ADF0-05035226B22B}"/>
    <cellStyle name="Currency 3 2 3 7" xfId="2418" xr:uid="{00000000-0005-0000-0000-0000270B0000}"/>
    <cellStyle name="Currency 3 2 3 7 2" xfId="6703" xr:uid="{00000000-0005-0000-0000-0000280B0000}"/>
    <cellStyle name="Currency 3 2 3 7 2 2" xfId="15142" xr:uid="{79C08863-DCEE-426C-9B87-8E736499F72C}"/>
    <cellStyle name="Currency 3 2 3 7 3" xfId="10924" xr:uid="{36FF1E21-7438-4121-9522-796D4359C304}"/>
    <cellStyle name="Currency 3 2 3 8" xfId="2715" xr:uid="{00000000-0005-0000-0000-0000290B0000}"/>
    <cellStyle name="Currency 3 2 3 9" xfId="2796" xr:uid="{00000000-0005-0000-0000-00002A0B0000}"/>
    <cellStyle name="Currency 3 2 3 9 2" xfId="7020" xr:uid="{00000000-0005-0000-0000-00002B0B0000}"/>
    <cellStyle name="Currency 3 2 3 9 2 2" xfId="15459" xr:uid="{C39BD2ED-81FE-4DED-B972-08E17EF63594}"/>
    <cellStyle name="Currency 3 2 3 9 3" xfId="11241" xr:uid="{E9CBC224-1321-4B84-8C4A-29B4D0F9A3E7}"/>
    <cellStyle name="Currency 3 2 4" xfId="184" xr:uid="{00000000-0005-0000-0000-00002C0B0000}"/>
    <cellStyle name="Currency 3 2 4 10" xfId="8860" xr:uid="{AE32EAAC-1CDB-4BE5-9645-5B8CDB20B9FC}"/>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37" xr:uid="{5BBC8F39-86ED-409B-B386-F96A6E3828A7}"/>
    <cellStyle name="Currency 3 2 4 2 2 3" xfId="11419" xr:uid="{BF509D1E-1C0F-4719-933C-BA3F0520FC03}"/>
    <cellStyle name="Currency 3 2 4 2 3" xfId="5053" xr:uid="{00000000-0005-0000-0000-0000300B0000}"/>
    <cellStyle name="Currency 3 2 4 2 3 2" xfId="13492" xr:uid="{333E4424-487E-424E-B065-A375EE46C5DB}"/>
    <cellStyle name="Currency 3 2 4 2 4" xfId="9274" xr:uid="{6E9F1A2C-5F12-4FAF-BB28-C7B2E5226A90}"/>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0" xr:uid="{A8D3196B-2585-4A63-BC1E-7DB2F33F7239}"/>
    <cellStyle name="Currency 3 2 4 3 2 3" xfId="11832" xr:uid="{0B655239-2554-4531-8A75-E1BA0D025982}"/>
    <cellStyle name="Currency 3 2 4 3 3" xfId="5466" xr:uid="{00000000-0005-0000-0000-0000340B0000}"/>
    <cellStyle name="Currency 3 2 4 3 3 2" xfId="13905" xr:uid="{0AEDD11D-5A06-4E55-8486-1DAAE4A5D11F}"/>
    <cellStyle name="Currency 3 2 4 3 4" xfId="9687" xr:uid="{BC57AA1C-5A13-4656-9B15-CDB58A566003}"/>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3" xr:uid="{C9B4E461-8B15-4AA5-9C0A-72F34D6D0A3C}"/>
    <cellStyle name="Currency 3 2 4 4 2 3" xfId="12245" xr:uid="{E62E2BBA-4CBC-463F-971C-5C4A79E35CAA}"/>
    <cellStyle name="Currency 3 2 4 4 3" xfId="5879" xr:uid="{00000000-0005-0000-0000-0000380B0000}"/>
    <cellStyle name="Currency 3 2 4 4 3 2" xfId="14318" xr:uid="{8FA02CB7-090F-434C-AC60-89057FD7E2ED}"/>
    <cellStyle name="Currency 3 2 4 4 4" xfId="10100" xr:uid="{D7B1109D-42D0-4389-BDA9-B7133A840EB2}"/>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6" xr:uid="{6F604FF1-A3B5-49DB-B32C-189359D805AC}"/>
    <cellStyle name="Currency 3 2 4 5 2 3" xfId="12658" xr:uid="{F3BBB9ED-F439-4D1B-A89E-F98C91D666C0}"/>
    <cellStyle name="Currency 3 2 4 5 3" xfId="6292" xr:uid="{00000000-0005-0000-0000-00003C0B0000}"/>
    <cellStyle name="Currency 3 2 4 5 3 2" xfId="14731" xr:uid="{F67B6802-51A6-4DE6-9553-532A20D04031}"/>
    <cellStyle name="Currency 3 2 4 5 4" xfId="10513" xr:uid="{E705EDE2-402A-453D-994D-2EF06F0669AB}"/>
    <cellStyle name="Currency 3 2 4 6" xfId="2420" xr:uid="{00000000-0005-0000-0000-00003D0B0000}"/>
    <cellStyle name="Currency 3 2 4 6 2" xfId="6705" xr:uid="{00000000-0005-0000-0000-00003E0B0000}"/>
    <cellStyle name="Currency 3 2 4 6 2 2" xfId="15144" xr:uid="{7726518E-32B5-4C35-9429-C3AB67713693}"/>
    <cellStyle name="Currency 3 2 4 6 3" xfId="10926" xr:uid="{CF7099B3-9116-497B-A5C6-584465FD78E7}"/>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1" xr:uid="{87A79C42-912A-4A41-9006-121EDD6C9D31}"/>
    <cellStyle name="Currency 3 2 4 8 3" xfId="11243" xr:uid="{E9107BB2-507D-4FB5-954D-FE3BE40E7D97}"/>
    <cellStyle name="Currency 3 2 4 9" xfId="4639" xr:uid="{00000000-0005-0000-0000-0000420B0000}"/>
    <cellStyle name="Currency 3 2 4 9 2" xfId="13078" xr:uid="{DAEB5EAF-A3C7-4548-806B-86973E28E79D}"/>
    <cellStyle name="Currency 3 2 5" xfId="185" xr:uid="{00000000-0005-0000-0000-0000430B0000}"/>
    <cellStyle name="Currency 3 2 5 10" xfId="8861" xr:uid="{111C5D1B-FB58-4647-82BA-B790EE78ECD9}"/>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38" xr:uid="{D70ED82B-A2B4-452E-85CE-8BC125CC0B78}"/>
    <cellStyle name="Currency 3 2 5 2 2 3" xfId="11420" xr:uid="{748AC4B0-9895-45CE-A9C6-65E9689432DD}"/>
    <cellStyle name="Currency 3 2 5 2 3" xfId="5054" xr:uid="{00000000-0005-0000-0000-0000470B0000}"/>
    <cellStyle name="Currency 3 2 5 2 3 2" xfId="13493" xr:uid="{91B5D0B0-0325-44D9-A884-8FDEF78F21D6}"/>
    <cellStyle name="Currency 3 2 5 2 4" xfId="9275" xr:uid="{72217E4B-844D-4D17-BF49-149D78797DBC}"/>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1" xr:uid="{BD30DB9B-8E1D-4D25-98AF-1363F7E2DA5B}"/>
    <cellStyle name="Currency 3 2 5 3 2 3" xfId="11833" xr:uid="{EA059D55-63BC-4FE2-A2E3-28CB7E54B32F}"/>
    <cellStyle name="Currency 3 2 5 3 3" xfId="5467" xr:uid="{00000000-0005-0000-0000-00004B0B0000}"/>
    <cellStyle name="Currency 3 2 5 3 3 2" xfId="13906" xr:uid="{905AF3C7-7A16-4800-9814-AB13E349CAE0}"/>
    <cellStyle name="Currency 3 2 5 3 4" xfId="9688" xr:uid="{BBC909A2-9D7F-440D-8CA2-21F1E06943FA}"/>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4" xr:uid="{19CAFBDC-47FA-4BE9-A576-7791982E8D5A}"/>
    <cellStyle name="Currency 3 2 5 4 2 3" xfId="12246" xr:uid="{5997F41F-5177-40C2-8047-4DE329A1E790}"/>
    <cellStyle name="Currency 3 2 5 4 3" xfId="5880" xr:uid="{00000000-0005-0000-0000-00004F0B0000}"/>
    <cellStyle name="Currency 3 2 5 4 3 2" xfId="14319" xr:uid="{BFE7D742-FC95-4FF6-AC11-030914FB2C31}"/>
    <cellStyle name="Currency 3 2 5 4 4" xfId="10101" xr:uid="{DBB1E847-515E-4C92-B989-6C3F2B473E8C}"/>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77" xr:uid="{6AE2515A-C3BD-40AA-B4D2-435C301562D8}"/>
    <cellStyle name="Currency 3 2 5 5 2 3" xfId="12659" xr:uid="{8EEB65FC-C636-455D-A998-E1614550D73D}"/>
    <cellStyle name="Currency 3 2 5 5 3" xfId="6293" xr:uid="{00000000-0005-0000-0000-0000530B0000}"/>
    <cellStyle name="Currency 3 2 5 5 3 2" xfId="14732" xr:uid="{4C62903B-3182-4D9E-92CA-CFBCA506C201}"/>
    <cellStyle name="Currency 3 2 5 5 4" xfId="10514" xr:uid="{8F666D5A-6E81-4BF8-8598-631591B3F774}"/>
    <cellStyle name="Currency 3 2 5 6" xfId="2421" xr:uid="{00000000-0005-0000-0000-0000540B0000}"/>
    <cellStyle name="Currency 3 2 5 6 2" xfId="6706" xr:uid="{00000000-0005-0000-0000-0000550B0000}"/>
    <cellStyle name="Currency 3 2 5 6 2 2" xfId="15145" xr:uid="{E250594F-636B-446F-A2DA-704B05FAF486}"/>
    <cellStyle name="Currency 3 2 5 6 3" xfId="10927" xr:uid="{D5C4E52E-EBBF-4FE6-BF6E-B2F1686C55C4}"/>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2" xr:uid="{91094A4B-EFC5-4E42-A4BE-222A8E50F849}"/>
    <cellStyle name="Currency 3 2 5 8 3" xfId="11244" xr:uid="{ECBAA757-D296-4E1B-A065-1BCB24C3A406}"/>
    <cellStyle name="Currency 3 2 5 9" xfId="4640" xr:uid="{00000000-0005-0000-0000-0000590B0000}"/>
    <cellStyle name="Currency 3 2 5 9 2" xfId="13079" xr:uid="{F86032EC-6E62-4D1A-AB22-CD7D02AC6F9C}"/>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3" xr:uid="{3DEF595D-739E-4E7A-B5BD-3A6CD19ACA35}"/>
    <cellStyle name="Currency 5 2 2 2 10 3" xfId="11245" xr:uid="{EFC30C2D-ECEB-4DA7-B6CD-C3CEB2ADD690}"/>
    <cellStyle name="Currency 5 2 2 2 11" xfId="4641" xr:uid="{00000000-0005-0000-0000-00006C0B0000}"/>
    <cellStyle name="Currency 5 2 2 2 11 2" xfId="13080" xr:uid="{B644D4CC-3E02-490F-A25C-7F1C2CFECE6E}"/>
    <cellStyle name="Currency 5 2 2 2 12" xfId="8862" xr:uid="{E9D452BB-45E0-4B99-AAE2-AC24DA7280B8}"/>
    <cellStyle name="Currency 5 2 2 2 2" xfId="197" xr:uid="{00000000-0005-0000-0000-00006D0B0000}"/>
    <cellStyle name="Currency 5 2 2 2 2 10" xfId="4642" xr:uid="{00000000-0005-0000-0000-00006E0B0000}"/>
    <cellStyle name="Currency 5 2 2 2 2 10 2" xfId="13081" xr:uid="{E734F463-C1C4-4AEA-B607-CF0AC0B9B93B}"/>
    <cellStyle name="Currency 5 2 2 2 2 11" xfId="8863" xr:uid="{264056D3-BBC1-445C-86F6-6A418496B823}"/>
    <cellStyle name="Currency 5 2 2 2 2 2" xfId="198" xr:uid="{00000000-0005-0000-0000-00006F0B0000}"/>
    <cellStyle name="Currency 5 2 2 2 2 2 10" xfId="8864" xr:uid="{DD9D9E24-973B-45F0-9E40-6343FC2C59E8}"/>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1" xr:uid="{AF56C3B3-6F42-4B67-85F4-8CFC502A28F4}"/>
    <cellStyle name="Currency 5 2 2 2 2 2 2 2 3" xfId="11423" xr:uid="{3541714C-8B45-4D92-8823-6CADF1655B4E}"/>
    <cellStyle name="Currency 5 2 2 2 2 2 2 3" xfId="5057" xr:uid="{00000000-0005-0000-0000-0000730B0000}"/>
    <cellStyle name="Currency 5 2 2 2 2 2 2 3 2" xfId="13496" xr:uid="{9F451601-BAD3-4867-BE95-7B40444A95B4}"/>
    <cellStyle name="Currency 5 2 2 2 2 2 2 4" xfId="9278" xr:uid="{F4C14A0D-33EA-44D2-ACBD-7601D809756E}"/>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4" xr:uid="{1C0F3FBE-E409-420C-80D6-6112EDBC01DC}"/>
    <cellStyle name="Currency 5 2 2 2 2 2 3 2 3" xfId="11836" xr:uid="{942F4206-6890-4D06-9936-C9B779AC260C}"/>
    <cellStyle name="Currency 5 2 2 2 2 2 3 3" xfId="5470" xr:uid="{00000000-0005-0000-0000-0000770B0000}"/>
    <cellStyle name="Currency 5 2 2 2 2 2 3 3 2" xfId="13909" xr:uid="{2E850E8B-DE59-464D-A835-8F637CABA6A8}"/>
    <cellStyle name="Currency 5 2 2 2 2 2 3 4" xfId="9691" xr:uid="{4EF9CCED-D146-4D75-B4E6-D0BAEC42F018}"/>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67" xr:uid="{5804C171-F8E6-47B8-B93D-2AC653ADF073}"/>
    <cellStyle name="Currency 5 2 2 2 2 2 4 2 3" xfId="12249" xr:uid="{484750BA-90DE-4CEA-B19A-D9C7BE4C5B78}"/>
    <cellStyle name="Currency 5 2 2 2 2 2 4 3" xfId="5883" xr:uid="{00000000-0005-0000-0000-00007B0B0000}"/>
    <cellStyle name="Currency 5 2 2 2 2 2 4 3 2" xfId="14322" xr:uid="{53956ADE-997E-4683-A00C-F80758300197}"/>
    <cellStyle name="Currency 5 2 2 2 2 2 4 4" xfId="10104" xr:uid="{A82136F2-C1A9-4E89-9435-D202BD60B72C}"/>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0" xr:uid="{A243AAD6-D196-43C6-8B73-734D269916B1}"/>
    <cellStyle name="Currency 5 2 2 2 2 2 5 2 3" xfId="12662" xr:uid="{8CED6F8F-EA3E-46D7-AD74-3BAA686F7C70}"/>
    <cellStyle name="Currency 5 2 2 2 2 2 5 3" xfId="6296" xr:uid="{00000000-0005-0000-0000-00007F0B0000}"/>
    <cellStyle name="Currency 5 2 2 2 2 2 5 3 2" xfId="14735" xr:uid="{75AAAB2A-9FAF-4221-9351-6AB65549034C}"/>
    <cellStyle name="Currency 5 2 2 2 2 2 5 4" xfId="10517" xr:uid="{980D4893-4CF5-4B1E-A69A-E95802548448}"/>
    <cellStyle name="Currency 5 2 2 2 2 2 6" xfId="2424" xr:uid="{00000000-0005-0000-0000-0000800B0000}"/>
    <cellStyle name="Currency 5 2 2 2 2 2 6 2" xfId="6709" xr:uid="{00000000-0005-0000-0000-0000810B0000}"/>
    <cellStyle name="Currency 5 2 2 2 2 2 6 2 2" xfId="15148" xr:uid="{E3995531-2AC3-402F-A7EE-A473E65780C9}"/>
    <cellStyle name="Currency 5 2 2 2 2 2 6 3" xfId="10930" xr:uid="{E223E315-26DF-4E00-A238-F697920D767E}"/>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5" xr:uid="{722C972D-BF3D-4327-97BE-ECAE4C6D55A1}"/>
    <cellStyle name="Currency 5 2 2 2 2 2 8 3" xfId="11247" xr:uid="{F3D98E0E-79E6-4437-A056-CE800B5AE48D}"/>
    <cellStyle name="Currency 5 2 2 2 2 2 9" xfId="4643" xr:uid="{00000000-0005-0000-0000-0000850B0000}"/>
    <cellStyle name="Currency 5 2 2 2 2 2 9 2" xfId="13082" xr:uid="{BB2F4B6F-3354-431E-A6F7-8A152084C55A}"/>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0" xr:uid="{CE4A4842-1AD2-45DC-A548-A648B7946245}"/>
    <cellStyle name="Currency 5 2 2 2 2 3 2 3" xfId="11422" xr:uid="{B9741A11-FA89-43B2-9766-2E60BF8C6339}"/>
    <cellStyle name="Currency 5 2 2 2 2 3 3" xfId="5056" xr:uid="{00000000-0005-0000-0000-0000890B0000}"/>
    <cellStyle name="Currency 5 2 2 2 2 3 3 2" xfId="13495" xr:uid="{D63B7591-730B-49CC-BF01-7CD6C852FFB8}"/>
    <cellStyle name="Currency 5 2 2 2 2 3 4" xfId="9277" xr:uid="{2C46B42E-3ADD-4F90-9FAB-2AC63534012F}"/>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3" xr:uid="{EC6E8083-2543-4ABE-BA9D-200A6569144B}"/>
    <cellStyle name="Currency 5 2 2 2 2 4 2 3" xfId="11835" xr:uid="{948B27CB-5210-4EFA-A32C-2DBCBF1FBB00}"/>
    <cellStyle name="Currency 5 2 2 2 2 4 3" xfId="5469" xr:uid="{00000000-0005-0000-0000-00008D0B0000}"/>
    <cellStyle name="Currency 5 2 2 2 2 4 3 2" xfId="13908" xr:uid="{503E58EF-BE61-48F2-8584-F7B782B26D5E}"/>
    <cellStyle name="Currency 5 2 2 2 2 4 4" xfId="9690" xr:uid="{8EFFA6DB-3FB9-4D7B-8914-54AE755038AE}"/>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6" xr:uid="{57088828-7662-4C1F-8F0A-4851DBD6D3D1}"/>
    <cellStyle name="Currency 5 2 2 2 2 5 2 3" xfId="12248" xr:uid="{C1E3BAED-AD6A-4738-9A33-42FE1340B6FB}"/>
    <cellStyle name="Currency 5 2 2 2 2 5 3" xfId="5882" xr:uid="{00000000-0005-0000-0000-0000910B0000}"/>
    <cellStyle name="Currency 5 2 2 2 2 5 3 2" xfId="14321" xr:uid="{6B5C3E9C-F2B2-4FDD-B8A1-D526D5A33DA9}"/>
    <cellStyle name="Currency 5 2 2 2 2 5 4" xfId="10103" xr:uid="{D6309024-0648-4BE0-9EEB-7ACB4418E51B}"/>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79" xr:uid="{0B706277-52CE-44A3-B498-C85B2D3770FD}"/>
    <cellStyle name="Currency 5 2 2 2 2 6 2 3" xfId="12661" xr:uid="{0A4B67C4-772E-489A-AD93-22708F452B27}"/>
    <cellStyle name="Currency 5 2 2 2 2 6 3" xfId="6295" xr:uid="{00000000-0005-0000-0000-0000950B0000}"/>
    <cellStyle name="Currency 5 2 2 2 2 6 3 2" xfId="14734" xr:uid="{34CBBA1D-7758-4D94-8B4F-DD6FE751B1E3}"/>
    <cellStyle name="Currency 5 2 2 2 2 6 4" xfId="10516" xr:uid="{ABCCA6CC-7660-436E-B46F-C5F518BFAA15}"/>
    <cellStyle name="Currency 5 2 2 2 2 7" xfId="2423" xr:uid="{00000000-0005-0000-0000-0000960B0000}"/>
    <cellStyle name="Currency 5 2 2 2 2 7 2" xfId="6708" xr:uid="{00000000-0005-0000-0000-0000970B0000}"/>
    <cellStyle name="Currency 5 2 2 2 2 7 2 2" xfId="15147" xr:uid="{5C7D0DEB-17D0-4296-824D-2D1619B9A95C}"/>
    <cellStyle name="Currency 5 2 2 2 2 7 3" xfId="10929" xr:uid="{CF78C1DE-8FAA-446C-B92D-0982750F2C25}"/>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4" xr:uid="{C363259E-3B9D-4CF5-8EA3-2AECC59A323E}"/>
    <cellStyle name="Currency 5 2 2 2 2 9 3" xfId="11246" xr:uid="{E84D7EC2-F415-4448-99FB-F6C091BD4058}"/>
    <cellStyle name="Currency 5 2 2 2 3" xfId="199" xr:uid="{00000000-0005-0000-0000-00009B0B0000}"/>
    <cellStyle name="Currency 5 2 2 2 3 10" xfId="8865" xr:uid="{BA736686-C765-4B82-A016-CC9995E58A5E}"/>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2" xr:uid="{E2079A71-EE2D-437B-896A-73B606BF1E94}"/>
    <cellStyle name="Currency 5 2 2 2 3 2 2 3" xfId="11424" xr:uid="{7F141335-AEC6-48CB-B0C2-00BE4F57E476}"/>
    <cellStyle name="Currency 5 2 2 2 3 2 3" xfId="5058" xr:uid="{00000000-0005-0000-0000-00009F0B0000}"/>
    <cellStyle name="Currency 5 2 2 2 3 2 3 2" xfId="13497" xr:uid="{632C1653-360D-4C4C-BE42-5299661CF138}"/>
    <cellStyle name="Currency 5 2 2 2 3 2 4" xfId="9279" xr:uid="{4D889732-21B6-4A69-AA86-29BE072B8C8C}"/>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5" xr:uid="{E4C478AF-1FC0-4D43-A704-6A8063CF23E8}"/>
    <cellStyle name="Currency 5 2 2 2 3 3 2 3" xfId="11837" xr:uid="{EE587174-2A22-40AF-A41C-2B711A66F7ED}"/>
    <cellStyle name="Currency 5 2 2 2 3 3 3" xfId="5471" xr:uid="{00000000-0005-0000-0000-0000A30B0000}"/>
    <cellStyle name="Currency 5 2 2 2 3 3 3 2" xfId="13910" xr:uid="{139AEFD6-7D6B-4F70-A061-8102D1986394}"/>
    <cellStyle name="Currency 5 2 2 2 3 3 4" xfId="9692" xr:uid="{09EA29E1-A47E-4153-B2B8-3CEF75D819BE}"/>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68" xr:uid="{8ABD92D8-BCD8-41B7-A358-8BBB6ECE0904}"/>
    <cellStyle name="Currency 5 2 2 2 3 4 2 3" xfId="12250" xr:uid="{F09FF22E-185B-4EB2-A438-468BC9CFC97F}"/>
    <cellStyle name="Currency 5 2 2 2 3 4 3" xfId="5884" xr:uid="{00000000-0005-0000-0000-0000A70B0000}"/>
    <cellStyle name="Currency 5 2 2 2 3 4 3 2" xfId="14323" xr:uid="{AFE73EE9-9F4F-4E3C-8C76-467250B29587}"/>
    <cellStyle name="Currency 5 2 2 2 3 4 4" xfId="10105" xr:uid="{E4A74C7E-904C-407E-AEA8-0C5B20846F9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1" xr:uid="{0256278E-B484-4823-8AAD-B9B54125DEC6}"/>
    <cellStyle name="Currency 5 2 2 2 3 5 2 3" xfId="12663" xr:uid="{AB667F25-A38C-475F-AAE8-1C3DB538CC86}"/>
    <cellStyle name="Currency 5 2 2 2 3 5 3" xfId="6297" xr:uid="{00000000-0005-0000-0000-0000AB0B0000}"/>
    <cellStyle name="Currency 5 2 2 2 3 5 3 2" xfId="14736" xr:uid="{7DEB3E71-70D3-4C89-85EB-2BC2E640F462}"/>
    <cellStyle name="Currency 5 2 2 2 3 5 4" xfId="10518" xr:uid="{1480A070-2AA7-4265-8783-4CD87D179F09}"/>
    <cellStyle name="Currency 5 2 2 2 3 6" xfId="2425" xr:uid="{00000000-0005-0000-0000-0000AC0B0000}"/>
    <cellStyle name="Currency 5 2 2 2 3 6 2" xfId="6710" xr:uid="{00000000-0005-0000-0000-0000AD0B0000}"/>
    <cellStyle name="Currency 5 2 2 2 3 6 2 2" xfId="15149" xr:uid="{614BFD64-63BE-4313-AD05-EB64BEA48A11}"/>
    <cellStyle name="Currency 5 2 2 2 3 6 3" xfId="10931" xr:uid="{645EA2E0-A366-461E-9404-826FFEC56CDD}"/>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6" xr:uid="{3A0B8519-B0DB-4C1D-993B-7DBD46991E0A}"/>
    <cellStyle name="Currency 5 2 2 2 3 8 3" xfId="11248" xr:uid="{17FA3EBE-6A87-4F37-8F9E-AEF1C107E778}"/>
    <cellStyle name="Currency 5 2 2 2 3 9" xfId="4644" xr:uid="{00000000-0005-0000-0000-0000B10B0000}"/>
    <cellStyle name="Currency 5 2 2 2 3 9 2" xfId="13083" xr:uid="{9665D2D1-7B1E-4792-9FCA-D30068C04809}"/>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39" xr:uid="{582BE519-90E0-410B-A038-1F0AFB52EF83}"/>
    <cellStyle name="Currency 5 2 2 2 4 2 3" xfId="11421" xr:uid="{DF4DBD4E-661F-4F90-8901-71CA987B338B}"/>
    <cellStyle name="Currency 5 2 2 2 4 3" xfId="5055" xr:uid="{00000000-0005-0000-0000-0000B50B0000}"/>
    <cellStyle name="Currency 5 2 2 2 4 3 2" xfId="13494" xr:uid="{7704D159-EBC9-4F11-B50D-DCB6F593E0A9}"/>
    <cellStyle name="Currency 5 2 2 2 4 4" xfId="9276" xr:uid="{D306D032-A724-4C43-8DF6-D70E56CF7EFD}"/>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2" xr:uid="{3A283A65-9657-4D9C-A12C-6EE45E041A86}"/>
    <cellStyle name="Currency 5 2 2 2 5 2 3" xfId="11834" xr:uid="{0545983A-C3B2-4C72-B465-090C74B5396D}"/>
    <cellStyle name="Currency 5 2 2 2 5 3" xfId="5468" xr:uid="{00000000-0005-0000-0000-0000B90B0000}"/>
    <cellStyle name="Currency 5 2 2 2 5 3 2" xfId="13907" xr:uid="{2D535C44-3DF3-4F52-8EFE-D58787266E50}"/>
    <cellStyle name="Currency 5 2 2 2 5 4" xfId="9689" xr:uid="{BAA7DD46-F21D-4D0F-8BF5-43E1C311CE1C}"/>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5" xr:uid="{9141438C-62C4-4F43-9924-A3171115DCA5}"/>
    <cellStyle name="Currency 5 2 2 2 6 2 3" xfId="12247" xr:uid="{4F99500A-043E-47C2-AE47-F1BF1BF5C83D}"/>
    <cellStyle name="Currency 5 2 2 2 6 3" xfId="5881" xr:uid="{00000000-0005-0000-0000-0000BD0B0000}"/>
    <cellStyle name="Currency 5 2 2 2 6 3 2" xfId="14320" xr:uid="{11A95054-B496-4499-931B-74141F19B9CF}"/>
    <cellStyle name="Currency 5 2 2 2 6 4" xfId="10102" xr:uid="{851EA98B-196B-4822-84B0-800DB89E9C58}"/>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78" xr:uid="{FECCA34E-C7DC-4654-8B4F-B06F757D0AF3}"/>
    <cellStyle name="Currency 5 2 2 2 7 2 3" xfId="12660" xr:uid="{545803A5-AAEE-4D82-A51C-D9B9485BE35F}"/>
    <cellStyle name="Currency 5 2 2 2 7 3" xfId="6294" xr:uid="{00000000-0005-0000-0000-0000C10B0000}"/>
    <cellStyle name="Currency 5 2 2 2 7 3 2" xfId="14733" xr:uid="{46920768-9A5C-4E08-92D9-50121D9CB1EB}"/>
    <cellStyle name="Currency 5 2 2 2 7 4" xfId="10515" xr:uid="{FF68DAB8-4767-42CD-AE54-BA6969B7BDC0}"/>
    <cellStyle name="Currency 5 2 2 2 8" xfId="2422" xr:uid="{00000000-0005-0000-0000-0000C20B0000}"/>
    <cellStyle name="Currency 5 2 2 2 8 2" xfId="6707" xr:uid="{00000000-0005-0000-0000-0000C30B0000}"/>
    <cellStyle name="Currency 5 2 2 2 8 2 2" xfId="15146" xr:uid="{B8F0427F-AEB9-4B71-BC62-473168A14C7D}"/>
    <cellStyle name="Currency 5 2 2 2 8 3" xfId="10928" xr:uid="{C53037AA-0CC0-4374-9262-BFD34ED4F557}"/>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4" xr:uid="{CADBEFBF-EBF5-402B-BC8F-5C6E560A6A84}"/>
    <cellStyle name="Currency 5 2 2 3 11" xfId="8866" xr:uid="{E0DAA27A-8644-4A33-8396-D1EB537296D1}"/>
    <cellStyle name="Currency 5 2 2 3 2" xfId="201" xr:uid="{00000000-0005-0000-0000-0000C70B0000}"/>
    <cellStyle name="Currency 5 2 2 3 2 10" xfId="8867" xr:uid="{50B561E9-E35D-4A50-B9CA-BBF78D66198F}"/>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4" xr:uid="{CB4BB51B-4E6C-48BC-BE04-EFDFC4DB0F01}"/>
    <cellStyle name="Currency 5 2 2 3 2 2 2 3" xfId="11426" xr:uid="{AAA69F18-C4C9-4C24-9FB3-0757BBA7D43C}"/>
    <cellStyle name="Currency 5 2 2 3 2 2 3" xfId="5060" xr:uid="{00000000-0005-0000-0000-0000CB0B0000}"/>
    <cellStyle name="Currency 5 2 2 3 2 2 3 2" xfId="13499" xr:uid="{9B7C6DAA-FF15-4051-84D1-FC34A78A17F8}"/>
    <cellStyle name="Currency 5 2 2 3 2 2 4" xfId="9281" xr:uid="{4F54AC47-F8FC-4778-A381-F89C2C418B13}"/>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57" xr:uid="{C5F16613-7C58-4352-8D4F-C91265CB422F}"/>
    <cellStyle name="Currency 5 2 2 3 2 3 2 3" xfId="11839" xr:uid="{AF3AC2D8-5610-452A-A756-C60E7FD83A60}"/>
    <cellStyle name="Currency 5 2 2 3 2 3 3" xfId="5473" xr:uid="{00000000-0005-0000-0000-0000CF0B0000}"/>
    <cellStyle name="Currency 5 2 2 3 2 3 3 2" xfId="13912" xr:uid="{CAABACAF-EF8B-462F-9D7B-8A132F7BB8A4}"/>
    <cellStyle name="Currency 5 2 2 3 2 3 4" xfId="9694" xr:uid="{F2E65291-35FC-4557-864F-BE5CB262435F}"/>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0" xr:uid="{F67A924E-0AE4-4130-B79D-4E4A3FEEA653}"/>
    <cellStyle name="Currency 5 2 2 3 2 4 2 3" xfId="12252" xr:uid="{C573C482-2224-403C-B6A3-C4E6B6DF0379}"/>
    <cellStyle name="Currency 5 2 2 3 2 4 3" xfId="5886" xr:uid="{00000000-0005-0000-0000-0000D30B0000}"/>
    <cellStyle name="Currency 5 2 2 3 2 4 3 2" xfId="14325" xr:uid="{351D9475-46E1-4B44-BCB5-DBBA72C63C17}"/>
    <cellStyle name="Currency 5 2 2 3 2 4 4" xfId="10107" xr:uid="{EED17BBA-F32A-4D7E-AEE7-8BDE88930586}"/>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3" xr:uid="{3C7F4D4F-8394-423A-A795-A63D35802D8E}"/>
    <cellStyle name="Currency 5 2 2 3 2 5 2 3" xfId="12665" xr:uid="{43A0B4F9-19ED-4165-B25B-128F181EB5AE}"/>
    <cellStyle name="Currency 5 2 2 3 2 5 3" xfId="6299" xr:uid="{00000000-0005-0000-0000-0000D70B0000}"/>
    <cellStyle name="Currency 5 2 2 3 2 5 3 2" xfId="14738" xr:uid="{A048976F-0335-49E4-9F4F-25F1E0F46E8D}"/>
    <cellStyle name="Currency 5 2 2 3 2 5 4" xfId="10520" xr:uid="{348F2964-E6B4-464F-881E-0F4C9E946609}"/>
    <cellStyle name="Currency 5 2 2 3 2 6" xfId="2427" xr:uid="{00000000-0005-0000-0000-0000D80B0000}"/>
    <cellStyle name="Currency 5 2 2 3 2 6 2" xfId="6712" xr:uid="{00000000-0005-0000-0000-0000D90B0000}"/>
    <cellStyle name="Currency 5 2 2 3 2 6 2 2" xfId="15151" xr:uid="{CD9D8EE1-8083-48F1-AC0A-FAB399EC29BE}"/>
    <cellStyle name="Currency 5 2 2 3 2 6 3" xfId="10933" xr:uid="{836D4B07-9365-4C73-96E2-A0FB0226123D}"/>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68" xr:uid="{6D125D41-2BC1-40D7-AD39-37B4E27D4C69}"/>
    <cellStyle name="Currency 5 2 2 3 2 8 3" xfId="11250" xr:uid="{EEABBC6C-4026-4AA2-8E17-060E115FDC52}"/>
    <cellStyle name="Currency 5 2 2 3 2 9" xfId="4646" xr:uid="{00000000-0005-0000-0000-0000DD0B0000}"/>
    <cellStyle name="Currency 5 2 2 3 2 9 2" xfId="13085" xr:uid="{75F0ED94-8657-4908-B250-CF9B2E2663FB}"/>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3" xr:uid="{8348BA62-9552-4110-A099-34B021460916}"/>
    <cellStyle name="Currency 5 2 2 3 3 2 3" xfId="11425" xr:uid="{C9F652F7-49A5-442C-AEE5-4C9D0BFA8A43}"/>
    <cellStyle name="Currency 5 2 2 3 3 3" xfId="5059" xr:uid="{00000000-0005-0000-0000-0000E10B0000}"/>
    <cellStyle name="Currency 5 2 2 3 3 3 2" xfId="13498" xr:uid="{4C6C4ABD-79B6-4C4B-B7FF-E1BD3DCBEF11}"/>
    <cellStyle name="Currency 5 2 2 3 3 4" xfId="9280" xr:uid="{AFFDA44A-ADA0-43AB-86BD-1F2B465A58FA}"/>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6" xr:uid="{1F54295C-3405-446E-B54D-1BE13B277093}"/>
    <cellStyle name="Currency 5 2 2 3 4 2 3" xfId="11838" xr:uid="{121F35E6-264B-4F22-BC98-EE311CFDF038}"/>
    <cellStyle name="Currency 5 2 2 3 4 3" xfId="5472" xr:uid="{00000000-0005-0000-0000-0000E50B0000}"/>
    <cellStyle name="Currency 5 2 2 3 4 3 2" xfId="13911" xr:uid="{3621FB88-6D19-4475-ACC8-D3EC5B2D5C41}"/>
    <cellStyle name="Currency 5 2 2 3 4 4" xfId="9693" xr:uid="{C790F313-6D09-43B3-877A-9735C0FE555E}"/>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69" xr:uid="{1743C4DA-86E1-4CDD-BE9A-2D09B6B8E521}"/>
    <cellStyle name="Currency 5 2 2 3 5 2 3" xfId="12251" xr:uid="{214263DC-F028-4E3B-A484-F758E2A33E6D}"/>
    <cellStyle name="Currency 5 2 2 3 5 3" xfId="5885" xr:uid="{00000000-0005-0000-0000-0000E90B0000}"/>
    <cellStyle name="Currency 5 2 2 3 5 3 2" xfId="14324" xr:uid="{2F95227C-3CC2-4A37-9E5D-F1B0FC5DB654}"/>
    <cellStyle name="Currency 5 2 2 3 5 4" xfId="10106" xr:uid="{E67563FF-927E-47DC-B603-D5909DE2D159}"/>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2" xr:uid="{7B844A9F-0DAA-4ED2-8669-018D751C042D}"/>
    <cellStyle name="Currency 5 2 2 3 6 2 3" xfId="12664" xr:uid="{BB48754F-21FC-443C-8882-FBE934DEEDE1}"/>
    <cellStyle name="Currency 5 2 2 3 6 3" xfId="6298" xr:uid="{00000000-0005-0000-0000-0000ED0B0000}"/>
    <cellStyle name="Currency 5 2 2 3 6 3 2" xfId="14737" xr:uid="{2D3007EF-DF95-4352-BFC2-FE25E1D6D6D3}"/>
    <cellStyle name="Currency 5 2 2 3 6 4" xfId="10519" xr:uid="{1C9AED1A-C6B1-47AE-8179-004F76BCA196}"/>
    <cellStyle name="Currency 5 2 2 3 7" xfId="2426" xr:uid="{00000000-0005-0000-0000-0000EE0B0000}"/>
    <cellStyle name="Currency 5 2 2 3 7 2" xfId="6711" xr:uid="{00000000-0005-0000-0000-0000EF0B0000}"/>
    <cellStyle name="Currency 5 2 2 3 7 2 2" xfId="15150" xr:uid="{FBFEDBDA-48C7-4D4D-A92F-18F1F2895100}"/>
    <cellStyle name="Currency 5 2 2 3 7 3" xfId="10932" xr:uid="{BC889AE7-5D6C-48BC-8CAC-6217C595BC02}"/>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67" xr:uid="{4D9A3761-A53F-4AD3-8B83-F2D49D01DB63}"/>
    <cellStyle name="Currency 5 2 2 3 9 3" xfId="11249" xr:uid="{E40AB82F-F653-493C-A4A5-38FD636C734C}"/>
    <cellStyle name="Currency 5 2 2 4" xfId="202" xr:uid="{00000000-0005-0000-0000-0000F30B0000}"/>
    <cellStyle name="Currency 5 2 2 4 10" xfId="8868" xr:uid="{A8EA971D-0CC0-4DB4-A3AF-5C9D759A6D0A}"/>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5" xr:uid="{7CA506FE-3270-41B4-8CC7-02EB43EA00AE}"/>
    <cellStyle name="Currency 5 2 2 4 2 2 3" xfId="11427" xr:uid="{AA51FEAB-6354-4F03-80CD-DFE6048B268A}"/>
    <cellStyle name="Currency 5 2 2 4 2 3" xfId="5061" xr:uid="{00000000-0005-0000-0000-0000F70B0000}"/>
    <cellStyle name="Currency 5 2 2 4 2 3 2" xfId="13500" xr:uid="{59E814F3-9491-4549-AB9C-AF2B86C1F3CF}"/>
    <cellStyle name="Currency 5 2 2 4 2 4" xfId="9282" xr:uid="{D5292407-5DAE-48BE-B28F-82516463A16E}"/>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58" xr:uid="{F3D520D7-9F7F-4F98-A5F3-33B383D30C41}"/>
    <cellStyle name="Currency 5 2 2 4 3 2 3" xfId="11840" xr:uid="{1EC69762-0B0D-43A1-BDC4-009DFEA22C06}"/>
    <cellStyle name="Currency 5 2 2 4 3 3" xfId="5474" xr:uid="{00000000-0005-0000-0000-0000FB0B0000}"/>
    <cellStyle name="Currency 5 2 2 4 3 3 2" xfId="13913" xr:uid="{C0F0DB8E-63D7-493A-8053-242E0CA9BDEB}"/>
    <cellStyle name="Currency 5 2 2 4 3 4" xfId="9695" xr:uid="{EB45B96A-8B4D-4760-9600-7230A1E4AF5A}"/>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1" xr:uid="{1B44762A-39B6-45D6-A775-AD8E05333194}"/>
    <cellStyle name="Currency 5 2 2 4 4 2 3" xfId="12253" xr:uid="{2EEC5723-A49A-4E33-8F2C-8ABE4A93EB3F}"/>
    <cellStyle name="Currency 5 2 2 4 4 3" xfId="5887" xr:uid="{00000000-0005-0000-0000-0000FF0B0000}"/>
    <cellStyle name="Currency 5 2 2 4 4 3 2" xfId="14326" xr:uid="{17394B01-00C7-483C-8D9E-866BEA9E5592}"/>
    <cellStyle name="Currency 5 2 2 4 4 4" xfId="10108" xr:uid="{97A5F6BE-4AFF-4A5D-BFF8-1DFF836357B7}"/>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4" xr:uid="{C5F423DE-E452-41A0-ADBD-E8ECC8E489D5}"/>
    <cellStyle name="Currency 5 2 2 4 5 2 3" xfId="12666" xr:uid="{C2BB80DF-8E00-42A5-9B29-68A1BC08C366}"/>
    <cellStyle name="Currency 5 2 2 4 5 3" xfId="6300" xr:uid="{00000000-0005-0000-0000-0000030C0000}"/>
    <cellStyle name="Currency 5 2 2 4 5 3 2" xfId="14739" xr:uid="{305874C5-B613-4A57-9942-CBE0B8A8B0BE}"/>
    <cellStyle name="Currency 5 2 2 4 5 4" xfId="10521" xr:uid="{30E02724-6DE5-4BBD-94CC-91DFB8BE2E97}"/>
    <cellStyle name="Currency 5 2 2 4 6" xfId="2428" xr:uid="{00000000-0005-0000-0000-0000040C0000}"/>
    <cellStyle name="Currency 5 2 2 4 6 2" xfId="6713" xr:uid="{00000000-0005-0000-0000-0000050C0000}"/>
    <cellStyle name="Currency 5 2 2 4 6 2 2" xfId="15152" xr:uid="{EBADC8F3-BE7F-4C71-A7B0-D472A882B3C2}"/>
    <cellStyle name="Currency 5 2 2 4 6 3" xfId="10934" xr:uid="{919DD17C-E740-4E93-A633-CDAF6B46C590}"/>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69" xr:uid="{9A60F516-978A-4B10-8E51-359EC92DA64F}"/>
    <cellStyle name="Currency 5 2 2 4 8 3" xfId="11251" xr:uid="{27B9CB93-0C75-493D-ACC6-E06EE3F8D19D}"/>
    <cellStyle name="Currency 5 2 2 4 9" xfId="4647" xr:uid="{00000000-0005-0000-0000-0000090C0000}"/>
    <cellStyle name="Currency 5 2 2 4 9 2" xfId="13086" xr:uid="{B8647958-B255-4650-80F5-A8AE65949DB9}"/>
    <cellStyle name="Currency 5 2 2 5" xfId="203" xr:uid="{00000000-0005-0000-0000-00000A0C0000}"/>
    <cellStyle name="Currency 5 2 2 5 10" xfId="8869" xr:uid="{7BBD276F-F93C-4B02-AEDE-5E16529F0A1B}"/>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6" xr:uid="{A502D88C-8936-429F-9293-8BDCB59C24AD}"/>
    <cellStyle name="Currency 5 2 2 5 2 2 3" xfId="11428" xr:uid="{C04785AE-FB75-4217-A8C3-D1F97557DB19}"/>
    <cellStyle name="Currency 5 2 2 5 2 3" xfId="5062" xr:uid="{00000000-0005-0000-0000-00000E0C0000}"/>
    <cellStyle name="Currency 5 2 2 5 2 3 2" xfId="13501" xr:uid="{1D5C0D4D-18AA-4F05-9A38-440EC0D755A1}"/>
    <cellStyle name="Currency 5 2 2 5 2 4" xfId="9283" xr:uid="{46836B49-1089-4AC3-8D65-7B01A2F98EB6}"/>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59" xr:uid="{4E3B6F39-12BC-40F4-856B-B1C93068CD1E}"/>
    <cellStyle name="Currency 5 2 2 5 3 2 3" xfId="11841" xr:uid="{3C470C85-4A99-43BC-9DC3-59C7D3DF46F9}"/>
    <cellStyle name="Currency 5 2 2 5 3 3" xfId="5475" xr:uid="{00000000-0005-0000-0000-0000120C0000}"/>
    <cellStyle name="Currency 5 2 2 5 3 3 2" xfId="13914" xr:uid="{EFD61B5B-1736-4B68-940B-F912CEF740F8}"/>
    <cellStyle name="Currency 5 2 2 5 3 4" xfId="9696" xr:uid="{BFFC0A2D-CC95-4825-9BCF-D203D0673CC4}"/>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2" xr:uid="{C8964208-F463-48C4-AF38-777C08B5846C}"/>
    <cellStyle name="Currency 5 2 2 5 4 2 3" xfId="12254" xr:uid="{3A921D3E-D023-4281-B19B-019864142C02}"/>
    <cellStyle name="Currency 5 2 2 5 4 3" xfId="5888" xr:uid="{00000000-0005-0000-0000-0000160C0000}"/>
    <cellStyle name="Currency 5 2 2 5 4 3 2" xfId="14327" xr:uid="{1F785DD6-059F-48BF-B2C2-C583D0AD0833}"/>
    <cellStyle name="Currency 5 2 2 5 4 4" xfId="10109" xr:uid="{906C09FA-3AC1-4B79-9C5A-648E328CD65B}"/>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5" xr:uid="{55901300-0303-475F-A2BA-3954E8F0DA91}"/>
    <cellStyle name="Currency 5 2 2 5 5 2 3" xfId="12667" xr:uid="{23E97FEB-9617-42EA-A99A-8904A4A489E2}"/>
    <cellStyle name="Currency 5 2 2 5 5 3" xfId="6301" xr:uid="{00000000-0005-0000-0000-00001A0C0000}"/>
    <cellStyle name="Currency 5 2 2 5 5 3 2" xfId="14740" xr:uid="{154962F0-6980-472A-B42E-E79053606D45}"/>
    <cellStyle name="Currency 5 2 2 5 5 4" xfId="10522" xr:uid="{51EFE3DD-4E7A-4498-9CBF-BB7B6CF5B7D9}"/>
    <cellStyle name="Currency 5 2 2 5 6" xfId="2429" xr:uid="{00000000-0005-0000-0000-00001B0C0000}"/>
    <cellStyle name="Currency 5 2 2 5 6 2" xfId="6714" xr:uid="{00000000-0005-0000-0000-00001C0C0000}"/>
    <cellStyle name="Currency 5 2 2 5 6 2 2" xfId="15153" xr:uid="{58353E9D-620A-42E3-ADCE-B12FB360B9A0}"/>
    <cellStyle name="Currency 5 2 2 5 6 3" xfId="10935" xr:uid="{E8483042-6517-4114-B1CD-8CBF2D87796B}"/>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0" xr:uid="{5288E786-A898-4B26-83A0-B614C6153139}"/>
    <cellStyle name="Currency 5 2 2 5 8 3" xfId="11252" xr:uid="{49075118-6C6C-4589-AE05-6C33AC81FAFC}"/>
    <cellStyle name="Currency 5 2 2 5 9" xfId="4648" xr:uid="{00000000-0005-0000-0000-0000200C0000}"/>
    <cellStyle name="Currency 5 2 2 5 9 2" xfId="13087" xr:uid="{556A1E35-C1B3-41FD-B80A-9041C8960E9D}"/>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88" xr:uid="{00AC1C65-B72C-4F42-B742-9C41F764A167}"/>
    <cellStyle name="Currency 5 2 4 11" xfId="8870" xr:uid="{E232C255-784D-4BA4-A0C5-2BA3BB4CC670}"/>
    <cellStyle name="Currency 5 2 4 2" xfId="206" xr:uid="{00000000-0005-0000-0000-0000250C0000}"/>
    <cellStyle name="Currency 5 2 4 2 10" xfId="8871" xr:uid="{0837F42E-A5CC-48B7-B74D-B7C9F1C3251B}"/>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48" xr:uid="{DC2C3D80-0D52-487A-B152-77AEE91C4E05}"/>
    <cellStyle name="Currency 5 2 4 2 2 2 3" xfId="11430" xr:uid="{000683E3-A4AD-4D16-9697-0CC4BEF4C331}"/>
    <cellStyle name="Currency 5 2 4 2 2 3" xfId="5064" xr:uid="{00000000-0005-0000-0000-0000290C0000}"/>
    <cellStyle name="Currency 5 2 4 2 2 3 2" xfId="13503" xr:uid="{011F50E0-B2BD-4713-B96F-C741FA41F5BF}"/>
    <cellStyle name="Currency 5 2 4 2 2 4" xfId="9285" xr:uid="{2CCE3C31-D9D8-46A7-A133-25110BEDE65C}"/>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1" xr:uid="{218FD891-4039-4012-BEC7-E751104DE927}"/>
    <cellStyle name="Currency 5 2 4 2 3 2 3" xfId="11843" xr:uid="{3B978CEE-DE1D-4247-B492-A4990C0A79D6}"/>
    <cellStyle name="Currency 5 2 4 2 3 3" xfId="5477" xr:uid="{00000000-0005-0000-0000-00002D0C0000}"/>
    <cellStyle name="Currency 5 2 4 2 3 3 2" xfId="13916" xr:uid="{A324D5A2-C587-42A1-B77C-5BF81172DF36}"/>
    <cellStyle name="Currency 5 2 4 2 3 4" xfId="9698" xr:uid="{939668BD-81B5-4234-A3F6-3FBEFB3E877F}"/>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4" xr:uid="{62C55275-34B1-46D2-B189-C8A654C8C8E7}"/>
    <cellStyle name="Currency 5 2 4 2 4 2 3" xfId="12256" xr:uid="{088E6647-4D38-468A-AB98-C43AC60DBE75}"/>
    <cellStyle name="Currency 5 2 4 2 4 3" xfId="5890" xr:uid="{00000000-0005-0000-0000-0000310C0000}"/>
    <cellStyle name="Currency 5 2 4 2 4 3 2" xfId="14329" xr:uid="{CDDBD0F3-F5E1-4E67-8311-C1F93896FAF5}"/>
    <cellStyle name="Currency 5 2 4 2 4 4" xfId="10111" xr:uid="{EEFD4274-E3B2-46AF-97EF-81E0B4B4AA46}"/>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87" xr:uid="{30AF3101-2170-44A8-943D-E0E7DAACCF3E}"/>
    <cellStyle name="Currency 5 2 4 2 5 2 3" xfId="12669" xr:uid="{E294C8B3-D19F-44C1-B032-2A72E471873E}"/>
    <cellStyle name="Currency 5 2 4 2 5 3" xfId="6303" xr:uid="{00000000-0005-0000-0000-0000350C0000}"/>
    <cellStyle name="Currency 5 2 4 2 5 3 2" xfId="14742" xr:uid="{F12FC666-E25B-43D8-B274-115AB7EEB8D4}"/>
    <cellStyle name="Currency 5 2 4 2 5 4" xfId="10524" xr:uid="{146E1E94-D1B2-47D2-8973-3E01CFF81CB9}"/>
    <cellStyle name="Currency 5 2 4 2 6" xfId="2431" xr:uid="{00000000-0005-0000-0000-0000360C0000}"/>
    <cellStyle name="Currency 5 2 4 2 6 2" xfId="6716" xr:uid="{00000000-0005-0000-0000-0000370C0000}"/>
    <cellStyle name="Currency 5 2 4 2 6 2 2" xfId="15155" xr:uid="{C85F73F7-C4B6-41A4-AB88-333E4B8C3321}"/>
    <cellStyle name="Currency 5 2 4 2 6 3" xfId="10937" xr:uid="{2247E175-882E-4898-A2E9-043F3E51B3F9}"/>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2" xr:uid="{E5D4254D-EBED-4C81-B5F4-6E674C4402EE}"/>
    <cellStyle name="Currency 5 2 4 2 8 3" xfId="11254" xr:uid="{2150D2E0-41AD-4E4E-A089-703F006E3F35}"/>
    <cellStyle name="Currency 5 2 4 2 9" xfId="4650" xr:uid="{00000000-0005-0000-0000-00003B0C0000}"/>
    <cellStyle name="Currency 5 2 4 2 9 2" xfId="13089" xr:uid="{684D3634-82B0-4C8E-B49F-0B0E3BC0DA02}"/>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47" xr:uid="{2181A65C-F6A4-44B4-8933-632B521941F9}"/>
    <cellStyle name="Currency 5 2 4 3 2 3" xfId="11429" xr:uid="{D16403D4-C04A-4F29-8707-14441970887C}"/>
    <cellStyle name="Currency 5 2 4 3 3" xfId="5063" xr:uid="{00000000-0005-0000-0000-00003F0C0000}"/>
    <cellStyle name="Currency 5 2 4 3 3 2" xfId="13502" xr:uid="{67E86B27-2462-47C1-B063-F99837579C87}"/>
    <cellStyle name="Currency 5 2 4 3 4" xfId="9284" xr:uid="{FACABBE1-61B1-4747-B4E9-02E2135B862F}"/>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0" xr:uid="{801C1935-93E3-42A3-855F-59BE585B0F41}"/>
    <cellStyle name="Currency 5 2 4 4 2 3" xfId="11842" xr:uid="{B4C71999-5464-425B-8D65-E1ACF3DED913}"/>
    <cellStyle name="Currency 5 2 4 4 3" xfId="5476" xr:uid="{00000000-0005-0000-0000-0000430C0000}"/>
    <cellStyle name="Currency 5 2 4 4 3 2" xfId="13915" xr:uid="{F9735E08-744D-4AE3-BB7B-7FD9D5DC917E}"/>
    <cellStyle name="Currency 5 2 4 4 4" xfId="9697" xr:uid="{962B5A25-39D3-4894-840F-C9C5D1101DCD}"/>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3" xr:uid="{BA17CAC2-F6C6-4B7B-B78A-EFFFB7B8AEA2}"/>
    <cellStyle name="Currency 5 2 4 5 2 3" xfId="12255" xr:uid="{76514B82-95AA-4F78-98DD-B91119C152FE}"/>
    <cellStyle name="Currency 5 2 4 5 3" xfId="5889" xr:uid="{00000000-0005-0000-0000-0000470C0000}"/>
    <cellStyle name="Currency 5 2 4 5 3 2" xfId="14328" xr:uid="{B95CDAFD-8B5F-4F51-B043-EF710A5B1617}"/>
    <cellStyle name="Currency 5 2 4 5 4" xfId="10110" xr:uid="{66F6BC93-A586-4D38-A825-F4C20F5C3FF7}"/>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6" xr:uid="{C9DB7CC4-2607-4FF7-8976-BC9879B845AE}"/>
    <cellStyle name="Currency 5 2 4 6 2 3" xfId="12668" xr:uid="{E5E6E761-519F-4DE6-B830-E503D2B955E2}"/>
    <cellStyle name="Currency 5 2 4 6 3" xfId="6302" xr:uid="{00000000-0005-0000-0000-00004B0C0000}"/>
    <cellStyle name="Currency 5 2 4 6 3 2" xfId="14741" xr:uid="{B38B940F-D6D4-456E-B116-1081677C71C4}"/>
    <cellStyle name="Currency 5 2 4 6 4" xfId="10523" xr:uid="{B5FC9C2E-723F-4917-8FBD-43125682E0A3}"/>
    <cellStyle name="Currency 5 2 4 7" xfId="2430" xr:uid="{00000000-0005-0000-0000-00004C0C0000}"/>
    <cellStyle name="Currency 5 2 4 7 2" xfId="6715" xr:uid="{00000000-0005-0000-0000-00004D0C0000}"/>
    <cellStyle name="Currency 5 2 4 7 2 2" xfId="15154" xr:uid="{950E60B9-C171-469C-96AC-A0FFAFD4089F}"/>
    <cellStyle name="Currency 5 2 4 7 3" xfId="10936" xr:uid="{69922E02-ACD7-4DEC-8205-0C3710712CEF}"/>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1" xr:uid="{45551029-A658-41BE-A160-7129DAA62AC3}"/>
    <cellStyle name="Currency 5 2 4 9 3" xfId="11253" xr:uid="{4393B19D-885E-4236-9F44-8112406CB901}"/>
    <cellStyle name="Currency 5 2 5" xfId="207" xr:uid="{00000000-0005-0000-0000-0000510C0000}"/>
    <cellStyle name="Currency 5 2 5 10" xfId="8872" xr:uid="{43FDDE28-CD7F-4446-A419-83A6E4129B06}"/>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49" xr:uid="{0B3ACC6D-F688-4DC7-AD3C-4B5E48AE7730}"/>
    <cellStyle name="Currency 5 2 5 2 2 3" xfId="11431" xr:uid="{1188AEF3-F06E-4B2D-A5EB-50384B7420A0}"/>
    <cellStyle name="Currency 5 2 5 2 3" xfId="5065" xr:uid="{00000000-0005-0000-0000-0000550C0000}"/>
    <cellStyle name="Currency 5 2 5 2 3 2" xfId="13504" xr:uid="{70BEA9AE-0383-4126-A020-5B53597109C3}"/>
    <cellStyle name="Currency 5 2 5 2 4" xfId="9286" xr:uid="{8A0EDF13-D2D4-4E70-854C-F4A8C9746B61}"/>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2" xr:uid="{FEB21BEF-B692-49C6-A2DC-9897550E7D9F}"/>
    <cellStyle name="Currency 5 2 5 3 2 3" xfId="11844" xr:uid="{543713AE-D301-4685-A35C-72D43B6501D8}"/>
    <cellStyle name="Currency 5 2 5 3 3" xfId="5478" xr:uid="{00000000-0005-0000-0000-0000590C0000}"/>
    <cellStyle name="Currency 5 2 5 3 3 2" xfId="13917" xr:uid="{DDF7E2BA-AA1D-4338-B25B-AF1242075478}"/>
    <cellStyle name="Currency 5 2 5 3 4" xfId="9699" xr:uid="{74D4E9A4-8B3C-4143-9BC0-EF2B76AE2C4E}"/>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5" xr:uid="{09DFEA1A-BD3C-494C-9AA4-32E9121AD65E}"/>
    <cellStyle name="Currency 5 2 5 4 2 3" xfId="12257" xr:uid="{9F8EF13D-DD5D-4494-AE67-A7A008275FFE}"/>
    <cellStyle name="Currency 5 2 5 4 3" xfId="5891" xr:uid="{00000000-0005-0000-0000-00005D0C0000}"/>
    <cellStyle name="Currency 5 2 5 4 3 2" xfId="14330" xr:uid="{A9383E3C-FCF4-4D3C-92FD-3D5DBB81290B}"/>
    <cellStyle name="Currency 5 2 5 4 4" xfId="10112" xr:uid="{C9D13B16-C4F2-44B8-982A-38268EB87D65}"/>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88" xr:uid="{98C4FE94-273B-4591-A867-CA38B87FC39D}"/>
    <cellStyle name="Currency 5 2 5 5 2 3" xfId="12670" xr:uid="{F760F918-8086-410B-8D2E-08A7D6EA8EC1}"/>
    <cellStyle name="Currency 5 2 5 5 3" xfId="6304" xr:uid="{00000000-0005-0000-0000-0000610C0000}"/>
    <cellStyle name="Currency 5 2 5 5 3 2" xfId="14743" xr:uid="{680E7F11-8796-455F-98A3-BA3856A5AFCA}"/>
    <cellStyle name="Currency 5 2 5 5 4" xfId="10525" xr:uid="{0ADA6580-C290-4B04-94A3-D1B5F23A92D7}"/>
    <cellStyle name="Currency 5 2 5 6" xfId="2432" xr:uid="{00000000-0005-0000-0000-0000620C0000}"/>
    <cellStyle name="Currency 5 2 5 6 2" xfId="6717" xr:uid="{00000000-0005-0000-0000-0000630C0000}"/>
    <cellStyle name="Currency 5 2 5 6 2 2" xfId="15156" xr:uid="{968E8F2D-EE76-4F76-96F2-516C7ABFA494}"/>
    <cellStyle name="Currency 5 2 5 6 3" xfId="10938" xr:uid="{FB398D36-CD7A-4BAD-8FA0-E1103ACC34B3}"/>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3" xr:uid="{DF7D6C46-CA32-4BA4-8DCC-6632E586410E}"/>
    <cellStyle name="Currency 5 2 5 8 3" xfId="11255" xr:uid="{24443C8B-6895-4D35-814D-D4BC0C96F07E}"/>
    <cellStyle name="Currency 5 2 5 9" xfId="4651" xr:uid="{00000000-0005-0000-0000-0000670C0000}"/>
    <cellStyle name="Currency 5 2 5 9 2" xfId="13090" xr:uid="{64D8F8A4-52F2-44C6-84B7-680B44F91AE3}"/>
    <cellStyle name="Currency 5 2 6" xfId="208" xr:uid="{00000000-0005-0000-0000-0000680C0000}"/>
    <cellStyle name="Currency 5 2 6 10" xfId="8873" xr:uid="{EDA645E8-0D76-4B32-BDCD-700F4CB4D1D0}"/>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0" xr:uid="{DC730CC1-BD27-4190-9F6A-0A8628CD5203}"/>
    <cellStyle name="Currency 5 2 6 2 2 3" xfId="11432" xr:uid="{34DF7702-B780-45C2-8963-6EBE681B2AF7}"/>
    <cellStyle name="Currency 5 2 6 2 3" xfId="5066" xr:uid="{00000000-0005-0000-0000-00006C0C0000}"/>
    <cellStyle name="Currency 5 2 6 2 3 2" xfId="13505" xr:uid="{8B186F88-DBBC-4E3E-A205-94B63D6B8EE4}"/>
    <cellStyle name="Currency 5 2 6 2 4" xfId="9287" xr:uid="{1CE513BA-692C-48F1-AA6B-FB22EC398883}"/>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3" xr:uid="{755517D6-5C5F-4F57-B9A6-70369EB5A1C0}"/>
    <cellStyle name="Currency 5 2 6 3 2 3" xfId="11845" xr:uid="{FA16D87A-CFDF-480E-88BA-5CA12E2FCEB6}"/>
    <cellStyle name="Currency 5 2 6 3 3" xfId="5479" xr:uid="{00000000-0005-0000-0000-0000700C0000}"/>
    <cellStyle name="Currency 5 2 6 3 3 2" xfId="13918" xr:uid="{946ADC2F-4E09-48F3-809F-BF350E0F3FC4}"/>
    <cellStyle name="Currency 5 2 6 3 4" xfId="9700" xr:uid="{BA51F3CC-C6AE-4AE1-B259-A4EE476FD9D5}"/>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6" xr:uid="{FBB21A3B-1809-4CAA-8848-028657847F42}"/>
    <cellStyle name="Currency 5 2 6 4 2 3" xfId="12258" xr:uid="{87CA2651-0D8D-4D57-97F1-E52F2137C132}"/>
    <cellStyle name="Currency 5 2 6 4 3" xfId="5892" xr:uid="{00000000-0005-0000-0000-0000740C0000}"/>
    <cellStyle name="Currency 5 2 6 4 3 2" xfId="14331" xr:uid="{926EA841-31DC-4F35-AFCE-92E552A7F9AE}"/>
    <cellStyle name="Currency 5 2 6 4 4" xfId="10113" xr:uid="{79923503-A621-477A-9452-A045BCAB48E0}"/>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89" xr:uid="{E8CFCCDC-ACD6-4159-82F5-DED41D1333DF}"/>
    <cellStyle name="Currency 5 2 6 5 2 3" xfId="12671" xr:uid="{6937B06D-4394-40B7-8AEB-219FBE109752}"/>
    <cellStyle name="Currency 5 2 6 5 3" xfId="6305" xr:uid="{00000000-0005-0000-0000-0000780C0000}"/>
    <cellStyle name="Currency 5 2 6 5 3 2" xfId="14744" xr:uid="{F9B0C915-8585-4CFA-950C-862C6F1B864E}"/>
    <cellStyle name="Currency 5 2 6 5 4" xfId="10526" xr:uid="{195D1837-67D0-4226-86BD-77AACD806749}"/>
    <cellStyle name="Currency 5 2 6 6" xfId="2433" xr:uid="{00000000-0005-0000-0000-0000790C0000}"/>
    <cellStyle name="Currency 5 2 6 6 2" xfId="6718" xr:uid="{00000000-0005-0000-0000-00007A0C0000}"/>
    <cellStyle name="Currency 5 2 6 6 2 2" xfId="15157" xr:uid="{77363D77-DFBA-4C63-AD91-652BADD49DBF}"/>
    <cellStyle name="Currency 5 2 6 6 3" xfId="10939" xr:uid="{EDA8C5BB-8C98-4F7D-A4E7-304535D89724}"/>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4" xr:uid="{62E4F9F6-FEC9-41C6-88E4-E38A7A1A6395}"/>
    <cellStyle name="Currency 5 2 6 8 3" xfId="11256" xr:uid="{0706D349-1421-49D8-9AB8-83A1F2C179CF}"/>
    <cellStyle name="Currency 5 2 6 9" xfId="4652" xr:uid="{00000000-0005-0000-0000-00007E0C0000}"/>
    <cellStyle name="Currency 5 2 6 9 2" xfId="13091" xr:uid="{85DCFB88-F445-46CB-9355-5788247B195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5" xr:uid="{8FC45B75-B0CF-4351-86A3-99E2E7A42665}"/>
    <cellStyle name="Currency 5 3 2 10 3" xfId="11257" xr:uid="{0C8B71C5-5E87-47CC-A713-E061EA93F054}"/>
    <cellStyle name="Currency 5 3 2 11" xfId="4653" xr:uid="{00000000-0005-0000-0000-0000840C0000}"/>
    <cellStyle name="Currency 5 3 2 11 2" xfId="13092" xr:uid="{31D81D59-7387-41D4-BE07-F63E8FE2A257}"/>
    <cellStyle name="Currency 5 3 2 12" xfId="8874" xr:uid="{D761E812-9581-4E24-A5B0-4139E6FED216}"/>
    <cellStyle name="Currency 5 3 2 2" xfId="211" xr:uid="{00000000-0005-0000-0000-0000850C0000}"/>
    <cellStyle name="Currency 5 3 2 2 10" xfId="4654" xr:uid="{00000000-0005-0000-0000-0000860C0000}"/>
    <cellStyle name="Currency 5 3 2 2 10 2" xfId="13093" xr:uid="{2C0AD24B-5F74-4890-B640-93754CC363BE}"/>
    <cellStyle name="Currency 5 3 2 2 11" xfId="8875" xr:uid="{3EA9E95C-3F0B-4B54-96CF-F128156DE930}"/>
    <cellStyle name="Currency 5 3 2 2 2" xfId="212" xr:uid="{00000000-0005-0000-0000-0000870C0000}"/>
    <cellStyle name="Currency 5 3 2 2 2 10" xfId="8876" xr:uid="{9665A5BF-2096-4B06-BC3D-30A882D01F78}"/>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3" xr:uid="{0B280786-4A5F-42A2-AC6F-C6DE112B861F}"/>
    <cellStyle name="Currency 5 3 2 2 2 2 2 3" xfId="11435" xr:uid="{429ED15A-0135-4D14-99BC-2A09DA717940}"/>
    <cellStyle name="Currency 5 3 2 2 2 2 3" xfId="5069" xr:uid="{00000000-0005-0000-0000-00008B0C0000}"/>
    <cellStyle name="Currency 5 3 2 2 2 2 3 2" xfId="13508" xr:uid="{68371C36-E959-4183-88DA-7F694A16A418}"/>
    <cellStyle name="Currency 5 3 2 2 2 2 4" xfId="9290" xr:uid="{90EB3A41-A920-4E0A-AE66-B5AD4F74C447}"/>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6" xr:uid="{1A1EACFC-29F2-41B8-8FAC-02D0DE0B9F05}"/>
    <cellStyle name="Currency 5 3 2 2 2 3 2 3" xfId="11848" xr:uid="{973B85C4-81A5-44EC-9785-60359E63297B}"/>
    <cellStyle name="Currency 5 3 2 2 2 3 3" xfId="5482" xr:uid="{00000000-0005-0000-0000-00008F0C0000}"/>
    <cellStyle name="Currency 5 3 2 2 2 3 3 2" xfId="13921" xr:uid="{8E1B119D-2C0B-4209-AD49-9049B46C8BFE}"/>
    <cellStyle name="Currency 5 3 2 2 2 3 4" xfId="9703" xr:uid="{D67DAD8C-2D2D-4605-8A99-B3E9B23A6F6B}"/>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79" xr:uid="{E172CD3A-2AC6-4129-A929-9A689E05C4FA}"/>
    <cellStyle name="Currency 5 3 2 2 2 4 2 3" xfId="12261" xr:uid="{E066D6A4-679A-411D-8BE7-9CFC3BE7DB08}"/>
    <cellStyle name="Currency 5 3 2 2 2 4 3" xfId="5895" xr:uid="{00000000-0005-0000-0000-0000930C0000}"/>
    <cellStyle name="Currency 5 3 2 2 2 4 3 2" xfId="14334" xr:uid="{6FE89341-402F-4862-85D2-FBECBCA542C4}"/>
    <cellStyle name="Currency 5 3 2 2 2 4 4" xfId="10116" xr:uid="{D73C9BC2-0DC6-40BE-9154-20A099939FE8}"/>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2" xr:uid="{30D52E96-D32A-4635-86AA-39DFACC92660}"/>
    <cellStyle name="Currency 5 3 2 2 2 5 2 3" xfId="12674" xr:uid="{5FAAD6E4-534F-4FCE-98A9-9B2E88AFB7D3}"/>
    <cellStyle name="Currency 5 3 2 2 2 5 3" xfId="6308" xr:uid="{00000000-0005-0000-0000-0000970C0000}"/>
    <cellStyle name="Currency 5 3 2 2 2 5 3 2" xfId="14747" xr:uid="{16635994-4C4F-4DA2-9CE8-CD43C86DDA58}"/>
    <cellStyle name="Currency 5 3 2 2 2 5 4" xfId="10529" xr:uid="{99BDC6B5-2C66-42E8-B865-B3F5B0EA264F}"/>
    <cellStyle name="Currency 5 3 2 2 2 6" xfId="2436" xr:uid="{00000000-0005-0000-0000-0000980C0000}"/>
    <cellStyle name="Currency 5 3 2 2 2 6 2" xfId="6721" xr:uid="{00000000-0005-0000-0000-0000990C0000}"/>
    <cellStyle name="Currency 5 3 2 2 2 6 2 2" xfId="15160" xr:uid="{A95907E7-D528-4FBC-B030-D84273D77236}"/>
    <cellStyle name="Currency 5 3 2 2 2 6 3" xfId="10942" xr:uid="{669F0A4B-9CEA-4EA4-AB54-752DD97963AF}"/>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77" xr:uid="{13678E2B-944A-4FDB-B7B5-15D5AAFDBD54}"/>
    <cellStyle name="Currency 5 3 2 2 2 8 3" xfId="11259" xr:uid="{CD7B12A5-253D-4B69-B03C-6441978DC11E}"/>
    <cellStyle name="Currency 5 3 2 2 2 9" xfId="4655" xr:uid="{00000000-0005-0000-0000-00009D0C0000}"/>
    <cellStyle name="Currency 5 3 2 2 2 9 2" xfId="13094" xr:uid="{3A967044-428D-4A85-BCDD-75AC56A26D47}"/>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2" xr:uid="{2FBFF1B0-4DFB-44C9-8F03-04651A3BA297}"/>
    <cellStyle name="Currency 5 3 2 2 3 2 3" xfId="11434" xr:uid="{30C9E40D-44A6-481F-A2D0-2AD5604A001F}"/>
    <cellStyle name="Currency 5 3 2 2 3 3" xfId="5068" xr:uid="{00000000-0005-0000-0000-0000A10C0000}"/>
    <cellStyle name="Currency 5 3 2 2 3 3 2" xfId="13507" xr:uid="{5336CD53-8439-477B-81B2-B997C64EE9BF}"/>
    <cellStyle name="Currency 5 3 2 2 3 4" xfId="9289" xr:uid="{515DB01A-B67B-42C4-A83A-FCE480E719C9}"/>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5" xr:uid="{F4369F84-EF6F-4B7D-B6C5-2EC6BBD6996A}"/>
    <cellStyle name="Currency 5 3 2 2 4 2 3" xfId="11847" xr:uid="{143DF8B2-3E9C-4506-B979-6D1A5460E5ED}"/>
    <cellStyle name="Currency 5 3 2 2 4 3" xfId="5481" xr:uid="{00000000-0005-0000-0000-0000A50C0000}"/>
    <cellStyle name="Currency 5 3 2 2 4 3 2" xfId="13920" xr:uid="{CD60F120-0BC1-4626-913A-89130395E765}"/>
    <cellStyle name="Currency 5 3 2 2 4 4" xfId="9702" xr:uid="{56B4A607-F68B-468E-B826-2AB8C8577AA1}"/>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78" xr:uid="{804AD045-D46B-461D-A275-91D3FEFA1DDE}"/>
    <cellStyle name="Currency 5 3 2 2 5 2 3" xfId="12260" xr:uid="{79C36092-C4D2-4863-9049-AA1987565A7D}"/>
    <cellStyle name="Currency 5 3 2 2 5 3" xfId="5894" xr:uid="{00000000-0005-0000-0000-0000A90C0000}"/>
    <cellStyle name="Currency 5 3 2 2 5 3 2" xfId="14333" xr:uid="{7D9FC42A-A1FC-4B6B-A23C-C3A872CCEF41}"/>
    <cellStyle name="Currency 5 3 2 2 5 4" xfId="10115" xr:uid="{A37AFCFA-859C-4CFD-916F-56D8AE5ED4DB}"/>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1" xr:uid="{1CCBD1FB-0E99-4FE2-8129-B0A3FD14943F}"/>
    <cellStyle name="Currency 5 3 2 2 6 2 3" xfId="12673" xr:uid="{CB76706A-8983-45E9-B56E-2264F69DE566}"/>
    <cellStyle name="Currency 5 3 2 2 6 3" xfId="6307" xr:uid="{00000000-0005-0000-0000-0000AD0C0000}"/>
    <cellStyle name="Currency 5 3 2 2 6 3 2" xfId="14746" xr:uid="{7302411A-0ADB-45C0-B978-2FE9767B1AFE}"/>
    <cellStyle name="Currency 5 3 2 2 6 4" xfId="10528" xr:uid="{14A3E908-6FDE-4B5D-AA5C-96CC71BF80FB}"/>
    <cellStyle name="Currency 5 3 2 2 7" xfId="2435" xr:uid="{00000000-0005-0000-0000-0000AE0C0000}"/>
    <cellStyle name="Currency 5 3 2 2 7 2" xfId="6720" xr:uid="{00000000-0005-0000-0000-0000AF0C0000}"/>
    <cellStyle name="Currency 5 3 2 2 7 2 2" xfId="15159" xr:uid="{3C66B97C-BCEE-4B72-A14D-51173189C72C}"/>
    <cellStyle name="Currency 5 3 2 2 7 3" xfId="10941" xr:uid="{C9EFA44A-7341-4424-A30B-BC915C26D383}"/>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6" xr:uid="{B81F78AC-C048-4597-A1D2-802AD9195FD6}"/>
    <cellStyle name="Currency 5 3 2 2 9 3" xfId="11258" xr:uid="{A5D771A1-38C2-4B36-AE34-5B4851E5B3A9}"/>
    <cellStyle name="Currency 5 3 2 3" xfId="213" xr:uid="{00000000-0005-0000-0000-0000B30C0000}"/>
    <cellStyle name="Currency 5 3 2 3 10" xfId="8877" xr:uid="{F5D70ED6-26C6-4F97-B0C5-EC94F6FC93E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4" xr:uid="{35812A8D-347B-4D22-A461-5A791C1A3B71}"/>
    <cellStyle name="Currency 5 3 2 3 2 2 3" xfId="11436" xr:uid="{FBB5B447-FB58-45D6-AE2A-527B20B1B90C}"/>
    <cellStyle name="Currency 5 3 2 3 2 3" xfId="5070" xr:uid="{00000000-0005-0000-0000-0000B70C0000}"/>
    <cellStyle name="Currency 5 3 2 3 2 3 2" xfId="13509" xr:uid="{C4263B26-4B92-4E68-8B9F-5E981BD156A2}"/>
    <cellStyle name="Currency 5 3 2 3 2 4" xfId="9291" xr:uid="{D854F9D9-1EC2-49AF-A19A-B72E5416DA56}"/>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67" xr:uid="{187AEFD1-276F-4BB2-B97B-73F06C560D91}"/>
    <cellStyle name="Currency 5 3 2 3 3 2 3" xfId="11849" xr:uid="{F6BF96CB-9351-49B5-BD37-EFA1AC998E77}"/>
    <cellStyle name="Currency 5 3 2 3 3 3" xfId="5483" xr:uid="{00000000-0005-0000-0000-0000BB0C0000}"/>
    <cellStyle name="Currency 5 3 2 3 3 3 2" xfId="13922" xr:uid="{16EC920D-8ABE-4FD7-906D-1ECBFD945D6E}"/>
    <cellStyle name="Currency 5 3 2 3 3 4" xfId="9704" xr:uid="{A1182907-3C07-4379-AFA5-4AFECB239FE5}"/>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0" xr:uid="{BAE32DEF-6A7E-42D4-8F8B-DFFC1F91897A}"/>
    <cellStyle name="Currency 5 3 2 3 4 2 3" xfId="12262" xr:uid="{09822795-E44F-4C9D-9B4A-967EE2CE9404}"/>
    <cellStyle name="Currency 5 3 2 3 4 3" xfId="5896" xr:uid="{00000000-0005-0000-0000-0000BF0C0000}"/>
    <cellStyle name="Currency 5 3 2 3 4 3 2" xfId="14335" xr:uid="{032E3D79-375B-4C97-AECD-550C1E756389}"/>
    <cellStyle name="Currency 5 3 2 3 4 4" xfId="10117" xr:uid="{DDCB6F8C-A128-4BDB-B4D8-5D44D2E74BB5}"/>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3" xr:uid="{07B4728D-B93E-43BF-8D1E-B0EAD7465246}"/>
    <cellStyle name="Currency 5 3 2 3 5 2 3" xfId="12675" xr:uid="{12EEE4E2-3AC2-4646-AF7A-867CC1E30C9B}"/>
    <cellStyle name="Currency 5 3 2 3 5 3" xfId="6309" xr:uid="{00000000-0005-0000-0000-0000C30C0000}"/>
    <cellStyle name="Currency 5 3 2 3 5 3 2" xfId="14748" xr:uid="{600D302A-6CCF-4F2E-8310-9CD39BF5C6AB}"/>
    <cellStyle name="Currency 5 3 2 3 5 4" xfId="10530" xr:uid="{CC860709-E260-4A31-8B7D-DBC75BBB03D2}"/>
    <cellStyle name="Currency 5 3 2 3 6" xfId="2437" xr:uid="{00000000-0005-0000-0000-0000C40C0000}"/>
    <cellStyle name="Currency 5 3 2 3 6 2" xfId="6722" xr:uid="{00000000-0005-0000-0000-0000C50C0000}"/>
    <cellStyle name="Currency 5 3 2 3 6 2 2" xfId="15161" xr:uid="{C2C39F62-BCD7-4ABF-ADDB-0F49A9F274D5}"/>
    <cellStyle name="Currency 5 3 2 3 6 3" xfId="10943" xr:uid="{A1E04CCB-1D72-4AF3-82AB-081B053929D9}"/>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78" xr:uid="{FA915897-6ABB-4DC2-915D-A2B8A0E4480B}"/>
    <cellStyle name="Currency 5 3 2 3 8 3" xfId="11260" xr:uid="{54EAE80C-7AB4-4435-BDC0-2E2C4E5F2595}"/>
    <cellStyle name="Currency 5 3 2 3 9" xfId="4656" xr:uid="{00000000-0005-0000-0000-0000C90C0000}"/>
    <cellStyle name="Currency 5 3 2 3 9 2" xfId="13095" xr:uid="{B2D20FFD-D61F-4A53-A33C-C359F477A225}"/>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1" xr:uid="{05C164C4-B256-40EC-A4AA-E5799E057839}"/>
    <cellStyle name="Currency 5 3 2 4 2 3" xfId="11433" xr:uid="{C281A163-1AED-44FE-ADEC-10FE307E6091}"/>
    <cellStyle name="Currency 5 3 2 4 3" xfId="5067" xr:uid="{00000000-0005-0000-0000-0000CD0C0000}"/>
    <cellStyle name="Currency 5 3 2 4 3 2" xfId="13506" xr:uid="{F3559F88-A937-4CFA-A0F7-6B19611FCE94}"/>
    <cellStyle name="Currency 5 3 2 4 4" xfId="9288" xr:uid="{6182077A-CEA8-4A37-9605-2946068ED126}"/>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4" xr:uid="{A58A6D62-75D4-4A87-AC81-826A224791BC}"/>
    <cellStyle name="Currency 5 3 2 5 2 3" xfId="11846" xr:uid="{CC715476-FE2A-4961-AE78-0F4A167EFC5D}"/>
    <cellStyle name="Currency 5 3 2 5 3" xfId="5480" xr:uid="{00000000-0005-0000-0000-0000D10C0000}"/>
    <cellStyle name="Currency 5 3 2 5 3 2" xfId="13919" xr:uid="{E6DE02BF-1E51-4A13-AD0E-68FB0513AB72}"/>
    <cellStyle name="Currency 5 3 2 5 4" xfId="9701" xr:uid="{F7E49FB9-DA56-478F-88B5-57124D1BBF04}"/>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77" xr:uid="{42ACBDF9-F202-4502-9033-58E2E56B0616}"/>
    <cellStyle name="Currency 5 3 2 6 2 3" xfId="12259" xr:uid="{C68504DB-4F9A-41F4-9B4A-9CB523D09306}"/>
    <cellStyle name="Currency 5 3 2 6 3" xfId="5893" xr:uid="{00000000-0005-0000-0000-0000D50C0000}"/>
    <cellStyle name="Currency 5 3 2 6 3 2" xfId="14332" xr:uid="{494E37D9-6112-4C72-B0CB-32480C8A9F63}"/>
    <cellStyle name="Currency 5 3 2 6 4" xfId="10114" xr:uid="{29971500-1460-4351-A857-28AF4EC2AC6E}"/>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0" xr:uid="{5246731B-9B13-4956-9C68-93FC26E016B2}"/>
    <cellStyle name="Currency 5 3 2 7 2 3" xfId="12672" xr:uid="{D0BFC739-7787-4407-9B06-507C10A71470}"/>
    <cellStyle name="Currency 5 3 2 7 3" xfId="6306" xr:uid="{00000000-0005-0000-0000-0000D90C0000}"/>
    <cellStyle name="Currency 5 3 2 7 3 2" xfId="14745" xr:uid="{125EA366-9811-4773-AD3C-4B8A72C3E521}"/>
    <cellStyle name="Currency 5 3 2 7 4" xfId="10527" xr:uid="{52400171-D409-494C-B648-64F1D7782F48}"/>
    <cellStyle name="Currency 5 3 2 8" xfId="2434" xr:uid="{00000000-0005-0000-0000-0000DA0C0000}"/>
    <cellStyle name="Currency 5 3 2 8 2" xfId="6719" xr:uid="{00000000-0005-0000-0000-0000DB0C0000}"/>
    <cellStyle name="Currency 5 3 2 8 2 2" xfId="15158" xr:uid="{B3E83327-D396-408B-9229-716FF2457BC9}"/>
    <cellStyle name="Currency 5 3 2 8 3" xfId="10940" xr:uid="{94E174F5-7208-45A1-A64A-530859E64619}"/>
    <cellStyle name="Currency 5 3 2 9" xfId="2731" xr:uid="{00000000-0005-0000-0000-0000DC0C0000}"/>
    <cellStyle name="Currency 5 3 3" xfId="214" xr:uid="{00000000-0005-0000-0000-0000DD0C0000}"/>
    <cellStyle name="Currency 5 3 3 10" xfId="4657" xr:uid="{00000000-0005-0000-0000-0000DE0C0000}"/>
    <cellStyle name="Currency 5 3 3 10 2" xfId="13096" xr:uid="{FF41248E-F89F-407C-9555-1FFE11A3AF7B}"/>
    <cellStyle name="Currency 5 3 3 11" xfId="8878" xr:uid="{EF138A5E-781B-480C-813B-E8072BD0E597}"/>
    <cellStyle name="Currency 5 3 3 2" xfId="215" xr:uid="{00000000-0005-0000-0000-0000DF0C0000}"/>
    <cellStyle name="Currency 5 3 3 2 10" xfId="8879" xr:uid="{09477FA5-0852-4D43-9C13-B1FC28A2C851}"/>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6" xr:uid="{0533D525-7BCF-4C60-9919-78DA7EBC3BBD}"/>
    <cellStyle name="Currency 5 3 3 2 2 2 3" xfId="11438" xr:uid="{139D1193-04E9-40FC-A29D-7BFD6F4D7A71}"/>
    <cellStyle name="Currency 5 3 3 2 2 3" xfId="5072" xr:uid="{00000000-0005-0000-0000-0000E30C0000}"/>
    <cellStyle name="Currency 5 3 3 2 2 3 2" xfId="13511" xr:uid="{ECE589E9-40C1-4BD0-905C-A183B4513BE3}"/>
    <cellStyle name="Currency 5 3 3 2 2 4" xfId="9293" xr:uid="{11B2CB90-57A5-4DF3-8C8E-99B1281034BE}"/>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69" xr:uid="{E6397F72-CD34-4B43-9A75-5FDFD3C11A2C}"/>
    <cellStyle name="Currency 5 3 3 2 3 2 3" xfId="11851" xr:uid="{FF3B2E10-DF89-46A1-BCC6-02E58A6E2661}"/>
    <cellStyle name="Currency 5 3 3 2 3 3" xfId="5485" xr:uid="{00000000-0005-0000-0000-0000E70C0000}"/>
    <cellStyle name="Currency 5 3 3 2 3 3 2" xfId="13924" xr:uid="{693A3A37-534B-4A64-A0A4-93C010169B0C}"/>
    <cellStyle name="Currency 5 3 3 2 3 4" xfId="9706" xr:uid="{4894A278-DF15-458C-87B8-F66B13C6C991}"/>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2" xr:uid="{3B2C5637-CD0B-4A10-B8B3-D4205F0F82D7}"/>
    <cellStyle name="Currency 5 3 3 2 4 2 3" xfId="12264" xr:uid="{AB9ABAF2-F635-4467-825B-4F93C206691F}"/>
    <cellStyle name="Currency 5 3 3 2 4 3" xfId="5898" xr:uid="{00000000-0005-0000-0000-0000EB0C0000}"/>
    <cellStyle name="Currency 5 3 3 2 4 3 2" xfId="14337" xr:uid="{8ABF524A-8400-4486-A215-B3E243BA1E9E}"/>
    <cellStyle name="Currency 5 3 3 2 4 4" xfId="10119" xr:uid="{B293F8F1-AC01-43F7-BB1D-544DE2D73E54}"/>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5" xr:uid="{F39226A3-23AB-40E0-BCAD-A451ADAAC8F5}"/>
    <cellStyle name="Currency 5 3 3 2 5 2 3" xfId="12677" xr:uid="{1F155CD6-E4DF-4FAA-A19B-A813F6F87CEA}"/>
    <cellStyle name="Currency 5 3 3 2 5 3" xfId="6311" xr:uid="{00000000-0005-0000-0000-0000EF0C0000}"/>
    <cellStyle name="Currency 5 3 3 2 5 3 2" xfId="14750" xr:uid="{FF4A89CE-E994-45E0-AA0B-5E98B9274E7D}"/>
    <cellStyle name="Currency 5 3 3 2 5 4" xfId="10532" xr:uid="{8D97A6E1-6B5C-4917-9197-B3F99F9888B3}"/>
    <cellStyle name="Currency 5 3 3 2 6" xfId="2439" xr:uid="{00000000-0005-0000-0000-0000F00C0000}"/>
    <cellStyle name="Currency 5 3 3 2 6 2" xfId="6724" xr:uid="{00000000-0005-0000-0000-0000F10C0000}"/>
    <cellStyle name="Currency 5 3 3 2 6 2 2" xfId="15163" xr:uid="{B6ADD63A-9DBB-4CD3-86E3-37AC628B9387}"/>
    <cellStyle name="Currency 5 3 3 2 6 3" xfId="10945" xr:uid="{497D1B47-C999-46FF-95C7-4D8EB0A6E907}"/>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0" xr:uid="{C3388D1D-F206-42A8-B422-C30E8000D980}"/>
    <cellStyle name="Currency 5 3 3 2 8 3" xfId="11262" xr:uid="{66D9B454-F585-433B-9724-B92BEAA46A0B}"/>
    <cellStyle name="Currency 5 3 3 2 9" xfId="4658" xr:uid="{00000000-0005-0000-0000-0000F50C0000}"/>
    <cellStyle name="Currency 5 3 3 2 9 2" xfId="13097" xr:uid="{07D2CC1F-6A07-4AAA-A317-7EA32A22371A}"/>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5" xr:uid="{F399135F-93CE-40CA-92A6-32318BDE85C2}"/>
    <cellStyle name="Currency 5 3 3 3 2 3" xfId="11437" xr:uid="{5D421118-34F6-46F0-A0AD-CF297CB75438}"/>
    <cellStyle name="Currency 5 3 3 3 3" xfId="5071" xr:uid="{00000000-0005-0000-0000-0000F90C0000}"/>
    <cellStyle name="Currency 5 3 3 3 3 2" xfId="13510" xr:uid="{9184636C-C559-4942-AA2C-27BC3C8006A7}"/>
    <cellStyle name="Currency 5 3 3 3 4" xfId="9292" xr:uid="{FF74BA6F-3942-41F0-B097-5C8A29127D0F}"/>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68" xr:uid="{53146957-8541-4940-A9F3-42E2C391A8C9}"/>
    <cellStyle name="Currency 5 3 3 4 2 3" xfId="11850" xr:uid="{1DD0ADBE-25FC-40C4-8633-25E841E748EB}"/>
    <cellStyle name="Currency 5 3 3 4 3" xfId="5484" xr:uid="{00000000-0005-0000-0000-0000FD0C0000}"/>
    <cellStyle name="Currency 5 3 3 4 3 2" xfId="13923" xr:uid="{C4620C36-DFEF-407B-ACE1-679D6EF5B272}"/>
    <cellStyle name="Currency 5 3 3 4 4" xfId="9705" xr:uid="{E60FE960-F3C4-4B8B-8C75-1DF04BA9E6B8}"/>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1" xr:uid="{4FCCD5E1-7BF5-49CE-8CBA-3FAA86CE1515}"/>
    <cellStyle name="Currency 5 3 3 5 2 3" xfId="12263" xr:uid="{459D0055-6B1F-4E38-9A32-A07FE75BFC3E}"/>
    <cellStyle name="Currency 5 3 3 5 3" xfId="5897" xr:uid="{00000000-0005-0000-0000-0000010D0000}"/>
    <cellStyle name="Currency 5 3 3 5 3 2" xfId="14336" xr:uid="{876EE233-6A8D-409F-A38B-B08992CB6078}"/>
    <cellStyle name="Currency 5 3 3 5 4" xfId="10118" xr:uid="{D7EB2157-8262-48FE-9F65-024898CAF191}"/>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4" xr:uid="{3304E734-2A7D-4288-8FE4-B58E47CD27C4}"/>
    <cellStyle name="Currency 5 3 3 6 2 3" xfId="12676" xr:uid="{065B6772-087C-4E74-8A9B-416DFA065D61}"/>
    <cellStyle name="Currency 5 3 3 6 3" xfId="6310" xr:uid="{00000000-0005-0000-0000-0000050D0000}"/>
    <cellStyle name="Currency 5 3 3 6 3 2" xfId="14749" xr:uid="{36033993-CD43-4395-B309-5E0FD73F5E6A}"/>
    <cellStyle name="Currency 5 3 3 6 4" xfId="10531" xr:uid="{EC4BFA47-D186-4622-B87D-9EB2BD6D44A5}"/>
    <cellStyle name="Currency 5 3 3 7" xfId="2438" xr:uid="{00000000-0005-0000-0000-0000060D0000}"/>
    <cellStyle name="Currency 5 3 3 7 2" xfId="6723" xr:uid="{00000000-0005-0000-0000-0000070D0000}"/>
    <cellStyle name="Currency 5 3 3 7 2 2" xfId="15162" xr:uid="{4DF2487C-98B6-4FC7-8ACF-39B565F2340E}"/>
    <cellStyle name="Currency 5 3 3 7 3" xfId="10944" xr:uid="{6FE827BD-955F-456B-A157-329E8024F4D6}"/>
    <cellStyle name="Currency 5 3 3 8" xfId="2735" xr:uid="{00000000-0005-0000-0000-0000080D0000}"/>
    <cellStyle name="Currency 5 3 3 9" xfId="2816" xr:uid="{00000000-0005-0000-0000-0000090D0000}"/>
    <cellStyle name="Currency 5 3 3 9 2" xfId="7040" xr:uid="{00000000-0005-0000-0000-00000A0D0000}"/>
    <cellStyle name="Currency 5 3 3 9 2 2" xfId="15479" xr:uid="{CA272408-BB3D-4136-AF16-6C78493295DB}"/>
    <cellStyle name="Currency 5 3 3 9 3" xfId="11261" xr:uid="{C705B42F-CB14-4FB1-B0EB-4689DA05E204}"/>
    <cellStyle name="Currency 5 3 4" xfId="216" xr:uid="{00000000-0005-0000-0000-00000B0D0000}"/>
    <cellStyle name="Currency 5 3 4 10" xfId="8880" xr:uid="{2B87F00A-FF8D-4DA0-A97A-7B0793829204}"/>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57" xr:uid="{4955BBD4-5514-42F3-94B2-30F6AD8B7427}"/>
    <cellStyle name="Currency 5 3 4 2 2 3" xfId="11439" xr:uid="{2AC1AB29-45F4-4EC5-AC58-FD5C2C98F14A}"/>
    <cellStyle name="Currency 5 3 4 2 3" xfId="5073" xr:uid="{00000000-0005-0000-0000-00000F0D0000}"/>
    <cellStyle name="Currency 5 3 4 2 3 2" xfId="13512" xr:uid="{B8643B07-CE1D-4D69-ADEF-144656B25A66}"/>
    <cellStyle name="Currency 5 3 4 2 4" xfId="9294" xr:uid="{DD312E54-F60E-4A5B-8134-59CE4361C1B0}"/>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0" xr:uid="{91457E02-544A-478A-A8F2-C9F43A54A8E1}"/>
    <cellStyle name="Currency 5 3 4 3 2 3" xfId="11852" xr:uid="{C3938ABE-ED6B-4F16-BD53-78AE77C9DA57}"/>
    <cellStyle name="Currency 5 3 4 3 3" xfId="5486" xr:uid="{00000000-0005-0000-0000-0000130D0000}"/>
    <cellStyle name="Currency 5 3 4 3 3 2" xfId="13925" xr:uid="{75885A04-BA2B-4A17-AE00-92D62CCD251E}"/>
    <cellStyle name="Currency 5 3 4 3 4" xfId="9707" xr:uid="{EB8AB83B-75E3-4F99-8204-3BF1A707E58D}"/>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3" xr:uid="{34BCBC43-81A3-4CB6-91B1-9887384AC9F8}"/>
    <cellStyle name="Currency 5 3 4 4 2 3" xfId="12265" xr:uid="{766E7615-916B-4594-9697-F8D6C0FA0CDD}"/>
    <cellStyle name="Currency 5 3 4 4 3" xfId="5899" xr:uid="{00000000-0005-0000-0000-0000170D0000}"/>
    <cellStyle name="Currency 5 3 4 4 3 2" xfId="14338" xr:uid="{E50888CA-47C6-4FAC-A6DC-B2BD1C0B42D1}"/>
    <cellStyle name="Currency 5 3 4 4 4" xfId="10120" xr:uid="{D18479C2-AF37-40B1-922F-6CCFD1F03F05}"/>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6" xr:uid="{16033811-441E-4684-BB3E-54CF2E16999B}"/>
    <cellStyle name="Currency 5 3 4 5 2 3" xfId="12678" xr:uid="{7164DD71-1EB7-45CE-AA15-38962801B6B5}"/>
    <cellStyle name="Currency 5 3 4 5 3" xfId="6312" xr:uid="{00000000-0005-0000-0000-00001B0D0000}"/>
    <cellStyle name="Currency 5 3 4 5 3 2" xfId="14751" xr:uid="{790B6AAC-4D6F-4349-8A97-97E1DE73899A}"/>
    <cellStyle name="Currency 5 3 4 5 4" xfId="10533" xr:uid="{8BB49557-15C0-48D8-91A3-F876838E1F08}"/>
    <cellStyle name="Currency 5 3 4 6" xfId="2440" xr:uid="{00000000-0005-0000-0000-00001C0D0000}"/>
    <cellStyle name="Currency 5 3 4 6 2" xfId="6725" xr:uid="{00000000-0005-0000-0000-00001D0D0000}"/>
    <cellStyle name="Currency 5 3 4 6 2 2" xfId="15164" xr:uid="{A4A90580-D101-47D1-BAEC-2D3C074DF27F}"/>
    <cellStyle name="Currency 5 3 4 6 3" xfId="10946" xr:uid="{2B0EAFC9-4CB3-4E3C-8B78-EABA2567BFD1}"/>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1" xr:uid="{5441ACA6-31B3-4377-B1DB-2C7ADD6A923E}"/>
    <cellStyle name="Currency 5 3 4 8 3" xfId="11263" xr:uid="{855BDE2C-D7C9-49FE-A7AC-7260D73443C6}"/>
    <cellStyle name="Currency 5 3 4 9" xfId="4659" xr:uid="{00000000-0005-0000-0000-0000210D0000}"/>
    <cellStyle name="Currency 5 3 4 9 2" xfId="13098" xr:uid="{8D96E743-AB4B-40FE-B8BD-3C1DB7C45012}"/>
    <cellStyle name="Currency 5 3 5" xfId="217" xr:uid="{00000000-0005-0000-0000-0000220D0000}"/>
    <cellStyle name="Currency 5 3 5 10" xfId="8881" xr:uid="{5D871862-E53E-4136-9638-B4ECAAFDC5CD}"/>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58" xr:uid="{E5C67277-3A99-4A1C-B5B5-CB3C7A1C21C7}"/>
    <cellStyle name="Currency 5 3 5 2 2 3" xfId="11440" xr:uid="{1FC984E8-98BB-4F8E-BF66-88A3C9B9FBF7}"/>
    <cellStyle name="Currency 5 3 5 2 3" xfId="5074" xr:uid="{00000000-0005-0000-0000-0000260D0000}"/>
    <cellStyle name="Currency 5 3 5 2 3 2" xfId="13513" xr:uid="{F76CB452-3A67-421F-B711-74696280A749}"/>
    <cellStyle name="Currency 5 3 5 2 4" xfId="9295" xr:uid="{CCCAB0CD-2355-4640-9241-E4023825AA02}"/>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1" xr:uid="{F908F6ED-CCC5-4A6D-A055-25DE61788C0E}"/>
    <cellStyle name="Currency 5 3 5 3 2 3" xfId="11853" xr:uid="{866F1F9C-658B-4799-B6A9-9A98ED2301F3}"/>
    <cellStyle name="Currency 5 3 5 3 3" xfId="5487" xr:uid="{00000000-0005-0000-0000-00002A0D0000}"/>
    <cellStyle name="Currency 5 3 5 3 3 2" xfId="13926" xr:uid="{C85AE937-8B94-4651-B6B4-ACDFE78DB8DC}"/>
    <cellStyle name="Currency 5 3 5 3 4" xfId="9708" xr:uid="{5D0068E3-826F-49D0-8132-8B309B21CD70}"/>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4" xr:uid="{DB632070-581F-461A-9169-5150609E44A0}"/>
    <cellStyle name="Currency 5 3 5 4 2 3" xfId="12266" xr:uid="{8CCE3F99-90B0-4B1B-A4BA-9AFFB54E7BC0}"/>
    <cellStyle name="Currency 5 3 5 4 3" xfId="5900" xr:uid="{00000000-0005-0000-0000-00002E0D0000}"/>
    <cellStyle name="Currency 5 3 5 4 3 2" xfId="14339" xr:uid="{5A46B3AC-5F16-44CD-8F38-0A1758C746C1}"/>
    <cellStyle name="Currency 5 3 5 4 4" xfId="10121" xr:uid="{F955A9C1-D92B-4EA5-8951-40453B2A4874}"/>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897" xr:uid="{91921105-94CE-42A2-8235-B9C0228CD050}"/>
    <cellStyle name="Currency 5 3 5 5 2 3" xfId="12679" xr:uid="{522534F6-68E5-4A91-A08C-71E4CDD302B4}"/>
    <cellStyle name="Currency 5 3 5 5 3" xfId="6313" xr:uid="{00000000-0005-0000-0000-0000320D0000}"/>
    <cellStyle name="Currency 5 3 5 5 3 2" xfId="14752" xr:uid="{78FD5286-1CEC-43A5-B025-8AF45CA05397}"/>
    <cellStyle name="Currency 5 3 5 5 4" xfId="10534" xr:uid="{55C3C12F-2B63-4F65-8015-B932A4B3DABF}"/>
    <cellStyle name="Currency 5 3 5 6" xfId="2441" xr:uid="{00000000-0005-0000-0000-0000330D0000}"/>
    <cellStyle name="Currency 5 3 5 6 2" xfId="6726" xr:uid="{00000000-0005-0000-0000-0000340D0000}"/>
    <cellStyle name="Currency 5 3 5 6 2 2" xfId="15165" xr:uid="{4D969EE8-09EF-417A-B51D-4917181EEDC5}"/>
    <cellStyle name="Currency 5 3 5 6 3" xfId="10947" xr:uid="{F799502A-B9F8-4E6C-8C94-459F53A4F6EA}"/>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2" xr:uid="{6A9A428A-C2C9-4C44-BC84-528D7ED9C770}"/>
    <cellStyle name="Currency 5 3 5 8 3" xfId="11264" xr:uid="{2519CD69-F850-40D5-B239-C57DF73072D3}"/>
    <cellStyle name="Currency 5 3 5 9" xfId="4660" xr:uid="{00000000-0005-0000-0000-0000380D0000}"/>
    <cellStyle name="Currency 5 3 5 9 2" xfId="13099" xr:uid="{77DA5DB1-ED0C-45A4-A3AC-3A22D5C54598}"/>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0" xr:uid="{E7DBE72E-CFE9-46E3-90D5-616A70E203A2}"/>
    <cellStyle name="Currency 5 5 11" xfId="8882" xr:uid="{C8FC04C6-976B-4840-B565-23B5108F4968}"/>
    <cellStyle name="Currency 5 5 2" xfId="220" xr:uid="{00000000-0005-0000-0000-00003D0D0000}"/>
    <cellStyle name="Currency 5 5 2 10" xfId="8883" xr:uid="{3DC2A6F9-4641-4E94-9EE9-B7FDBC098CE3}"/>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0" xr:uid="{C7839814-99BC-4058-AB7D-86C0D459CC00}"/>
    <cellStyle name="Currency 5 5 2 2 2 3" xfId="11442" xr:uid="{A6F16835-50AB-4EF3-8D16-FD57C56753EB}"/>
    <cellStyle name="Currency 5 5 2 2 3" xfId="5076" xr:uid="{00000000-0005-0000-0000-0000410D0000}"/>
    <cellStyle name="Currency 5 5 2 2 3 2" xfId="13515" xr:uid="{2E72E55E-E300-4A67-95DA-099BCA7B34EC}"/>
    <cellStyle name="Currency 5 5 2 2 4" xfId="9297" xr:uid="{C78C0703-69DE-4C3F-9405-F2FBF62339D0}"/>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3" xr:uid="{1776EFBB-1FF4-4FC4-86B4-E82BD3295370}"/>
    <cellStyle name="Currency 5 5 2 3 2 3" xfId="11855" xr:uid="{E7FB86E4-E016-47FA-840F-8200B660AD8E}"/>
    <cellStyle name="Currency 5 5 2 3 3" xfId="5489" xr:uid="{00000000-0005-0000-0000-0000450D0000}"/>
    <cellStyle name="Currency 5 5 2 3 3 2" xfId="13928" xr:uid="{9564A2C4-3256-46B3-8F7B-7024A2721B5B}"/>
    <cellStyle name="Currency 5 5 2 3 4" xfId="9710" xr:uid="{86574681-1CE3-44D0-8284-9A1A6CFE7DE8}"/>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6" xr:uid="{284732E2-F6AB-4B1E-95AB-F540BEA9A8AA}"/>
    <cellStyle name="Currency 5 5 2 4 2 3" xfId="12268" xr:uid="{93B2F2D1-21B0-4D03-9626-76E61C638EE2}"/>
    <cellStyle name="Currency 5 5 2 4 3" xfId="5902" xr:uid="{00000000-0005-0000-0000-0000490D0000}"/>
    <cellStyle name="Currency 5 5 2 4 3 2" xfId="14341" xr:uid="{39A3F105-C23E-4854-99CB-380C0C316023}"/>
    <cellStyle name="Currency 5 5 2 4 4" xfId="10123" xr:uid="{C6E691C2-8220-439F-9ED2-33175B69BC7C}"/>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899" xr:uid="{23645FBB-EFD6-43AD-B9D7-543B3FB981E9}"/>
    <cellStyle name="Currency 5 5 2 5 2 3" xfId="12681" xr:uid="{AF48709C-DD3F-4499-AB89-725144B14871}"/>
    <cellStyle name="Currency 5 5 2 5 3" xfId="6315" xr:uid="{00000000-0005-0000-0000-00004D0D0000}"/>
    <cellStyle name="Currency 5 5 2 5 3 2" xfId="14754" xr:uid="{FE0F8B4D-CB9E-4E49-84DE-516428D13428}"/>
    <cellStyle name="Currency 5 5 2 5 4" xfId="10536" xr:uid="{309E0F04-F137-4E14-BD03-0A747C9F8B7D}"/>
    <cellStyle name="Currency 5 5 2 6" xfId="2443" xr:uid="{00000000-0005-0000-0000-00004E0D0000}"/>
    <cellStyle name="Currency 5 5 2 6 2" xfId="6728" xr:uid="{00000000-0005-0000-0000-00004F0D0000}"/>
    <cellStyle name="Currency 5 5 2 6 2 2" xfId="15167" xr:uid="{7B8661CC-B63C-4D2E-8230-1B28BEF680F2}"/>
    <cellStyle name="Currency 5 5 2 6 3" xfId="10949" xr:uid="{2ED17476-5F56-49EE-BD50-7C7E64B1A0AA}"/>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4" xr:uid="{4AFB7D19-C83D-4CD3-9FC3-8F1C01C79BA0}"/>
    <cellStyle name="Currency 5 5 2 8 3" xfId="11266" xr:uid="{87189808-EEA6-42B5-ADF1-5C5ED8950FDE}"/>
    <cellStyle name="Currency 5 5 2 9" xfId="4662" xr:uid="{00000000-0005-0000-0000-0000530D0000}"/>
    <cellStyle name="Currency 5 5 2 9 2" xfId="13101" xr:uid="{2C2A4B1F-4282-478B-A72C-6BC80460385E}"/>
    <cellStyle name="Currency 5 5 3" xfId="745" xr:uid="{00000000-0005-0000-0000-0000540D0000}"/>
    <cellStyle name="Currency 5 5 3 2" xfId="2997" xr:uid="{00000000-0005-0000-0000-0000550D0000}"/>
    <cellStyle name="Currency 5 5 3 2 2" xfId="7220" xr:uid="{00000000-0005-0000-0000-0000560D0000}"/>
    <cellStyle name="Currency 5 5 3 2 2 2" xfId="15659" xr:uid="{0E986789-5534-42D5-B7D6-828F9D91A7BD}"/>
    <cellStyle name="Currency 5 5 3 2 3" xfId="11441" xr:uid="{89753ECD-46E2-4BB2-BED2-F4DEAE496231}"/>
    <cellStyle name="Currency 5 5 3 3" xfId="5075" xr:uid="{00000000-0005-0000-0000-0000570D0000}"/>
    <cellStyle name="Currency 5 5 3 3 2" xfId="13514" xr:uid="{A4EA3045-D360-432C-8A4A-6BC477DEEF63}"/>
    <cellStyle name="Currency 5 5 3 4" xfId="9296" xr:uid="{C9C5B8C3-7F67-4ECE-AB61-5C461C67CE0C}"/>
    <cellStyle name="Currency 5 5 4" xfId="1179" xr:uid="{00000000-0005-0000-0000-0000580D0000}"/>
    <cellStyle name="Currency 5 5 4 2" xfId="3410" xr:uid="{00000000-0005-0000-0000-0000590D0000}"/>
    <cellStyle name="Currency 5 5 4 2 2" xfId="7633" xr:uid="{00000000-0005-0000-0000-00005A0D0000}"/>
    <cellStyle name="Currency 5 5 4 2 2 2" xfId="16072" xr:uid="{8CC65881-981C-4432-A9B2-396AEE90814B}"/>
    <cellStyle name="Currency 5 5 4 2 3" xfId="11854" xr:uid="{20DA299B-643E-4B48-9FF4-42ADEBD902E1}"/>
    <cellStyle name="Currency 5 5 4 3" xfId="5488" xr:uid="{00000000-0005-0000-0000-00005B0D0000}"/>
    <cellStyle name="Currency 5 5 4 3 2" xfId="13927" xr:uid="{9548417B-1175-4E63-889D-379569AC301E}"/>
    <cellStyle name="Currency 5 5 4 4" xfId="9709" xr:uid="{65B2E243-2A5A-41B5-850C-AE99582F7A21}"/>
    <cellStyle name="Currency 5 5 5" xfId="1593" xr:uid="{00000000-0005-0000-0000-00005C0D0000}"/>
    <cellStyle name="Currency 5 5 5 2" xfId="3823" xr:uid="{00000000-0005-0000-0000-00005D0D0000}"/>
    <cellStyle name="Currency 5 5 5 2 2" xfId="8046" xr:uid="{00000000-0005-0000-0000-00005E0D0000}"/>
    <cellStyle name="Currency 5 5 5 2 2 2" xfId="16485" xr:uid="{95BBEB28-AC23-420A-974E-4C5DEF1896C0}"/>
    <cellStyle name="Currency 5 5 5 2 3" xfId="12267" xr:uid="{8EEE5BFE-2A68-4C0A-90B7-AC398FC54183}"/>
    <cellStyle name="Currency 5 5 5 3" xfId="5901" xr:uid="{00000000-0005-0000-0000-00005F0D0000}"/>
    <cellStyle name="Currency 5 5 5 3 2" xfId="14340" xr:uid="{B2E5E13F-D86C-49A4-BF1D-C08073CB5597}"/>
    <cellStyle name="Currency 5 5 5 4" xfId="10122" xr:uid="{8D69DBEE-8995-4D81-BC66-0E27F9B8942D}"/>
    <cellStyle name="Currency 5 5 6" xfId="2007" xr:uid="{00000000-0005-0000-0000-0000600D0000}"/>
    <cellStyle name="Currency 5 5 6 2" xfId="4236" xr:uid="{00000000-0005-0000-0000-0000610D0000}"/>
    <cellStyle name="Currency 5 5 6 2 2" xfId="8459" xr:uid="{00000000-0005-0000-0000-0000620D0000}"/>
    <cellStyle name="Currency 5 5 6 2 2 2" xfId="16898" xr:uid="{A46526DC-AD1F-447F-A965-D6B26BD36EC2}"/>
    <cellStyle name="Currency 5 5 6 2 3" xfId="12680" xr:uid="{2667376B-C8F9-4D22-8CA0-FEE0077CCAE0}"/>
    <cellStyle name="Currency 5 5 6 3" xfId="6314" xr:uid="{00000000-0005-0000-0000-0000630D0000}"/>
    <cellStyle name="Currency 5 5 6 3 2" xfId="14753" xr:uid="{4F1503B6-4120-43CE-AE4A-BD1BDB494786}"/>
    <cellStyle name="Currency 5 5 6 4" xfId="10535" xr:uid="{2957EFB8-9751-46D8-BCD2-E32A6C689BAE}"/>
    <cellStyle name="Currency 5 5 7" xfId="2442" xr:uid="{00000000-0005-0000-0000-0000640D0000}"/>
    <cellStyle name="Currency 5 5 7 2" xfId="6727" xr:uid="{00000000-0005-0000-0000-0000650D0000}"/>
    <cellStyle name="Currency 5 5 7 2 2" xfId="15166" xr:uid="{7E33A596-9052-44B9-ABC7-6AC7A8CE98AC}"/>
    <cellStyle name="Currency 5 5 7 3" xfId="10948" xr:uid="{F3F4B4FE-5E7B-49A3-B6FD-B3D94BE44FE4}"/>
    <cellStyle name="Currency 5 5 8" xfId="2739" xr:uid="{00000000-0005-0000-0000-0000660D0000}"/>
    <cellStyle name="Currency 5 5 9" xfId="2820" xr:uid="{00000000-0005-0000-0000-0000670D0000}"/>
    <cellStyle name="Currency 5 5 9 2" xfId="7044" xr:uid="{00000000-0005-0000-0000-0000680D0000}"/>
    <cellStyle name="Currency 5 5 9 2 2" xfId="15483" xr:uid="{5EEE1A7E-C7DE-4B3C-8D7A-908A6020C900}"/>
    <cellStyle name="Currency 5 5 9 3" xfId="11265" xr:uid="{C290344A-C4B0-49C9-A68E-175D082BE98E}"/>
    <cellStyle name="Currency 5 6" xfId="221" xr:uid="{00000000-0005-0000-0000-0000690D0000}"/>
    <cellStyle name="Currency 5 6 10" xfId="8884" xr:uid="{8C3E5B83-54C5-4D87-8869-54607CE16418}"/>
    <cellStyle name="Currency 5 6 2" xfId="747" xr:uid="{00000000-0005-0000-0000-00006A0D0000}"/>
    <cellStyle name="Currency 5 6 2 2" xfId="2999" xr:uid="{00000000-0005-0000-0000-00006B0D0000}"/>
    <cellStyle name="Currency 5 6 2 2 2" xfId="7222" xr:uid="{00000000-0005-0000-0000-00006C0D0000}"/>
    <cellStyle name="Currency 5 6 2 2 2 2" xfId="15661" xr:uid="{2053BA2F-EBD3-4CC6-B365-6BCA3E0EF8CF}"/>
    <cellStyle name="Currency 5 6 2 2 3" xfId="11443" xr:uid="{755E68B8-7892-4C22-B74A-82DD4DE3C525}"/>
    <cellStyle name="Currency 5 6 2 3" xfId="5077" xr:uid="{00000000-0005-0000-0000-00006D0D0000}"/>
    <cellStyle name="Currency 5 6 2 3 2" xfId="13516" xr:uid="{B68008B9-DBA1-4C40-A55B-EE258BBC0BBF}"/>
    <cellStyle name="Currency 5 6 2 4" xfId="9298" xr:uid="{C02320C9-5666-4685-96C5-B17A677C65A4}"/>
    <cellStyle name="Currency 5 6 3" xfId="1181" xr:uid="{00000000-0005-0000-0000-00006E0D0000}"/>
    <cellStyle name="Currency 5 6 3 2" xfId="3412" xr:uid="{00000000-0005-0000-0000-00006F0D0000}"/>
    <cellStyle name="Currency 5 6 3 2 2" xfId="7635" xr:uid="{00000000-0005-0000-0000-0000700D0000}"/>
    <cellStyle name="Currency 5 6 3 2 2 2" xfId="16074" xr:uid="{95778EA4-CF68-45F0-9CE0-07FDADC72AA4}"/>
    <cellStyle name="Currency 5 6 3 2 3" xfId="11856" xr:uid="{DF0FB68C-DFD8-4302-AF52-9AC24085F846}"/>
    <cellStyle name="Currency 5 6 3 3" xfId="5490" xr:uid="{00000000-0005-0000-0000-0000710D0000}"/>
    <cellStyle name="Currency 5 6 3 3 2" xfId="13929" xr:uid="{60FEAC4C-8468-41B7-9587-9CAE536FABAF}"/>
    <cellStyle name="Currency 5 6 3 4" xfId="9711" xr:uid="{7E6640BB-5D44-4B51-ABBB-EFCCB04D0532}"/>
    <cellStyle name="Currency 5 6 4" xfId="1595" xr:uid="{00000000-0005-0000-0000-0000720D0000}"/>
    <cellStyle name="Currency 5 6 4 2" xfId="3825" xr:uid="{00000000-0005-0000-0000-0000730D0000}"/>
    <cellStyle name="Currency 5 6 4 2 2" xfId="8048" xr:uid="{00000000-0005-0000-0000-0000740D0000}"/>
    <cellStyle name="Currency 5 6 4 2 2 2" xfId="16487" xr:uid="{A14B92E8-582E-42E7-A920-44CD2B78EAAB}"/>
    <cellStyle name="Currency 5 6 4 2 3" xfId="12269" xr:uid="{D7881DE5-EF88-43BA-B21A-A5252C297925}"/>
    <cellStyle name="Currency 5 6 4 3" xfId="5903" xr:uid="{00000000-0005-0000-0000-0000750D0000}"/>
    <cellStyle name="Currency 5 6 4 3 2" xfId="14342" xr:uid="{EF44E0C1-028A-4066-95E7-7CDFFF79B92E}"/>
    <cellStyle name="Currency 5 6 4 4" xfId="10124" xr:uid="{756EEE89-ECD7-48E8-A379-648ACA65746C}"/>
    <cellStyle name="Currency 5 6 5" xfId="2009" xr:uid="{00000000-0005-0000-0000-0000760D0000}"/>
    <cellStyle name="Currency 5 6 5 2" xfId="4238" xr:uid="{00000000-0005-0000-0000-0000770D0000}"/>
    <cellStyle name="Currency 5 6 5 2 2" xfId="8461" xr:uid="{00000000-0005-0000-0000-0000780D0000}"/>
    <cellStyle name="Currency 5 6 5 2 2 2" xfId="16900" xr:uid="{3598DAF5-455F-4FF5-A27A-B5B83FE35C28}"/>
    <cellStyle name="Currency 5 6 5 2 3" xfId="12682" xr:uid="{8B430D59-3D11-4AF5-BB32-1BE02DFB71E5}"/>
    <cellStyle name="Currency 5 6 5 3" xfId="6316" xr:uid="{00000000-0005-0000-0000-0000790D0000}"/>
    <cellStyle name="Currency 5 6 5 3 2" xfId="14755" xr:uid="{5D8437B6-69CB-410A-83B1-2E9DA14298F3}"/>
    <cellStyle name="Currency 5 6 5 4" xfId="10537" xr:uid="{C8C0490A-FFBC-4DA4-B11E-54D36D620C4F}"/>
    <cellStyle name="Currency 5 6 6" xfId="2444" xr:uid="{00000000-0005-0000-0000-00007A0D0000}"/>
    <cellStyle name="Currency 5 6 6 2" xfId="6729" xr:uid="{00000000-0005-0000-0000-00007B0D0000}"/>
    <cellStyle name="Currency 5 6 6 2 2" xfId="15168" xr:uid="{1E022C1A-9050-48F5-87FC-2F46CFABCBA5}"/>
    <cellStyle name="Currency 5 6 6 3" xfId="10950" xr:uid="{963D98D5-9C3A-4B6E-992F-98AEC58EAB8B}"/>
    <cellStyle name="Currency 5 6 7" xfId="2741" xr:uid="{00000000-0005-0000-0000-00007C0D0000}"/>
    <cellStyle name="Currency 5 6 8" xfId="2822" xr:uid="{00000000-0005-0000-0000-00007D0D0000}"/>
    <cellStyle name="Currency 5 6 8 2" xfId="7046" xr:uid="{00000000-0005-0000-0000-00007E0D0000}"/>
    <cellStyle name="Currency 5 6 8 2 2" xfId="15485" xr:uid="{3C5498AB-6501-4AD9-8A5E-BD84981631FD}"/>
    <cellStyle name="Currency 5 6 8 3" xfId="11267" xr:uid="{37D01DA0-676E-4534-A46E-61041D29D3E2}"/>
    <cellStyle name="Currency 5 6 9" xfId="4663" xr:uid="{00000000-0005-0000-0000-00007F0D0000}"/>
    <cellStyle name="Currency 5 6 9 2" xfId="13102" xr:uid="{EE853741-F64B-49B9-970C-BD02A4E83E85}"/>
    <cellStyle name="Currency 5 7" xfId="222" xr:uid="{00000000-0005-0000-0000-0000800D0000}"/>
    <cellStyle name="Currency 5 7 10" xfId="8885" xr:uid="{FF4D3846-FDBF-476B-BFE0-8B55843B6E86}"/>
    <cellStyle name="Currency 5 7 2" xfId="748" xr:uid="{00000000-0005-0000-0000-0000810D0000}"/>
    <cellStyle name="Currency 5 7 2 2" xfId="3000" xr:uid="{00000000-0005-0000-0000-0000820D0000}"/>
    <cellStyle name="Currency 5 7 2 2 2" xfId="7223" xr:uid="{00000000-0005-0000-0000-0000830D0000}"/>
    <cellStyle name="Currency 5 7 2 2 2 2" xfId="15662" xr:uid="{45A3AE63-F75C-42E6-9556-E21E8E253310}"/>
    <cellStyle name="Currency 5 7 2 2 3" xfId="11444" xr:uid="{ECB5CC8F-DA66-4531-AE2D-E1ADBD4C1476}"/>
    <cellStyle name="Currency 5 7 2 3" xfId="5078" xr:uid="{00000000-0005-0000-0000-0000840D0000}"/>
    <cellStyle name="Currency 5 7 2 3 2" xfId="13517" xr:uid="{452E0B70-4EC6-46E5-B96C-4C1B60A1CB71}"/>
    <cellStyle name="Currency 5 7 2 4" xfId="9299" xr:uid="{9F4520A8-70D2-4835-91FB-711E5265A409}"/>
    <cellStyle name="Currency 5 7 3" xfId="1182" xr:uid="{00000000-0005-0000-0000-0000850D0000}"/>
    <cellStyle name="Currency 5 7 3 2" xfId="3413" xr:uid="{00000000-0005-0000-0000-0000860D0000}"/>
    <cellStyle name="Currency 5 7 3 2 2" xfId="7636" xr:uid="{00000000-0005-0000-0000-0000870D0000}"/>
    <cellStyle name="Currency 5 7 3 2 2 2" xfId="16075" xr:uid="{C60BB7A1-A819-444C-AAE8-A8B55FE88741}"/>
    <cellStyle name="Currency 5 7 3 2 3" xfId="11857" xr:uid="{BE7D6C70-B9C1-4233-83A8-473F3DF17676}"/>
    <cellStyle name="Currency 5 7 3 3" xfId="5491" xr:uid="{00000000-0005-0000-0000-0000880D0000}"/>
    <cellStyle name="Currency 5 7 3 3 2" xfId="13930" xr:uid="{958265ED-A164-417B-81DA-C9E3FA16ABCD}"/>
    <cellStyle name="Currency 5 7 3 4" xfId="9712" xr:uid="{20249340-672C-442C-9E37-3B6ED9515785}"/>
    <cellStyle name="Currency 5 7 4" xfId="1596" xr:uid="{00000000-0005-0000-0000-0000890D0000}"/>
    <cellStyle name="Currency 5 7 4 2" xfId="3826" xr:uid="{00000000-0005-0000-0000-00008A0D0000}"/>
    <cellStyle name="Currency 5 7 4 2 2" xfId="8049" xr:uid="{00000000-0005-0000-0000-00008B0D0000}"/>
    <cellStyle name="Currency 5 7 4 2 2 2" xfId="16488" xr:uid="{742FBCA6-8889-4199-A719-7C05156DB0C7}"/>
    <cellStyle name="Currency 5 7 4 2 3" xfId="12270" xr:uid="{A4DACCC2-52F8-47F3-8C20-3942AC2D503B}"/>
    <cellStyle name="Currency 5 7 4 3" xfId="5904" xr:uid="{00000000-0005-0000-0000-00008C0D0000}"/>
    <cellStyle name="Currency 5 7 4 3 2" xfId="14343" xr:uid="{D85A88C8-90BB-4F0B-BCE1-D55FE0A1F3C8}"/>
    <cellStyle name="Currency 5 7 4 4" xfId="10125" xr:uid="{7F8804CA-CC63-41F5-BCDE-BFDE308720C7}"/>
    <cellStyle name="Currency 5 7 5" xfId="2010" xr:uid="{00000000-0005-0000-0000-00008D0D0000}"/>
    <cellStyle name="Currency 5 7 5 2" xfId="4239" xr:uid="{00000000-0005-0000-0000-00008E0D0000}"/>
    <cellStyle name="Currency 5 7 5 2 2" xfId="8462" xr:uid="{00000000-0005-0000-0000-00008F0D0000}"/>
    <cellStyle name="Currency 5 7 5 2 2 2" xfId="16901" xr:uid="{4498B6F0-897E-4185-A4F4-7A8E3C1421F8}"/>
    <cellStyle name="Currency 5 7 5 2 3" xfId="12683" xr:uid="{DEA91766-99B0-4F75-B2CC-11D8F6FB0F61}"/>
    <cellStyle name="Currency 5 7 5 3" xfId="6317" xr:uid="{00000000-0005-0000-0000-0000900D0000}"/>
    <cellStyle name="Currency 5 7 5 3 2" xfId="14756" xr:uid="{90B7DA95-7436-433B-9669-5B260039C19C}"/>
    <cellStyle name="Currency 5 7 5 4" xfId="10538" xr:uid="{9797ECBC-0C50-42A0-8986-EDFFA2FB6218}"/>
    <cellStyle name="Currency 5 7 6" xfId="2445" xr:uid="{00000000-0005-0000-0000-0000910D0000}"/>
    <cellStyle name="Currency 5 7 6 2" xfId="6730" xr:uid="{00000000-0005-0000-0000-0000920D0000}"/>
    <cellStyle name="Currency 5 7 6 2 2" xfId="15169" xr:uid="{56E315B4-0C54-4A85-AE94-A0C7C71CAB8D}"/>
    <cellStyle name="Currency 5 7 6 3" xfId="10951" xr:uid="{1C297994-303A-4F89-9D35-C868BDDE1ACD}"/>
    <cellStyle name="Currency 5 7 7" xfId="2742" xr:uid="{00000000-0005-0000-0000-0000930D0000}"/>
    <cellStyle name="Currency 5 7 8" xfId="2823" xr:uid="{00000000-0005-0000-0000-0000940D0000}"/>
    <cellStyle name="Currency 5 7 8 2" xfId="7047" xr:uid="{00000000-0005-0000-0000-0000950D0000}"/>
    <cellStyle name="Currency 5 7 8 2 2" xfId="15486" xr:uid="{72C8417C-6193-4D36-82AC-F572DD14B86C}"/>
    <cellStyle name="Currency 5 7 8 3" xfId="11268" xr:uid="{E7118597-49E4-45B8-A721-EC3CC11B97E8}"/>
    <cellStyle name="Currency 5 7 9" xfId="4664" xr:uid="{00000000-0005-0000-0000-0000960D0000}"/>
    <cellStyle name="Currency 5 7 9 2" xfId="13103" xr:uid="{4D6B688E-9DFB-4C33-91D1-AB28B6617D49}"/>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0" xr:uid="{197E659B-CC4B-4BC6-808D-2C9B30E8FAAE}"/>
    <cellStyle name="Normal 12 10 3" xfId="10952" xr:uid="{F286123D-BBD6-4D7F-BE88-6FDE39FEA484}"/>
    <cellStyle name="Normal 12 11" xfId="4665" xr:uid="{00000000-0005-0000-0000-0000CC0D0000}"/>
    <cellStyle name="Normal 12 11 2" xfId="13104" xr:uid="{F0E3DB02-058B-4722-9B60-2C00A0D77A2B}"/>
    <cellStyle name="Normal 12 12" xfId="8886" xr:uid="{9C313D27-1105-41B1-B114-D645A0DB8A60}"/>
    <cellStyle name="Normal 12 2" xfId="260" xr:uid="{00000000-0005-0000-0000-0000CD0D0000}"/>
    <cellStyle name="Normal 12 2 10" xfId="8887" xr:uid="{7DB8E5DD-E1BC-4A23-802F-F0406F66314C}"/>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6" xr:uid="{2D3F6E17-5C91-4B62-A465-892AFFD36A3F}"/>
    <cellStyle name="Normal 12 2 2 2 2 2 3" xfId="11448" xr:uid="{421A01E0-C424-4965-8C9B-314E65DB7500}"/>
    <cellStyle name="Normal 12 2 2 2 2 3" xfId="5082" xr:uid="{00000000-0005-0000-0000-0000D30D0000}"/>
    <cellStyle name="Normal 12 2 2 2 2 3 2" xfId="13521" xr:uid="{5825A6C9-0B32-4C44-9886-1FCD62C7308B}"/>
    <cellStyle name="Normal 12 2 2 2 2 4" xfId="9303" xr:uid="{AB1F7351-C0B0-4F19-99B7-2BD74996ACA6}"/>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79" xr:uid="{0726F54C-8EAE-4346-B1EC-DAEC9A954A28}"/>
    <cellStyle name="Normal 12 2 2 2 3 2 3" xfId="11861" xr:uid="{02BFCDEE-A09D-4D35-A37C-E0AC094C9E29}"/>
    <cellStyle name="Normal 12 2 2 2 3 3" xfId="5495" xr:uid="{00000000-0005-0000-0000-0000D70D0000}"/>
    <cellStyle name="Normal 12 2 2 2 3 3 2" xfId="13934" xr:uid="{BAEEC654-3982-4CC6-BDF3-2B964B8E0323}"/>
    <cellStyle name="Normal 12 2 2 2 3 4" xfId="9716" xr:uid="{C6247E99-41FB-4338-9929-D5F7BF19D5B0}"/>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2" xr:uid="{D5F9FE5B-EA0A-4FDA-B74F-DC26CC1DAA6D}"/>
    <cellStyle name="Normal 12 2 2 2 4 2 3" xfId="12274" xr:uid="{968FA96C-0F00-4594-9F91-EE88193B9C1E}"/>
    <cellStyle name="Normal 12 2 2 2 4 3" xfId="5908" xr:uid="{00000000-0005-0000-0000-0000DB0D0000}"/>
    <cellStyle name="Normal 12 2 2 2 4 3 2" xfId="14347" xr:uid="{C15EB96A-5AB7-4533-BD1F-34312D386596}"/>
    <cellStyle name="Normal 12 2 2 2 4 4" xfId="10129" xr:uid="{5F67EE0B-F669-4E9A-A1C9-2C740E230BFC}"/>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5" xr:uid="{689049B2-83ED-41D3-A2C8-2E9670CBDCB3}"/>
    <cellStyle name="Normal 12 2 2 2 5 2 3" xfId="12687" xr:uid="{3292B0F9-C466-443B-B370-FCACAE69B8CD}"/>
    <cellStyle name="Normal 12 2 2 2 5 3" xfId="6321" xr:uid="{00000000-0005-0000-0000-0000DF0D0000}"/>
    <cellStyle name="Normal 12 2 2 2 5 3 2" xfId="14760" xr:uid="{A1EFE7D0-1230-41DD-8D1A-CF807DDB819F}"/>
    <cellStyle name="Normal 12 2 2 2 5 4" xfId="10542" xr:uid="{7E99B56C-3854-4E23-902C-50A931EF01F2}"/>
    <cellStyle name="Normal 12 2 2 2 6" xfId="2450" xr:uid="{00000000-0005-0000-0000-0000E00D0000}"/>
    <cellStyle name="Normal 12 2 2 2 6 2" xfId="6734" xr:uid="{00000000-0005-0000-0000-0000E10D0000}"/>
    <cellStyle name="Normal 12 2 2 2 6 2 2" xfId="15173" xr:uid="{3E251E4F-B601-4311-81A0-688BF295CF2C}"/>
    <cellStyle name="Normal 12 2 2 2 6 3" xfId="10955" xr:uid="{39D2AED2-9570-402E-9DC9-DF8F28301FDD}"/>
    <cellStyle name="Normal 12 2 2 2 7" xfId="4668" xr:uid="{00000000-0005-0000-0000-0000E20D0000}"/>
    <cellStyle name="Normal 12 2 2 2 7 2" xfId="13107" xr:uid="{264A0C6C-0448-4197-BE28-E9C1CA400CA3}"/>
    <cellStyle name="Normal 12 2 2 2 8" xfId="8889" xr:uid="{D3FC938D-508D-479B-BF7A-9AB620CC2F83}"/>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5" xr:uid="{32CD1E07-32E3-419A-8ECA-397015749815}"/>
    <cellStyle name="Normal 12 2 2 3 2 3" xfId="11447" xr:uid="{82447941-9A97-4F50-B143-B17B277C005A}"/>
    <cellStyle name="Normal 12 2 2 3 3" xfId="5081" xr:uid="{00000000-0005-0000-0000-0000E60D0000}"/>
    <cellStyle name="Normal 12 2 2 3 3 2" xfId="13520" xr:uid="{BE225D8B-FB04-4553-A6FE-AA52E6181ADF}"/>
    <cellStyle name="Normal 12 2 2 3 4" xfId="9302" xr:uid="{FC814CE6-D552-4E8D-AE43-366B4B46A859}"/>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78" xr:uid="{495AE5A8-0E9C-4166-9CC4-59F38DC097D3}"/>
    <cellStyle name="Normal 12 2 2 4 2 3" xfId="11860" xr:uid="{DF029CBA-873D-4BF7-8CC7-CF981E317255}"/>
    <cellStyle name="Normal 12 2 2 4 3" xfId="5494" xr:uid="{00000000-0005-0000-0000-0000EA0D0000}"/>
    <cellStyle name="Normal 12 2 2 4 3 2" xfId="13933" xr:uid="{4C4930C1-0D77-4864-8795-EDD0C8B57BF9}"/>
    <cellStyle name="Normal 12 2 2 4 4" xfId="9715" xr:uid="{515671A6-4149-4258-A805-E024F98B5665}"/>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1" xr:uid="{4A888F3D-5D99-4B4E-9ADD-55C168791C57}"/>
    <cellStyle name="Normal 12 2 2 5 2 3" xfId="12273" xr:uid="{36CE5920-7DA2-4E51-986E-A62589C6705A}"/>
    <cellStyle name="Normal 12 2 2 5 3" xfId="5907" xr:uid="{00000000-0005-0000-0000-0000EE0D0000}"/>
    <cellStyle name="Normal 12 2 2 5 3 2" xfId="14346" xr:uid="{A968F06F-135D-4712-AE61-68517191D81A}"/>
    <cellStyle name="Normal 12 2 2 5 4" xfId="10128" xr:uid="{E8DD7768-CB3A-4966-B1B4-7C60442E5CFA}"/>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4" xr:uid="{A2BC6EAF-CDFF-4209-9349-880D60B49906}"/>
    <cellStyle name="Normal 12 2 2 6 2 3" xfId="12686" xr:uid="{73928D06-A17C-41DB-9090-0EFF519BBDD8}"/>
    <cellStyle name="Normal 12 2 2 6 3" xfId="6320" xr:uid="{00000000-0005-0000-0000-0000F20D0000}"/>
    <cellStyle name="Normal 12 2 2 6 3 2" xfId="14759" xr:uid="{523F9BB3-DC9B-4D30-A069-FF8AEC7D936E}"/>
    <cellStyle name="Normal 12 2 2 6 4" xfId="10541" xr:uid="{12096A4B-F1D4-4844-A25F-8DCC0D2F80D4}"/>
    <cellStyle name="Normal 12 2 2 7" xfId="2449" xr:uid="{00000000-0005-0000-0000-0000F30D0000}"/>
    <cellStyle name="Normal 12 2 2 7 2" xfId="6733" xr:uid="{00000000-0005-0000-0000-0000F40D0000}"/>
    <cellStyle name="Normal 12 2 2 7 2 2" xfId="15172" xr:uid="{DC7494B4-0620-4431-9426-09F848830387}"/>
    <cellStyle name="Normal 12 2 2 7 3" xfId="10954" xr:uid="{1256247C-9957-4508-9FD7-C41221182E3A}"/>
    <cellStyle name="Normal 12 2 2 8" xfId="4667" xr:uid="{00000000-0005-0000-0000-0000F50D0000}"/>
    <cellStyle name="Normal 12 2 2 8 2" xfId="13106" xr:uid="{F821F7BE-60E5-47BF-96A7-72F4E6C49C17}"/>
    <cellStyle name="Normal 12 2 2 9" xfId="8888" xr:uid="{F82CD10B-D51A-45A8-88AB-AB7397BB8AE7}"/>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67" xr:uid="{7EF7FAF8-AACF-4779-94F1-48C6B8F95C3B}"/>
    <cellStyle name="Normal 12 2 3 2 2 3" xfId="11449" xr:uid="{E659488B-BD74-41A6-A565-4D86153405A4}"/>
    <cellStyle name="Normal 12 2 3 2 3" xfId="5083" xr:uid="{00000000-0005-0000-0000-0000FA0D0000}"/>
    <cellStyle name="Normal 12 2 3 2 3 2" xfId="13522" xr:uid="{C4AA0C3F-6CE0-466C-9183-2054BB54FB8B}"/>
    <cellStyle name="Normal 12 2 3 2 4" xfId="9304" xr:uid="{E3DB7E00-E8E2-4CB2-A0C9-1F4F26F52C12}"/>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0" xr:uid="{D58917F5-D108-46F1-815D-74BBC8419DBA}"/>
    <cellStyle name="Normal 12 2 3 3 2 3" xfId="11862" xr:uid="{336867E4-8772-45FE-819F-6D26EE9DD3D9}"/>
    <cellStyle name="Normal 12 2 3 3 3" xfId="5496" xr:uid="{00000000-0005-0000-0000-0000FE0D0000}"/>
    <cellStyle name="Normal 12 2 3 3 3 2" xfId="13935" xr:uid="{959963B1-3AE5-4287-8885-2994AD453B49}"/>
    <cellStyle name="Normal 12 2 3 3 4" xfId="9717" xr:uid="{8A1A874F-D2F8-407E-B57F-3AAB61410E8C}"/>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3" xr:uid="{80C063E4-3288-4E91-8C0D-3FD026AE5EE9}"/>
    <cellStyle name="Normal 12 2 3 4 2 3" xfId="12275" xr:uid="{905C2412-39F7-4D5E-9B87-22130FD53E83}"/>
    <cellStyle name="Normal 12 2 3 4 3" xfId="5909" xr:uid="{00000000-0005-0000-0000-0000020E0000}"/>
    <cellStyle name="Normal 12 2 3 4 3 2" xfId="14348" xr:uid="{0CC16258-CE48-4785-B17B-DA34F00671EB}"/>
    <cellStyle name="Normal 12 2 3 4 4" xfId="10130" xr:uid="{FED0BA59-04B2-411C-BBB3-12C48EF6200A}"/>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6" xr:uid="{C9A74590-62DD-4429-8815-38A48D39BC9C}"/>
    <cellStyle name="Normal 12 2 3 5 2 3" xfId="12688" xr:uid="{C1A36A7B-981E-4120-98E0-56E743B76B34}"/>
    <cellStyle name="Normal 12 2 3 5 3" xfId="6322" xr:uid="{00000000-0005-0000-0000-0000060E0000}"/>
    <cellStyle name="Normal 12 2 3 5 3 2" xfId="14761" xr:uid="{A49771A4-7E59-4F9B-924F-83F16EE4383D}"/>
    <cellStyle name="Normal 12 2 3 5 4" xfId="10543" xr:uid="{ADC009D0-F105-41D0-8BFB-98551318CEDC}"/>
    <cellStyle name="Normal 12 2 3 6" xfId="2451" xr:uid="{00000000-0005-0000-0000-0000070E0000}"/>
    <cellStyle name="Normal 12 2 3 6 2" xfId="6735" xr:uid="{00000000-0005-0000-0000-0000080E0000}"/>
    <cellStyle name="Normal 12 2 3 6 2 2" xfId="15174" xr:uid="{67F847D1-9F47-4B25-BCAF-ECD184885D3C}"/>
    <cellStyle name="Normal 12 2 3 6 3" xfId="10956" xr:uid="{1B282BFF-9281-492B-B2B4-ACD86EEBF9C0}"/>
    <cellStyle name="Normal 12 2 3 7" xfId="4669" xr:uid="{00000000-0005-0000-0000-0000090E0000}"/>
    <cellStyle name="Normal 12 2 3 7 2" xfId="13108" xr:uid="{50FA74CB-42B7-49EF-BC28-7270B432DA0E}"/>
    <cellStyle name="Normal 12 2 3 8" xfId="8890" xr:uid="{E57476E8-D609-4A98-BC4D-A92731CAE989}"/>
    <cellStyle name="Normal 12 2 4" xfId="761" xr:uid="{00000000-0005-0000-0000-00000A0E0000}"/>
    <cellStyle name="Normal 12 2 4 2" xfId="3002" xr:uid="{00000000-0005-0000-0000-00000B0E0000}"/>
    <cellStyle name="Normal 12 2 4 2 2" xfId="7225" xr:uid="{00000000-0005-0000-0000-00000C0E0000}"/>
    <cellStyle name="Normal 12 2 4 2 2 2" xfId="15664" xr:uid="{33A30374-D4CF-47B5-BF92-3DE610BDE6E7}"/>
    <cellStyle name="Normal 12 2 4 2 3" xfId="11446" xr:uid="{2ECFF134-9DFD-4B78-9E83-A6358B760E15}"/>
    <cellStyle name="Normal 12 2 4 3" xfId="5080" xr:uid="{00000000-0005-0000-0000-00000D0E0000}"/>
    <cellStyle name="Normal 12 2 4 3 2" xfId="13519" xr:uid="{70F9266F-F45B-4CA8-9191-BEE355BEEC5F}"/>
    <cellStyle name="Normal 12 2 4 4" xfId="9301" xr:uid="{49A330C7-BB52-47D6-8B52-4E965BDE9EC5}"/>
    <cellStyle name="Normal 12 2 5" xfId="1184" xr:uid="{00000000-0005-0000-0000-00000E0E0000}"/>
    <cellStyle name="Normal 12 2 5 2" xfId="3415" xr:uid="{00000000-0005-0000-0000-00000F0E0000}"/>
    <cellStyle name="Normal 12 2 5 2 2" xfId="7638" xr:uid="{00000000-0005-0000-0000-0000100E0000}"/>
    <cellStyle name="Normal 12 2 5 2 2 2" xfId="16077" xr:uid="{43D1F01C-2D6D-4DEA-82D7-B477D1622AE1}"/>
    <cellStyle name="Normal 12 2 5 2 3" xfId="11859" xr:uid="{0FFB31BB-44D7-4596-86E1-80B9C0489D6D}"/>
    <cellStyle name="Normal 12 2 5 3" xfId="5493" xr:uid="{00000000-0005-0000-0000-0000110E0000}"/>
    <cellStyle name="Normal 12 2 5 3 2" xfId="13932" xr:uid="{20849B3F-F94D-4225-916B-CCBE215F4316}"/>
    <cellStyle name="Normal 12 2 5 4" xfId="9714" xr:uid="{DEFFB9E7-BF0C-4306-A31E-EAF32FEAE93A}"/>
    <cellStyle name="Normal 12 2 6" xfId="1598" xr:uid="{00000000-0005-0000-0000-0000120E0000}"/>
    <cellStyle name="Normal 12 2 6 2" xfId="3828" xr:uid="{00000000-0005-0000-0000-0000130E0000}"/>
    <cellStyle name="Normal 12 2 6 2 2" xfId="8051" xr:uid="{00000000-0005-0000-0000-0000140E0000}"/>
    <cellStyle name="Normal 12 2 6 2 2 2" xfId="16490" xr:uid="{11EA021D-C2BC-46F9-8D7A-D91D8CA6276A}"/>
    <cellStyle name="Normal 12 2 6 2 3" xfId="12272" xr:uid="{BD7E79AD-66F2-4844-9847-EA9F91547309}"/>
    <cellStyle name="Normal 12 2 6 3" xfId="5906" xr:uid="{00000000-0005-0000-0000-0000150E0000}"/>
    <cellStyle name="Normal 12 2 6 3 2" xfId="14345" xr:uid="{C9167E06-F8E9-4F0D-965D-4DCC012A1A62}"/>
    <cellStyle name="Normal 12 2 6 4" xfId="10127" xr:uid="{2BC3C9D4-F649-4009-A5B8-E31A285114BD}"/>
    <cellStyle name="Normal 12 2 7" xfId="2012" xr:uid="{00000000-0005-0000-0000-0000160E0000}"/>
    <cellStyle name="Normal 12 2 7 2" xfId="4241" xr:uid="{00000000-0005-0000-0000-0000170E0000}"/>
    <cellStyle name="Normal 12 2 7 2 2" xfId="8464" xr:uid="{00000000-0005-0000-0000-0000180E0000}"/>
    <cellStyle name="Normal 12 2 7 2 2 2" xfId="16903" xr:uid="{29263FCD-04D0-4011-B738-0F86D8740951}"/>
    <cellStyle name="Normal 12 2 7 2 3" xfId="12685" xr:uid="{8B73C860-D496-41DD-8717-551E97555D5B}"/>
    <cellStyle name="Normal 12 2 7 3" xfId="6319" xr:uid="{00000000-0005-0000-0000-0000190E0000}"/>
    <cellStyle name="Normal 12 2 7 3 2" xfId="14758" xr:uid="{6DEDAC8A-1748-48E9-B46A-28D5D8D2E1CD}"/>
    <cellStyle name="Normal 12 2 7 4" xfId="10540" xr:uid="{8B6EDD48-B43F-44C8-AB4D-47C61F4202CF}"/>
    <cellStyle name="Normal 12 2 8" xfId="2448" xr:uid="{00000000-0005-0000-0000-00001A0E0000}"/>
    <cellStyle name="Normal 12 2 8 2" xfId="6732" xr:uid="{00000000-0005-0000-0000-00001B0E0000}"/>
    <cellStyle name="Normal 12 2 8 2 2" xfId="15171" xr:uid="{27AFE833-F7F5-4D2C-BC65-15987F786F0D}"/>
    <cellStyle name="Normal 12 2 8 3" xfId="10953" xr:uid="{F00EB6EB-3AD3-4E5F-9C33-FCB58F041F3B}"/>
    <cellStyle name="Normal 12 2 9" xfId="4666" xr:uid="{00000000-0005-0000-0000-00001C0E0000}"/>
    <cellStyle name="Normal 12 2 9 2" xfId="13105" xr:uid="{9D1C2B03-4FEA-491D-889E-F380C335F8BD}"/>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69" xr:uid="{269A0602-2A2A-4B21-8D0E-E21113850D17}"/>
    <cellStyle name="Normal 12 3 2 2 2 3" xfId="11451" xr:uid="{72239689-BE58-4A85-8FA3-2C3498E7B112}"/>
    <cellStyle name="Normal 12 3 2 2 3" xfId="5085" xr:uid="{00000000-0005-0000-0000-0000220E0000}"/>
    <cellStyle name="Normal 12 3 2 2 3 2" xfId="13524" xr:uid="{0B988EAF-F490-488D-BBB3-65A47D44FA63}"/>
    <cellStyle name="Normal 12 3 2 2 4" xfId="9306" xr:uid="{4E6DE673-5B21-4BEE-B98B-DF3156E1FF3B}"/>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2" xr:uid="{EDF03791-2C83-4D19-A847-938DC0A00E26}"/>
    <cellStyle name="Normal 12 3 2 3 2 3" xfId="11864" xr:uid="{039514C2-E90D-4BA8-9FAC-3713A0B71664}"/>
    <cellStyle name="Normal 12 3 2 3 3" xfId="5498" xr:uid="{00000000-0005-0000-0000-0000260E0000}"/>
    <cellStyle name="Normal 12 3 2 3 3 2" xfId="13937" xr:uid="{FF9D079C-4935-4031-9405-6CD189D1E52A}"/>
    <cellStyle name="Normal 12 3 2 3 4" xfId="9719" xr:uid="{D41E7AF9-7285-438B-A127-9A531E5482EC}"/>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5" xr:uid="{9909AA33-DC08-4A02-B648-DEA8FF3AF270}"/>
    <cellStyle name="Normal 12 3 2 4 2 3" xfId="12277" xr:uid="{78998311-DC8C-4007-8198-F31A85DA27EE}"/>
    <cellStyle name="Normal 12 3 2 4 3" xfId="5911" xr:uid="{00000000-0005-0000-0000-00002A0E0000}"/>
    <cellStyle name="Normal 12 3 2 4 3 2" xfId="14350" xr:uid="{B20158E1-4C6A-4770-A839-BF2312228945}"/>
    <cellStyle name="Normal 12 3 2 4 4" xfId="10132" xr:uid="{ED6632C8-DA4B-47F2-8533-C3BBCE9D6A1E}"/>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08" xr:uid="{F18DB4D5-26D7-4DB6-A2CF-66BAB0E1DFB5}"/>
    <cellStyle name="Normal 12 3 2 5 2 3" xfId="12690" xr:uid="{DA15DE1B-66E0-490B-9C95-1043AED7A746}"/>
    <cellStyle name="Normal 12 3 2 5 3" xfId="6324" xr:uid="{00000000-0005-0000-0000-00002E0E0000}"/>
    <cellStyle name="Normal 12 3 2 5 3 2" xfId="14763" xr:uid="{D3ED991B-E2C7-4622-89DA-8BFB2D8DA6A8}"/>
    <cellStyle name="Normal 12 3 2 5 4" xfId="10545" xr:uid="{F19896A8-DCCE-429B-B255-D3230137C741}"/>
    <cellStyle name="Normal 12 3 2 6" xfId="2453" xr:uid="{00000000-0005-0000-0000-00002F0E0000}"/>
    <cellStyle name="Normal 12 3 2 6 2" xfId="6737" xr:uid="{00000000-0005-0000-0000-0000300E0000}"/>
    <cellStyle name="Normal 12 3 2 6 2 2" xfId="15176" xr:uid="{9830BF1D-69AA-4AC3-B90E-23998A5FD629}"/>
    <cellStyle name="Normal 12 3 2 6 3" xfId="10958" xr:uid="{2DE91182-893C-442F-A294-DD4A677DD768}"/>
    <cellStyle name="Normal 12 3 2 7" xfId="4671" xr:uid="{00000000-0005-0000-0000-0000310E0000}"/>
    <cellStyle name="Normal 12 3 2 7 2" xfId="13110" xr:uid="{F3EEC5EA-B101-467A-B07F-E7CD9AEEE275}"/>
    <cellStyle name="Normal 12 3 2 8" xfId="8892" xr:uid="{A5AAE056-3E2F-4631-8EC6-A8EEE4945E8A}"/>
    <cellStyle name="Normal 12 3 3" xfId="765" xr:uid="{00000000-0005-0000-0000-0000320E0000}"/>
    <cellStyle name="Normal 12 3 3 2" xfId="3006" xr:uid="{00000000-0005-0000-0000-0000330E0000}"/>
    <cellStyle name="Normal 12 3 3 2 2" xfId="7229" xr:uid="{00000000-0005-0000-0000-0000340E0000}"/>
    <cellStyle name="Normal 12 3 3 2 2 2" xfId="15668" xr:uid="{93FA7060-9B01-4BE2-A4FA-672D32A23FD4}"/>
    <cellStyle name="Normal 12 3 3 2 3" xfId="11450" xr:uid="{C03A271A-B7DD-4F68-85D8-5139A5AFF504}"/>
    <cellStyle name="Normal 12 3 3 3" xfId="5084" xr:uid="{00000000-0005-0000-0000-0000350E0000}"/>
    <cellStyle name="Normal 12 3 3 3 2" xfId="13523" xr:uid="{81EE7F07-3397-41C6-AE61-07134AB0A1DD}"/>
    <cellStyle name="Normal 12 3 3 4" xfId="9305" xr:uid="{E5953438-9E14-4A37-B480-E672A631A399}"/>
    <cellStyle name="Normal 12 3 4" xfId="1188" xr:uid="{00000000-0005-0000-0000-0000360E0000}"/>
    <cellStyle name="Normal 12 3 4 2" xfId="3419" xr:uid="{00000000-0005-0000-0000-0000370E0000}"/>
    <cellStyle name="Normal 12 3 4 2 2" xfId="7642" xr:uid="{00000000-0005-0000-0000-0000380E0000}"/>
    <cellStyle name="Normal 12 3 4 2 2 2" xfId="16081" xr:uid="{659DE071-C443-4A31-BE6A-60465FED2E73}"/>
    <cellStyle name="Normal 12 3 4 2 3" xfId="11863" xr:uid="{7C488103-829A-454F-A445-FD4FE07F17D0}"/>
    <cellStyle name="Normal 12 3 4 3" xfId="5497" xr:uid="{00000000-0005-0000-0000-0000390E0000}"/>
    <cellStyle name="Normal 12 3 4 3 2" xfId="13936" xr:uid="{E12631F6-9227-45C3-BD76-0E6487B0982C}"/>
    <cellStyle name="Normal 12 3 4 4" xfId="9718" xr:uid="{FD296A65-0898-4CD0-AD90-B4714E5B63BD}"/>
    <cellStyle name="Normal 12 3 5" xfId="1602" xr:uid="{00000000-0005-0000-0000-00003A0E0000}"/>
    <cellStyle name="Normal 12 3 5 2" xfId="3832" xr:uid="{00000000-0005-0000-0000-00003B0E0000}"/>
    <cellStyle name="Normal 12 3 5 2 2" xfId="8055" xr:uid="{00000000-0005-0000-0000-00003C0E0000}"/>
    <cellStyle name="Normal 12 3 5 2 2 2" xfId="16494" xr:uid="{6F7CA92B-9320-480F-8663-62047894F7F1}"/>
    <cellStyle name="Normal 12 3 5 2 3" xfId="12276" xr:uid="{889BFA1B-7560-4792-AD17-F3D285AB59E6}"/>
    <cellStyle name="Normal 12 3 5 3" xfId="5910" xr:uid="{00000000-0005-0000-0000-00003D0E0000}"/>
    <cellStyle name="Normal 12 3 5 3 2" xfId="14349" xr:uid="{A844EB0C-C222-4FE5-AE0B-CA232988BD85}"/>
    <cellStyle name="Normal 12 3 5 4" xfId="10131" xr:uid="{1ED29BF7-FCC7-4650-B263-F6EF6BE657FC}"/>
    <cellStyle name="Normal 12 3 6" xfId="2016" xr:uid="{00000000-0005-0000-0000-00003E0E0000}"/>
    <cellStyle name="Normal 12 3 6 2" xfId="4245" xr:uid="{00000000-0005-0000-0000-00003F0E0000}"/>
    <cellStyle name="Normal 12 3 6 2 2" xfId="8468" xr:uid="{00000000-0005-0000-0000-0000400E0000}"/>
    <cellStyle name="Normal 12 3 6 2 2 2" xfId="16907" xr:uid="{B27713BB-78DE-45D0-851C-6CE7190A02AB}"/>
    <cellStyle name="Normal 12 3 6 2 3" xfId="12689" xr:uid="{8A53CC68-EB6D-4513-AAB9-861C3401E3CC}"/>
    <cellStyle name="Normal 12 3 6 3" xfId="6323" xr:uid="{00000000-0005-0000-0000-0000410E0000}"/>
    <cellStyle name="Normal 12 3 6 3 2" xfId="14762" xr:uid="{25F1D3F6-1B94-443C-A2D3-FD9BB10FDF24}"/>
    <cellStyle name="Normal 12 3 6 4" xfId="10544" xr:uid="{C987DC57-25F0-4FA2-B5A3-DFCFB6EDE9FB}"/>
    <cellStyle name="Normal 12 3 7" xfId="2452" xr:uid="{00000000-0005-0000-0000-0000420E0000}"/>
    <cellStyle name="Normal 12 3 7 2" xfId="6736" xr:uid="{00000000-0005-0000-0000-0000430E0000}"/>
    <cellStyle name="Normal 12 3 7 2 2" xfId="15175" xr:uid="{E3705B77-F486-4A72-8393-C75F24D394C7}"/>
    <cellStyle name="Normal 12 3 7 3" xfId="10957" xr:uid="{05B535E4-89BF-41C8-941C-CB330B5A6BC3}"/>
    <cellStyle name="Normal 12 3 8" xfId="4670" xr:uid="{00000000-0005-0000-0000-0000440E0000}"/>
    <cellStyle name="Normal 12 3 8 2" xfId="13109" xr:uid="{A0058DB3-7421-4211-9AA4-552EA2B59899}"/>
    <cellStyle name="Normal 12 3 9" xfId="8891" xr:uid="{9747CC61-CD8F-4DB4-A4FA-1F1D40C4C60D}"/>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0" xr:uid="{26B89E66-5A02-4B86-8B43-F31F7F6885FE}"/>
    <cellStyle name="Normal 12 4 2 2 3" xfId="11452" xr:uid="{9D4EE7BC-ADB2-4FEA-8C14-C24ECB81166D}"/>
    <cellStyle name="Normal 12 4 2 3" xfId="5086" xr:uid="{00000000-0005-0000-0000-0000490E0000}"/>
    <cellStyle name="Normal 12 4 2 3 2" xfId="13525" xr:uid="{A429447A-6E8C-4A2F-9766-D619405A965B}"/>
    <cellStyle name="Normal 12 4 2 4" xfId="9307" xr:uid="{F2331A24-A861-4AB5-B24A-A4F009766A4A}"/>
    <cellStyle name="Normal 12 4 3" xfId="1190" xr:uid="{00000000-0005-0000-0000-00004A0E0000}"/>
    <cellStyle name="Normal 12 4 3 2" xfId="3421" xr:uid="{00000000-0005-0000-0000-00004B0E0000}"/>
    <cellStyle name="Normal 12 4 3 2 2" xfId="7644" xr:uid="{00000000-0005-0000-0000-00004C0E0000}"/>
    <cellStyle name="Normal 12 4 3 2 2 2" xfId="16083" xr:uid="{CE0F23B6-658F-4CF3-8EE3-BDF064B117C0}"/>
    <cellStyle name="Normal 12 4 3 2 3" xfId="11865" xr:uid="{CF7CCA45-E30E-4687-997F-ADE609746E56}"/>
    <cellStyle name="Normal 12 4 3 3" xfId="5499" xr:uid="{00000000-0005-0000-0000-00004D0E0000}"/>
    <cellStyle name="Normal 12 4 3 3 2" xfId="13938" xr:uid="{B242C598-77D1-476E-8C76-744C7EEF35C6}"/>
    <cellStyle name="Normal 12 4 3 4" xfId="9720" xr:uid="{33426C8B-98CF-44A3-9F78-04AC28093C5E}"/>
    <cellStyle name="Normal 12 4 4" xfId="1604" xr:uid="{00000000-0005-0000-0000-00004E0E0000}"/>
    <cellStyle name="Normal 12 4 4 2" xfId="3834" xr:uid="{00000000-0005-0000-0000-00004F0E0000}"/>
    <cellStyle name="Normal 12 4 4 2 2" xfId="8057" xr:uid="{00000000-0005-0000-0000-0000500E0000}"/>
    <cellStyle name="Normal 12 4 4 2 2 2" xfId="16496" xr:uid="{54AF31BD-ADB9-4EC4-A5DD-E743396D54B7}"/>
    <cellStyle name="Normal 12 4 4 2 3" xfId="12278" xr:uid="{2D0A716E-47A9-4620-A903-AC82E65A6949}"/>
    <cellStyle name="Normal 12 4 4 3" xfId="5912" xr:uid="{00000000-0005-0000-0000-0000510E0000}"/>
    <cellStyle name="Normal 12 4 4 3 2" xfId="14351" xr:uid="{E6169C64-17C3-4FA9-AB4D-780C186FDD0F}"/>
    <cellStyle name="Normal 12 4 4 4" xfId="10133" xr:uid="{0BADB63E-C1A3-46B0-A0A8-85F5E7B67674}"/>
    <cellStyle name="Normal 12 4 5" xfId="2018" xr:uid="{00000000-0005-0000-0000-0000520E0000}"/>
    <cellStyle name="Normal 12 4 5 2" xfId="4247" xr:uid="{00000000-0005-0000-0000-0000530E0000}"/>
    <cellStyle name="Normal 12 4 5 2 2" xfId="8470" xr:uid="{00000000-0005-0000-0000-0000540E0000}"/>
    <cellStyle name="Normal 12 4 5 2 2 2" xfId="16909" xr:uid="{7285AE42-215D-4E5A-BB65-4F4F1C69E890}"/>
    <cellStyle name="Normal 12 4 5 2 3" xfId="12691" xr:uid="{31472876-9844-464C-AE8F-6067C7140F8E}"/>
    <cellStyle name="Normal 12 4 5 3" xfId="6325" xr:uid="{00000000-0005-0000-0000-0000550E0000}"/>
    <cellStyle name="Normal 12 4 5 3 2" xfId="14764" xr:uid="{98E58A1E-53B3-4F1E-9A8E-471B532D7E34}"/>
    <cellStyle name="Normal 12 4 5 4" xfId="10546" xr:uid="{276946BE-DC74-4675-9C1B-743B759785C4}"/>
    <cellStyle name="Normal 12 4 6" xfId="2454" xr:uid="{00000000-0005-0000-0000-0000560E0000}"/>
    <cellStyle name="Normal 12 4 6 2" xfId="6738" xr:uid="{00000000-0005-0000-0000-0000570E0000}"/>
    <cellStyle name="Normal 12 4 6 2 2" xfId="15177" xr:uid="{6B442FF5-3DE8-4413-8892-9D8224866D75}"/>
    <cellStyle name="Normal 12 4 6 3" xfId="10959" xr:uid="{BD7843C1-F708-4510-813E-1753427DFFC3}"/>
    <cellStyle name="Normal 12 4 7" xfId="4672" xr:uid="{00000000-0005-0000-0000-0000580E0000}"/>
    <cellStyle name="Normal 12 4 7 2" xfId="13111" xr:uid="{4D6BA0F5-29BE-44AF-8ECC-7C676AA5EFBA}"/>
    <cellStyle name="Normal 12 4 8" xfId="8893" xr:uid="{925019C2-256C-43F4-BF77-5687C56216A1}"/>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3" xr:uid="{4AD42E2F-74E6-44B9-B6C6-CAD4D140D665}"/>
    <cellStyle name="Normal 12 6 2 3" xfId="11445" xr:uid="{7C474E17-1A1A-445C-9D72-A668AECB8AAE}"/>
    <cellStyle name="Normal 12 6 3" xfId="5079" xr:uid="{00000000-0005-0000-0000-00005D0E0000}"/>
    <cellStyle name="Normal 12 6 3 2" xfId="13518" xr:uid="{CE39124A-E580-4C6E-AA1D-58EF4E65C1DF}"/>
    <cellStyle name="Normal 12 6 4" xfId="9300" xr:uid="{8A516868-9367-4D03-B81E-3577A983ABF4}"/>
    <cellStyle name="Normal 12 7" xfId="1183" xr:uid="{00000000-0005-0000-0000-00005E0E0000}"/>
    <cellStyle name="Normal 12 7 2" xfId="3414" xr:uid="{00000000-0005-0000-0000-00005F0E0000}"/>
    <cellStyle name="Normal 12 7 2 2" xfId="7637" xr:uid="{00000000-0005-0000-0000-0000600E0000}"/>
    <cellStyle name="Normal 12 7 2 2 2" xfId="16076" xr:uid="{36DFDA2B-0B1A-4CBA-BEC3-678A32B2B82A}"/>
    <cellStyle name="Normal 12 7 2 3" xfId="11858" xr:uid="{F2BEEA12-69A4-43C5-B4E9-403D1EEE648C}"/>
    <cellStyle name="Normal 12 7 3" xfId="5492" xr:uid="{00000000-0005-0000-0000-0000610E0000}"/>
    <cellStyle name="Normal 12 7 3 2" xfId="13931" xr:uid="{D3B74EF2-36AA-4B17-A9B2-7BD3E545F1CC}"/>
    <cellStyle name="Normal 12 7 4" xfId="9713" xr:uid="{FEFFB439-76DF-4D16-A451-C003D30DC798}"/>
    <cellStyle name="Normal 12 8" xfId="1597" xr:uid="{00000000-0005-0000-0000-0000620E0000}"/>
    <cellStyle name="Normal 12 8 2" xfId="3827" xr:uid="{00000000-0005-0000-0000-0000630E0000}"/>
    <cellStyle name="Normal 12 8 2 2" xfId="8050" xr:uid="{00000000-0005-0000-0000-0000640E0000}"/>
    <cellStyle name="Normal 12 8 2 2 2" xfId="16489" xr:uid="{7C593BB2-4DC1-4789-A8B9-56B892D89BA6}"/>
    <cellStyle name="Normal 12 8 2 3" xfId="12271" xr:uid="{D12DCFA9-C1AB-44A7-9B95-AF7A915336D0}"/>
    <cellStyle name="Normal 12 8 3" xfId="5905" xr:uid="{00000000-0005-0000-0000-0000650E0000}"/>
    <cellStyle name="Normal 12 8 3 2" xfId="14344" xr:uid="{6F988ED0-B57A-489D-91DD-632C444F1F98}"/>
    <cellStyle name="Normal 12 8 4" xfId="10126" xr:uid="{FF41FC35-0EB3-42FD-8C74-0A817272F97E}"/>
    <cellStyle name="Normal 12 9" xfId="2011" xr:uid="{00000000-0005-0000-0000-0000660E0000}"/>
    <cellStyle name="Normal 12 9 2" xfId="4240" xr:uid="{00000000-0005-0000-0000-0000670E0000}"/>
    <cellStyle name="Normal 12 9 2 2" xfId="8463" xr:uid="{00000000-0005-0000-0000-0000680E0000}"/>
    <cellStyle name="Normal 12 9 2 2 2" xfId="16902" xr:uid="{86B3A8ED-9F70-47D9-AF30-57F38339232B}"/>
    <cellStyle name="Normal 12 9 2 3" xfId="12684" xr:uid="{80CF6060-0E09-404E-91A0-4D75E7D8728C}"/>
    <cellStyle name="Normal 12 9 3" xfId="6318" xr:uid="{00000000-0005-0000-0000-0000690E0000}"/>
    <cellStyle name="Normal 12 9 3 2" xfId="14757" xr:uid="{61F7A93F-AEA0-44A6-AAB5-FD04BF820DEF}"/>
    <cellStyle name="Normal 12 9 4" xfId="10539" xr:uid="{40E1893D-33EE-4E3C-98B3-3C9F0DC56963}"/>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1" xr:uid="{7DB243A1-BDDF-4921-881A-9844846FD537}"/>
    <cellStyle name="Normal 14 2 2 3" xfId="11453" xr:uid="{66CD20BB-E939-425A-9029-51B1B9657FE8}"/>
    <cellStyle name="Normal 14 2 3" xfId="5087" xr:uid="{00000000-0005-0000-0000-0000700E0000}"/>
    <cellStyle name="Normal 14 2 3 2" xfId="13526" xr:uid="{635B8AEF-E41E-41E1-B414-14AE911541FD}"/>
    <cellStyle name="Normal 14 2 4" xfId="9308" xr:uid="{07D0AE14-4C79-4E39-BAA2-739706DC05ED}"/>
    <cellStyle name="Normal 14 3" xfId="1191" xr:uid="{00000000-0005-0000-0000-0000710E0000}"/>
    <cellStyle name="Normal 14 3 2" xfId="3422" xr:uid="{00000000-0005-0000-0000-0000720E0000}"/>
    <cellStyle name="Normal 14 3 2 2" xfId="7645" xr:uid="{00000000-0005-0000-0000-0000730E0000}"/>
    <cellStyle name="Normal 14 3 2 2 2" xfId="16084" xr:uid="{40117D1C-9208-463E-9A8C-7B9863C837DF}"/>
    <cellStyle name="Normal 14 3 2 3" xfId="11866" xr:uid="{73EBEF15-F27F-4C0B-A4A4-33779D0239FA}"/>
    <cellStyle name="Normal 14 3 3" xfId="5500" xr:uid="{00000000-0005-0000-0000-0000740E0000}"/>
    <cellStyle name="Normal 14 3 3 2" xfId="13939" xr:uid="{18E026AA-F213-4D3E-8484-59E6A2287811}"/>
    <cellStyle name="Normal 14 3 4" xfId="9721" xr:uid="{021B2166-B0A5-4129-90C1-741D1E0301AF}"/>
    <cellStyle name="Normal 14 4" xfId="1605" xr:uid="{00000000-0005-0000-0000-0000750E0000}"/>
    <cellStyle name="Normal 14 4 2" xfId="3835" xr:uid="{00000000-0005-0000-0000-0000760E0000}"/>
    <cellStyle name="Normal 14 4 2 2" xfId="8058" xr:uid="{00000000-0005-0000-0000-0000770E0000}"/>
    <cellStyle name="Normal 14 4 2 2 2" xfId="16497" xr:uid="{C45A4616-701E-4828-915A-358EABC0E4B7}"/>
    <cellStyle name="Normal 14 4 2 3" xfId="12279" xr:uid="{4835C8C9-0C8E-4D84-A4EC-A2F2BF6D2959}"/>
    <cellStyle name="Normal 14 4 3" xfId="5913" xr:uid="{00000000-0005-0000-0000-0000780E0000}"/>
    <cellStyle name="Normal 14 4 3 2" xfId="14352" xr:uid="{5CA34197-4961-4EE7-BA5B-247ECEA0D844}"/>
    <cellStyle name="Normal 14 4 4" xfId="10134" xr:uid="{514CB029-D654-46C5-9703-231841DD3FE3}"/>
    <cellStyle name="Normal 14 5" xfId="2019" xr:uid="{00000000-0005-0000-0000-0000790E0000}"/>
    <cellStyle name="Normal 14 5 2" xfId="4248" xr:uid="{00000000-0005-0000-0000-00007A0E0000}"/>
    <cellStyle name="Normal 14 5 2 2" xfId="8471" xr:uid="{00000000-0005-0000-0000-00007B0E0000}"/>
    <cellStyle name="Normal 14 5 2 2 2" xfId="16910" xr:uid="{7701637F-7F0D-4266-A660-DCF93F870C81}"/>
    <cellStyle name="Normal 14 5 2 3" xfId="12692" xr:uid="{E3BECE0C-0DBD-4365-AEC2-1E22E6BCB916}"/>
    <cellStyle name="Normal 14 5 3" xfId="6326" xr:uid="{00000000-0005-0000-0000-00007C0E0000}"/>
    <cellStyle name="Normal 14 5 3 2" xfId="14765" xr:uid="{4F75086F-C004-4D05-80FC-971CC76A4AC8}"/>
    <cellStyle name="Normal 14 5 4" xfId="10547" xr:uid="{FC749AFD-C55A-4EAE-AB48-4EDB4FBCE4F8}"/>
    <cellStyle name="Normal 14 6" xfId="2455" xr:uid="{00000000-0005-0000-0000-00007D0E0000}"/>
    <cellStyle name="Normal 14 6 2" xfId="6739" xr:uid="{00000000-0005-0000-0000-00007E0E0000}"/>
    <cellStyle name="Normal 14 6 2 2" xfId="15178" xr:uid="{544DE7AF-76E8-4AB4-92F7-02CFBDDC60DA}"/>
    <cellStyle name="Normal 14 6 3" xfId="10960" xr:uid="{BBE56674-B036-4B86-901B-900C2DF5C31E}"/>
    <cellStyle name="Normal 14 7" xfId="4673" xr:uid="{00000000-0005-0000-0000-00007F0E0000}"/>
    <cellStyle name="Normal 14 7 2" xfId="13112" xr:uid="{18F14D18-BA2C-42E8-9AC2-7D10ADC28733}"/>
    <cellStyle name="Normal 14 8" xfId="8894" xr:uid="{01FA7314-45B4-43EE-9706-BFB9E17D894C}"/>
    <cellStyle name="Normal 15" xfId="4496" xr:uid="{00000000-0005-0000-0000-0000800E0000}"/>
    <cellStyle name="Normal 15 2" xfId="12938" xr:uid="{CBBE630F-FFFA-4B49-81FA-68229E3C29B1}"/>
    <cellStyle name="Normal 16" xfId="4500" xr:uid="{00000000-0005-0000-0000-0000810E0000}"/>
    <cellStyle name="Normal 16 2" xfId="8716" xr:uid="{00000000-0005-0000-0000-0000820E0000}"/>
    <cellStyle name="Normal 16 2 2" xfId="17155" xr:uid="{E527EBD5-8C51-4BE2-A66A-09803BF3F6C5}"/>
    <cellStyle name="Normal 16 3" xfId="8719" xr:uid="{3DE1BEEB-61FA-4094-B10F-9E0444F68763}"/>
    <cellStyle name="Normal 16 3 2" xfId="8723" xr:uid="{FE0BC069-4698-40B2-814D-8E09719245E9}"/>
    <cellStyle name="Normal 16 3 2 2" xfId="17161" xr:uid="{78DDB7EF-F17F-4C46-BF05-178C1BE0F1CF}"/>
    <cellStyle name="Normal 16 3 3" xfId="17158" xr:uid="{840CCCEC-E9D0-4DD0-985A-DE6D1D1AAD18}"/>
    <cellStyle name="Normal 16 4" xfId="12941" xr:uid="{88719753-A56D-41C8-AE22-89A46309F6A6}"/>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1" xr:uid="{5930D6F5-ABF1-4F6D-A8AE-8AF7E7D58691}"/>
    <cellStyle name="Normal 2 4 2 10 2 3" xfId="12693" xr:uid="{ACB39AD6-674D-4BF3-A71F-509624D3270A}"/>
    <cellStyle name="Normal 2 4 2 10 3" xfId="6327" xr:uid="{00000000-0005-0000-0000-0000910E0000}"/>
    <cellStyle name="Normal 2 4 2 10 3 2" xfId="14766" xr:uid="{C53F674A-F99E-45C2-B313-59220EA5338F}"/>
    <cellStyle name="Normal 2 4 2 10 4" xfId="10548" xr:uid="{D9D63567-4773-4D68-9D95-24B33575F740}"/>
    <cellStyle name="Normal 2 4 2 11" xfId="2456" xr:uid="{00000000-0005-0000-0000-0000920E0000}"/>
    <cellStyle name="Normal 2 4 2 11 2" xfId="6740" xr:uid="{00000000-0005-0000-0000-0000930E0000}"/>
    <cellStyle name="Normal 2 4 2 11 2 2" xfId="15179" xr:uid="{7BD7C9C6-3FA1-4926-9953-1725C3DEF364}"/>
    <cellStyle name="Normal 2 4 2 11 3" xfId="10961" xr:uid="{653E934A-430B-4941-A7EA-1F90306C06CB}"/>
    <cellStyle name="Normal 2 4 2 12" xfId="4674" xr:uid="{00000000-0005-0000-0000-0000940E0000}"/>
    <cellStyle name="Normal 2 4 2 12 2" xfId="13113" xr:uid="{75E85118-8DCC-467B-8561-1BB2519C3A8F}"/>
    <cellStyle name="Normal 2 4 2 13" xfId="8895" xr:uid="{DD200B93-FF18-4384-81CC-4C44A039F395}"/>
    <cellStyle name="Normal 2 4 2 2" xfId="280" xr:uid="{00000000-0005-0000-0000-0000950E0000}"/>
    <cellStyle name="Normal 2 4 2 3" xfId="281" xr:uid="{00000000-0005-0000-0000-0000960E0000}"/>
    <cellStyle name="Normal 2 4 2 3 10" xfId="4675" xr:uid="{00000000-0005-0000-0000-0000970E0000}"/>
    <cellStyle name="Normal 2 4 2 3 10 2" xfId="13114" xr:uid="{EF2A7FC1-D30B-4D70-9527-0E6E70222A04}"/>
    <cellStyle name="Normal 2 4 2 3 11" xfId="8896" xr:uid="{F36ECA1E-095E-4A0B-B357-A23407066891}"/>
    <cellStyle name="Normal 2 4 2 3 2" xfId="282" xr:uid="{00000000-0005-0000-0000-0000980E0000}"/>
    <cellStyle name="Normal 2 4 2 3 2 10" xfId="8897" xr:uid="{14007934-E952-48C9-BE4A-6912009EBCDB}"/>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6" xr:uid="{8A5501E6-77E3-479F-8EC6-4B7531325EAA}"/>
    <cellStyle name="Normal 2 4 2 3 2 2 2 2 2 3" xfId="11458" xr:uid="{23A808CF-639B-4A5A-9F2D-DF83C30E3CE9}"/>
    <cellStyle name="Normal 2 4 2 3 2 2 2 2 3" xfId="5092" xr:uid="{00000000-0005-0000-0000-00009E0E0000}"/>
    <cellStyle name="Normal 2 4 2 3 2 2 2 2 3 2" xfId="13531" xr:uid="{20AEC5FB-A97D-46B7-8EFA-D22447312511}"/>
    <cellStyle name="Normal 2 4 2 3 2 2 2 2 4" xfId="9313" xr:uid="{C7D23F05-04A1-4101-AC79-D3D226B9213B}"/>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89" xr:uid="{6679A049-4029-46AB-87C5-A91166B4D8F6}"/>
    <cellStyle name="Normal 2 4 2 3 2 2 2 3 2 3" xfId="11871" xr:uid="{5C17E076-FFE0-4A42-A76B-21C19F3CB46E}"/>
    <cellStyle name="Normal 2 4 2 3 2 2 2 3 3" xfId="5505" xr:uid="{00000000-0005-0000-0000-0000A20E0000}"/>
    <cellStyle name="Normal 2 4 2 3 2 2 2 3 3 2" xfId="13944" xr:uid="{FD2CA623-FD55-477A-80BC-D947B9CFBEFC}"/>
    <cellStyle name="Normal 2 4 2 3 2 2 2 3 4" xfId="9726" xr:uid="{F31D399C-FAB9-41EF-B04A-E4B2AA0AA9BC}"/>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2" xr:uid="{488CEB00-D1D1-4F22-A4BB-16C206A37845}"/>
    <cellStyle name="Normal 2 4 2 3 2 2 2 4 2 3" xfId="12284" xr:uid="{28F811E7-CFC5-4D1D-8B14-29322306FFF8}"/>
    <cellStyle name="Normal 2 4 2 3 2 2 2 4 3" xfId="5918" xr:uid="{00000000-0005-0000-0000-0000A60E0000}"/>
    <cellStyle name="Normal 2 4 2 3 2 2 2 4 3 2" xfId="14357" xr:uid="{92C58564-B1E4-4A8C-94F2-1EC1994F2C1B}"/>
    <cellStyle name="Normal 2 4 2 3 2 2 2 4 4" xfId="10139" xr:uid="{5C916C8B-7E6B-49CD-9EB8-334F04032309}"/>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5" xr:uid="{9318047A-BC6F-4C45-87B4-0E43204F7D69}"/>
    <cellStyle name="Normal 2 4 2 3 2 2 2 5 2 3" xfId="12697" xr:uid="{C1C3029A-396C-473C-A5BC-8AAA83888603}"/>
    <cellStyle name="Normal 2 4 2 3 2 2 2 5 3" xfId="6331" xr:uid="{00000000-0005-0000-0000-0000AA0E0000}"/>
    <cellStyle name="Normal 2 4 2 3 2 2 2 5 3 2" xfId="14770" xr:uid="{FE7FBFD0-5897-4F32-B843-F5E9BC55CE6D}"/>
    <cellStyle name="Normal 2 4 2 3 2 2 2 5 4" xfId="10552" xr:uid="{EB0CF788-F7C7-487E-BB7D-CC72E9E00DBF}"/>
    <cellStyle name="Normal 2 4 2 3 2 2 2 6" xfId="2460" xr:uid="{00000000-0005-0000-0000-0000AB0E0000}"/>
    <cellStyle name="Normal 2 4 2 3 2 2 2 6 2" xfId="6744" xr:uid="{00000000-0005-0000-0000-0000AC0E0000}"/>
    <cellStyle name="Normal 2 4 2 3 2 2 2 6 2 2" xfId="15183" xr:uid="{82258ED8-F9C3-4CC4-89B5-402AC9F604B4}"/>
    <cellStyle name="Normal 2 4 2 3 2 2 2 6 3" xfId="10965" xr:uid="{AE9AC566-5214-4EC0-9675-19FBAD2A3C89}"/>
    <cellStyle name="Normal 2 4 2 3 2 2 2 7" xfId="4678" xr:uid="{00000000-0005-0000-0000-0000AD0E0000}"/>
    <cellStyle name="Normal 2 4 2 3 2 2 2 7 2" xfId="13117" xr:uid="{35806051-B84F-47EC-AD11-F6ADAF3DD75C}"/>
    <cellStyle name="Normal 2 4 2 3 2 2 2 8" xfId="8899" xr:uid="{DEC3C09B-C52C-4B81-9CD4-B39270BBE1FC}"/>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5" xr:uid="{BE68343A-9385-4471-9B87-C17BE22B65AA}"/>
    <cellStyle name="Normal 2 4 2 3 2 2 3 2 3" xfId="11457" xr:uid="{A1E75FA3-9154-4C84-8421-42F37114ECF6}"/>
    <cellStyle name="Normal 2 4 2 3 2 2 3 3" xfId="5091" xr:uid="{00000000-0005-0000-0000-0000B10E0000}"/>
    <cellStyle name="Normal 2 4 2 3 2 2 3 3 2" xfId="13530" xr:uid="{B29D7EB2-702B-43FC-B98D-15BFCEB650AC}"/>
    <cellStyle name="Normal 2 4 2 3 2 2 3 4" xfId="9312" xr:uid="{0AE26556-AC5A-428B-908A-C7EDFD8FA329}"/>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88" xr:uid="{DCC697DA-852A-4E1E-8317-8F0D828A4DB8}"/>
    <cellStyle name="Normal 2 4 2 3 2 2 4 2 3" xfId="11870" xr:uid="{C84219A1-E58A-4F2E-B5D7-63CC69C6316A}"/>
    <cellStyle name="Normal 2 4 2 3 2 2 4 3" xfId="5504" xr:uid="{00000000-0005-0000-0000-0000B50E0000}"/>
    <cellStyle name="Normal 2 4 2 3 2 2 4 3 2" xfId="13943" xr:uid="{14089044-2C61-4EAB-A70F-C8DD76DF0083}"/>
    <cellStyle name="Normal 2 4 2 3 2 2 4 4" xfId="9725" xr:uid="{311FA3BC-B7E4-4E3C-A936-10CAF6143BBB}"/>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1" xr:uid="{627202D3-C1C0-415C-B442-ABC613A1EE03}"/>
    <cellStyle name="Normal 2 4 2 3 2 2 5 2 3" xfId="12283" xr:uid="{72B3A005-30B0-490E-968E-2F5B57ED94EB}"/>
    <cellStyle name="Normal 2 4 2 3 2 2 5 3" xfId="5917" xr:uid="{00000000-0005-0000-0000-0000B90E0000}"/>
    <cellStyle name="Normal 2 4 2 3 2 2 5 3 2" xfId="14356" xr:uid="{B219587D-FF10-4A2E-B824-B4788C0983A9}"/>
    <cellStyle name="Normal 2 4 2 3 2 2 5 4" xfId="10138" xr:uid="{885F8D5C-C1C5-4795-8ED0-2DB7857CB91E}"/>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4" xr:uid="{78785B9B-35E6-4CB5-A65C-E60D4A5C514A}"/>
    <cellStyle name="Normal 2 4 2 3 2 2 6 2 3" xfId="12696" xr:uid="{2976B383-ED83-4346-BC3C-FCB0621AAFE6}"/>
    <cellStyle name="Normal 2 4 2 3 2 2 6 3" xfId="6330" xr:uid="{00000000-0005-0000-0000-0000BD0E0000}"/>
    <cellStyle name="Normal 2 4 2 3 2 2 6 3 2" xfId="14769" xr:uid="{5CC5D0A1-C04A-44DF-AF83-CD55FF0869F1}"/>
    <cellStyle name="Normal 2 4 2 3 2 2 6 4" xfId="10551" xr:uid="{C6FF2653-89EF-4003-9C15-CD084A6A8100}"/>
    <cellStyle name="Normal 2 4 2 3 2 2 7" xfId="2459" xr:uid="{00000000-0005-0000-0000-0000BE0E0000}"/>
    <cellStyle name="Normal 2 4 2 3 2 2 7 2" xfId="6743" xr:uid="{00000000-0005-0000-0000-0000BF0E0000}"/>
    <cellStyle name="Normal 2 4 2 3 2 2 7 2 2" xfId="15182" xr:uid="{A7685A30-7C08-43F8-A886-12C60053B0AB}"/>
    <cellStyle name="Normal 2 4 2 3 2 2 7 3" xfId="10964" xr:uid="{1307BC54-C654-4803-AB3D-88369BAE50A5}"/>
    <cellStyle name="Normal 2 4 2 3 2 2 8" xfId="4677" xr:uid="{00000000-0005-0000-0000-0000C00E0000}"/>
    <cellStyle name="Normal 2 4 2 3 2 2 8 2" xfId="13116" xr:uid="{DCCBDEF8-A59A-4A93-9291-C321D22F44B7}"/>
    <cellStyle name="Normal 2 4 2 3 2 2 9" xfId="8898" xr:uid="{49E34526-5803-4024-BDD6-E7E22203EB87}"/>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77" xr:uid="{120161E5-D53F-404C-A352-E39BFBD1BD33}"/>
    <cellStyle name="Normal 2 4 2 3 2 3 2 2 3" xfId="11459" xr:uid="{B6F7BE1A-3AB4-42CA-89C8-840843199765}"/>
    <cellStyle name="Normal 2 4 2 3 2 3 2 3" xfId="5093" xr:uid="{00000000-0005-0000-0000-0000C50E0000}"/>
    <cellStyle name="Normal 2 4 2 3 2 3 2 3 2" xfId="13532" xr:uid="{CEB573D0-A76C-486C-B61C-B710C9AA2197}"/>
    <cellStyle name="Normal 2 4 2 3 2 3 2 4" xfId="9314" xr:uid="{91F74BED-7295-4A8E-8CF5-3EAD6744962F}"/>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0" xr:uid="{9DC0528E-DA1B-497E-8664-D61EECD13660}"/>
    <cellStyle name="Normal 2 4 2 3 2 3 3 2 3" xfId="11872" xr:uid="{973041A1-2370-4018-9B4B-ECAFB1DD5D45}"/>
    <cellStyle name="Normal 2 4 2 3 2 3 3 3" xfId="5506" xr:uid="{00000000-0005-0000-0000-0000C90E0000}"/>
    <cellStyle name="Normal 2 4 2 3 2 3 3 3 2" xfId="13945" xr:uid="{72439126-464F-4489-9982-D8073F96BBCE}"/>
    <cellStyle name="Normal 2 4 2 3 2 3 3 4" xfId="9727" xr:uid="{D5E07693-DE2A-4200-9FBB-1DA00B6DAB91}"/>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3" xr:uid="{5C384EA8-A041-4287-B7D6-49E438513689}"/>
    <cellStyle name="Normal 2 4 2 3 2 3 4 2 3" xfId="12285" xr:uid="{AA773FE6-943E-4C81-81C6-0C4344514BAC}"/>
    <cellStyle name="Normal 2 4 2 3 2 3 4 3" xfId="5919" xr:uid="{00000000-0005-0000-0000-0000CD0E0000}"/>
    <cellStyle name="Normal 2 4 2 3 2 3 4 3 2" xfId="14358" xr:uid="{F59CDDD2-BBB7-4C5A-8521-483B78100128}"/>
    <cellStyle name="Normal 2 4 2 3 2 3 4 4" xfId="10140" xr:uid="{9D49E955-CD8B-45BE-922F-FE428A176841}"/>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6" xr:uid="{B2B28161-A9B2-42C4-8AEE-C9D29BA67B4F}"/>
    <cellStyle name="Normal 2 4 2 3 2 3 5 2 3" xfId="12698" xr:uid="{387F9D33-5B3E-4001-B229-BC3F1ECABCF9}"/>
    <cellStyle name="Normal 2 4 2 3 2 3 5 3" xfId="6332" xr:uid="{00000000-0005-0000-0000-0000D10E0000}"/>
    <cellStyle name="Normal 2 4 2 3 2 3 5 3 2" xfId="14771" xr:uid="{84BD647C-299D-4D3C-93B0-AF55C9BC080F}"/>
    <cellStyle name="Normal 2 4 2 3 2 3 5 4" xfId="10553" xr:uid="{F3CDC6B8-F8E4-46B1-96C2-EB2D41DC6658}"/>
    <cellStyle name="Normal 2 4 2 3 2 3 6" xfId="2461" xr:uid="{00000000-0005-0000-0000-0000D20E0000}"/>
    <cellStyle name="Normal 2 4 2 3 2 3 6 2" xfId="6745" xr:uid="{00000000-0005-0000-0000-0000D30E0000}"/>
    <cellStyle name="Normal 2 4 2 3 2 3 6 2 2" xfId="15184" xr:uid="{8F574509-2AE6-41F7-9DC0-B84E1F7EABF0}"/>
    <cellStyle name="Normal 2 4 2 3 2 3 6 3" xfId="10966" xr:uid="{75EB1D47-5C44-46FB-8778-A2C32DB3C42D}"/>
    <cellStyle name="Normal 2 4 2 3 2 3 7" xfId="4679" xr:uid="{00000000-0005-0000-0000-0000D40E0000}"/>
    <cellStyle name="Normal 2 4 2 3 2 3 7 2" xfId="13118" xr:uid="{CEA131DE-2395-4004-BA85-9F9E5402B348}"/>
    <cellStyle name="Normal 2 4 2 3 2 3 8" xfId="8900" xr:uid="{D9B5C548-6305-4122-BE43-82F2698C20BC}"/>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4" xr:uid="{941D2C09-8DB5-4B31-B949-07C84A9C994D}"/>
    <cellStyle name="Normal 2 4 2 3 2 4 2 3" xfId="11456" xr:uid="{CE0FBDBE-28B6-47FB-A998-A016749B95D5}"/>
    <cellStyle name="Normal 2 4 2 3 2 4 3" xfId="5090" xr:uid="{00000000-0005-0000-0000-0000D80E0000}"/>
    <cellStyle name="Normal 2 4 2 3 2 4 3 2" xfId="13529" xr:uid="{51DAAFA6-7A0D-429C-8FDD-77907E7E0A7C}"/>
    <cellStyle name="Normal 2 4 2 3 2 4 4" xfId="9311" xr:uid="{3F31AEDC-9978-430A-B55D-0E8912DC816C}"/>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87" xr:uid="{AF04CD88-5475-4808-8C6B-AEAF6E3053AA}"/>
    <cellStyle name="Normal 2 4 2 3 2 5 2 3" xfId="11869" xr:uid="{754E0707-8283-4CB5-BB7F-FB861EC917FB}"/>
    <cellStyle name="Normal 2 4 2 3 2 5 3" xfId="5503" xr:uid="{00000000-0005-0000-0000-0000DC0E0000}"/>
    <cellStyle name="Normal 2 4 2 3 2 5 3 2" xfId="13942" xr:uid="{14040D0F-9234-41DA-A8FF-8B2E02F25225}"/>
    <cellStyle name="Normal 2 4 2 3 2 5 4" xfId="9724" xr:uid="{F439FD01-AA7D-4224-86A3-D6D84E28BA62}"/>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0" xr:uid="{F6806266-2C88-46E1-9F64-779C96D50C56}"/>
    <cellStyle name="Normal 2 4 2 3 2 6 2 3" xfId="12282" xr:uid="{5E91D9A8-BAB2-4679-8B59-DFB480780BE2}"/>
    <cellStyle name="Normal 2 4 2 3 2 6 3" xfId="5916" xr:uid="{00000000-0005-0000-0000-0000E00E0000}"/>
    <cellStyle name="Normal 2 4 2 3 2 6 3 2" xfId="14355" xr:uid="{2D97B8E2-5D0B-4B62-9992-1521FB07DB9F}"/>
    <cellStyle name="Normal 2 4 2 3 2 6 4" xfId="10137" xr:uid="{285A0A10-52A7-4934-BFBF-0F218FE3D446}"/>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3" xr:uid="{CB7270FC-F0DE-4017-8840-2B2A3C61F9E2}"/>
    <cellStyle name="Normal 2 4 2 3 2 7 2 3" xfId="12695" xr:uid="{8F645F40-EF7B-45AE-9DA9-9CC32789FA1F}"/>
    <cellStyle name="Normal 2 4 2 3 2 7 3" xfId="6329" xr:uid="{00000000-0005-0000-0000-0000E40E0000}"/>
    <cellStyle name="Normal 2 4 2 3 2 7 3 2" xfId="14768" xr:uid="{79706A7D-FAD6-41D5-8E23-F7A119494F2E}"/>
    <cellStyle name="Normal 2 4 2 3 2 7 4" xfId="10550" xr:uid="{DDCAD737-2102-46EA-93CD-C3E6F439ED04}"/>
    <cellStyle name="Normal 2 4 2 3 2 8" xfId="2458" xr:uid="{00000000-0005-0000-0000-0000E50E0000}"/>
    <cellStyle name="Normal 2 4 2 3 2 8 2" xfId="6742" xr:uid="{00000000-0005-0000-0000-0000E60E0000}"/>
    <cellStyle name="Normal 2 4 2 3 2 8 2 2" xfId="15181" xr:uid="{290E14A2-A626-4343-99FC-91DD213F8E56}"/>
    <cellStyle name="Normal 2 4 2 3 2 8 3" xfId="10963" xr:uid="{A9D0B992-A0AE-4D87-8FE6-393A62A1C740}"/>
    <cellStyle name="Normal 2 4 2 3 2 9" xfId="4676" xr:uid="{00000000-0005-0000-0000-0000E70E0000}"/>
    <cellStyle name="Normal 2 4 2 3 2 9 2" xfId="13115" xr:uid="{60AD91D3-039F-4A2C-AB11-269DBCA7E137}"/>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79" xr:uid="{052D47E1-5896-4009-8D6C-CABC20D0C4AC}"/>
    <cellStyle name="Normal 2 4 2 3 3 2 2 2 3" xfId="11461" xr:uid="{4EB6FF50-4DF2-493D-A6DF-9528C7F44AE7}"/>
    <cellStyle name="Normal 2 4 2 3 3 2 2 3" xfId="5095" xr:uid="{00000000-0005-0000-0000-0000ED0E0000}"/>
    <cellStyle name="Normal 2 4 2 3 3 2 2 3 2" xfId="13534" xr:uid="{30A228D2-6B81-43E4-ACB9-7CA221AEBE91}"/>
    <cellStyle name="Normal 2 4 2 3 3 2 2 4" xfId="9316" xr:uid="{945C45EA-39B5-4B0E-B093-76E1A8E2D599}"/>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2" xr:uid="{A910D4F0-5F0E-49D8-9A6A-A23E5AABE72C}"/>
    <cellStyle name="Normal 2 4 2 3 3 2 3 2 3" xfId="11874" xr:uid="{55AC2B54-1AA2-4E62-84D8-5C9A2B78EE3D}"/>
    <cellStyle name="Normal 2 4 2 3 3 2 3 3" xfId="5508" xr:uid="{00000000-0005-0000-0000-0000F10E0000}"/>
    <cellStyle name="Normal 2 4 2 3 3 2 3 3 2" xfId="13947" xr:uid="{5DCEB97A-9B93-481B-9FA5-CC224DA4B9E0}"/>
    <cellStyle name="Normal 2 4 2 3 3 2 3 4" xfId="9729" xr:uid="{B874E8E9-0BC1-4379-A735-453CD9521436}"/>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5" xr:uid="{36C6344B-4A03-4087-8239-73C8D125DAFB}"/>
    <cellStyle name="Normal 2 4 2 3 3 2 4 2 3" xfId="12287" xr:uid="{D04FD7DE-5944-44D6-B795-4F564C402DEB}"/>
    <cellStyle name="Normal 2 4 2 3 3 2 4 3" xfId="5921" xr:uid="{00000000-0005-0000-0000-0000F50E0000}"/>
    <cellStyle name="Normal 2 4 2 3 3 2 4 3 2" xfId="14360" xr:uid="{D0BA4190-3A9A-4C8D-A371-A5AEE6686C32}"/>
    <cellStyle name="Normal 2 4 2 3 3 2 4 4" xfId="10142" xr:uid="{FB74E5D6-DF7D-4D30-B124-20328726B86F}"/>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18" xr:uid="{65E65B74-29DA-4056-9F2E-8E64B538F9DE}"/>
    <cellStyle name="Normal 2 4 2 3 3 2 5 2 3" xfId="12700" xr:uid="{E992F637-9555-4078-8392-84391FC59474}"/>
    <cellStyle name="Normal 2 4 2 3 3 2 5 3" xfId="6334" xr:uid="{00000000-0005-0000-0000-0000F90E0000}"/>
    <cellStyle name="Normal 2 4 2 3 3 2 5 3 2" xfId="14773" xr:uid="{7D18B45A-30B2-4E18-B55A-AA34A386B161}"/>
    <cellStyle name="Normal 2 4 2 3 3 2 5 4" xfId="10555" xr:uid="{AD233AEB-E7C7-43A8-8ACE-C5B579E2DFD3}"/>
    <cellStyle name="Normal 2 4 2 3 3 2 6" xfId="2463" xr:uid="{00000000-0005-0000-0000-0000FA0E0000}"/>
    <cellStyle name="Normal 2 4 2 3 3 2 6 2" xfId="6747" xr:uid="{00000000-0005-0000-0000-0000FB0E0000}"/>
    <cellStyle name="Normal 2 4 2 3 3 2 6 2 2" xfId="15186" xr:uid="{CF28D913-4FB8-40CE-AE14-48B3E68244CC}"/>
    <cellStyle name="Normal 2 4 2 3 3 2 6 3" xfId="10968" xr:uid="{4C6A9A54-86FE-4D23-B7BC-638AA5EBE196}"/>
    <cellStyle name="Normal 2 4 2 3 3 2 7" xfId="4681" xr:uid="{00000000-0005-0000-0000-0000FC0E0000}"/>
    <cellStyle name="Normal 2 4 2 3 3 2 7 2" xfId="13120" xr:uid="{5D988C43-601B-401D-B8E4-D4920AEAFB9E}"/>
    <cellStyle name="Normal 2 4 2 3 3 2 8" xfId="8902" xr:uid="{5CA412EA-B185-4ADB-A4C7-562A457AA931}"/>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78" xr:uid="{76AF4C1C-39E0-4ED8-AEF1-14A2AF861C36}"/>
    <cellStyle name="Normal 2 4 2 3 3 3 2 3" xfId="11460" xr:uid="{08DB74C1-8FF4-4AE8-83C9-AF725E125E83}"/>
    <cellStyle name="Normal 2 4 2 3 3 3 3" xfId="5094" xr:uid="{00000000-0005-0000-0000-0000000F0000}"/>
    <cellStyle name="Normal 2 4 2 3 3 3 3 2" xfId="13533" xr:uid="{4ABBA482-5256-4F91-A379-B4DDEEDE097F}"/>
    <cellStyle name="Normal 2 4 2 3 3 3 4" xfId="9315" xr:uid="{6E3E694D-4845-490B-9EEC-4CD4DDB97C29}"/>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1" xr:uid="{DE6C4830-E032-4AF3-8B6C-7BD656918354}"/>
    <cellStyle name="Normal 2 4 2 3 3 4 2 3" xfId="11873" xr:uid="{6CB0CF50-2B73-47E3-907A-2553ED12DDE9}"/>
    <cellStyle name="Normal 2 4 2 3 3 4 3" xfId="5507" xr:uid="{00000000-0005-0000-0000-0000040F0000}"/>
    <cellStyle name="Normal 2 4 2 3 3 4 3 2" xfId="13946" xr:uid="{61291FD4-7434-46F6-8C07-5F8D6D19016F}"/>
    <cellStyle name="Normal 2 4 2 3 3 4 4" xfId="9728" xr:uid="{7D775ED2-EB79-48AC-A0FE-76FB23AD2C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4" xr:uid="{2D56C7AB-5916-4315-BA48-DBEEB825F42E}"/>
    <cellStyle name="Normal 2 4 2 3 3 5 2 3" xfId="12286" xr:uid="{DAF80394-B074-4F3E-9E21-CD1ACDE00A74}"/>
    <cellStyle name="Normal 2 4 2 3 3 5 3" xfId="5920" xr:uid="{00000000-0005-0000-0000-0000080F0000}"/>
    <cellStyle name="Normal 2 4 2 3 3 5 3 2" xfId="14359" xr:uid="{3ED1B9D8-F078-4325-8646-3052813CBE7B}"/>
    <cellStyle name="Normal 2 4 2 3 3 5 4" xfId="10141" xr:uid="{007CBBAE-41AD-49B6-AF77-FB968DB53357}"/>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17" xr:uid="{B7293E68-7A69-46CA-B7CB-577E85045238}"/>
    <cellStyle name="Normal 2 4 2 3 3 6 2 3" xfId="12699" xr:uid="{AEBFE3C7-4D7D-48AE-8735-67EDB6DA8CD7}"/>
    <cellStyle name="Normal 2 4 2 3 3 6 3" xfId="6333" xr:uid="{00000000-0005-0000-0000-00000C0F0000}"/>
    <cellStyle name="Normal 2 4 2 3 3 6 3 2" xfId="14772" xr:uid="{BE53ECD7-8334-4EE9-B9F0-9768F0A76EFA}"/>
    <cellStyle name="Normal 2 4 2 3 3 6 4" xfId="10554" xr:uid="{89BD5CC5-D465-471B-9A8C-DC4467DEBDAF}"/>
    <cellStyle name="Normal 2 4 2 3 3 7" xfId="2462" xr:uid="{00000000-0005-0000-0000-00000D0F0000}"/>
    <cellStyle name="Normal 2 4 2 3 3 7 2" xfId="6746" xr:uid="{00000000-0005-0000-0000-00000E0F0000}"/>
    <cellStyle name="Normal 2 4 2 3 3 7 2 2" xfId="15185" xr:uid="{1C9E8955-51EE-4748-A857-3173F8B91D99}"/>
    <cellStyle name="Normal 2 4 2 3 3 7 3" xfId="10967" xr:uid="{BC16EA9A-4E9C-438F-ACD9-C11BD9C313C1}"/>
    <cellStyle name="Normal 2 4 2 3 3 8" xfId="4680" xr:uid="{00000000-0005-0000-0000-00000F0F0000}"/>
    <cellStyle name="Normal 2 4 2 3 3 8 2" xfId="13119" xr:uid="{0739DFE8-0B2F-4FE2-B268-5C8FB045BA5A}"/>
    <cellStyle name="Normal 2 4 2 3 3 9" xfId="8901" xr:uid="{EC61BFF1-6B85-405C-8A46-A4B5EE08B727}"/>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0" xr:uid="{61A6D349-8203-46E8-A638-E72DB2117101}"/>
    <cellStyle name="Normal 2 4 2 3 4 2 2 3" xfId="11462" xr:uid="{621AF79C-2EB8-4BF4-BF54-7261FA593942}"/>
    <cellStyle name="Normal 2 4 2 3 4 2 3" xfId="5096" xr:uid="{00000000-0005-0000-0000-0000140F0000}"/>
    <cellStyle name="Normal 2 4 2 3 4 2 3 2" xfId="13535" xr:uid="{EDAE853C-B3C5-42E2-95A1-D655FA8F6874}"/>
    <cellStyle name="Normal 2 4 2 3 4 2 4" xfId="9317" xr:uid="{7F73C521-5C09-4965-A6E4-7A1E8CAAF16A}"/>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3" xr:uid="{0DF610D8-AF2E-42B3-83D3-D5316FFE8663}"/>
    <cellStyle name="Normal 2 4 2 3 4 3 2 3" xfId="11875" xr:uid="{CD0DCDEC-A382-4595-8606-75087B774B74}"/>
    <cellStyle name="Normal 2 4 2 3 4 3 3" xfId="5509" xr:uid="{00000000-0005-0000-0000-0000180F0000}"/>
    <cellStyle name="Normal 2 4 2 3 4 3 3 2" xfId="13948" xr:uid="{14C4FF0E-8853-4405-908B-96232176095C}"/>
    <cellStyle name="Normal 2 4 2 3 4 3 4" xfId="9730" xr:uid="{DB71BB8D-9438-42F8-A3F7-01B2476D023F}"/>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6" xr:uid="{58D8430F-0449-4126-8221-E9F8FDCEEB9F}"/>
    <cellStyle name="Normal 2 4 2 3 4 4 2 3" xfId="12288" xr:uid="{3EC464FB-9A02-4325-94CE-EF57EDC89470}"/>
    <cellStyle name="Normal 2 4 2 3 4 4 3" xfId="5922" xr:uid="{00000000-0005-0000-0000-00001C0F0000}"/>
    <cellStyle name="Normal 2 4 2 3 4 4 3 2" xfId="14361" xr:uid="{4FCFCF3D-12E4-4F6A-8B5E-3D109C9BC0E5}"/>
    <cellStyle name="Normal 2 4 2 3 4 4 4" xfId="10143" xr:uid="{129F9198-970D-466E-B4C4-088CDE6507C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19" xr:uid="{46750391-3D27-42E3-BB2D-488FF7B91B50}"/>
    <cellStyle name="Normal 2 4 2 3 4 5 2 3" xfId="12701" xr:uid="{1354C765-2B24-4A6E-AB85-C2ABA80DB6B4}"/>
    <cellStyle name="Normal 2 4 2 3 4 5 3" xfId="6335" xr:uid="{00000000-0005-0000-0000-0000200F0000}"/>
    <cellStyle name="Normal 2 4 2 3 4 5 3 2" xfId="14774" xr:uid="{4EC21526-42F5-4FA0-8268-CBDD9F59C955}"/>
    <cellStyle name="Normal 2 4 2 3 4 5 4" xfId="10556" xr:uid="{5DAEFAE7-68A9-48D1-AAF5-A7D08C3823C2}"/>
    <cellStyle name="Normal 2 4 2 3 4 6" xfId="2464" xr:uid="{00000000-0005-0000-0000-0000210F0000}"/>
    <cellStyle name="Normal 2 4 2 3 4 6 2" xfId="6748" xr:uid="{00000000-0005-0000-0000-0000220F0000}"/>
    <cellStyle name="Normal 2 4 2 3 4 6 2 2" xfId="15187" xr:uid="{247BB7DC-5A67-4CDD-B454-C101FD919712}"/>
    <cellStyle name="Normal 2 4 2 3 4 6 3" xfId="10969" xr:uid="{07EB9F92-5E34-4491-B35C-0DFCB06BCB07}"/>
    <cellStyle name="Normal 2 4 2 3 4 7" xfId="4682" xr:uid="{00000000-0005-0000-0000-0000230F0000}"/>
    <cellStyle name="Normal 2 4 2 3 4 7 2" xfId="13121" xr:uid="{F8E64682-C3F4-43A3-B252-940D00BC63FE}"/>
    <cellStyle name="Normal 2 4 2 3 4 8" xfId="8903" xr:uid="{260DBF29-620F-4AFE-A61C-827C3B1D95B0}"/>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3" xr:uid="{42993F44-B1C4-44A0-A1FD-97C67AD89FDC}"/>
    <cellStyle name="Normal 2 4 2 3 5 2 3" xfId="11455" xr:uid="{0B467A79-911B-4D14-B844-AC20C2A22B18}"/>
    <cellStyle name="Normal 2 4 2 3 5 3" xfId="5089" xr:uid="{00000000-0005-0000-0000-0000270F0000}"/>
    <cellStyle name="Normal 2 4 2 3 5 3 2" xfId="13528" xr:uid="{D7A190BD-8089-4EF6-9D7F-0778685A12B2}"/>
    <cellStyle name="Normal 2 4 2 3 5 4" xfId="9310" xr:uid="{A2061A8C-7913-4204-856F-29C7CCEAACCC}"/>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6" xr:uid="{32A2606E-D047-485E-9FD8-A5ACFE15B08A}"/>
    <cellStyle name="Normal 2 4 2 3 6 2 3" xfId="11868" xr:uid="{171FD914-A1D0-4755-8D86-CF8EF6490401}"/>
    <cellStyle name="Normal 2 4 2 3 6 3" xfId="5502" xr:uid="{00000000-0005-0000-0000-00002B0F0000}"/>
    <cellStyle name="Normal 2 4 2 3 6 3 2" xfId="13941" xr:uid="{96CFEE16-795C-4AA1-8AFD-DB9C89C221AB}"/>
    <cellStyle name="Normal 2 4 2 3 6 4" xfId="9723" xr:uid="{8D27131B-9EE4-4953-8BC0-85E90865038C}"/>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499" xr:uid="{D7BC0291-4A09-45B1-BC24-EE1A58EECE61}"/>
    <cellStyle name="Normal 2 4 2 3 7 2 3" xfId="12281" xr:uid="{62F219BF-7820-4584-B6B2-FC4695484D96}"/>
    <cellStyle name="Normal 2 4 2 3 7 3" xfId="5915" xr:uid="{00000000-0005-0000-0000-00002F0F0000}"/>
    <cellStyle name="Normal 2 4 2 3 7 3 2" xfId="14354" xr:uid="{617ECA5C-1274-40C2-BE23-7846F6BD5A2B}"/>
    <cellStyle name="Normal 2 4 2 3 7 4" xfId="10136" xr:uid="{3CB8D106-CC64-4387-A8B9-CD45FCF1DE0A}"/>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2" xr:uid="{081A3843-58CB-4935-9D4A-517F292B3244}"/>
    <cellStyle name="Normal 2 4 2 3 8 2 3" xfId="12694" xr:uid="{26202C17-2643-49B6-8EA4-31C800E20060}"/>
    <cellStyle name="Normal 2 4 2 3 8 3" xfId="6328" xr:uid="{00000000-0005-0000-0000-0000330F0000}"/>
    <cellStyle name="Normal 2 4 2 3 8 3 2" xfId="14767" xr:uid="{D940B880-9583-4EC6-A2B9-2BD5C577FC92}"/>
    <cellStyle name="Normal 2 4 2 3 8 4" xfId="10549" xr:uid="{F1344491-AB62-4CDD-ACFC-0224F644D753}"/>
    <cellStyle name="Normal 2 4 2 3 9" xfId="2457" xr:uid="{00000000-0005-0000-0000-0000340F0000}"/>
    <cellStyle name="Normal 2 4 2 3 9 2" xfId="6741" xr:uid="{00000000-0005-0000-0000-0000350F0000}"/>
    <cellStyle name="Normal 2 4 2 3 9 2 2" xfId="15180" xr:uid="{29B15820-D04D-4A42-9B79-303D522F7C89}"/>
    <cellStyle name="Normal 2 4 2 3 9 3" xfId="10962" xr:uid="{A8320C78-359E-4983-A480-9DA72508E4F3}"/>
    <cellStyle name="Normal 2 4 2 4" xfId="289" xr:uid="{00000000-0005-0000-0000-0000360F0000}"/>
    <cellStyle name="Normal 2 4 2 4 10" xfId="8904" xr:uid="{BECA8B82-81EC-4D57-8AB2-8ED2E92AF265}"/>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3" xr:uid="{FC31883A-E2DC-4C6F-9166-CEE43A80D4B9}"/>
    <cellStyle name="Normal 2 4 2 4 2 2 2 2 3" xfId="11465" xr:uid="{4614F3B1-B512-46B6-AD94-3CB48935E745}"/>
    <cellStyle name="Normal 2 4 2 4 2 2 2 3" xfId="5099" xr:uid="{00000000-0005-0000-0000-00003C0F0000}"/>
    <cellStyle name="Normal 2 4 2 4 2 2 2 3 2" xfId="13538" xr:uid="{3E097611-D270-48B6-BEA0-F51B68138321}"/>
    <cellStyle name="Normal 2 4 2 4 2 2 2 4" xfId="9320" xr:uid="{EB76A1AE-D38F-4FDF-B704-36191060D962}"/>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6" xr:uid="{AAED08D9-2D6A-4EEB-8C2B-450C00980A80}"/>
    <cellStyle name="Normal 2 4 2 4 2 2 3 2 3" xfId="11878" xr:uid="{64F16A7E-3FB1-457C-AEAF-0DB380C3A6BB}"/>
    <cellStyle name="Normal 2 4 2 4 2 2 3 3" xfId="5512" xr:uid="{00000000-0005-0000-0000-0000400F0000}"/>
    <cellStyle name="Normal 2 4 2 4 2 2 3 3 2" xfId="13951" xr:uid="{8D181226-28C8-4B66-A4DA-CB10DA117F37}"/>
    <cellStyle name="Normal 2 4 2 4 2 2 3 4" xfId="9733" xr:uid="{736D370C-20ED-4FC1-8583-63B28191A263}"/>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09" xr:uid="{20897F61-3552-4555-A9C2-9D04465C7E11}"/>
    <cellStyle name="Normal 2 4 2 4 2 2 4 2 3" xfId="12291" xr:uid="{DC9794E9-B024-42D6-9576-67B30F1FDC48}"/>
    <cellStyle name="Normal 2 4 2 4 2 2 4 3" xfId="5925" xr:uid="{00000000-0005-0000-0000-0000440F0000}"/>
    <cellStyle name="Normal 2 4 2 4 2 2 4 3 2" xfId="14364" xr:uid="{0243BBFC-0EC2-42BD-AD5E-19E74823971B}"/>
    <cellStyle name="Normal 2 4 2 4 2 2 4 4" xfId="10146" xr:uid="{200EC4C9-6AFF-48AA-9F8A-AB0E88E0694A}"/>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2" xr:uid="{71985FD1-49F4-4311-9AC5-50BFC2F777F2}"/>
    <cellStyle name="Normal 2 4 2 4 2 2 5 2 3" xfId="12704" xr:uid="{C2DA4F0D-6DCB-4EB5-9588-97B48E60BE0E}"/>
    <cellStyle name="Normal 2 4 2 4 2 2 5 3" xfId="6338" xr:uid="{00000000-0005-0000-0000-0000480F0000}"/>
    <cellStyle name="Normal 2 4 2 4 2 2 5 3 2" xfId="14777" xr:uid="{270A6B3F-F902-4794-8E8B-A49D590C8D7F}"/>
    <cellStyle name="Normal 2 4 2 4 2 2 5 4" xfId="10559" xr:uid="{CF0B17D7-7F0C-4E6D-99EA-0CFFC3A8A7AF}"/>
    <cellStyle name="Normal 2 4 2 4 2 2 6" xfId="2467" xr:uid="{00000000-0005-0000-0000-0000490F0000}"/>
    <cellStyle name="Normal 2 4 2 4 2 2 6 2" xfId="6751" xr:uid="{00000000-0005-0000-0000-00004A0F0000}"/>
    <cellStyle name="Normal 2 4 2 4 2 2 6 2 2" xfId="15190" xr:uid="{72CE2202-2966-4028-98C0-70E6208888EE}"/>
    <cellStyle name="Normal 2 4 2 4 2 2 6 3" xfId="10972" xr:uid="{C308677B-6850-4B90-BB09-2BA2ECFC5E1F}"/>
    <cellStyle name="Normal 2 4 2 4 2 2 7" xfId="4685" xr:uid="{00000000-0005-0000-0000-00004B0F0000}"/>
    <cellStyle name="Normal 2 4 2 4 2 2 7 2" xfId="13124" xr:uid="{F365177A-E912-4991-B688-3FD3731A93C7}"/>
    <cellStyle name="Normal 2 4 2 4 2 2 8" xfId="8906" xr:uid="{7FEB7176-8B34-44DB-B79F-5A65B00AB254}"/>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2" xr:uid="{981FB74F-A4A7-400A-8BFB-F93C711BF774}"/>
    <cellStyle name="Normal 2 4 2 4 2 3 2 3" xfId="11464" xr:uid="{A29D19D1-4A6E-4F1F-97B2-8CA09106DED7}"/>
    <cellStyle name="Normal 2 4 2 4 2 3 3" xfId="5098" xr:uid="{00000000-0005-0000-0000-00004F0F0000}"/>
    <cellStyle name="Normal 2 4 2 4 2 3 3 2" xfId="13537" xr:uid="{44DC9486-C678-49DB-BB17-B819B31424DB}"/>
    <cellStyle name="Normal 2 4 2 4 2 3 4" xfId="9319" xr:uid="{01B48359-203A-42A2-8365-ED5D080B3203}"/>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5" xr:uid="{B578B421-553A-41D7-A966-627350F5A984}"/>
    <cellStyle name="Normal 2 4 2 4 2 4 2 3" xfId="11877" xr:uid="{189DC40F-F713-40F3-A5AB-75D175B2A527}"/>
    <cellStyle name="Normal 2 4 2 4 2 4 3" xfId="5511" xr:uid="{00000000-0005-0000-0000-0000530F0000}"/>
    <cellStyle name="Normal 2 4 2 4 2 4 3 2" xfId="13950" xr:uid="{BC3FC8C0-B8BF-4BD2-B155-8345EC0ADC99}"/>
    <cellStyle name="Normal 2 4 2 4 2 4 4" xfId="9732" xr:uid="{C47BE829-D195-453C-A641-D1D444E09D9F}"/>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08" xr:uid="{9835FF52-754F-4F60-97F2-08C46653B27E}"/>
    <cellStyle name="Normal 2 4 2 4 2 5 2 3" xfId="12290" xr:uid="{6C279438-1436-4189-A3BD-0E422EF7775A}"/>
    <cellStyle name="Normal 2 4 2 4 2 5 3" xfId="5924" xr:uid="{00000000-0005-0000-0000-0000570F0000}"/>
    <cellStyle name="Normal 2 4 2 4 2 5 3 2" xfId="14363" xr:uid="{3E1987F8-AE40-4912-B290-72BE5D8E97A3}"/>
    <cellStyle name="Normal 2 4 2 4 2 5 4" xfId="10145" xr:uid="{E1DA90E5-AECA-4523-B225-9C4D06AC974A}"/>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1" xr:uid="{45BAA4C5-44CB-499F-B663-AA0B97371A7F}"/>
    <cellStyle name="Normal 2 4 2 4 2 6 2 3" xfId="12703" xr:uid="{70E7DAA5-150B-4E76-AF85-ABEDCFCBA02A}"/>
    <cellStyle name="Normal 2 4 2 4 2 6 3" xfId="6337" xr:uid="{00000000-0005-0000-0000-00005B0F0000}"/>
    <cellStyle name="Normal 2 4 2 4 2 6 3 2" xfId="14776" xr:uid="{3A73A081-0E19-4BBD-BF06-D6F82943DBCC}"/>
    <cellStyle name="Normal 2 4 2 4 2 6 4" xfId="10558" xr:uid="{76303ED3-F4DD-497C-92C6-ABE273FEFFD7}"/>
    <cellStyle name="Normal 2 4 2 4 2 7" xfId="2466" xr:uid="{00000000-0005-0000-0000-00005C0F0000}"/>
    <cellStyle name="Normal 2 4 2 4 2 7 2" xfId="6750" xr:uid="{00000000-0005-0000-0000-00005D0F0000}"/>
    <cellStyle name="Normal 2 4 2 4 2 7 2 2" xfId="15189" xr:uid="{C04D6514-1071-450E-A572-E9FAD586A3B5}"/>
    <cellStyle name="Normal 2 4 2 4 2 7 3" xfId="10971" xr:uid="{77B9FBC6-A14E-4860-9E34-051F24326F4D}"/>
    <cellStyle name="Normal 2 4 2 4 2 8" xfId="4684" xr:uid="{00000000-0005-0000-0000-00005E0F0000}"/>
    <cellStyle name="Normal 2 4 2 4 2 8 2" xfId="13123" xr:uid="{F070DC1B-D72D-4F1B-8C7B-D84213D3A644}"/>
    <cellStyle name="Normal 2 4 2 4 2 9" xfId="8905" xr:uid="{6A4B7093-E431-4B17-8761-0188F6BBD342}"/>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4" xr:uid="{0A781C30-14D2-4A8E-B8EF-69A48F3F582E}"/>
    <cellStyle name="Normal 2 4 2 4 3 2 2 3" xfId="11466" xr:uid="{BDB9B1AC-007F-4577-993C-F744BECA976A}"/>
    <cellStyle name="Normal 2 4 2 4 3 2 3" xfId="5100" xr:uid="{00000000-0005-0000-0000-0000630F0000}"/>
    <cellStyle name="Normal 2 4 2 4 3 2 3 2" xfId="13539" xr:uid="{CF6983CB-2A24-4260-9510-8A28FE084087}"/>
    <cellStyle name="Normal 2 4 2 4 3 2 4" xfId="9321" xr:uid="{243FEE67-BF54-405A-828E-5392CE52B51C}"/>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097" xr:uid="{BDC24515-9A68-413E-9D52-FA10121A3B09}"/>
    <cellStyle name="Normal 2 4 2 4 3 3 2 3" xfId="11879" xr:uid="{6F88305C-A02D-418C-BAB6-963EB55BAD53}"/>
    <cellStyle name="Normal 2 4 2 4 3 3 3" xfId="5513" xr:uid="{00000000-0005-0000-0000-0000670F0000}"/>
    <cellStyle name="Normal 2 4 2 4 3 3 3 2" xfId="13952" xr:uid="{3F9C1394-44E1-47EF-BF82-C4691A0DFFB4}"/>
    <cellStyle name="Normal 2 4 2 4 3 3 4" xfId="9734" xr:uid="{F28BED14-75BC-4A29-97F0-3B39FC9B2531}"/>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0" xr:uid="{3EE6CAD2-2CF7-402F-B03D-38A18AF61934}"/>
    <cellStyle name="Normal 2 4 2 4 3 4 2 3" xfId="12292" xr:uid="{B707359F-8474-45E1-AB40-06721C1EF77D}"/>
    <cellStyle name="Normal 2 4 2 4 3 4 3" xfId="5926" xr:uid="{00000000-0005-0000-0000-00006B0F0000}"/>
    <cellStyle name="Normal 2 4 2 4 3 4 3 2" xfId="14365" xr:uid="{BEAD0513-1B5A-439E-B4B0-250A858E8F17}"/>
    <cellStyle name="Normal 2 4 2 4 3 4 4" xfId="10147" xr:uid="{B7113D7E-CB6A-4125-9EE2-E7A19BD69181}"/>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3" xr:uid="{E8515274-6C44-4FCF-9462-A60D34F9607C}"/>
    <cellStyle name="Normal 2 4 2 4 3 5 2 3" xfId="12705" xr:uid="{95FFFD17-4538-4473-BCA7-F65E8E694EEC}"/>
    <cellStyle name="Normal 2 4 2 4 3 5 3" xfId="6339" xr:uid="{00000000-0005-0000-0000-00006F0F0000}"/>
    <cellStyle name="Normal 2 4 2 4 3 5 3 2" xfId="14778" xr:uid="{4D273998-D44F-4458-B97D-B213E1B583C4}"/>
    <cellStyle name="Normal 2 4 2 4 3 5 4" xfId="10560" xr:uid="{A058E434-5ADC-4734-91A1-0843CD2EBE04}"/>
    <cellStyle name="Normal 2 4 2 4 3 6" xfId="2468" xr:uid="{00000000-0005-0000-0000-0000700F0000}"/>
    <cellStyle name="Normal 2 4 2 4 3 6 2" xfId="6752" xr:uid="{00000000-0005-0000-0000-0000710F0000}"/>
    <cellStyle name="Normal 2 4 2 4 3 6 2 2" xfId="15191" xr:uid="{AA95A17F-A02C-4CD4-9A76-9D6A4BFFD244}"/>
    <cellStyle name="Normal 2 4 2 4 3 6 3" xfId="10973" xr:uid="{E2EA742F-E198-4F01-9C89-5885D7CE1ADF}"/>
    <cellStyle name="Normal 2 4 2 4 3 7" xfId="4686" xr:uid="{00000000-0005-0000-0000-0000720F0000}"/>
    <cellStyle name="Normal 2 4 2 4 3 7 2" xfId="13125" xr:uid="{93F7EFAF-EDDE-4F54-A0FE-5484E955D3D0}"/>
    <cellStyle name="Normal 2 4 2 4 3 8" xfId="8907" xr:uid="{7DC6742B-19CB-4E22-A5CB-973B94E23DE2}"/>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1" xr:uid="{DE4BE823-3261-4A33-8957-F6FC147185E6}"/>
    <cellStyle name="Normal 2 4 2 4 4 2 3" xfId="11463" xr:uid="{C3741852-5FCF-4AFB-BCC9-1DF2FF888C24}"/>
    <cellStyle name="Normal 2 4 2 4 4 3" xfId="5097" xr:uid="{00000000-0005-0000-0000-0000760F0000}"/>
    <cellStyle name="Normal 2 4 2 4 4 3 2" xfId="13536" xr:uid="{D60A0E42-0792-4D59-844C-B73812E7E9E6}"/>
    <cellStyle name="Normal 2 4 2 4 4 4" xfId="9318" xr:uid="{20EDADE6-DB81-49C8-8A37-C36BCED80C31}"/>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4" xr:uid="{53A17F1F-B43D-4BA5-9E86-21B57FF264A7}"/>
    <cellStyle name="Normal 2 4 2 4 5 2 3" xfId="11876" xr:uid="{6B3A2C6F-8540-471A-BAD7-7BD4C1802D0E}"/>
    <cellStyle name="Normal 2 4 2 4 5 3" xfId="5510" xr:uid="{00000000-0005-0000-0000-00007A0F0000}"/>
    <cellStyle name="Normal 2 4 2 4 5 3 2" xfId="13949" xr:uid="{3B60BF13-271E-435B-9D4A-DB5D7268A930}"/>
    <cellStyle name="Normal 2 4 2 4 5 4" xfId="9731" xr:uid="{4DAD625F-D2E8-4847-A15D-C913822BC645}"/>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07" xr:uid="{531EF484-406F-4756-A993-1F179C6857E2}"/>
    <cellStyle name="Normal 2 4 2 4 6 2 3" xfId="12289" xr:uid="{FAF73369-C1B8-483D-AF31-1565A8AEF269}"/>
    <cellStyle name="Normal 2 4 2 4 6 3" xfId="5923" xr:uid="{00000000-0005-0000-0000-00007E0F0000}"/>
    <cellStyle name="Normal 2 4 2 4 6 3 2" xfId="14362" xr:uid="{99A115D2-802F-4875-A677-814874B5C8D4}"/>
    <cellStyle name="Normal 2 4 2 4 6 4" xfId="10144" xr:uid="{10A14DF1-CBB2-4A2E-8DD6-868530D016C3}"/>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0" xr:uid="{E4EC34D7-5984-41DC-AD9D-21342222526C}"/>
    <cellStyle name="Normal 2 4 2 4 7 2 3" xfId="12702" xr:uid="{FD6CB7C0-D007-47B0-A8EE-BC27FB3CF021}"/>
    <cellStyle name="Normal 2 4 2 4 7 3" xfId="6336" xr:uid="{00000000-0005-0000-0000-0000820F0000}"/>
    <cellStyle name="Normal 2 4 2 4 7 3 2" xfId="14775" xr:uid="{ACEE1987-A646-41C6-B50F-4A1BBD1DB28E}"/>
    <cellStyle name="Normal 2 4 2 4 7 4" xfId="10557" xr:uid="{C0918A97-B268-465A-AF75-4747A7F4B90F}"/>
    <cellStyle name="Normal 2 4 2 4 8" xfId="2465" xr:uid="{00000000-0005-0000-0000-0000830F0000}"/>
    <cellStyle name="Normal 2 4 2 4 8 2" xfId="6749" xr:uid="{00000000-0005-0000-0000-0000840F0000}"/>
    <cellStyle name="Normal 2 4 2 4 8 2 2" xfId="15188" xr:uid="{CBFFA1A2-73EF-41EA-8170-9BEDF1AA826B}"/>
    <cellStyle name="Normal 2 4 2 4 8 3" xfId="10970" xr:uid="{92A1274B-7C70-4633-AEF1-F2231E218A4B}"/>
    <cellStyle name="Normal 2 4 2 4 9" xfId="4683" xr:uid="{00000000-0005-0000-0000-0000850F0000}"/>
    <cellStyle name="Normal 2 4 2 4 9 2" xfId="13122" xr:uid="{C97DB09C-4901-45A6-A7D2-5E70C18CDFBE}"/>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6" xr:uid="{E83B3126-2B6B-449A-96D0-71F56954C8AF}"/>
    <cellStyle name="Normal 2 4 2 5 2 2 2 3" xfId="11468" xr:uid="{B1EF2694-F88F-4120-91AD-85FE7863E5F4}"/>
    <cellStyle name="Normal 2 4 2 5 2 2 3" xfId="5102" xr:uid="{00000000-0005-0000-0000-00008B0F0000}"/>
    <cellStyle name="Normal 2 4 2 5 2 2 3 2" xfId="13541" xr:uid="{3CC53CF9-2BDC-4936-8E38-B99D86442FB5}"/>
    <cellStyle name="Normal 2 4 2 5 2 2 4" xfId="9323" xr:uid="{06070577-665B-4F43-A150-09629F1CCACB}"/>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099" xr:uid="{8C297CD2-79F7-43BC-B1D1-EE75BA9DE4D0}"/>
    <cellStyle name="Normal 2 4 2 5 2 3 2 3" xfId="11881" xr:uid="{2212ABBF-F0F3-4709-BF82-49CE62AC2832}"/>
    <cellStyle name="Normal 2 4 2 5 2 3 3" xfId="5515" xr:uid="{00000000-0005-0000-0000-00008F0F0000}"/>
    <cellStyle name="Normal 2 4 2 5 2 3 3 2" xfId="13954" xr:uid="{FE984B06-9AF3-4345-9348-D7958F5C50CF}"/>
    <cellStyle name="Normal 2 4 2 5 2 3 4" xfId="9736" xr:uid="{16C0DB71-AA23-4C1F-8FA1-3683BD3A79FA}"/>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2" xr:uid="{0EE07D8B-9F42-4AC2-87A5-866426083582}"/>
    <cellStyle name="Normal 2 4 2 5 2 4 2 3" xfId="12294" xr:uid="{AE8D1D7D-92A6-4A2E-B7FA-0D358D287C2D}"/>
    <cellStyle name="Normal 2 4 2 5 2 4 3" xfId="5928" xr:uid="{00000000-0005-0000-0000-0000930F0000}"/>
    <cellStyle name="Normal 2 4 2 5 2 4 3 2" xfId="14367" xr:uid="{2512A6AF-5AE9-4C83-8968-ADE919CEAE15}"/>
    <cellStyle name="Normal 2 4 2 5 2 4 4" xfId="10149" xr:uid="{39823458-CB4C-4874-BEB5-ABDDD58FC8F2}"/>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5" xr:uid="{01C744A3-98BA-4E14-83F2-DB57BF4778CC}"/>
    <cellStyle name="Normal 2 4 2 5 2 5 2 3" xfId="12707" xr:uid="{325F0168-BCE4-4832-812C-8B6986808430}"/>
    <cellStyle name="Normal 2 4 2 5 2 5 3" xfId="6341" xr:uid="{00000000-0005-0000-0000-0000970F0000}"/>
    <cellStyle name="Normal 2 4 2 5 2 5 3 2" xfId="14780" xr:uid="{7E824F0E-53D0-433C-B150-E077E4F92A3C}"/>
    <cellStyle name="Normal 2 4 2 5 2 5 4" xfId="10562" xr:uid="{638C83E3-7359-4CE3-A476-483D6F65EA03}"/>
    <cellStyle name="Normal 2 4 2 5 2 6" xfId="2470" xr:uid="{00000000-0005-0000-0000-0000980F0000}"/>
    <cellStyle name="Normal 2 4 2 5 2 6 2" xfId="6754" xr:uid="{00000000-0005-0000-0000-0000990F0000}"/>
    <cellStyle name="Normal 2 4 2 5 2 6 2 2" xfId="15193" xr:uid="{0CD83EC1-D483-4224-B46A-616C4324B7DC}"/>
    <cellStyle name="Normal 2 4 2 5 2 6 3" xfId="10975" xr:uid="{805132E7-767B-4D6C-8B1C-AADE20B109E5}"/>
    <cellStyle name="Normal 2 4 2 5 2 7" xfId="4688" xr:uid="{00000000-0005-0000-0000-00009A0F0000}"/>
    <cellStyle name="Normal 2 4 2 5 2 7 2" xfId="13127" xr:uid="{D326615F-7918-451C-B6F5-E4E29F7CB6BF}"/>
    <cellStyle name="Normal 2 4 2 5 2 8" xfId="8909" xr:uid="{35992F1B-D484-40DA-AA0C-43230A1ABB32}"/>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5" xr:uid="{EE62BA17-2943-4962-B96E-54A8CE5611AB}"/>
    <cellStyle name="Normal 2 4 2 5 3 2 3" xfId="11467" xr:uid="{E07F385E-E1EC-4923-8167-17565C72C592}"/>
    <cellStyle name="Normal 2 4 2 5 3 3" xfId="5101" xr:uid="{00000000-0005-0000-0000-00009E0F0000}"/>
    <cellStyle name="Normal 2 4 2 5 3 3 2" xfId="13540" xr:uid="{2E618CF5-C5C7-4BFC-961B-17552BD69DE6}"/>
    <cellStyle name="Normal 2 4 2 5 3 4" xfId="9322" xr:uid="{C2F8B498-B12C-4709-AE4E-7F96DC719681}"/>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098" xr:uid="{B2671A5E-9B3D-4101-97CA-A938AC135BF0}"/>
    <cellStyle name="Normal 2 4 2 5 4 2 3" xfId="11880" xr:uid="{1C6B8A3B-8767-46E1-B80E-B074409B30EF}"/>
    <cellStyle name="Normal 2 4 2 5 4 3" xfId="5514" xr:uid="{00000000-0005-0000-0000-0000A20F0000}"/>
    <cellStyle name="Normal 2 4 2 5 4 3 2" xfId="13953" xr:uid="{DC034A0E-A620-4388-ADC2-2206FF2105DD}"/>
    <cellStyle name="Normal 2 4 2 5 4 4" xfId="9735" xr:uid="{2BA262FA-F6BB-4A31-9CBC-21EAEB4BB155}"/>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1" xr:uid="{37D2DAD2-C27F-46B0-8BC5-1D6F066F955C}"/>
    <cellStyle name="Normal 2 4 2 5 5 2 3" xfId="12293" xr:uid="{4BBB7A9F-9C60-4BBE-A0C1-E9A03CC2B683}"/>
    <cellStyle name="Normal 2 4 2 5 5 3" xfId="5927" xr:uid="{00000000-0005-0000-0000-0000A60F0000}"/>
    <cellStyle name="Normal 2 4 2 5 5 3 2" xfId="14366" xr:uid="{18C8CDA2-1A84-4C05-8F31-3ECFC55A7F3E}"/>
    <cellStyle name="Normal 2 4 2 5 5 4" xfId="10148" xr:uid="{47A1C5ED-0230-4CF0-BDE2-DCCB9C0082D9}"/>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4" xr:uid="{AAC28E3B-AC83-4103-AF38-260B1363A4F0}"/>
    <cellStyle name="Normal 2 4 2 5 6 2 3" xfId="12706" xr:uid="{C50E5A0C-573B-4315-861E-EA39078E3C8D}"/>
    <cellStyle name="Normal 2 4 2 5 6 3" xfId="6340" xr:uid="{00000000-0005-0000-0000-0000AA0F0000}"/>
    <cellStyle name="Normal 2 4 2 5 6 3 2" xfId="14779" xr:uid="{810F1CFE-8FD6-4541-9E11-1A750FA51FDD}"/>
    <cellStyle name="Normal 2 4 2 5 6 4" xfId="10561" xr:uid="{E401CF90-FFDD-417C-9883-482F414AB6D9}"/>
    <cellStyle name="Normal 2 4 2 5 7" xfId="2469" xr:uid="{00000000-0005-0000-0000-0000AB0F0000}"/>
    <cellStyle name="Normal 2 4 2 5 7 2" xfId="6753" xr:uid="{00000000-0005-0000-0000-0000AC0F0000}"/>
    <cellStyle name="Normal 2 4 2 5 7 2 2" xfId="15192" xr:uid="{DB370A39-A6F3-46B4-A40E-3707FCDFC84B}"/>
    <cellStyle name="Normal 2 4 2 5 7 3" xfId="10974" xr:uid="{BC0C6537-A691-4D1B-9140-DF53E1B3ED15}"/>
    <cellStyle name="Normal 2 4 2 5 8" xfId="4687" xr:uid="{00000000-0005-0000-0000-0000AD0F0000}"/>
    <cellStyle name="Normal 2 4 2 5 8 2" xfId="13126" xr:uid="{1E6E7479-2E6C-49CB-A1EC-9235BB503136}"/>
    <cellStyle name="Normal 2 4 2 5 9" xfId="8908" xr:uid="{FC174824-0B49-4536-AD30-73C7519A4928}"/>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87" xr:uid="{9618D2C2-D4B8-4876-8976-F208517C9366}"/>
    <cellStyle name="Normal 2 4 2 6 2 2 3" xfId="11469" xr:uid="{05FEC916-7B9E-4108-8944-D361D72B2942}"/>
    <cellStyle name="Normal 2 4 2 6 2 3" xfId="5103" xr:uid="{00000000-0005-0000-0000-0000B20F0000}"/>
    <cellStyle name="Normal 2 4 2 6 2 3 2" xfId="13542" xr:uid="{E47D82DB-BE34-42C3-AF0B-FEC9572E29E2}"/>
    <cellStyle name="Normal 2 4 2 6 2 4" xfId="9324" xr:uid="{40CCF37E-A257-4E10-A87E-C7CC1EB9C450}"/>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0" xr:uid="{A7E72CAC-D2DA-4F9E-877F-6309B3006CCE}"/>
    <cellStyle name="Normal 2 4 2 6 3 2 3" xfId="11882" xr:uid="{A33373C5-68DA-4FCD-B7F6-9414978C9ECA}"/>
    <cellStyle name="Normal 2 4 2 6 3 3" xfId="5516" xr:uid="{00000000-0005-0000-0000-0000B60F0000}"/>
    <cellStyle name="Normal 2 4 2 6 3 3 2" xfId="13955" xr:uid="{F2036C65-CBE9-4310-B0C2-FAAE1E470225}"/>
    <cellStyle name="Normal 2 4 2 6 3 4" xfId="9737" xr:uid="{5093A23D-F6FC-4153-8EC4-50BEE9FEF1D7}"/>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3" xr:uid="{5167ECBA-2E84-49C7-88AB-077845BC1A36}"/>
    <cellStyle name="Normal 2 4 2 6 4 2 3" xfId="12295" xr:uid="{B063B12B-3E3C-4A73-B52F-667D621D7FAA}"/>
    <cellStyle name="Normal 2 4 2 6 4 3" xfId="5929" xr:uid="{00000000-0005-0000-0000-0000BA0F0000}"/>
    <cellStyle name="Normal 2 4 2 6 4 3 2" xfId="14368" xr:uid="{9125718B-42E8-4C66-A138-99E88A67A549}"/>
    <cellStyle name="Normal 2 4 2 6 4 4" xfId="10150" xr:uid="{D6063A20-BB5A-4A7C-8C4C-AF5F3987142E}"/>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6" xr:uid="{238376E4-8767-45D0-ADA7-97E10465D274}"/>
    <cellStyle name="Normal 2 4 2 6 5 2 3" xfId="12708" xr:uid="{861C5032-0D16-4BBE-B517-B2A89C800AF2}"/>
    <cellStyle name="Normal 2 4 2 6 5 3" xfId="6342" xr:uid="{00000000-0005-0000-0000-0000BE0F0000}"/>
    <cellStyle name="Normal 2 4 2 6 5 3 2" xfId="14781" xr:uid="{9CDCCB4E-4990-4D3C-9EC3-FA8F89B11B32}"/>
    <cellStyle name="Normal 2 4 2 6 5 4" xfId="10563" xr:uid="{8BD03718-61AF-4053-8282-D5864B4FF264}"/>
    <cellStyle name="Normal 2 4 2 6 6" xfId="2471" xr:uid="{00000000-0005-0000-0000-0000BF0F0000}"/>
    <cellStyle name="Normal 2 4 2 6 6 2" xfId="6755" xr:uid="{00000000-0005-0000-0000-0000C00F0000}"/>
    <cellStyle name="Normal 2 4 2 6 6 2 2" xfId="15194" xr:uid="{1DE5DA2F-E57A-4438-8441-30EC0BB9BD9F}"/>
    <cellStyle name="Normal 2 4 2 6 6 3" xfId="10976" xr:uid="{2CFCFFCF-8A83-496D-9B0F-6CEF077B8C7D}"/>
    <cellStyle name="Normal 2 4 2 6 7" xfId="4689" xr:uid="{00000000-0005-0000-0000-0000C10F0000}"/>
    <cellStyle name="Normal 2 4 2 6 7 2" xfId="13128" xr:uid="{B3F33BDE-BA49-4DA7-89B3-EFD8F2597E89}"/>
    <cellStyle name="Normal 2 4 2 6 8" xfId="8910" xr:uid="{891E2252-9577-462B-986C-3FC27360CB72}"/>
    <cellStyle name="Normal 2 4 2 7" xfId="771" xr:uid="{00000000-0005-0000-0000-0000C20F0000}"/>
    <cellStyle name="Normal 2 4 2 7 2" xfId="3010" xr:uid="{00000000-0005-0000-0000-0000C30F0000}"/>
    <cellStyle name="Normal 2 4 2 7 2 2" xfId="7233" xr:uid="{00000000-0005-0000-0000-0000C40F0000}"/>
    <cellStyle name="Normal 2 4 2 7 2 2 2" xfId="15672" xr:uid="{2B4A2A4B-C892-4323-AD9C-96F93E479592}"/>
    <cellStyle name="Normal 2 4 2 7 2 3" xfId="11454" xr:uid="{189CD26B-E434-45B8-9CCD-08E814D1ED8F}"/>
    <cellStyle name="Normal 2 4 2 7 3" xfId="5088" xr:uid="{00000000-0005-0000-0000-0000C50F0000}"/>
    <cellStyle name="Normal 2 4 2 7 3 2" xfId="13527" xr:uid="{D8F0433D-648C-4D7B-AE7A-09E0A066AA71}"/>
    <cellStyle name="Normal 2 4 2 7 4" xfId="9309" xr:uid="{3A48C603-46E0-4ACC-AFFA-004CE36D2A65}"/>
    <cellStyle name="Normal 2 4 2 8" xfId="1193" xr:uid="{00000000-0005-0000-0000-0000C60F0000}"/>
    <cellStyle name="Normal 2 4 2 8 2" xfId="3423" xr:uid="{00000000-0005-0000-0000-0000C70F0000}"/>
    <cellStyle name="Normal 2 4 2 8 2 2" xfId="7646" xr:uid="{00000000-0005-0000-0000-0000C80F0000}"/>
    <cellStyle name="Normal 2 4 2 8 2 2 2" xfId="16085" xr:uid="{B9371925-EE82-4F83-9496-92064EFC674D}"/>
    <cellStyle name="Normal 2 4 2 8 2 3" xfId="11867" xr:uid="{6B964772-9176-431C-82F0-2B88A5E980B7}"/>
    <cellStyle name="Normal 2 4 2 8 3" xfId="5501" xr:uid="{00000000-0005-0000-0000-0000C90F0000}"/>
    <cellStyle name="Normal 2 4 2 8 3 2" xfId="13940" xr:uid="{B6932A2F-0468-4471-871F-1C50942D1FD3}"/>
    <cellStyle name="Normal 2 4 2 8 4" xfId="9722" xr:uid="{5E097C9A-9334-4C2F-B934-7C23D2980C68}"/>
    <cellStyle name="Normal 2 4 2 9" xfId="1606" xr:uid="{00000000-0005-0000-0000-0000CA0F0000}"/>
    <cellStyle name="Normal 2 4 2 9 2" xfId="3836" xr:uid="{00000000-0005-0000-0000-0000CB0F0000}"/>
    <cellStyle name="Normal 2 4 2 9 2 2" xfId="8059" xr:uid="{00000000-0005-0000-0000-0000CC0F0000}"/>
    <cellStyle name="Normal 2 4 2 9 2 2 2" xfId="16498" xr:uid="{8765E021-B5C6-4F90-85DD-7AE64E1340EB}"/>
    <cellStyle name="Normal 2 4 2 9 2 3" xfId="12280" xr:uid="{D815D822-D9EB-4954-8804-A5DFE4760704}"/>
    <cellStyle name="Normal 2 4 2 9 3" xfId="5914" xr:uid="{00000000-0005-0000-0000-0000CD0F0000}"/>
    <cellStyle name="Normal 2 4 2 9 3 2" xfId="14353" xr:uid="{82D56FDE-B4A7-40CF-90C9-2A1BB20841EA}"/>
    <cellStyle name="Normal 2 4 2 9 4" xfId="10135" xr:uid="{DD26BDE7-731E-4546-A10D-F16B509BB2F2}"/>
    <cellStyle name="Normal 2 4 3" xfId="296" xr:uid="{00000000-0005-0000-0000-0000CE0F0000}"/>
    <cellStyle name="Normal 2 4 3 10" xfId="8911" xr:uid="{8B4EA93D-B8DA-4A8E-97DC-BE04BBB57B59}"/>
    <cellStyle name="Normal 2 4 3 2" xfId="297" xr:uid="{00000000-0005-0000-0000-0000CF0F0000}"/>
    <cellStyle name="Normal 2 4 3 3" xfId="298" xr:uid="{00000000-0005-0000-0000-0000D00F0000}"/>
    <cellStyle name="Normal 2 4 3 3 10" xfId="8912" xr:uid="{EFB40BAC-0582-42BD-8EA6-687DF9ACE11F}"/>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1" xr:uid="{33BF48E4-30C1-4F1C-B082-67B4A7B45099}"/>
    <cellStyle name="Normal 2 4 3 3 2 2 2 2 3" xfId="11473" xr:uid="{A90328D7-3F09-4ECA-9ED3-B847C3C71650}"/>
    <cellStyle name="Normal 2 4 3 3 2 2 2 3" xfId="5107" xr:uid="{00000000-0005-0000-0000-0000D60F0000}"/>
    <cellStyle name="Normal 2 4 3 3 2 2 2 3 2" xfId="13546" xr:uid="{C1A96499-0122-4595-8519-7369A29F39B5}"/>
    <cellStyle name="Normal 2 4 3 3 2 2 2 4" xfId="9328" xr:uid="{63A8594C-8C4F-4212-B48E-93A112853C3D}"/>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4" xr:uid="{81D6BDB8-F902-4F5D-BFBD-C3A4492DC68A}"/>
    <cellStyle name="Normal 2 4 3 3 2 2 3 2 3" xfId="11886" xr:uid="{1E9B09E2-8F0A-47DB-91B6-30AD8E71D70C}"/>
    <cellStyle name="Normal 2 4 3 3 2 2 3 3" xfId="5520" xr:uid="{00000000-0005-0000-0000-0000DA0F0000}"/>
    <cellStyle name="Normal 2 4 3 3 2 2 3 3 2" xfId="13959" xr:uid="{FEEAD4DE-F6DE-45E6-97EB-5C4493485394}"/>
    <cellStyle name="Normal 2 4 3 3 2 2 3 4" xfId="9741" xr:uid="{BBD385E9-DE7C-4B8B-90E0-8DE5005CA996}"/>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17" xr:uid="{E4A03C86-D438-4000-A6E0-92ED5F5A6AEC}"/>
    <cellStyle name="Normal 2 4 3 3 2 2 4 2 3" xfId="12299" xr:uid="{C217A1C3-8A72-4618-9DAA-BEAF7E9B80C6}"/>
    <cellStyle name="Normal 2 4 3 3 2 2 4 3" xfId="5933" xr:uid="{00000000-0005-0000-0000-0000DE0F0000}"/>
    <cellStyle name="Normal 2 4 3 3 2 2 4 3 2" xfId="14372" xr:uid="{8C1A1887-0A98-47A4-B1EC-88AF2CE4C83B}"/>
    <cellStyle name="Normal 2 4 3 3 2 2 4 4" xfId="10154" xr:uid="{1E9ECA54-A232-4C4E-8ADF-58695D6D23C4}"/>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0" xr:uid="{DC1A6688-B985-4327-A8E7-51C8D096EDF7}"/>
    <cellStyle name="Normal 2 4 3 3 2 2 5 2 3" xfId="12712" xr:uid="{2CCA63C3-8EB7-4108-BD7A-25D90C2C5C77}"/>
    <cellStyle name="Normal 2 4 3 3 2 2 5 3" xfId="6346" xr:uid="{00000000-0005-0000-0000-0000E20F0000}"/>
    <cellStyle name="Normal 2 4 3 3 2 2 5 3 2" xfId="14785" xr:uid="{FCEAE730-FF38-4070-9165-C5B27C8B3FE2}"/>
    <cellStyle name="Normal 2 4 3 3 2 2 5 4" xfId="10567" xr:uid="{E0676A14-6921-4330-9CFE-CD8F949C0B8F}"/>
    <cellStyle name="Normal 2 4 3 3 2 2 6" xfId="2475" xr:uid="{00000000-0005-0000-0000-0000E30F0000}"/>
    <cellStyle name="Normal 2 4 3 3 2 2 6 2" xfId="6759" xr:uid="{00000000-0005-0000-0000-0000E40F0000}"/>
    <cellStyle name="Normal 2 4 3 3 2 2 6 2 2" xfId="15198" xr:uid="{7C8283C7-E43F-46B2-B3F3-C983B4B85AA0}"/>
    <cellStyle name="Normal 2 4 3 3 2 2 6 3" xfId="10980" xr:uid="{592B7CA0-9A65-4BDE-AF2F-431304CA2039}"/>
    <cellStyle name="Normal 2 4 3 3 2 2 7" xfId="4693" xr:uid="{00000000-0005-0000-0000-0000E50F0000}"/>
    <cellStyle name="Normal 2 4 3 3 2 2 7 2" xfId="13132" xr:uid="{EC083F64-69D5-41E4-9F93-F75D712C0D5A}"/>
    <cellStyle name="Normal 2 4 3 3 2 2 8" xfId="8914" xr:uid="{37AA80D9-8707-4C51-A4B0-92BEEDC99015}"/>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0" xr:uid="{F89976EB-42FD-4112-8C01-9BAA5C4E4446}"/>
    <cellStyle name="Normal 2 4 3 3 2 3 2 3" xfId="11472" xr:uid="{9CFD4F0E-3C5E-469C-B36D-9B3E9E1EC2F6}"/>
    <cellStyle name="Normal 2 4 3 3 2 3 3" xfId="5106" xr:uid="{00000000-0005-0000-0000-0000E90F0000}"/>
    <cellStyle name="Normal 2 4 3 3 2 3 3 2" xfId="13545" xr:uid="{8928DEC6-1564-41DB-8D30-99BF1A2AD55A}"/>
    <cellStyle name="Normal 2 4 3 3 2 3 4" xfId="9327" xr:uid="{9A02B759-1820-478E-A3F9-3E6B9F34F526}"/>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3" xr:uid="{4E42B08E-3A36-4906-9968-94E4A5E26C22}"/>
    <cellStyle name="Normal 2 4 3 3 2 4 2 3" xfId="11885" xr:uid="{1BA3EC49-3368-4B42-BA2A-EB40B15ADBB2}"/>
    <cellStyle name="Normal 2 4 3 3 2 4 3" xfId="5519" xr:uid="{00000000-0005-0000-0000-0000ED0F0000}"/>
    <cellStyle name="Normal 2 4 3 3 2 4 3 2" xfId="13958" xr:uid="{625CF707-5263-4D15-BA2F-A929E406F544}"/>
    <cellStyle name="Normal 2 4 3 3 2 4 4" xfId="9740" xr:uid="{0431DA2C-265A-419F-9E8D-7C99C8CBF6BB}"/>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6" xr:uid="{21361513-7CFD-402A-A18C-8B362246F011}"/>
    <cellStyle name="Normal 2 4 3 3 2 5 2 3" xfId="12298" xr:uid="{E6B07A54-9DD3-4432-A6CB-CE6E2DB6DE2B}"/>
    <cellStyle name="Normal 2 4 3 3 2 5 3" xfId="5932" xr:uid="{00000000-0005-0000-0000-0000F10F0000}"/>
    <cellStyle name="Normal 2 4 3 3 2 5 3 2" xfId="14371" xr:uid="{1E5604CE-BDDB-4AA2-9053-73592503CDDA}"/>
    <cellStyle name="Normal 2 4 3 3 2 5 4" xfId="10153" xr:uid="{55D8F329-3676-48C0-8821-64F8BF3F51A7}"/>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29" xr:uid="{303FC35D-3581-443F-A3F1-DB28E8AC03DD}"/>
    <cellStyle name="Normal 2 4 3 3 2 6 2 3" xfId="12711" xr:uid="{A179EDB0-C3EA-42B5-9517-3D4CE017E6F0}"/>
    <cellStyle name="Normal 2 4 3 3 2 6 3" xfId="6345" xr:uid="{00000000-0005-0000-0000-0000F50F0000}"/>
    <cellStyle name="Normal 2 4 3 3 2 6 3 2" xfId="14784" xr:uid="{729BF513-355D-4BC5-B690-0FD28E12711B}"/>
    <cellStyle name="Normal 2 4 3 3 2 6 4" xfId="10566" xr:uid="{8641F01C-C382-40FF-8D3E-08B37B2FE1EC}"/>
    <cellStyle name="Normal 2 4 3 3 2 7" xfId="2474" xr:uid="{00000000-0005-0000-0000-0000F60F0000}"/>
    <cellStyle name="Normal 2 4 3 3 2 7 2" xfId="6758" xr:uid="{00000000-0005-0000-0000-0000F70F0000}"/>
    <cellStyle name="Normal 2 4 3 3 2 7 2 2" xfId="15197" xr:uid="{A5DD68B8-0293-4075-9EE1-66302238F9FB}"/>
    <cellStyle name="Normal 2 4 3 3 2 7 3" xfId="10979" xr:uid="{B98CB116-7B8C-49CB-8C04-D9086D39159E}"/>
    <cellStyle name="Normal 2 4 3 3 2 8" xfId="4692" xr:uid="{00000000-0005-0000-0000-0000F80F0000}"/>
    <cellStyle name="Normal 2 4 3 3 2 8 2" xfId="13131" xr:uid="{61A9B75F-0FDD-48C3-98D6-0502B148149F}"/>
    <cellStyle name="Normal 2 4 3 3 2 9" xfId="8913" xr:uid="{C1D96350-D330-433B-A91D-C0804E1FD7D4}"/>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2" xr:uid="{5FAF4E25-2B10-4A93-866F-26BB1DC49132}"/>
    <cellStyle name="Normal 2 4 3 3 3 2 2 3" xfId="11474" xr:uid="{4256657F-5D7E-42AD-904D-2383E4C2617D}"/>
    <cellStyle name="Normal 2 4 3 3 3 2 3" xfId="5108" xr:uid="{00000000-0005-0000-0000-0000FD0F0000}"/>
    <cellStyle name="Normal 2 4 3 3 3 2 3 2" xfId="13547" xr:uid="{0A408148-029D-4374-8F7B-28CB23CEF834}"/>
    <cellStyle name="Normal 2 4 3 3 3 2 4" xfId="9329" xr:uid="{3768C3CA-FE72-4D3B-A37D-10291FDBE24A}"/>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5" xr:uid="{DC166DE2-F132-4D5B-9C51-9B593888A7D9}"/>
    <cellStyle name="Normal 2 4 3 3 3 3 2 3" xfId="11887" xr:uid="{CEBF1924-2129-4E8C-AFC0-816A4C62CE33}"/>
    <cellStyle name="Normal 2 4 3 3 3 3 3" xfId="5521" xr:uid="{00000000-0005-0000-0000-000001100000}"/>
    <cellStyle name="Normal 2 4 3 3 3 3 3 2" xfId="13960" xr:uid="{F02B9071-7872-4232-B6E1-35D312839895}"/>
    <cellStyle name="Normal 2 4 3 3 3 3 4" xfId="9742" xr:uid="{31D247BB-C034-48C6-9BFE-3A6745F20F0E}"/>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18" xr:uid="{5474C60F-645B-4D95-A82D-706D7795F5F8}"/>
    <cellStyle name="Normal 2 4 3 3 3 4 2 3" xfId="12300" xr:uid="{18CE49EB-C24B-4373-BA3D-7CEC0C0D19C8}"/>
    <cellStyle name="Normal 2 4 3 3 3 4 3" xfId="5934" xr:uid="{00000000-0005-0000-0000-000005100000}"/>
    <cellStyle name="Normal 2 4 3 3 3 4 3 2" xfId="14373" xr:uid="{845ECA7E-4AE6-44B6-92DD-E2FE041FAA07}"/>
    <cellStyle name="Normal 2 4 3 3 3 4 4" xfId="10155" xr:uid="{987622F1-3017-4F66-8AF8-7C7B8E9E18B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1" xr:uid="{A5349301-A35B-4150-93D3-2C01B089BC8B}"/>
    <cellStyle name="Normal 2 4 3 3 3 5 2 3" xfId="12713" xr:uid="{5C9C7409-234E-4949-AED6-0EE4622CC984}"/>
    <cellStyle name="Normal 2 4 3 3 3 5 3" xfId="6347" xr:uid="{00000000-0005-0000-0000-000009100000}"/>
    <cellStyle name="Normal 2 4 3 3 3 5 3 2" xfId="14786" xr:uid="{D5CA30CA-5551-48A8-AC48-1622C50A86D2}"/>
    <cellStyle name="Normal 2 4 3 3 3 5 4" xfId="10568" xr:uid="{5CAE021E-8C52-490E-91C1-85F5A587460C}"/>
    <cellStyle name="Normal 2 4 3 3 3 6" xfId="2476" xr:uid="{00000000-0005-0000-0000-00000A100000}"/>
    <cellStyle name="Normal 2 4 3 3 3 6 2" xfId="6760" xr:uid="{00000000-0005-0000-0000-00000B100000}"/>
    <cellStyle name="Normal 2 4 3 3 3 6 2 2" xfId="15199" xr:uid="{C04D5379-72F1-444A-84AA-E688B9B07BB4}"/>
    <cellStyle name="Normal 2 4 3 3 3 6 3" xfId="10981" xr:uid="{0D777916-4EA5-47FC-AD4C-184AE2F91256}"/>
    <cellStyle name="Normal 2 4 3 3 3 7" xfId="4694" xr:uid="{00000000-0005-0000-0000-00000C100000}"/>
    <cellStyle name="Normal 2 4 3 3 3 7 2" xfId="13133" xr:uid="{9A1154CB-B7F3-4768-AB8E-78E1EEE7C7FB}"/>
    <cellStyle name="Normal 2 4 3 3 3 8" xfId="8915" xr:uid="{40EC2A34-92C6-45A7-885B-C5D1017C247E}"/>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89" xr:uid="{A1A6E3FF-3E33-4061-AC53-D439CD671362}"/>
    <cellStyle name="Normal 2 4 3 3 4 2 3" xfId="11471" xr:uid="{E3D6A991-2135-453F-ACFC-01649DE7BFF8}"/>
    <cellStyle name="Normal 2 4 3 3 4 3" xfId="5105" xr:uid="{00000000-0005-0000-0000-000010100000}"/>
    <cellStyle name="Normal 2 4 3 3 4 3 2" xfId="13544" xr:uid="{998D8423-7E9B-47E8-9556-249B116DA27B}"/>
    <cellStyle name="Normal 2 4 3 3 4 4" xfId="9326" xr:uid="{1A4E35B3-DEF9-431E-8F9F-E69C428A7B3F}"/>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2" xr:uid="{9EA8EA7A-B04B-4D52-BD58-8AB5B54FFE4F}"/>
    <cellStyle name="Normal 2 4 3 3 5 2 3" xfId="11884" xr:uid="{97792C69-4786-4379-A2E8-06121E9C9732}"/>
    <cellStyle name="Normal 2 4 3 3 5 3" xfId="5518" xr:uid="{00000000-0005-0000-0000-000014100000}"/>
    <cellStyle name="Normal 2 4 3 3 5 3 2" xfId="13957" xr:uid="{3F1DA061-3438-403E-A18A-F524332FE732}"/>
    <cellStyle name="Normal 2 4 3 3 5 4" xfId="9739" xr:uid="{286ECA48-5E3F-4E12-B636-2E25A1B6E0D2}"/>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5" xr:uid="{23289B03-6ABE-4606-B01B-769277658921}"/>
    <cellStyle name="Normal 2 4 3 3 6 2 3" xfId="12297" xr:uid="{66D4DF38-78BC-41E3-A96B-DCE95F1CFC4A}"/>
    <cellStyle name="Normal 2 4 3 3 6 3" xfId="5931" xr:uid="{00000000-0005-0000-0000-000018100000}"/>
    <cellStyle name="Normal 2 4 3 3 6 3 2" xfId="14370" xr:uid="{3A17C5C1-5ED9-434E-A936-64C80D80E8BA}"/>
    <cellStyle name="Normal 2 4 3 3 6 4" xfId="10152" xr:uid="{417225B8-9F9B-4DAD-9C7C-DA6387548804}"/>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28" xr:uid="{00430884-1468-4245-8216-07B5919D3A70}"/>
    <cellStyle name="Normal 2 4 3 3 7 2 3" xfId="12710" xr:uid="{F471F92B-B325-4ED1-A2F2-EDF53D63DE16}"/>
    <cellStyle name="Normal 2 4 3 3 7 3" xfId="6344" xr:uid="{00000000-0005-0000-0000-00001C100000}"/>
    <cellStyle name="Normal 2 4 3 3 7 3 2" xfId="14783" xr:uid="{AEFFE3B8-D75D-40F5-AFE8-9D7607166F04}"/>
    <cellStyle name="Normal 2 4 3 3 7 4" xfId="10565" xr:uid="{31C5D340-39D3-47F9-8076-92B77ED2DE24}"/>
    <cellStyle name="Normal 2 4 3 3 8" xfId="2473" xr:uid="{00000000-0005-0000-0000-00001D100000}"/>
    <cellStyle name="Normal 2 4 3 3 8 2" xfId="6757" xr:uid="{00000000-0005-0000-0000-00001E100000}"/>
    <cellStyle name="Normal 2 4 3 3 8 2 2" xfId="15196" xr:uid="{B09F43BF-BA1E-4C16-938F-D252CD84D41F}"/>
    <cellStyle name="Normal 2 4 3 3 8 3" xfId="10978" xr:uid="{7A021C99-9595-4840-AC3E-B1D012BE46A9}"/>
    <cellStyle name="Normal 2 4 3 3 9" xfId="4691" xr:uid="{00000000-0005-0000-0000-00001F100000}"/>
    <cellStyle name="Normal 2 4 3 3 9 2" xfId="13130" xr:uid="{71802D41-92D0-475D-8D25-0434DE69493B}"/>
    <cellStyle name="Normal 2 4 3 4" xfId="787" xr:uid="{00000000-0005-0000-0000-000020100000}"/>
    <cellStyle name="Normal 2 4 3 4 2" xfId="3026" xr:uid="{00000000-0005-0000-0000-000021100000}"/>
    <cellStyle name="Normal 2 4 3 4 2 2" xfId="7249" xr:uid="{00000000-0005-0000-0000-000022100000}"/>
    <cellStyle name="Normal 2 4 3 4 2 2 2" xfId="15688" xr:uid="{1A96FC7D-0468-410C-8CD8-2EB79BA859CE}"/>
    <cellStyle name="Normal 2 4 3 4 2 3" xfId="11470" xr:uid="{BC5831E4-895C-425D-A1D9-E18F05E30346}"/>
    <cellStyle name="Normal 2 4 3 4 3" xfId="5104" xr:uid="{00000000-0005-0000-0000-000023100000}"/>
    <cellStyle name="Normal 2 4 3 4 3 2" xfId="13543" xr:uid="{61A3E29C-22CB-4527-989A-379F34A2BBBC}"/>
    <cellStyle name="Normal 2 4 3 4 4" xfId="9325" xr:uid="{EC167880-EAE1-4342-BDC9-E8AE4A1DC7AE}"/>
    <cellStyle name="Normal 2 4 3 5" xfId="1209" xr:uid="{00000000-0005-0000-0000-000024100000}"/>
    <cellStyle name="Normal 2 4 3 5 2" xfId="3439" xr:uid="{00000000-0005-0000-0000-000025100000}"/>
    <cellStyle name="Normal 2 4 3 5 2 2" xfId="7662" xr:uid="{00000000-0005-0000-0000-000026100000}"/>
    <cellStyle name="Normal 2 4 3 5 2 2 2" xfId="16101" xr:uid="{0C68FE6E-3BD1-4A0E-A7B8-28F9F12E5DA7}"/>
    <cellStyle name="Normal 2 4 3 5 2 3" xfId="11883" xr:uid="{623C7584-4124-48EA-9B30-E8AEA6692BAE}"/>
    <cellStyle name="Normal 2 4 3 5 3" xfId="5517" xr:uid="{00000000-0005-0000-0000-000027100000}"/>
    <cellStyle name="Normal 2 4 3 5 3 2" xfId="13956" xr:uid="{4FB9AD76-E5E5-4DBC-8D52-93DE1D074D66}"/>
    <cellStyle name="Normal 2 4 3 5 4" xfId="9738" xr:uid="{CF94B64E-4FA9-4B63-8236-3867D2AE452A}"/>
    <cellStyle name="Normal 2 4 3 6" xfId="1622" xr:uid="{00000000-0005-0000-0000-000028100000}"/>
    <cellStyle name="Normal 2 4 3 6 2" xfId="3852" xr:uid="{00000000-0005-0000-0000-000029100000}"/>
    <cellStyle name="Normal 2 4 3 6 2 2" xfId="8075" xr:uid="{00000000-0005-0000-0000-00002A100000}"/>
    <cellStyle name="Normal 2 4 3 6 2 2 2" xfId="16514" xr:uid="{DA77B3B3-5A80-46F3-8A7F-5B63ACF3CBF3}"/>
    <cellStyle name="Normal 2 4 3 6 2 3" xfId="12296" xr:uid="{940EB445-6992-4072-A7A5-EE17EBF07947}"/>
    <cellStyle name="Normal 2 4 3 6 3" xfId="5930" xr:uid="{00000000-0005-0000-0000-00002B100000}"/>
    <cellStyle name="Normal 2 4 3 6 3 2" xfId="14369" xr:uid="{D335915B-0C01-4C38-89D5-D6700F91D4F4}"/>
    <cellStyle name="Normal 2 4 3 6 4" xfId="10151" xr:uid="{0101DA7E-149B-4CCE-BEFB-E3303EAFBFC9}"/>
    <cellStyle name="Normal 2 4 3 7" xfId="2036" xr:uid="{00000000-0005-0000-0000-00002C100000}"/>
    <cellStyle name="Normal 2 4 3 7 2" xfId="4265" xr:uid="{00000000-0005-0000-0000-00002D100000}"/>
    <cellStyle name="Normal 2 4 3 7 2 2" xfId="8488" xr:uid="{00000000-0005-0000-0000-00002E100000}"/>
    <cellStyle name="Normal 2 4 3 7 2 2 2" xfId="16927" xr:uid="{A90570EF-A000-4708-8F8B-2816BD430B9D}"/>
    <cellStyle name="Normal 2 4 3 7 2 3" xfId="12709" xr:uid="{7FE5C66C-86A5-45AB-83E2-EFAAA307BF89}"/>
    <cellStyle name="Normal 2 4 3 7 3" xfId="6343" xr:uid="{00000000-0005-0000-0000-00002F100000}"/>
    <cellStyle name="Normal 2 4 3 7 3 2" xfId="14782" xr:uid="{1A109DCE-5FEC-49B2-AB8F-F94FC8FF0225}"/>
    <cellStyle name="Normal 2 4 3 7 4" xfId="10564" xr:uid="{ED4FA49B-E6AE-4097-A5CF-C205DC325B72}"/>
    <cellStyle name="Normal 2 4 3 8" xfId="2472" xr:uid="{00000000-0005-0000-0000-000030100000}"/>
    <cellStyle name="Normal 2 4 3 8 2" xfId="6756" xr:uid="{00000000-0005-0000-0000-000031100000}"/>
    <cellStyle name="Normal 2 4 3 8 2 2" xfId="15195" xr:uid="{25A17D83-7E9B-42D6-9D3B-CAD573057BE5}"/>
    <cellStyle name="Normal 2 4 3 8 3" xfId="10977" xr:uid="{8EDBE6CB-6C88-4D9B-9234-B91FD5F4C025}"/>
    <cellStyle name="Normal 2 4 3 9" xfId="4690" xr:uid="{00000000-0005-0000-0000-000032100000}"/>
    <cellStyle name="Normal 2 4 3 9 2" xfId="13129" xr:uid="{875DB879-FD41-4522-B07F-39388778100D}"/>
    <cellStyle name="Normal 2 4 4" xfId="302" xr:uid="{00000000-0005-0000-0000-000033100000}"/>
    <cellStyle name="Normal 2 4 5" xfId="303" xr:uid="{00000000-0005-0000-0000-000034100000}"/>
    <cellStyle name="Normal 2 4 5 10" xfId="4695" xr:uid="{00000000-0005-0000-0000-000035100000}"/>
    <cellStyle name="Normal 2 4 5 10 2" xfId="13134" xr:uid="{E93692F1-3C4B-448D-9F61-91A60024BB98}"/>
    <cellStyle name="Normal 2 4 5 11" xfId="8916" xr:uid="{0C4FC46C-09BB-4089-AF54-129E22C1D75B}"/>
    <cellStyle name="Normal 2 4 5 2" xfId="304" xr:uid="{00000000-0005-0000-0000-000036100000}"/>
    <cellStyle name="Normal 2 4 5 2 10" xfId="8917" xr:uid="{81AB0E54-182F-43F6-83B0-EAC9DFB56A72}"/>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6" xr:uid="{F55E0785-ABB6-45FA-A483-65E00AE7027C}"/>
    <cellStyle name="Normal 2 4 5 2 2 2 2 2 3" xfId="11478" xr:uid="{C3F5DAE8-517C-488E-91F8-900A7F58C6B2}"/>
    <cellStyle name="Normal 2 4 5 2 2 2 2 3" xfId="5112" xr:uid="{00000000-0005-0000-0000-00003C100000}"/>
    <cellStyle name="Normal 2 4 5 2 2 2 2 3 2" xfId="13551" xr:uid="{A51B4085-D4AF-4A9D-AFD6-4647D0190CA4}"/>
    <cellStyle name="Normal 2 4 5 2 2 2 2 4" xfId="9333" xr:uid="{502AD34A-D4AD-43FA-975F-377EE5B5534D}"/>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09" xr:uid="{A021DD3A-081C-4037-A899-3BBBDE38B30B}"/>
    <cellStyle name="Normal 2 4 5 2 2 2 3 2 3" xfId="11891" xr:uid="{3A78D781-176E-45D1-81B8-26906EB7B6FB}"/>
    <cellStyle name="Normal 2 4 5 2 2 2 3 3" xfId="5525" xr:uid="{00000000-0005-0000-0000-000040100000}"/>
    <cellStyle name="Normal 2 4 5 2 2 2 3 3 2" xfId="13964" xr:uid="{A321138F-2EC6-4E5D-8653-CFFF29FB2AF0}"/>
    <cellStyle name="Normal 2 4 5 2 2 2 3 4" xfId="9746" xr:uid="{0D2BFC28-6522-44D4-B6B0-CBEB630DF721}"/>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2" xr:uid="{F689AB61-9FB7-4735-87BA-219F1C589A3E}"/>
    <cellStyle name="Normal 2 4 5 2 2 2 4 2 3" xfId="12304" xr:uid="{5F578B75-5AA4-47AC-98C5-4194CB21A6E7}"/>
    <cellStyle name="Normal 2 4 5 2 2 2 4 3" xfId="5938" xr:uid="{00000000-0005-0000-0000-000044100000}"/>
    <cellStyle name="Normal 2 4 5 2 2 2 4 3 2" xfId="14377" xr:uid="{77F2138D-7197-4EE4-9255-201401F4FD71}"/>
    <cellStyle name="Normal 2 4 5 2 2 2 4 4" xfId="10159" xr:uid="{996FFA94-AC2A-4059-9120-180B414D8B03}"/>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5" xr:uid="{E9AB2122-7A48-4523-B683-F15BE52214A7}"/>
    <cellStyle name="Normal 2 4 5 2 2 2 5 2 3" xfId="12717" xr:uid="{766379D4-497E-401F-B6F0-773B9B519366}"/>
    <cellStyle name="Normal 2 4 5 2 2 2 5 3" xfId="6351" xr:uid="{00000000-0005-0000-0000-000048100000}"/>
    <cellStyle name="Normal 2 4 5 2 2 2 5 3 2" xfId="14790" xr:uid="{A32DD955-5FA4-4624-981D-268483F4331B}"/>
    <cellStyle name="Normal 2 4 5 2 2 2 5 4" xfId="10572" xr:uid="{FF6C904C-1696-4043-85A7-8A09BBA5414C}"/>
    <cellStyle name="Normal 2 4 5 2 2 2 6" xfId="2480" xr:uid="{00000000-0005-0000-0000-000049100000}"/>
    <cellStyle name="Normal 2 4 5 2 2 2 6 2" xfId="6764" xr:uid="{00000000-0005-0000-0000-00004A100000}"/>
    <cellStyle name="Normal 2 4 5 2 2 2 6 2 2" xfId="15203" xr:uid="{755607BB-1232-44CA-9F9E-B11DE044B873}"/>
    <cellStyle name="Normal 2 4 5 2 2 2 6 3" xfId="10985" xr:uid="{4AC74E48-D6B9-46B2-9DF2-77465C574B0E}"/>
    <cellStyle name="Normal 2 4 5 2 2 2 7" xfId="4698" xr:uid="{00000000-0005-0000-0000-00004B100000}"/>
    <cellStyle name="Normal 2 4 5 2 2 2 7 2" xfId="13137" xr:uid="{7FC5C167-97B7-4CE3-BB1B-DECF1D3DD374}"/>
    <cellStyle name="Normal 2 4 5 2 2 2 8" xfId="8919" xr:uid="{35F43661-26D9-48A0-B039-E4A2D5C65F3D}"/>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5" xr:uid="{C5C4A28A-306D-4C42-B885-62A4EC1FACE5}"/>
    <cellStyle name="Normal 2 4 5 2 2 3 2 3" xfId="11477" xr:uid="{41CDB5DC-0382-4A39-A55A-BB673D12DA47}"/>
    <cellStyle name="Normal 2 4 5 2 2 3 3" xfId="5111" xr:uid="{00000000-0005-0000-0000-00004F100000}"/>
    <cellStyle name="Normal 2 4 5 2 2 3 3 2" xfId="13550" xr:uid="{413C4A9D-EE06-407E-93BC-530E782B2C5A}"/>
    <cellStyle name="Normal 2 4 5 2 2 3 4" xfId="9332" xr:uid="{699FB43B-CF1C-4731-ACD6-73204C01A179}"/>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08" xr:uid="{A66AFD05-648D-4C93-99B0-D0AD0DD83E5C}"/>
    <cellStyle name="Normal 2 4 5 2 2 4 2 3" xfId="11890" xr:uid="{32C2A488-891C-40B7-9403-60F4C48D28CB}"/>
    <cellStyle name="Normal 2 4 5 2 2 4 3" xfId="5524" xr:uid="{00000000-0005-0000-0000-000053100000}"/>
    <cellStyle name="Normal 2 4 5 2 2 4 3 2" xfId="13963" xr:uid="{B45A6416-88C5-4ABD-BBA4-4236729D9824}"/>
    <cellStyle name="Normal 2 4 5 2 2 4 4" xfId="9745" xr:uid="{4B7757E2-94F9-4AEC-A3D0-A7FA6E2504D7}"/>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1" xr:uid="{B43AA35F-060E-497B-B140-3C69757C39E4}"/>
    <cellStyle name="Normal 2 4 5 2 2 5 2 3" xfId="12303" xr:uid="{BFA5DC72-1F53-4D30-827C-45B1220BB8F8}"/>
    <cellStyle name="Normal 2 4 5 2 2 5 3" xfId="5937" xr:uid="{00000000-0005-0000-0000-000057100000}"/>
    <cellStyle name="Normal 2 4 5 2 2 5 3 2" xfId="14376" xr:uid="{5E75CB2F-B6E7-494B-90FE-CDAB8749943C}"/>
    <cellStyle name="Normal 2 4 5 2 2 5 4" xfId="10158" xr:uid="{1FE3F47F-67D9-4DC3-986B-164692312C25}"/>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4" xr:uid="{E68E7F17-BB9B-4B1E-AA30-EC04CAF60FB4}"/>
    <cellStyle name="Normal 2 4 5 2 2 6 2 3" xfId="12716" xr:uid="{F2D1B272-56FC-43FF-841A-25DAE5609ED0}"/>
    <cellStyle name="Normal 2 4 5 2 2 6 3" xfId="6350" xr:uid="{00000000-0005-0000-0000-00005B100000}"/>
    <cellStyle name="Normal 2 4 5 2 2 6 3 2" xfId="14789" xr:uid="{D5E30B9F-3C92-41F4-9880-52A9A7F30290}"/>
    <cellStyle name="Normal 2 4 5 2 2 6 4" xfId="10571" xr:uid="{3D2E6E9E-2877-4F7E-B95F-C551BD9F5226}"/>
    <cellStyle name="Normal 2 4 5 2 2 7" xfId="2479" xr:uid="{00000000-0005-0000-0000-00005C100000}"/>
    <cellStyle name="Normal 2 4 5 2 2 7 2" xfId="6763" xr:uid="{00000000-0005-0000-0000-00005D100000}"/>
    <cellStyle name="Normal 2 4 5 2 2 7 2 2" xfId="15202" xr:uid="{A3F2A5F8-BB23-45B3-AF59-00EB9ED82C2F}"/>
    <cellStyle name="Normal 2 4 5 2 2 7 3" xfId="10984" xr:uid="{1FEC4BC8-A25A-49B6-B38B-1A7760BB4AF2}"/>
    <cellStyle name="Normal 2 4 5 2 2 8" xfId="4697" xr:uid="{00000000-0005-0000-0000-00005E100000}"/>
    <cellStyle name="Normal 2 4 5 2 2 8 2" xfId="13136" xr:uid="{41FBA5DC-422C-49AF-8B2C-9CE6EE523E82}"/>
    <cellStyle name="Normal 2 4 5 2 2 9" xfId="8918" xr:uid="{B090599B-53D4-46D0-A061-BDA952860E7D}"/>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697" xr:uid="{5D98EE70-C35F-488E-BBBD-22ACDEBBC2EA}"/>
    <cellStyle name="Normal 2 4 5 2 3 2 2 3" xfId="11479" xr:uid="{DCB4D78D-CC39-4582-AEBC-937CDC87F1E2}"/>
    <cellStyle name="Normal 2 4 5 2 3 2 3" xfId="5113" xr:uid="{00000000-0005-0000-0000-000063100000}"/>
    <cellStyle name="Normal 2 4 5 2 3 2 3 2" xfId="13552" xr:uid="{8EBD22BE-2D4A-429C-9764-603A84EE37CD}"/>
    <cellStyle name="Normal 2 4 5 2 3 2 4" xfId="9334" xr:uid="{ADE6637A-40A2-4C56-8599-2691A96768C1}"/>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0" xr:uid="{E5DF625B-15DE-4E04-BC53-7C01524A0127}"/>
    <cellStyle name="Normal 2 4 5 2 3 3 2 3" xfId="11892" xr:uid="{24C02512-2DAA-4C73-A826-91EB88FCA324}"/>
    <cellStyle name="Normal 2 4 5 2 3 3 3" xfId="5526" xr:uid="{00000000-0005-0000-0000-000067100000}"/>
    <cellStyle name="Normal 2 4 5 2 3 3 3 2" xfId="13965" xr:uid="{D1C13144-AC41-4DA4-AEE9-D58A9F93DB4B}"/>
    <cellStyle name="Normal 2 4 5 2 3 3 4" xfId="9747" xr:uid="{092C9D57-47DB-4FFA-A091-C1A705AF39F8}"/>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3" xr:uid="{1F55042F-5E31-49DC-90D9-6CA4EBB55991}"/>
    <cellStyle name="Normal 2 4 5 2 3 4 2 3" xfId="12305" xr:uid="{02B76EBD-0CCD-4EAD-B002-65A87B18DB4C}"/>
    <cellStyle name="Normal 2 4 5 2 3 4 3" xfId="5939" xr:uid="{00000000-0005-0000-0000-00006B100000}"/>
    <cellStyle name="Normal 2 4 5 2 3 4 3 2" xfId="14378" xr:uid="{B9E38A5A-5484-4D90-87C9-940F3A31F291}"/>
    <cellStyle name="Normal 2 4 5 2 3 4 4" xfId="10160" xr:uid="{DD801E67-EC78-4479-8189-FC543806B381}"/>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6" xr:uid="{A11FF560-5EA8-462F-B3EC-11146255092E}"/>
    <cellStyle name="Normal 2 4 5 2 3 5 2 3" xfId="12718" xr:uid="{BFE84EFF-625D-4309-BE5E-23EAEA59D381}"/>
    <cellStyle name="Normal 2 4 5 2 3 5 3" xfId="6352" xr:uid="{00000000-0005-0000-0000-00006F100000}"/>
    <cellStyle name="Normal 2 4 5 2 3 5 3 2" xfId="14791" xr:uid="{6DDC1270-7948-44D1-8871-185A6FCF118A}"/>
    <cellStyle name="Normal 2 4 5 2 3 5 4" xfId="10573" xr:uid="{9415942D-62F8-4FA7-A002-F0BC96934C46}"/>
    <cellStyle name="Normal 2 4 5 2 3 6" xfId="2481" xr:uid="{00000000-0005-0000-0000-000070100000}"/>
    <cellStyle name="Normal 2 4 5 2 3 6 2" xfId="6765" xr:uid="{00000000-0005-0000-0000-000071100000}"/>
    <cellStyle name="Normal 2 4 5 2 3 6 2 2" xfId="15204" xr:uid="{CC7CC6BA-282D-42ED-8C35-9A0EEC32D469}"/>
    <cellStyle name="Normal 2 4 5 2 3 6 3" xfId="10986" xr:uid="{2021A021-4A6B-4593-9EFE-C8C91F9B25B5}"/>
    <cellStyle name="Normal 2 4 5 2 3 7" xfId="4699" xr:uid="{00000000-0005-0000-0000-000072100000}"/>
    <cellStyle name="Normal 2 4 5 2 3 7 2" xfId="13138" xr:uid="{A6E4A7C1-DB24-4029-9E3F-D0010B1F0570}"/>
    <cellStyle name="Normal 2 4 5 2 3 8" xfId="8920" xr:uid="{F38A53B5-36D3-4BBC-9054-9FFBF4AB1C83}"/>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4" xr:uid="{55FE374E-7CBC-4EBE-9510-74C499D72EDA}"/>
    <cellStyle name="Normal 2 4 5 2 4 2 3" xfId="11476" xr:uid="{F6C895F9-A01B-46A4-924B-8C10F8118076}"/>
    <cellStyle name="Normal 2 4 5 2 4 3" xfId="5110" xr:uid="{00000000-0005-0000-0000-000076100000}"/>
    <cellStyle name="Normal 2 4 5 2 4 3 2" xfId="13549" xr:uid="{D6C0834E-E537-4CE8-B379-D317D1F455D8}"/>
    <cellStyle name="Normal 2 4 5 2 4 4" xfId="9331" xr:uid="{3369FB14-9085-4C41-85D9-E4B209F0F3E2}"/>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07" xr:uid="{7FD2579E-7449-4E7F-85AE-0765C01DAD2A}"/>
    <cellStyle name="Normal 2 4 5 2 5 2 3" xfId="11889" xr:uid="{95FA38D2-CF0B-43B1-88B9-8A49BDE68617}"/>
    <cellStyle name="Normal 2 4 5 2 5 3" xfId="5523" xr:uid="{00000000-0005-0000-0000-00007A100000}"/>
    <cellStyle name="Normal 2 4 5 2 5 3 2" xfId="13962" xr:uid="{469C249B-C1A1-4B54-8C7A-7C5B2C046AEB}"/>
    <cellStyle name="Normal 2 4 5 2 5 4" xfId="9744" xr:uid="{2E39AADB-E335-45B9-8CBC-87208D13E673}"/>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0" xr:uid="{5ED136EC-4E0F-40D9-94C6-9C78CFD60F87}"/>
    <cellStyle name="Normal 2 4 5 2 6 2 3" xfId="12302" xr:uid="{0AA60E8C-7FDA-400F-9BD7-B807C5EE8703}"/>
    <cellStyle name="Normal 2 4 5 2 6 3" xfId="5936" xr:uid="{00000000-0005-0000-0000-00007E100000}"/>
    <cellStyle name="Normal 2 4 5 2 6 3 2" xfId="14375" xr:uid="{BC2061DC-37CC-4E5D-864C-D08738B73AE7}"/>
    <cellStyle name="Normal 2 4 5 2 6 4" xfId="10157" xr:uid="{F38125DD-A3FA-48CF-8DCD-B94E68638983}"/>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3" xr:uid="{32467954-9EED-4BD7-AC11-7AC54E7ED08F}"/>
    <cellStyle name="Normal 2 4 5 2 7 2 3" xfId="12715" xr:uid="{E97D28FE-BE36-43E8-9420-19AA3EB81CA4}"/>
    <cellStyle name="Normal 2 4 5 2 7 3" xfId="6349" xr:uid="{00000000-0005-0000-0000-000082100000}"/>
    <cellStyle name="Normal 2 4 5 2 7 3 2" xfId="14788" xr:uid="{9CDBA295-CF63-4FCF-AE27-DFB801B60E1E}"/>
    <cellStyle name="Normal 2 4 5 2 7 4" xfId="10570" xr:uid="{02410D0A-CE59-4492-B433-DE418A7E4AC2}"/>
    <cellStyle name="Normal 2 4 5 2 8" xfId="2478" xr:uid="{00000000-0005-0000-0000-000083100000}"/>
    <cellStyle name="Normal 2 4 5 2 8 2" xfId="6762" xr:uid="{00000000-0005-0000-0000-000084100000}"/>
    <cellStyle name="Normal 2 4 5 2 8 2 2" xfId="15201" xr:uid="{46F2596C-402E-49EE-BCAE-938DD8A10FC2}"/>
    <cellStyle name="Normal 2 4 5 2 8 3" xfId="10983" xr:uid="{2A965A00-73D5-444C-9964-F8CC156A2F51}"/>
    <cellStyle name="Normal 2 4 5 2 9" xfId="4696" xr:uid="{00000000-0005-0000-0000-000085100000}"/>
    <cellStyle name="Normal 2 4 5 2 9 2" xfId="13135" xr:uid="{E5AFFC00-0837-4B10-B81D-5B5E1247BD25}"/>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699" xr:uid="{7E72EE0E-8002-437A-A324-474402A16FC2}"/>
    <cellStyle name="Normal 2 4 5 3 2 2 2 3" xfId="11481" xr:uid="{4C5F48F7-D2EE-44D5-9C59-4E90D6FBA7ED}"/>
    <cellStyle name="Normal 2 4 5 3 2 2 3" xfId="5115" xr:uid="{00000000-0005-0000-0000-00008B100000}"/>
    <cellStyle name="Normal 2 4 5 3 2 2 3 2" xfId="13554" xr:uid="{A0BEC003-0E0C-4BFA-AC45-27C3BD4D5A47}"/>
    <cellStyle name="Normal 2 4 5 3 2 2 4" xfId="9336" xr:uid="{C3386195-B905-4E4F-88B0-A17F65B11CD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2" xr:uid="{6C6E81E8-CF8E-4FA5-A302-A14B62DEB706}"/>
    <cellStyle name="Normal 2 4 5 3 2 3 2 3" xfId="11894" xr:uid="{0E05DE12-7F02-4F56-9D20-A9C0C85D1595}"/>
    <cellStyle name="Normal 2 4 5 3 2 3 3" xfId="5528" xr:uid="{00000000-0005-0000-0000-00008F100000}"/>
    <cellStyle name="Normal 2 4 5 3 2 3 3 2" xfId="13967" xr:uid="{0FD74C28-6B54-42CF-8E81-7E1F59278920}"/>
    <cellStyle name="Normal 2 4 5 3 2 3 4" xfId="9749" xr:uid="{77F61782-15E1-43AA-9493-1AEE134AE646}"/>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5" xr:uid="{0D8DB371-7C52-429A-9468-589D1892A3A7}"/>
    <cellStyle name="Normal 2 4 5 3 2 4 2 3" xfId="12307" xr:uid="{9FF59546-1CB9-4D0E-895F-CBEFE9230939}"/>
    <cellStyle name="Normal 2 4 5 3 2 4 3" xfId="5941" xr:uid="{00000000-0005-0000-0000-000093100000}"/>
    <cellStyle name="Normal 2 4 5 3 2 4 3 2" xfId="14380" xr:uid="{D79A110B-D1CE-4DF3-B964-A03DC42A9E97}"/>
    <cellStyle name="Normal 2 4 5 3 2 4 4" xfId="10162" xr:uid="{DFEEC97A-4BB8-4764-9F51-01FCC09AA0FB}"/>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38" xr:uid="{2768CB3C-DC2C-4C95-9882-9DC3F17BB333}"/>
    <cellStyle name="Normal 2 4 5 3 2 5 2 3" xfId="12720" xr:uid="{FDDCEAD3-B5E1-4249-A8F0-BD0442BED6A4}"/>
    <cellStyle name="Normal 2 4 5 3 2 5 3" xfId="6354" xr:uid="{00000000-0005-0000-0000-000097100000}"/>
    <cellStyle name="Normal 2 4 5 3 2 5 3 2" xfId="14793" xr:uid="{4543E01F-185A-48DB-87D7-2159B850F62F}"/>
    <cellStyle name="Normal 2 4 5 3 2 5 4" xfId="10575" xr:uid="{BBD3CA79-CD43-4073-875F-163966166932}"/>
    <cellStyle name="Normal 2 4 5 3 2 6" xfId="2483" xr:uid="{00000000-0005-0000-0000-000098100000}"/>
    <cellStyle name="Normal 2 4 5 3 2 6 2" xfId="6767" xr:uid="{00000000-0005-0000-0000-000099100000}"/>
    <cellStyle name="Normal 2 4 5 3 2 6 2 2" xfId="15206" xr:uid="{F17EEFD9-6CC5-42F8-99CC-7A19A7BB746E}"/>
    <cellStyle name="Normal 2 4 5 3 2 6 3" xfId="10988" xr:uid="{3DF3ADE7-D691-4B57-9AE1-A5EF6DFCB994}"/>
    <cellStyle name="Normal 2 4 5 3 2 7" xfId="4701" xr:uid="{00000000-0005-0000-0000-00009A100000}"/>
    <cellStyle name="Normal 2 4 5 3 2 7 2" xfId="13140" xr:uid="{ACF34236-D742-4BC6-B00E-868B5C90732B}"/>
    <cellStyle name="Normal 2 4 5 3 2 8" xfId="8922" xr:uid="{2C61EBAD-9AA3-4811-BAC9-DBB8BB58F686}"/>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698" xr:uid="{0DF7DD98-9DCF-4587-BB35-29DBBA38E82E}"/>
    <cellStyle name="Normal 2 4 5 3 3 2 3" xfId="11480" xr:uid="{37ECB658-0855-4A04-A44D-4B0DB223E579}"/>
    <cellStyle name="Normal 2 4 5 3 3 3" xfId="5114" xr:uid="{00000000-0005-0000-0000-00009E100000}"/>
    <cellStyle name="Normal 2 4 5 3 3 3 2" xfId="13553" xr:uid="{00DE8C4E-C14A-49F8-972D-CDD30C0A900E}"/>
    <cellStyle name="Normal 2 4 5 3 3 4" xfId="9335" xr:uid="{A228F921-1C2C-49D9-8E87-5E1BDC9C342F}"/>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1" xr:uid="{9209D290-C943-45AE-BECD-C145A38628DC}"/>
    <cellStyle name="Normal 2 4 5 3 4 2 3" xfId="11893" xr:uid="{5143F034-BA7F-481D-B42D-ABC619164374}"/>
    <cellStyle name="Normal 2 4 5 3 4 3" xfId="5527" xr:uid="{00000000-0005-0000-0000-0000A2100000}"/>
    <cellStyle name="Normal 2 4 5 3 4 3 2" xfId="13966" xr:uid="{86FAA2CC-E414-40AE-A675-CD2B65174EA7}"/>
    <cellStyle name="Normal 2 4 5 3 4 4" xfId="9748" xr:uid="{6C1FB24A-E4BD-4D46-BE2E-AA04840D6CA4}"/>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4" xr:uid="{4500963F-52EF-493C-BE7E-F2A2D8576340}"/>
    <cellStyle name="Normal 2 4 5 3 5 2 3" xfId="12306" xr:uid="{BA47B0AD-BB97-4328-A783-4A4C52DE550F}"/>
    <cellStyle name="Normal 2 4 5 3 5 3" xfId="5940" xr:uid="{00000000-0005-0000-0000-0000A6100000}"/>
    <cellStyle name="Normal 2 4 5 3 5 3 2" xfId="14379" xr:uid="{08ACBFBB-1423-41B6-B122-7F3B5CC71BA4}"/>
    <cellStyle name="Normal 2 4 5 3 5 4" xfId="10161" xr:uid="{B0DEA9D6-2B2E-4319-894C-80EF94B62918}"/>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37" xr:uid="{DD4E6A17-9CC9-4129-B86F-421690BC149D}"/>
    <cellStyle name="Normal 2 4 5 3 6 2 3" xfId="12719" xr:uid="{3B592486-D473-4B51-BE27-361F1ECEF324}"/>
    <cellStyle name="Normal 2 4 5 3 6 3" xfId="6353" xr:uid="{00000000-0005-0000-0000-0000AA100000}"/>
    <cellStyle name="Normal 2 4 5 3 6 3 2" xfId="14792" xr:uid="{0FCF0ADD-2814-4288-A861-8C3DDF5CC149}"/>
    <cellStyle name="Normal 2 4 5 3 6 4" xfId="10574" xr:uid="{9F66E61A-8357-4472-A337-4D9384662E7A}"/>
    <cellStyle name="Normal 2 4 5 3 7" xfId="2482" xr:uid="{00000000-0005-0000-0000-0000AB100000}"/>
    <cellStyle name="Normal 2 4 5 3 7 2" xfId="6766" xr:uid="{00000000-0005-0000-0000-0000AC100000}"/>
    <cellStyle name="Normal 2 4 5 3 7 2 2" xfId="15205" xr:uid="{EC6BE8B7-2942-4F59-BADE-6DE170A1602E}"/>
    <cellStyle name="Normal 2 4 5 3 7 3" xfId="10987" xr:uid="{2A9097E3-F407-4698-BEC4-3624E86FE3FF}"/>
    <cellStyle name="Normal 2 4 5 3 8" xfId="4700" xr:uid="{00000000-0005-0000-0000-0000AD100000}"/>
    <cellStyle name="Normal 2 4 5 3 8 2" xfId="13139" xr:uid="{6EAA2576-8B88-4CB6-916A-B649E73F1C57}"/>
    <cellStyle name="Normal 2 4 5 3 9" xfId="8921" xr:uid="{971617C7-F141-411E-B95B-77547E746538}"/>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0" xr:uid="{A3D6AB10-000B-43C8-88EB-0CB5F6572618}"/>
    <cellStyle name="Normal 2 4 5 4 2 2 3" xfId="11482" xr:uid="{0248C5B9-2DD9-46EB-BAD5-700E1B6BA3C8}"/>
    <cellStyle name="Normal 2 4 5 4 2 3" xfId="5116" xr:uid="{00000000-0005-0000-0000-0000B2100000}"/>
    <cellStyle name="Normal 2 4 5 4 2 3 2" xfId="13555" xr:uid="{E5089D66-5E1B-48FA-87F1-16F85D97761B}"/>
    <cellStyle name="Normal 2 4 5 4 2 4" xfId="9337" xr:uid="{4D785B63-2FAB-48BB-9991-CB3A06AA20CA}"/>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3" xr:uid="{DDD2F59F-F339-4A46-B69F-CC96968FBCDC}"/>
    <cellStyle name="Normal 2 4 5 4 3 2 3" xfId="11895" xr:uid="{CE588758-4B25-4268-A2D6-F51D66DE3080}"/>
    <cellStyle name="Normal 2 4 5 4 3 3" xfId="5529" xr:uid="{00000000-0005-0000-0000-0000B6100000}"/>
    <cellStyle name="Normal 2 4 5 4 3 3 2" xfId="13968" xr:uid="{CDB3264F-6EE7-4EBB-AB78-80F58FC59E92}"/>
    <cellStyle name="Normal 2 4 5 4 3 4" xfId="9750" xr:uid="{932D2813-0CCF-492D-B4B5-C3FA3B8EE62C}"/>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6" xr:uid="{F97B384F-8437-47AE-8F80-6CA2A938D562}"/>
    <cellStyle name="Normal 2 4 5 4 4 2 3" xfId="12308" xr:uid="{7199A175-54B5-4A84-8098-EE5F731A2720}"/>
    <cellStyle name="Normal 2 4 5 4 4 3" xfId="5942" xr:uid="{00000000-0005-0000-0000-0000BA100000}"/>
    <cellStyle name="Normal 2 4 5 4 4 3 2" xfId="14381" xr:uid="{8DAB3279-1C59-45DB-A937-6AB6030B4C6C}"/>
    <cellStyle name="Normal 2 4 5 4 4 4" xfId="10163" xr:uid="{FCD3DBDC-403A-4F04-ADDE-C841C470423E}"/>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39" xr:uid="{AC98C085-D000-4515-9CD8-E557867DB0A5}"/>
    <cellStyle name="Normal 2 4 5 4 5 2 3" xfId="12721" xr:uid="{7A03C89D-CA09-4D37-8C40-EE2C05625F84}"/>
    <cellStyle name="Normal 2 4 5 4 5 3" xfId="6355" xr:uid="{00000000-0005-0000-0000-0000BE100000}"/>
    <cellStyle name="Normal 2 4 5 4 5 3 2" xfId="14794" xr:uid="{14F6597C-6ABC-4AE7-9D6A-F3D9C98A82A0}"/>
    <cellStyle name="Normal 2 4 5 4 5 4" xfId="10576" xr:uid="{8E8DE7F6-78E6-4026-92D6-65AFA7C7E403}"/>
    <cellStyle name="Normal 2 4 5 4 6" xfId="2484" xr:uid="{00000000-0005-0000-0000-0000BF100000}"/>
    <cellStyle name="Normal 2 4 5 4 6 2" xfId="6768" xr:uid="{00000000-0005-0000-0000-0000C0100000}"/>
    <cellStyle name="Normal 2 4 5 4 6 2 2" xfId="15207" xr:uid="{A53DD222-26B3-4CF3-8E41-60DE140EFEBC}"/>
    <cellStyle name="Normal 2 4 5 4 6 3" xfId="10989" xr:uid="{A4CD31D1-C729-4EED-AA8E-175DFD23601D}"/>
    <cellStyle name="Normal 2 4 5 4 7" xfId="4702" xr:uid="{00000000-0005-0000-0000-0000C1100000}"/>
    <cellStyle name="Normal 2 4 5 4 7 2" xfId="13141" xr:uid="{612525BC-75A3-4399-A36E-082DA267CFD6}"/>
    <cellStyle name="Normal 2 4 5 4 8" xfId="8923" xr:uid="{D41652FA-C7A1-4507-9D2B-31EA260FC94B}"/>
    <cellStyle name="Normal 2 4 5 5" xfId="792" xr:uid="{00000000-0005-0000-0000-0000C2100000}"/>
    <cellStyle name="Normal 2 4 5 5 2" xfId="3031" xr:uid="{00000000-0005-0000-0000-0000C3100000}"/>
    <cellStyle name="Normal 2 4 5 5 2 2" xfId="7254" xr:uid="{00000000-0005-0000-0000-0000C4100000}"/>
    <cellStyle name="Normal 2 4 5 5 2 2 2" xfId="15693" xr:uid="{F49E4306-B9AC-4FD9-8A16-ABB0EC8C4952}"/>
    <cellStyle name="Normal 2 4 5 5 2 3" xfId="11475" xr:uid="{5C2BC485-C26C-451F-B739-BDE81CADFA52}"/>
    <cellStyle name="Normal 2 4 5 5 3" xfId="5109" xr:uid="{00000000-0005-0000-0000-0000C5100000}"/>
    <cellStyle name="Normal 2 4 5 5 3 2" xfId="13548" xr:uid="{362E7832-12A9-416F-AC19-E157C495A0E7}"/>
    <cellStyle name="Normal 2 4 5 5 4" xfId="9330" xr:uid="{004D2ED8-676C-4D58-BEC4-F9D257C5E259}"/>
    <cellStyle name="Normal 2 4 5 6" xfId="1214" xr:uid="{00000000-0005-0000-0000-0000C6100000}"/>
    <cellStyle name="Normal 2 4 5 6 2" xfId="3444" xr:uid="{00000000-0005-0000-0000-0000C7100000}"/>
    <cellStyle name="Normal 2 4 5 6 2 2" xfId="7667" xr:uid="{00000000-0005-0000-0000-0000C8100000}"/>
    <cellStyle name="Normal 2 4 5 6 2 2 2" xfId="16106" xr:uid="{D05B6C93-C180-4E16-A5CB-24EB13325AAC}"/>
    <cellStyle name="Normal 2 4 5 6 2 3" xfId="11888" xr:uid="{7E4445D4-6F74-43D2-908C-FE7F2E4994F1}"/>
    <cellStyle name="Normal 2 4 5 6 3" xfId="5522" xr:uid="{00000000-0005-0000-0000-0000C9100000}"/>
    <cellStyle name="Normal 2 4 5 6 3 2" xfId="13961" xr:uid="{E9ADF8E0-D7F3-4A64-8165-A95B502CD634}"/>
    <cellStyle name="Normal 2 4 5 6 4" xfId="9743" xr:uid="{763254BD-4F09-4E05-9F52-C5607EE8599C}"/>
    <cellStyle name="Normal 2 4 5 7" xfId="1627" xr:uid="{00000000-0005-0000-0000-0000CA100000}"/>
    <cellStyle name="Normal 2 4 5 7 2" xfId="3857" xr:uid="{00000000-0005-0000-0000-0000CB100000}"/>
    <cellStyle name="Normal 2 4 5 7 2 2" xfId="8080" xr:uid="{00000000-0005-0000-0000-0000CC100000}"/>
    <cellStyle name="Normal 2 4 5 7 2 2 2" xfId="16519" xr:uid="{FA6EE83F-0666-4E8E-9A53-6AB814D1B24B}"/>
    <cellStyle name="Normal 2 4 5 7 2 3" xfId="12301" xr:uid="{F6FA6BA0-D0BB-4757-A661-D181D2D8F2AD}"/>
    <cellStyle name="Normal 2 4 5 7 3" xfId="5935" xr:uid="{00000000-0005-0000-0000-0000CD100000}"/>
    <cellStyle name="Normal 2 4 5 7 3 2" xfId="14374" xr:uid="{F123643A-2429-4B6C-AF0F-2692D7B866B3}"/>
    <cellStyle name="Normal 2 4 5 7 4" xfId="10156" xr:uid="{BAC2C053-3594-4042-BCCF-DFD71668B35C}"/>
    <cellStyle name="Normal 2 4 5 8" xfId="2041" xr:uid="{00000000-0005-0000-0000-0000CE100000}"/>
    <cellStyle name="Normal 2 4 5 8 2" xfId="4270" xr:uid="{00000000-0005-0000-0000-0000CF100000}"/>
    <cellStyle name="Normal 2 4 5 8 2 2" xfId="8493" xr:uid="{00000000-0005-0000-0000-0000D0100000}"/>
    <cellStyle name="Normal 2 4 5 8 2 2 2" xfId="16932" xr:uid="{F9454E84-BC9F-4AED-9FC8-91B02D4CB6E2}"/>
    <cellStyle name="Normal 2 4 5 8 2 3" xfId="12714" xr:uid="{C411B8AA-16DA-45CC-893A-B5E10B4B8A9C}"/>
    <cellStyle name="Normal 2 4 5 8 3" xfId="6348" xr:uid="{00000000-0005-0000-0000-0000D1100000}"/>
    <cellStyle name="Normal 2 4 5 8 3 2" xfId="14787" xr:uid="{921B1F83-405E-4FBF-9559-D0D00826E65D}"/>
    <cellStyle name="Normal 2 4 5 8 4" xfId="10569" xr:uid="{F6DD39AA-67F2-4F99-A637-E391EAC7B1B0}"/>
    <cellStyle name="Normal 2 4 5 9" xfId="2477" xr:uid="{00000000-0005-0000-0000-0000D2100000}"/>
    <cellStyle name="Normal 2 4 5 9 2" xfId="6761" xr:uid="{00000000-0005-0000-0000-0000D3100000}"/>
    <cellStyle name="Normal 2 4 5 9 2 2" xfId="15200" xr:uid="{24A7F330-07B8-4417-81E0-BD8A6C51C841}"/>
    <cellStyle name="Normal 2 4 5 9 3" xfId="10982" xr:uid="{51A8E701-DC65-4233-BB42-AAD45BBE0C7D}"/>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2" xr:uid="{696AA526-B06F-478C-96A7-9115B2C9E693}"/>
    <cellStyle name="Normal 2 4 7 2 2 2 3" xfId="11484" xr:uid="{40D7DBE5-35B5-4C42-9E33-1B1C8264F0AA}"/>
    <cellStyle name="Normal 2 4 7 2 2 3" xfId="5118" xr:uid="{00000000-0005-0000-0000-0000DA100000}"/>
    <cellStyle name="Normal 2 4 7 2 2 3 2" xfId="13557" xr:uid="{88633DA6-5DA4-4601-A09B-02A23643794C}"/>
    <cellStyle name="Normal 2 4 7 2 2 4" xfId="9339" xr:uid="{A7D45919-37D7-4012-ADA4-2E0DD900ABB7}"/>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5" xr:uid="{1A14B3BC-F9AE-4901-B6A3-F3C264258F97}"/>
    <cellStyle name="Normal 2 4 7 2 3 2 3" xfId="11897" xr:uid="{E0427021-257C-4E37-A651-7544FB0E443C}"/>
    <cellStyle name="Normal 2 4 7 2 3 3" xfId="5531" xr:uid="{00000000-0005-0000-0000-0000DE100000}"/>
    <cellStyle name="Normal 2 4 7 2 3 3 2" xfId="13970" xr:uid="{3985B5E1-9E9B-4A4B-982D-EB22BFDDA7C9}"/>
    <cellStyle name="Normal 2 4 7 2 3 4" xfId="9752" xr:uid="{A12BF8AB-0095-464C-840F-00748372C41F}"/>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28" xr:uid="{0886AD4F-5F1A-4417-9A7A-59741D670350}"/>
    <cellStyle name="Normal 2 4 7 2 4 2 3" xfId="12310" xr:uid="{7942C291-A77C-42E3-ACD9-078CE7A72BBB}"/>
    <cellStyle name="Normal 2 4 7 2 4 3" xfId="5944" xr:uid="{00000000-0005-0000-0000-0000E2100000}"/>
    <cellStyle name="Normal 2 4 7 2 4 3 2" xfId="14383" xr:uid="{72D8019A-94E7-4FB7-B9C1-F5658C51A975}"/>
    <cellStyle name="Normal 2 4 7 2 4 4" xfId="10165" xr:uid="{84E016BC-9612-41F6-B17A-88BB716F9F11}"/>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1" xr:uid="{29BCA153-34F5-458A-9463-51F230D3460F}"/>
    <cellStyle name="Normal 2 4 7 2 5 2 3" xfId="12723" xr:uid="{D3DC32A6-B24E-4D95-A971-3CD915365ABA}"/>
    <cellStyle name="Normal 2 4 7 2 5 3" xfId="6357" xr:uid="{00000000-0005-0000-0000-0000E6100000}"/>
    <cellStyle name="Normal 2 4 7 2 5 3 2" xfId="14796" xr:uid="{02918919-2816-4994-8C02-EA74C28BF0FB}"/>
    <cellStyle name="Normal 2 4 7 2 5 4" xfId="10578" xr:uid="{A2D22ED7-8FF0-4AB0-B466-A140F0292301}"/>
    <cellStyle name="Normal 2 4 7 2 6" xfId="2486" xr:uid="{00000000-0005-0000-0000-0000E7100000}"/>
    <cellStyle name="Normal 2 4 7 2 6 2" xfId="6770" xr:uid="{00000000-0005-0000-0000-0000E8100000}"/>
    <cellStyle name="Normal 2 4 7 2 6 2 2" xfId="15209" xr:uid="{1014FD84-845C-4701-A8D7-C43D7EEBCF00}"/>
    <cellStyle name="Normal 2 4 7 2 6 3" xfId="10991" xr:uid="{1136E343-39CC-443F-8942-CC2DD1F484B3}"/>
    <cellStyle name="Normal 2 4 7 2 7" xfId="4704" xr:uid="{00000000-0005-0000-0000-0000E9100000}"/>
    <cellStyle name="Normal 2 4 7 2 7 2" xfId="13143" xr:uid="{8BCA7F49-1CB8-4058-BC1B-F6E8F9A6BF8D}"/>
    <cellStyle name="Normal 2 4 7 2 8" xfId="8925" xr:uid="{C78103EF-B30D-464D-A60B-E851AEAFD919}"/>
    <cellStyle name="Normal 2 4 7 3" xfId="800" xr:uid="{00000000-0005-0000-0000-0000EA100000}"/>
    <cellStyle name="Normal 2 4 7 3 2" xfId="3039" xr:uid="{00000000-0005-0000-0000-0000EB100000}"/>
    <cellStyle name="Normal 2 4 7 3 2 2" xfId="7262" xr:uid="{00000000-0005-0000-0000-0000EC100000}"/>
    <cellStyle name="Normal 2 4 7 3 2 2 2" xfId="15701" xr:uid="{132281A4-284B-466F-840D-C2413FCB707E}"/>
    <cellStyle name="Normal 2 4 7 3 2 3" xfId="11483" xr:uid="{4EB2026F-4675-4B74-B82A-3FE923149502}"/>
    <cellStyle name="Normal 2 4 7 3 3" xfId="5117" xr:uid="{00000000-0005-0000-0000-0000ED100000}"/>
    <cellStyle name="Normal 2 4 7 3 3 2" xfId="13556" xr:uid="{040D20BE-8437-44F8-8328-0A09F6EC1D4E}"/>
    <cellStyle name="Normal 2 4 7 3 4" xfId="9338" xr:uid="{4E2B833E-2CC0-4DE1-A551-0214F8B838A8}"/>
    <cellStyle name="Normal 2 4 7 4" xfId="1222" xr:uid="{00000000-0005-0000-0000-0000EE100000}"/>
    <cellStyle name="Normal 2 4 7 4 2" xfId="3452" xr:uid="{00000000-0005-0000-0000-0000EF100000}"/>
    <cellStyle name="Normal 2 4 7 4 2 2" xfId="7675" xr:uid="{00000000-0005-0000-0000-0000F0100000}"/>
    <cellStyle name="Normal 2 4 7 4 2 2 2" xfId="16114" xr:uid="{8C27C35B-84F8-43A0-ABFD-4787A5D809A8}"/>
    <cellStyle name="Normal 2 4 7 4 2 3" xfId="11896" xr:uid="{EB27D0DE-CE48-4D0A-9F0F-8EDAEC35257E}"/>
    <cellStyle name="Normal 2 4 7 4 3" xfId="5530" xr:uid="{00000000-0005-0000-0000-0000F1100000}"/>
    <cellStyle name="Normal 2 4 7 4 3 2" xfId="13969" xr:uid="{47224670-0109-4C4E-BBAD-AEFA20FF3984}"/>
    <cellStyle name="Normal 2 4 7 4 4" xfId="9751" xr:uid="{24515367-FD22-4133-905F-209403E1CC09}"/>
    <cellStyle name="Normal 2 4 7 5" xfId="1635" xr:uid="{00000000-0005-0000-0000-0000F2100000}"/>
    <cellStyle name="Normal 2 4 7 5 2" xfId="3865" xr:uid="{00000000-0005-0000-0000-0000F3100000}"/>
    <cellStyle name="Normal 2 4 7 5 2 2" xfId="8088" xr:uid="{00000000-0005-0000-0000-0000F4100000}"/>
    <cellStyle name="Normal 2 4 7 5 2 2 2" xfId="16527" xr:uid="{B778362C-9B11-4C5D-AF4E-A5B2766ACE4F}"/>
    <cellStyle name="Normal 2 4 7 5 2 3" xfId="12309" xr:uid="{5A0791DF-C59D-4095-B305-57552097D7D4}"/>
    <cellStyle name="Normal 2 4 7 5 3" xfId="5943" xr:uid="{00000000-0005-0000-0000-0000F5100000}"/>
    <cellStyle name="Normal 2 4 7 5 3 2" xfId="14382" xr:uid="{38576894-EF36-4F06-97E0-1C01F431CCA9}"/>
    <cellStyle name="Normal 2 4 7 5 4" xfId="10164" xr:uid="{71A41496-3AEC-4A37-9A1F-C8DB73BE955B}"/>
    <cellStyle name="Normal 2 4 7 6" xfId="2049" xr:uid="{00000000-0005-0000-0000-0000F6100000}"/>
    <cellStyle name="Normal 2 4 7 6 2" xfId="4278" xr:uid="{00000000-0005-0000-0000-0000F7100000}"/>
    <cellStyle name="Normal 2 4 7 6 2 2" xfId="8501" xr:uid="{00000000-0005-0000-0000-0000F8100000}"/>
    <cellStyle name="Normal 2 4 7 6 2 2 2" xfId="16940" xr:uid="{097B920D-F754-49D6-86E6-4A49279CF0C9}"/>
    <cellStyle name="Normal 2 4 7 6 2 3" xfId="12722" xr:uid="{A195D511-0029-4E1F-9BDA-1E306B120D20}"/>
    <cellStyle name="Normal 2 4 7 6 3" xfId="6356" xr:uid="{00000000-0005-0000-0000-0000F9100000}"/>
    <cellStyle name="Normal 2 4 7 6 3 2" xfId="14795" xr:uid="{4B343164-2B43-4CD0-9822-F1DEDFDB4D7E}"/>
    <cellStyle name="Normal 2 4 7 6 4" xfId="10577" xr:uid="{0DFACC20-0B07-478B-89A0-0E0C2A3EB8C8}"/>
    <cellStyle name="Normal 2 4 7 7" xfId="2485" xr:uid="{00000000-0005-0000-0000-0000FA100000}"/>
    <cellStyle name="Normal 2 4 7 7 2" xfId="6769" xr:uid="{00000000-0005-0000-0000-0000FB100000}"/>
    <cellStyle name="Normal 2 4 7 7 2 2" xfId="15208" xr:uid="{30B4654B-C656-414C-86D9-0235B73E0D43}"/>
    <cellStyle name="Normal 2 4 7 7 3" xfId="10990" xr:uid="{CD12F3E8-62FE-4C8A-BA61-B8DA128C02E7}"/>
    <cellStyle name="Normal 2 4 7 8" xfId="4703" xr:uid="{00000000-0005-0000-0000-0000FC100000}"/>
    <cellStyle name="Normal 2 4 7 8 2" xfId="13142" xr:uid="{D704D14A-A415-4796-B53A-45B4504DF88E}"/>
    <cellStyle name="Normal 2 4 7 9" xfId="8924" xr:uid="{F256BA04-6296-4EE7-8F42-60B37B41672C}"/>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3" xr:uid="{65D92DBE-EF99-4199-8EC4-97E5FBCEB52A}"/>
    <cellStyle name="Normal 2 4 8 2 2 3" xfId="11485" xr:uid="{94CB5F7B-8000-4714-BBA7-7FB770A5A5A6}"/>
    <cellStyle name="Normal 2 4 8 2 3" xfId="5119" xr:uid="{00000000-0005-0000-0000-000001110000}"/>
    <cellStyle name="Normal 2 4 8 2 3 2" xfId="13558" xr:uid="{51F2D3AB-B5D1-4615-A5E5-330B39D44BD4}"/>
    <cellStyle name="Normal 2 4 8 2 4" xfId="9340" xr:uid="{BEA5B50F-F250-4540-A6CB-73AEC35D8835}"/>
    <cellStyle name="Normal 2 4 8 3" xfId="1224" xr:uid="{00000000-0005-0000-0000-000002110000}"/>
    <cellStyle name="Normal 2 4 8 3 2" xfId="3454" xr:uid="{00000000-0005-0000-0000-000003110000}"/>
    <cellStyle name="Normal 2 4 8 3 2 2" xfId="7677" xr:uid="{00000000-0005-0000-0000-000004110000}"/>
    <cellStyle name="Normal 2 4 8 3 2 2 2" xfId="16116" xr:uid="{F8CB4109-E28D-43C7-AE38-09A6DA270B67}"/>
    <cellStyle name="Normal 2 4 8 3 2 3" xfId="11898" xr:uid="{4F9AF489-6F6A-4D68-BF48-9A78CC0C57F0}"/>
    <cellStyle name="Normal 2 4 8 3 3" xfId="5532" xr:uid="{00000000-0005-0000-0000-000005110000}"/>
    <cellStyle name="Normal 2 4 8 3 3 2" xfId="13971" xr:uid="{490F8E0C-D337-40E9-831A-A318BF9D172D}"/>
    <cellStyle name="Normal 2 4 8 3 4" xfId="9753" xr:uid="{FC71A7D1-643A-4709-9AD6-B040AD0BB981}"/>
    <cellStyle name="Normal 2 4 8 4" xfId="1637" xr:uid="{00000000-0005-0000-0000-000006110000}"/>
    <cellStyle name="Normal 2 4 8 4 2" xfId="3867" xr:uid="{00000000-0005-0000-0000-000007110000}"/>
    <cellStyle name="Normal 2 4 8 4 2 2" xfId="8090" xr:uid="{00000000-0005-0000-0000-000008110000}"/>
    <cellStyle name="Normal 2 4 8 4 2 2 2" xfId="16529" xr:uid="{4BA81E8C-25A1-4170-98BA-24AFDF232327}"/>
    <cellStyle name="Normal 2 4 8 4 2 3" xfId="12311" xr:uid="{86474FBD-FD5C-4DFD-AECC-BC09B170D119}"/>
    <cellStyle name="Normal 2 4 8 4 3" xfId="5945" xr:uid="{00000000-0005-0000-0000-000009110000}"/>
    <cellStyle name="Normal 2 4 8 4 3 2" xfId="14384" xr:uid="{946421B3-2F44-4934-9E62-7EA0533EDF7B}"/>
    <cellStyle name="Normal 2 4 8 4 4" xfId="10166" xr:uid="{071F5883-0592-4366-BBE9-B7EA4AE37F63}"/>
    <cellStyle name="Normal 2 4 8 5" xfId="2051" xr:uid="{00000000-0005-0000-0000-00000A110000}"/>
    <cellStyle name="Normal 2 4 8 5 2" xfId="4280" xr:uid="{00000000-0005-0000-0000-00000B110000}"/>
    <cellStyle name="Normal 2 4 8 5 2 2" xfId="8503" xr:uid="{00000000-0005-0000-0000-00000C110000}"/>
    <cellStyle name="Normal 2 4 8 5 2 2 2" xfId="16942" xr:uid="{8D23BE5E-3AC1-4EDA-A10F-A7E2FC23A60C}"/>
    <cellStyle name="Normal 2 4 8 5 2 3" xfId="12724" xr:uid="{A3A607AD-D977-4E51-B4EE-FB4A26CF8FD2}"/>
    <cellStyle name="Normal 2 4 8 5 3" xfId="6358" xr:uid="{00000000-0005-0000-0000-00000D110000}"/>
    <cellStyle name="Normal 2 4 8 5 3 2" xfId="14797" xr:uid="{97448C48-76A8-46BB-B079-CDFC1D063E9A}"/>
    <cellStyle name="Normal 2 4 8 5 4" xfId="10579" xr:uid="{D7AE826B-0762-453D-80C1-D067E25C193C}"/>
    <cellStyle name="Normal 2 4 8 6" xfId="2487" xr:uid="{00000000-0005-0000-0000-00000E110000}"/>
    <cellStyle name="Normal 2 4 8 6 2" xfId="6771" xr:uid="{00000000-0005-0000-0000-00000F110000}"/>
    <cellStyle name="Normal 2 4 8 6 2 2" xfId="15210" xr:uid="{A3A97ABB-B11D-42E7-A90D-3650204E2BA8}"/>
    <cellStyle name="Normal 2 4 8 6 3" xfId="10992" xr:uid="{D19212A8-0506-478E-AF21-7811AC56C574}"/>
    <cellStyle name="Normal 2 4 8 7" xfId="4705" xr:uid="{00000000-0005-0000-0000-000010110000}"/>
    <cellStyle name="Normal 2 4 8 7 2" xfId="13144" xr:uid="{8643408E-B448-4093-B36E-DCF1CA9C7268}"/>
    <cellStyle name="Normal 2 4 8 8" xfId="8926" xr:uid="{6F5DB589-AFE2-44BC-AE43-EA3D12BF8D96}"/>
    <cellStyle name="Normal 2 5" xfId="315" xr:uid="{00000000-0005-0000-0000-000011110000}"/>
    <cellStyle name="Normal 2 5 10" xfId="4706" xr:uid="{00000000-0005-0000-0000-000012110000}"/>
    <cellStyle name="Normal 2 5 10 2" xfId="13145" xr:uid="{08EEAAB2-2EF1-4C68-AFC5-BC20677A52F4}"/>
    <cellStyle name="Normal 2 5 11" xfId="8927" xr:uid="{A18A9E2A-05D4-4CD7-8B35-59B958AC9535}"/>
    <cellStyle name="Normal 2 5 2" xfId="316" xr:uid="{00000000-0005-0000-0000-000013110000}"/>
    <cellStyle name="Normal 2 5 3" xfId="317" xr:uid="{00000000-0005-0000-0000-000014110000}"/>
    <cellStyle name="Normal 2 5 4" xfId="318" xr:uid="{00000000-0005-0000-0000-000015110000}"/>
    <cellStyle name="Normal 2 5 4 10" xfId="8928" xr:uid="{EF5BA5B8-424B-4A7D-8A25-00795D28DAC6}"/>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07" xr:uid="{DE1C5C7D-D2AC-4D91-B44E-E3B38CB47386}"/>
    <cellStyle name="Normal 2 5 4 2 2 2 2 3" xfId="11489" xr:uid="{F90A43A3-761B-4EE2-8303-75808B363EE3}"/>
    <cellStyle name="Normal 2 5 4 2 2 2 3" xfId="5123" xr:uid="{00000000-0005-0000-0000-00001B110000}"/>
    <cellStyle name="Normal 2 5 4 2 2 2 3 2" xfId="13562" xr:uid="{D1023640-A34E-4DDC-9687-82156ACED580}"/>
    <cellStyle name="Normal 2 5 4 2 2 2 4" xfId="9344" xr:uid="{F894A635-91BB-4172-BF2F-CCAB405EC2CD}"/>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0" xr:uid="{4555472F-1C51-45AC-926F-F6F60634A43F}"/>
    <cellStyle name="Normal 2 5 4 2 2 3 2 3" xfId="11902" xr:uid="{0BB8C481-2638-4C03-874B-9C3BB5DB0C05}"/>
    <cellStyle name="Normal 2 5 4 2 2 3 3" xfId="5536" xr:uid="{00000000-0005-0000-0000-00001F110000}"/>
    <cellStyle name="Normal 2 5 4 2 2 3 3 2" xfId="13975" xr:uid="{26E96A9A-9E9D-418E-A551-DFB354FBA31C}"/>
    <cellStyle name="Normal 2 5 4 2 2 3 4" xfId="9757" xr:uid="{354F7B29-29AD-4E3A-8267-EBF6F04E9A8A}"/>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3" xr:uid="{F762BCB7-6530-416D-86B4-ED664DC69D3B}"/>
    <cellStyle name="Normal 2 5 4 2 2 4 2 3" xfId="12315" xr:uid="{83C976EB-E025-48E3-9D44-10090D8CDC4D}"/>
    <cellStyle name="Normal 2 5 4 2 2 4 3" xfId="5949" xr:uid="{00000000-0005-0000-0000-000023110000}"/>
    <cellStyle name="Normal 2 5 4 2 2 4 3 2" xfId="14388" xr:uid="{7775E5E7-8C43-458C-A9A2-E91E05F9A394}"/>
    <cellStyle name="Normal 2 5 4 2 2 4 4" xfId="10170" xr:uid="{B041DFC7-40A1-484F-B79D-AF2F991D5067}"/>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6" xr:uid="{5951940A-B9CA-4DD3-9099-2341D844ECB1}"/>
    <cellStyle name="Normal 2 5 4 2 2 5 2 3" xfId="12728" xr:uid="{ABD3C1CC-1F18-41B4-A7CA-70B387161A20}"/>
    <cellStyle name="Normal 2 5 4 2 2 5 3" xfId="6362" xr:uid="{00000000-0005-0000-0000-000027110000}"/>
    <cellStyle name="Normal 2 5 4 2 2 5 3 2" xfId="14801" xr:uid="{BD776ABD-CFDA-4AAB-A136-F4915172AA36}"/>
    <cellStyle name="Normal 2 5 4 2 2 5 4" xfId="10583" xr:uid="{B2B6648B-042E-47FF-8A97-A73FC6F4818F}"/>
    <cellStyle name="Normal 2 5 4 2 2 6" xfId="2491" xr:uid="{00000000-0005-0000-0000-000028110000}"/>
    <cellStyle name="Normal 2 5 4 2 2 6 2" xfId="6775" xr:uid="{00000000-0005-0000-0000-000029110000}"/>
    <cellStyle name="Normal 2 5 4 2 2 6 2 2" xfId="15214" xr:uid="{BD5EB56C-7076-48B1-BEEC-D769256C2E22}"/>
    <cellStyle name="Normal 2 5 4 2 2 6 3" xfId="10996" xr:uid="{8C948E2A-5AF0-4885-BEE0-0062592EA7ED}"/>
    <cellStyle name="Normal 2 5 4 2 2 7" xfId="4709" xr:uid="{00000000-0005-0000-0000-00002A110000}"/>
    <cellStyle name="Normal 2 5 4 2 2 7 2" xfId="13148" xr:uid="{A87E76A5-0EC2-44CE-B766-62F057F820E4}"/>
    <cellStyle name="Normal 2 5 4 2 2 8" xfId="8930" xr:uid="{D2B8E859-EC08-4971-A6AD-7C6F2BC2D805}"/>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6" xr:uid="{61BCFD99-2F98-4081-B13E-77CF85D1A222}"/>
    <cellStyle name="Normal 2 5 4 2 3 2 3" xfId="11488" xr:uid="{91667AAC-CDB0-4CDA-817E-3AFC21A4E4BA}"/>
    <cellStyle name="Normal 2 5 4 2 3 3" xfId="5122" xr:uid="{00000000-0005-0000-0000-00002E110000}"/>
    <cellStyle name="Normal 2 5 4 2 3 3 2" xfId="13561" xr:uid="{6699575A-0534-438C-A108-C2FB8DD3238F}"/>
    <cellStyle name="Normal 2 5 4 2 3 4" xfId="9343" xr:uid="{88F3F059-0668-4887-900A-3FC423369A0E}"/>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19" xr:uid="{25BDBF25-D65C-40ED-9CC6-1B21414F04BC}"/>
    <cellStyle name="Normal 2 5 4 2 4 2 3" xfId="11901" xr:uid="{32B8B774-B3FC-4EE4-95EF-5D9385C9343B}"/>
    <cellStyle name="Normal 2 5 4 2 4 3" xfId="5535" xr:uid="{00000000-0005-0000-0000-000032110000}"/>
    <cellStyle name="Normal 2 5 4 2 4 3 2" xfId="13974" xr:uid="{98E59B53-52BF-492A-8A4E-4F55ACD2E27F}"/>
    <cellStyle name="Normal 2 5 4 2 4 4" xfId="9756" xr:uid="{CA4CEAA8-2BC2-4527-B3DB-85260F30F999}"/>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2" xr:uid="{A3371C42-EE76-4605-8980-861F91AD0614}"/>
    <cellStyle name="Normal 2 5 4 2 5 2 3" xfId="12314" xr:uid="{91A6AFDA-D070-418F-AD4D-5AF0407C31C9}"/>
    <cellStyle name="Normal 2 5 4 2 5 3" xfId="5948" xr:uid="{00000000-0005-0000-0000-000036110000}"/>
    <cellStyle name="Normal 2 5 4 2 5 3 2" xfId="14387" xr:uid="{A2C2BC85-04EB-4123-A254-FECE927F3FB6}"/>
    <cellStyle name="Normal 2 5 4 2 5 4" xfId="10169" xr:uid="{065D2A32-934C-47CB-BED3-47AD3E17F988}"/>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5" xr:uid="{7AF98D9C-B88F-4145-ACFA-8D0336D37539}"/>
    <cellStyle name="Normal 2 5 4 2 6 2 3" xfId="12727" xr:uid="{C7BFA995-4E0B-4EF3-9835-312CE53C651F}"/>
    <cellStyle name="Normal 2 5 4 2 6 3" xfId="6361" xr:uid="{00000000-0005-0000-0000-00003A110000}"/>
    <cellStyle name="Normal 2 5 4 2 6 3 2" xfId="14800" xr:uid="{E6EEA9FA-29F3-4FAE-879D-8BB3FD4A0671}"/>
    <cellStyle name="Normal 2 5 4 2 6 4" xfId="10582" xr:uid="{220B1325-8B6D-4B0A-8FC4-6691AF36EEBE}"/>
    <cellStyle name="Normal 2 5 4 2 7" xfId="2490" xr:uid="{00000000-0005-0000-0000-00003B110000}"/>
    <cellStyle name="Normal 2 5 4 2 7 2" xfId="6774" xr:uid="{00000000-0005-0000-0000-00003C110000}"/>
    <cellStyle name="Normal 2 5 4 2 7 2 2" xfId="15213" xr:uid="{B2B15D30-D240-4673-86D2-C94A79477649}"/>
    <cellStyle name="Normal 2 5 4 2 7 3" xfId="10995" xr:uid="{FC61B96A-F0CA-4E40-AEDC-943C8C66754F}"/>
    <cellStyle name="Normal 2 5 4 2 8" xfId="4708" xr:uid="{00000000-0005-0000-0000-00003D110000}"/>
    <cellStyle name="Normal 2 5 4 2 8 2" xfId="13147" xr:uid="{EA2DE859-E17E-4989-B6A6-706AF7C48156}"/>
    <cellStyle name="Normal 2 5 4 2 9" xfId="8929" xr:uid="{57D62BC4-A5F9-4D4C-AFE5-A7C6F7432B27}"/>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08" xr:uid="{277CD5F9-B6B6-4B58-ABC4-EFC9F74239D0}"/>
    <cellStyle name="Normal 2 5 4 3 2 2 3" xfId="11490" xr:uid="{F9137AF1-139D-4839-8AE6-1179D9F871D9}"/>
    <cellStyle name="Normal 2 5 4 3 2 3" xfId="5124" xr:uid="{00000000-0005-0000-0000-000042110000}"/>
    <cellStyle name="Normal 2 5 4 3 2 3 2" xfId="13563" xr:uid="{46ADF45B-59B0-413D-AAF2-9EE43A68F445}"/>
    <cellStyle name="Normal 2 5 4 3 2 4" xfId="9345" xr:uid="{0DA5B4D6-AF19-4E10-9208-BB5AF04BB619}"/>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1" xr:uid="{D97162B0-F654-493A-8ABB-1C39A004843C}"/>
    <cellStyle name="Normal 2 5 4 3 3 2 3" xfId="11903" xr:uid="{B60556EC-4370-4F49-B103-2C1747966F37}"/>
    <cellStyle name="Normal 2 5 4 3 3 3" xfId="5537" xr:uid="{00000000-0005-0000-0000-000046110000}"/>
    <cellStyle name="Normal 2 5 4 3 3 3 2" xfId="13976" xr:uid="{7109AAEA-C25C-425C-84A9-68D3D4E97FC5}"/>
    <cellStyle name="Normal 2 5 4 3 3 4" xfId="9758" xr:uid="{7D80E8E7-7F9D-4FE9-B5BE-8AFC997FC865}"/>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4" xr:uid="{4B376959-2F31-4AC1-A445-CAA01A405862}"/>
    <cellStyle name="Normal 2 5 4 3 4 2 3" xfId="12316" xr:uid="{CEFB8A4F-D893-4643-BD01-D7A889A89AF0}"/>
    <cellStyle name="Normal 2 5 4 3 4 3" xfId="5950" xr:uid="{00000000-0005-0000-0000-00004A110000}"/>
    <cellStyle name="Normal 2 5 4 3 4 3 2" xfId="14389" xr:uid="{0FB12731-7279-460E-A074-129C7798B630}"/>
    <cellStyle name="Normal 2 5 4 3 4 4" xfId="10171" xr:uid="{68E915EB-5724-47C7-A16F-C5A8ED07EE5E}"/>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47" xr:uid="{6C133846-0921-4B54-B09A-69809CE9323E}"/>
    <cellStyle name="Normal 2 5 4 3 5 2 3" xfId="12729" xr:uid="{B4D21792-4590-4BEB-9F2D-138CFB25840E}"/>
    <cellStyle name="Normal 2 5 4 3 5 3" xfId="6363" xr:uid="{00000000-0005-0000-0000-00004E110000}"/>
    <cellStyle name="Normal 2 5 4 3 5 3 2" xfId="14802" xr:uid="{171B8AEF-8027-409B-99CF-3E41C0906422}"/>
    <cellStyle name="Normal 2 5 4 3 5 4" xfId="10584" xr:uid="{7E216F42-931D-4DE6-83A9-1105CF3C910D}"/>
    <cellStyle name="Normal 2 5 4 3 6" xfId="2492" xr:uid="{00000000-0005-0000-0000-00004F110000}"/>
    <cellStyle name="Normal 2 5 4 3 6 2" xfId="6776" xr:uid="{00000000-0005-0000-0000-000050110000}"/>
    <cellStyle name="Normal 2 5 4 3 6 2 2" xfId="15215" xr:uid="{35E3214C-3514-452F-AC2A-C4CBA42E67B4}"/>
    <cellStyle name="Normal 2 5 4 3 6 3" xfId="10997" xr:uid="{8897BBA1-11FA-4D11-9DAE-113166AB2C6D}"/>
    <cellStyle name="Normal 2 5 4 3 7" xfId="4710" xr:uid="{00000000-0005-0000-0000-000051110000}"/>
    <cellStyle name="Normal 2 5 4 3 7 2" xfId="13149" xr:uid="{0A8A081E-9D37-4B63-8513-1C88539234C0}"/>
    <cellStyle name="Normal 2 5 4 3 8" xfId="8931" xr:uid="{D3302B01-3673-4A53-93D0-DEDC2E0632B0}"/>
    <cellStyle name="Normal 2 5 4 4" xfId="804" xr:uid="{00000000-0005-0000-0000-000052110000}"/>
    <cellStyle name="Normal 2 5 4 4 2" xfId="3043" xr:uid="{00000000-0005-0000-0000-000053110000}"/>
    <cellStyle name="Normal 2 5 4 4 2 2" xfId="7266" xr:uid="{00000000-0005-0000-0000-000054110000}"/>
    <cellStyle name="Normal 2 5 4 4 2 2 2" xfId="15705" xr:uid="{575C06D0-16C0-4F69-AB37-A23A6D505214}"/>
    <cellStyle name="Normal 2 5 4 4 2 3" xfId="11487" xr:uid="{7858AE4E-F623-43BE-8F9A-A92BB070283C}"/>
    <cellStyle name="Normal 2 5 4 4 3" xfId="5121" xr:uid="{00000000-0005-0000-0000-000055110000}"/>
    <cellStyle name="Normal 2 5 4 4 3 2" xfId="13560" xr:uid="{BD8D2D20-09BF-464B-971D-402AD54DF463}"/>
    <cellStyle name="Normal 2 5 4 4 4" xfId="9342" xr:uid="{AFE00BAB-7EDB-4839-97E2-123614AA16AE}"/>
    <cellStyle name="Normal 2 5 4 5" xfId="1226" xr:uid="{00000000-0005-0000-0000-000056110000}"/>
    <cellStyle name="Normal 2 5 4 5 2" xfId="3456" xr:uid="{00000000-0005-0000-0000-000057110000}"/>
    <cellStyle name="Normal 2 5 4 5 2 2" xfId="7679" xr:uid="{00000000-0005-0000-0000-000058110000}"/>
    <cellStyle name="Normal 2 5 4 5 2 2 2" xfId="16118" xr:uid="{D234ABE0-3D94-466A-B457-3104E5545A3D}"/>
    <cellStyle name="Normal 2 5 4 5 2 3" xfId="11900" xr:uid="{46AD1E88-44EE-499B-B5CD-112C8680DC0D}"/>
    <cellStyle name="Normal 2 5 4 5 3" xfId="5534" xr:uid="{00000000-0005-0000-0000-000059110000}"/>
    <cellStyle name="Normal 2 5 4 5 3 2" xfId="13973" xr:uid="{A17CB6B0-64E5-43BE-AF64-BC2CF6B57C8A}"/>
    <cellStyle name="Normal 2 5 4 5 4" xfId="9755" xr:uid="{C2A6B383-C90F-4AD4-9A31-A75207697A81}"/>
    <cellStyle name="Normal 2 5 4 6" xfId="1639" xr:uid="{00000000-0005-0000-0000-00005A110000}"/>
    <cellStyle name="Normal 2 5 4 6 2" xfId="3869" xr:uid="{00000000-0005-0000-0000-00005B110000}"/>
    <cellStyle name="Normal 2 5 4 6 2 2" xfId="8092" xr:uid="{00000000-0005-0000-0000-00005C110000}"/>
    <cellStyle name="Normal 2 5 4 6 2 2 2" xfId="16531" xr:uid="{AC0D7784-51BE-457E-B72A-12FE6D1668C4}"/>
    <cellStyle name="Normal 2 5 4 6 2 3" xfId="12313" xr:uid="{A8B1CB30-1D40-4796-BA57-59E711C34741}"/>
    <cellStyle name="Normal 2 5 4 6 3" xfId="5947" xr:uid="{00000000-0005-0000-0000-00005D110000}"/>
    <cellStyle name="Normal 2 5 4 6 3 2" xfId="14386" xr:uid="{933882CC-05CC-43C7-9680-2FD27CD300F1}"/>
    <cellStyle name="Normal 2 5 4 6 4" xfId="10168" xr:uid="{124ABFA3-261D-4862-8213-593533477589}"/>
    <cellStyle name="Normal 2 5 4 7" xfId="2053" xr:uid="{00000000-0005-0000-0000-00005E110000}"/>
    <cellStyle name="Normal 2 5 4 7 2" xfId="4282" xr:uid="{00000000-0005-0000-0000-00005F110000}"/>
    <cellStyle name="Normal 2 5 4 7 2 2" xfId="8505" xr:uid="{00000000-0005-0000-0000-000060110000}"/>
    <cellStyle name="Normal 2 5 4 7 2 2 2" xfId="16944" xr:uid="{3716B261-A57B-480A-B6B2-D6E7B3170021}"/>
    <cellStyle name="Normal 2 5 4 7 2 3" xfId="12726" xr:uid="{C7F128F3-EC6A-4111-85C9-128559346EE2}"/>
    <cellStyle name="Normal 2 5 4 7 3" xfId="6360" xr:uid="{00000000-0005-0000-0000-000061110000}"/>
    <cellStyle name="Normal 2 5 4 7 3 2" xfId="14799" xr:uid="{C0F51E5C-1B2E-46AD-8C66-DBADAC553794}"/>
    <cellStyle name="Normal 2 5 4 7 4" xfId="10581" xr:uid="{D6A7BBEC-6888-4F56-8822-5787DEFDA9E6}"/>
    <cellStyle name="Normal 2 5 4 8" xfId="2489" xr:uid="{00000000-0005-0000-0000-000062110000}"/>
    <cellStyle name="Normal 2 5 4 8 2" xfId="6773" xr:uid="{00000000-0005-0000-0000-000063110000}"/>
    <cellStyle name="Normal 2 5 4 8 2 2" xfId="15212" xr:uid="{99273EEB-1BD4-496A-A853-5489CD955D12}"/>
    <cellStyle name="Normal 2 5 4 8 3" xfId="10994" xr:uid="{5E792E4D-AFFE-4FB0-8AAB-8074BE59B357}"/>
    <cellStyle name="Normal 2 5 4 9" xfId="4707" xr:uid="{00000000-0005-0000-0000-000064110000}"/>
    <cellStyle name="Normal 2 5 4 9 2" xfId="13146" xr:uid="{FA978433-7601-425F-9595-BB390897EE9A}"/>
    <cellStyle name="Normal 2 5 5" xfId="803" xr:uid="{00000000-0005-0000-0000-000065110000}"/>
    <cellStyle name="Normal 2 5 5 2" xfId="3042" xr:uid="{00000000-0005-0000-0000-000066110000}"/>
    <cellStyle name="Normal 2 5 5 2 2" xfId="7265" xr:uid="{00000000-0005-0000-0000-000067110000}"/>
    <cellStyle name="Normal 2 5 5 2 2 2" xfId="15704" xr:uid="{D2062780-638B-4F6D-BD4E-A3F6AF2EBB3B}"/>
    <cellStyle name="Normal 2 5 5 2 3" xfId="11486" xr:uid="{2744F735-9D13-4FDE-9BB8-6820BEBD46AC}"/>
    <cellStyle name="Normal 2 5 5 3" xfId="5120" xr:uid="{00000000-0005-0000-0000-000068110000}"/>
    <cellStyle name="Normal 2 5 5 3 2" xfId="13559" xr:uid="{7790FC1E-42C6-4C2F-8335-E00EAEE192E4}"/>
    <cellStyle name="Normal 2 5 5 4" xfId="9341" xr:uid="{B8B9ABB4-8065-4909-B464-DEF03E5BF7AA}"/>
    <cellStyle name="Normal 2 5 6" xfId="1225" xr:uid="{00000000-0005-0000-0000-000069110000}"/>
    <cellStyle name="Normal 2 5 6 2" xfId="3455" xr:uid="{00000000-0005-0000-0000-00006A110000}"/>
    <cellStyle name="Normal 2 5 6 2 2" xfId="7678" xr:uid="{00000000-0005-0000-0000-00006B110000}"/>
    <cellStyle name="Normal 2 5 6 2 2 2" xfId="16117" xr:uid="{D9E5C667-3401-46BC-8F58-52B1666B9DB4}"/>
    <cellStyle name="Normal 2 5 6 2 3" xfId="11899" xr:uid="{B87632A6-CD6B-4612-A0A7-CB9289B5BA4B}"/>
    <cellStyle name="Normal 2 5 6 3" xfId="5533" xr:uid="{00000000-0005-0000-0000-00006C110000}"/>
    <cellStyle name="Normal 2 5 6 3 2" xfId="13972" xr:uid="{5F3A0951-E7B4-4550-B953-1FFDCE6A819D}"/>
    <cellStyle name="Normal 2 5 6 4" xfId="9754" xr:uid="{5D6108A0-58B0-4019-A89E-A4D1FCC1B1D7}"/>
    <cellStyle name="Normal 2 5 7" xfId="1638" xr:uid="{00000000-0005-0000-0000-00006D110000}"/>
    <cellStyle name="Normal 2 5 7 2" xfId="3868" xr:uid="{00000000-0005-0000-0000-00006E110000}"/>
    <cellStyle name="Normal 2 5 7 2 2" xfId="8091" xr:uid="{00000000-0005-0000-0000-00006F110000}"/>
    <cellStyle name="Normal 2 5 7 2 2 2" xfId="16530" xr:uid="{32EA10CB-708E-4C12-8493-D1619CC6954E}"/>
    <cellStyle name="Normal 2 5 7 2 3" xfId="12312" xr:uid="{7201690E-1E02-447F-BB76-1B13D022B260}"/>
    <cellStyle name="Normal 2 5 7 3" xfId="5946" xr:uid="{00000000-0005-0000-0000-000070110000}"/>
    <cellStyle name="Normal 2 5 7 3 2" xfId="14385" xr:uid="{5DF203D9-7F38-4A2F-91BF-5900C679902D}"/>
    <cellStyle name="Normal 2 5 7 4" xfId="10167" xr:uid="{C73D2338-2132-4D69-BFE6-7E543FA8F08C}"/>
    <cellStyle name="Normal 2 5 8" xfId="2052" xr:uid="{00000000-0005-0000-0000-000071110000}"/>
    <cellStyle name="Normal 2 5 8 2" xfId="4281" xr:uid="{00000000-0005-0000-0000-000072110000}"/>
    <cellStyle name="Normal 2 5 8 2 2" xfId="8504" xr:uid="{00000000-0005-0000-0000-000073110000}"/>
    <cellStyle name="Normal 2 5 8 2 2 2" xfId="16943" xr:uid="{3783838E-226F-4C06-ACBC-7F04D6942F1E}"/>
    <cellStyle name="Normal 2 5 8 2 3" xfId="12725" xr:uid="{B99E7EBB-9845-438D-8506-FA8DB6385003}"/>
    <cellStyle name="Normal 2 5 8 3" xfId="6359" xr:uid="{00000000-0005-0000-0000-000074110000}"/>
    <cellStyle name="Normal 2 5 8 3 2" xfId="14798" xr:uid="{F3F30B6A-DCCF-4CC7-8120-F841124DEF3E}"/>
    <cellStyle name="Normal 2 5 8 4" xfId="10580" xr:uid="{7386B16A-9F29-4B8B-BDDD-C9E3D4181684}"/>
    <cellStyle name="Normal 2 5 9" xfId="2488" xr:uid="{00000000-0005-0000-0000-000075110000}"/>
    <cellStyle name="Normal 2 5 9 2" xfId="6772" xr:uid="{00000000-0005-0000-0000-000076110000}"/>
    <cellStyle name="Normal 2 5 9 2 2" xfId="15211" xr:uid="{F75180FF-1BF9-4B45-9814-225BBE5FA5A8}"/>
    <cellStyle name="Normal 2 5 9 3" xfId="10993" xr:uid="{3727E736-3802-48D7-BFBE-C115687FDD9D}"/>
    <cellStyle name="Normal 2 6" xfId="322" xr:uid="{00000000-0005-0000-0000-000077110000}"/>
    <cellStyle name="Normal 2 7" xfId="769" xr:uid="{00000000-0005-0000-0000-000078110000}"/>
    <cellStyle name="Normal 2 8" xfId="4495" xr:uid="{00000000-0005-0000-0000-000079110000}"/>
    <cellStyle name="Normal 2 8 2" xfId="12937" xr:uid="{FDB6C1D8-2D1F-425D-8B55-8AF35BEC94E9}"/>
    <cellStyle name="Normal 3" xfId="323" xr:uid="{00000000-0005-0000-0000-00007A110000}"/>
    <cellStyle name="Normal 3 2" xfId="324" xr:uid="{00000000-0005-0000-0000-00007B110000}"/>
    <cellStyle name="Normal 3 2 10" xfId="8932" xr:uid="{3607727B-551B-4015-ACAD-3A23F33A1308}"/>
    <cellStyle name="Normal 3 2 2" xfId="325" xr:uid="{00000000-0005-0000-0000-00007C110000}"/>
    <cellStyle name="Normal 3 2 2 2" xfId="810" xr:uid="{00000000-0005-0000-0000-00007D110000}"/>
    <cellStyle name="Normal 3 2 3" xfId="326" xr:uid="{00000000-0005-0000-0000-00007E110000}"/>
    <cellStyle name="Normal 3 2 3 10" xfId="8933" xr:uid="{0ABBDBC3-F22F-4354-AADE-C7139D5682A1}"/>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2" xr:uid="{B147366E-E73F-4921-A99C-F20534227865}"/>
    <cellStyle name="Normal 3 2 3 2 2 2 2 3" xfId="11494" xr:uid="{7936F9C1-F62A-4B38-A55D-6683B18947D4}"/>
    <cellStyle name="Normal 3 2 3 2 2 2 3" xfId="5128" xr:uid="{00000000-0005-0000-0000-000084110000}"/>
    <cellStyle name="Normal 3 2 3 2 2 2 3 2" xfId="13567" xr:uid="{9696C102-F22B-4AB6-A3C5-293BFE60D732}"/>
    <cellStyle name="Normal 3 2 3 2 2 2 4" xfId="9349" xr:uid="{1ADFA6ED-63BD-4741-B88C-7A42D23C3057}"/>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5" xr:uid="{D3C7D14E-47F4-4E90-A42D-15ED1FEC3DEE}"/>
    <cellStyle name="Normal 3 2 3 2 2 3 2 3" xfId="11907" xr:uid="{A7F72602-5906-4EB1-8C6D-BA500A8CE8AD}"/>
    <cellStyle name="Normal 3 2 3 2 2 3 3" xfId="5541" xr:uid="{00000000-0005-0000-0000-000088110000}"/>
    <cellStyle name="Normal 3 2 3 2 2 3 3 2" xfId="13980" xr:uid="{3650DA55-8A0A-43D8-8838-E35107C1D603}"/>
    <cellStyle name="Normal 3 2 3 2 2 3 4" xfId="9762" xr:uid="{DD730AF6-EE47-464A-ACCA-B8EC83907BF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38" xr:uid="{B7C1A9DE-DEB9-4444-8A66-A228AEE0C98E}"/>
    <cellStyle name="Normal 3 2 3 2 2 4 2 3" xfId="12320" xr:uid="{9F5CEA89-75E7-4714-A9E1-2C75CA481144}"/>
    <cellStyle name="Normal 3 2 3 2 2 4 3" xfId="5954" xr:uid="{00000000-0005-0000-0000-00008C110000}"/>
    <cellStyle name="Normal 3 2 3 2 2 4 3 2" xfId="14393" xr:uid="{F6765D74-FC25-405F-98C3-5E4C93F5C9B0}"/>
    <cellStyle name="Normal 3 2 3 2 2 4 4" xfId="10175" xr:uid="{37EB5433-FD55-4E83-B62C-27621D3BEEDD}"/>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1" xr:uid="{7DCEBC4E-3688-4A38-B0D3-5763D8A8437D}"/>
    <cellStyle name="Normal 3 2 3 2 2 5 2 3" xfId="12733" xr:uid="{713E519F-D5C2-4949-BF74-6AD3C7200817}"/>
    <cellStyle name="Normal 3 2 3 2 2 5 3" xfId="6367" xr:uid="{00000000-0005-0000-0000-000090110000}"/>
    <cellStyle name="Normal 3 2 3 2 2 5 3 2" xfId="14806" xr:uid="{394119A7-17D2-499A-AA16-B8CA3696D445}"/>
    <cellStyle name="Normal 3 2 3 2 2 5 4" xfId="10588" xr:uid="{DC67CBA1-A59A-4EC8-BAA3-B867933002F6}"/>
    <cellStyle name="Normal 3 2 3 2 2 6" xfId="2496" xr:uid="{00000000-0005-0000-0000-000091110000}"/>
    <cellStyle name="Normal 3 2 3 2 2 6 2" xfId="6780" xr:uid="{00000000-0005-0000-0000-000092110000}"/>
    <cellStyle name="Normal 3 2 3 2 2 6 2 2" xfId="15219" xr:uid="{58AAAEFC-3C4E-474D-BDC8-D2E56D2ED635}"/>
    <cellStyle name="Normal 3 2 3 2 2 6 3" xfId="11001" xr:uid="{598D7F09-870A-4D31-8398-5EB70C9B634B}"/>
    <cellStyle name="Normal 3 2 3 2 2 7" xfId="4714" xr:uid="{00000000-0005-0000-0000-000093110000}"/>
    <cellStyle name="Normal 3 2 3 2 2 7 2" xfId="13153" xr:uid="{90670E73-663B-47B2-A614-F7C461703343}"/>
    <cellStyle name="Normal 3 2 3 2 2 8" xfId="8935" xr:uid="{61C710AA-B7C9-40A0-A64B-E68F4D36D023}"/>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1" xr:uid="{26D8F956-DE76-4121-ABCE-51919F7AF29F}"/>
    <cellStyle name="Normal 3 2 3 2 3 2 3" xfId="11493" xr:uid="{66974705-C699-4662-A002-B1597A3126E3}"/>
    <cellStyle name="Normal 3 2 3 2 3 3" xfId="5127" xr:uid="{00000000-0005-0000-0000-000097110000}"/>
    <cellStyle name="Normal 3 2 3 2 3 3 2" xfId="13566" xr:uid="{C7EA678A-85FE-4D0B-BB76-ED95B156D6DB}"/>
    <cellStyle name="Normal 3 2 3 2 3 4" xfId="9348" xr:uid="{64737F75-7516-44CD-A8F1-057C74B19071}"/>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4" xr:uid="{1C0CE707-CE57-4587-8DED-FA0E888A20DB}"/>
    <cellStyle name="Normal 3 2 3 2 4 2 3" xfId="11906" xr:uid="{55DAA0D6-EAA9-4636-8B2A-025370771490}"/>
    <cellStyle name="Normal 3 2 3 2 4 3" xfId="5540" xr:uid="{00000000-0005-0000-0000-00009B110000}"/>
    <cellStyle name="Normal 3 2 3 2 4 3 2" xfId="13979" xr:uid="{143C071E-F091-4E58-B5C3-17067671594D}"/>
    <cellStyle name="Normal 3 2 3 2 4 4" xfId="9761" xr:uid="{E1EF5E5D-2F6C-4DF7-ABE7-3EF1281B20F2}"/>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37" xr:uid="{D6416618-9D7C-41FF-92DA-3F56FA7E76E2}"/>
    <cellStyle name="Normal 3 2 3 2 5 2 3" xfId="12319" xr:uid="{254D42CE-8F6E-4FB4-B7E9-6E0DFC4A10F9}"/>
    <cellStyle name="Normal 3 2 3 2 5 3" xfId="5953" xr:uid="{00000000-0005-0000-0000-00009F110000}"/>
    <cellStyle name="Normal 3 2 3 2 5 3 2" xfId="14392" xr:uid="{1A18B95A-198F-4DD3-BDCA-83A142145E53}"/>
    <cellStyle name="Normal 3 2 3 2 5 4" xfId="10174" xr:uid="{99D48483-31EF-4977-925F-920680B022D0}"/>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0" xr:uid="{528C1BC3-2026-41C4-B50C-2D9CE0ABF9CB}"/>
    <cellStyle name="Normal 3 2 3 2 6 2 3" xfId="12732" xr:uid="{E8F1A635-3265-40FE-A62C-1BF0A3E58D31}"/>
    <cellStyle name="Normal 3 2 3 2 6 3" xfId="6366" xr:uid="{00000000-0005-0000-0000-0000A3110000}"/>
    <cellStyle name="Normal 3 2 3 2 6 3 2" xfId="14805" xr:uid="{52CD21CC-14A6-4CC1-8A97-FB5EABFBE708}"/>
    <cellStyle name="Normal 3 2 3 2 6 4" xfId="10587" xr:uid="{544B83B5-65CB-46D8-AED4-CCA9DF26170A}"/>
    <cellStyle name="Normal 3 2 3 2 7" xfId="2495" xr:uid="{00000000-0005-0000-0000-0000A4110000}"/>
    <cellStyle name="Normal 3 2 3 2 7 2" xfId="6779" xr:uid="{00000000-0005-0000-0000-0000A5110000}"/>
    <cellStyle name="Normal 3 2 3 2 7 2 2" xfId="15218" xr:uid="{20790409-1446-43A4-862D-F3BBD8FE5E87}"/>
    <cellStyle name="Normal 3 2 3 2 7 3" xfId="11000" xr:uid="{5DED4911-9E2E-4C47-8279-BD2C5A0A30E5}"/>
    <cellStyle name="Normal 3 2 3 2 8" xfId="4713" xr:uid="{00000000-0005-0000-0000-0000A6110000}"/>
    <cellStyle name="Normal 3 2 3 2 8 2" xfId="13152" xr:uid="{7E9888FD-9B03-4395-BFCF-D47C3752371E}"/>
    <cellStyle name="Normal 3 2 3 2 9" xfId="8934" xr:uid="{99801977-8B22-469D-A4C5-3495BEB18656}"/>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3" xr:uid="{2665C9DD-7D80-40FA-9DA9-1AFFDE3DFB63}"/>
    <cellStyle name="Normal 3 2 3 3 2 2 3" xfId="11495" xr:uid="{79CC3532-3C41-4706-BE6A-BA78717A601B}"/>
    <cellStyle name="Normal 3 2 3 3 2 3" xfId="5129" xr:uid="{00000000-0005-0000-0000-0000AB110000}"/>
    <cellStyle name="Normal 3 2 3 3 2 3 2" xfId="13568" xr:uid="{07C08D16-F520-4419-AE58-6F01F24B9B65}"/>
    <cellStyle name="Normal 3 2 3 3 2 4" xfId="9350" xr:uid="{90F11166-1CBA-43A2-9964-25D2820695F1}"/>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6" xr:uid="{701D0EA2-D4CE-435C-BD34-975A4AE6C9E9}"/>
    <cellStyle name="Normal 3 2 3 3 3 2 3" xfId="11908" xr:uid="{F34D4A94-0CCD-4322-B42F-82368ADA32D2}"/>
    <cellStyle name="Normal 3 2 3 3 3 3" xfId="5542" xr:uid="{00000000-0005-0000-0000-0000AF110000}"/>
    <cellStyle name="Normal 3 2 3 3 3 3 2" xfId="13981" xr:uid="{40AAB6B0-3ACE-4F60-942E-1324DC38B04F}"/>
    <cellStyle name="Normal 3 2 3 3 3 4" xfId="9763" xr:uid="{64D147DB-0ACD-4969-9A0A-22B205F657E5}"/>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39" xr:uid="{ED9800D3-9F70-49EA-90E9-9E98BAE22EF5}"/>
    <cellStyle name="Normal 3 2 3 3 4 2 3" xfId="12321" xr:uid="{B18D909A-28E1-48E9-82E0-E2128539DDF5}"/>
    <cellStyle name="Normal 3 2 3 3 4 3" xfId="5955" xr:uid="{00000000-0005-0000-0000-0000B3110000}"/>
    <cellStyle name="Normal 3 2 3 3 4 3 2" xfId="14394" xr:uid="{8727473C-AA18-474A-9AC0-2B468E8C17C4}"/>
    <cellStyle name="Normal 3 2 3 3 4 4" xfId="10176" xr:uid="{7C24E566-3C79-4C63-8A57-AF83ED9E763A}"/>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2" xr:uid="{E5F13C8D-A69C-4504-B3CC-FD5F6E5E5CEE}"/>
    <cellStyle name="Normal 3 2 3 3 5 2 3" xfId="12734" xr:uid="{80900565-2F7D-42B5-BEE3-8D4D69EE20C9}"/>
    <cellStyle name="Normal 3 2 3 3 5 3" xfId="6368" xr:uid="{00000000-0005-0000-0000-0000B7110000}"/>
    <cellStyle name="Normal 3 2 3 3 5 3 2" xfId="14807" xr:uid="{4D51B557-D6F8-4DCF-A5CC-08D3790E4833}"/>
    <cellStyle name="Normal 3 2 3 3 5 4" xfId="10589" xr:uid="{81CC6E57-184D-4826-A6C4-7383842DD872}"/>
    <cellStyle name="Normal 3 2 3 3 6" xfId="2497" xr:uid="{00000000-0005-0000-0000-0000B8110000}"/>
    <cellStyle name="Normal 3 2 3 3 6 2" xfId="6781" xr:uid="{00000000-0005-0000-0000-0000B9110000}"/>
    <cellStyle name="Normal 3 2 3 3 6 2 2" xfId="15220" xr:uid="{73B50A1E-D7E8-4367-9B4D-382E8FD6B751}"/>
    <cellStyle name="Normal 3 2 3 3 6 3" xfId="11002" xr:uid="{F4DC9749-3295-4F12-93A0-9A3020C52025}"/>
    <cellStyle name="Normal 3 2 3 3 7" xfId="4715" xr:uid="{00000000-0005-0000-0000-0000BA110000}"/>
    <cellStyle name="Normal 3 2 3 3 7 2" xfId="13154" xr:uid="{F3C28C8A-8FB2-4EDF-BDED-F8729AF9C9F6}"/>
    <cellStyle name="Normal 3 2 3 3 8" xfId="8936" xr:uid="{FF2CC4C3-A10F-42C8-A814-7BA753E03BD2}"/>
    <cellStyle name="Normal 3 2 3 4" xfId="811" xr:uid="{00000000-0005-0000-0000-0000BB110000}"/>
    <cellStyle name="Normal 3 2 3 4 2" xfId="3048" xr:uid="{00000000-0005-0000-0000-0000BC110000}"/>
    <cellStyle name="Normal 3 2 3 4 2 2" xfId="7271" xr:uid="{00000000-0005-0000-0000-0000BD110000}"/>
    <cellStyle name="Normal 3 2 3 4 2 2 2" xfId="15710" xr:uid="{95634804-6772-41A5-814F-519EC29E818F}"/>
    <cellStyle name="Normal 3 2 3 4 2 3" xfId="11492" xr:uid="{4C361E99-D5E2-47CF-A3E9-FD931FEDA934}"/>
    <cellStyle name="Normal 3 2 3 4 3" xfId="5126" xr:uid="{00000000-0005-0000-0000-0000BE110000}"/>
    <cellStyle name="Normal 3 2 3 4 3 2" xfId="13565" xr:uid="{A443D7F4-65EC-4AF4-88AE-583146857395}"/>
    <cellStyle name="Normal 3 2 3 4 4" xfId="9347" xr:uid="{1DACA479-EB2A-4F6F-98B1-8D0F0AF26F67}"/>
    <cellStyle name="Normal 3 2 3 5" xfId="1231" xr:uid="{00000000-0005-0000-0000-0000BF110000}"/>
    <cellStyle name="Normal 3 2 3 5 2" xfId="3461" xr:uid="{00000000-0005-0000-0000-0000C0110000}"/>
    <cellStyle name="Normal 3 2 3 5 2 2" xfId="7684" xr:uid="{00000000-0005-0000-0000-0000C1110000}"/>
    <cellStyle name="Normal 3 2 3 5 2 2 2" xfId="16123" xr:uid="{1B9FFD9C-C9A1-44BE-9F6A-628453F03723}"/>
    <cellStyle name="Normal 3 2 3 5 2 3" xfId="11905" xr:uid="{749B6AAF-E66B-407F-A1ED-6BE9A31DFB60}"/>
    <cellStyle name="Normal 3 2 3 5 3" xfId="5539" xr:uid="{00000000-0005-0000-0000-0000C2110000}"/>
    <cellStyle name="Normal 3 2 3 5 3 2" xfId="13978" xr:uid="{8FCF5B34-223D-4B40-BF8F-5AAA9460A3D7}"/>
    <cellStyle name="Normal 3 2 3 5 4" xfId="9760" xr:uid="{74D966DD-DE78-4652-9944-B9C3CF8EBBEE}"/>
    <cellStyle name="Normal 3 2 3 6" xfId="1644" xr:uid="{00000000-0005-0000-0000-0000C3110000}"/>
    <cellStyle name="Normal 3 2 3 6 2" xfId="3874" xr:uid="{00000000-0005-0000-0000-0000C4110000}"/>
    <cellStyle name="Normal 3 2 3 6 2 2" xfId="8097" xr:uid="{00000000-0005-0000-0000-0000C5110000}"/>
    <cellStyle name="Normal 3 2 3 6 2 2 2" xfId="16536" xr:uid="{2A76DF77-2EDE-4439-9F62-CB3380805BA2}"/>
    <cellStyle name="Normal 3 2 3 6 2 3" xfId="12318" xr:uid="{65CF1B94-8516-4BEF-9B17-D46E03D37D6A}"/>
    <cellStyle name="Normal 3 2 3 6 3" xfId="5952" xr:uid="{00000000-0005-0000-0000-0000C6110000}"/>
    <cellStyle name="Normal 3 2 3 6 3 2" xfId="14391" xr:uid="{901F4D34-EF68-41F9-9C07-2E632CD89564}"/>
    <cellStyle name="Normal 3 2 3 6 4" xfId="10173" xr:uid="{92D62AD2-563D-4BB7-979F-34CBBDA422D1}"/>
    <cellStyle name="Normal 3 2 3 7" xfId="2058" xr:uid="{00000000-0005-0000-0000-0000C7110000}"/>
    <cellStyle name="Normal 3 2 3 7 2" xfId="4287" xr:uid="{00000000-0005-0000-0000-0000C8110000}"/>
    <cellStyle name="Normal 3 2 3 7 2 2" xfId="8510" xr:uid="{00000000-0005-0000-0000-0000C9110000}"/>
    <cellStyle name="Normal 3 2 3 7 2 2 2" xfId="16949" xr:uid="{9E85FB98-1C19-4BD1-ACA5-DFB3A75FAC6C}"/>
    <cellStyle name="Normal 3 2 3 7 2 3" xfId="12731" xr:uid="{1A67DF8F-F5D3-42FF-81EF-FB017F0AD759}"/>
    <cellStyle name="Normal 3 2 3 7 3" xfId="6365" xr:uid="{00000000-0005-0000-0000-0000CA110000}"/>
    <cellStyle name="Normal 3 2 3 7 3 2" xfId="14804" xr:uid="{312FF0D4-1B22-4270-A673-DB139D330FCF}"/>
    <cellStyle name="Normal 3 2 3 7 4" xfId="10586" xr:uid="{D7BF36CC-C0D9-48BF-8820-BBC65427911B}"/>
    <cellStyle name="Normal 3 2 3 8" xfId="2494" xr:uid="{00000000-0005-0000-0000-0000CB110000}"/>
    <cellStyle name="Normal 3 2 3 8 2" xfId="6778" xr:uid="{00000000-0005-0000-0000-0000CC110000}"/>
    <cellStyle name="Normal 3 2 3 8 2 2" xfId="15217" xr:uid="{EB9AE7CF-34E3-45F0-857A-ED7B3E54B1F3}"/>
    <cellStyle name="Normal 3 2 3 8 3" xfId="10999" xr:uid="{07E3BC70-6B12-40B4-AE64-7AEA19C42986}"/>
    <cellStyle name="Normal 3 2 3 9" xfId="4712" xr:uid="{00000000-0005-0000-0000-0000CD110000}"/>
    <cellStyle name="Normal 3 2 3 9 2" xfId="13151" xr:uid="{A33D85E3-AB47-4D53-9F10-4F266C73EC77}"/>
    <cellStyle name="Normal 3 2 4" xfId="809" xr:uid="{00000000-0005-0000-0000-0000CE110000}"/>
    <cellStyle name="Normal 3 2 4 2" xfId="3047" xr:uid="{00000000-0005-0000-0000-0000CF110000}"/>
    <cellStyle name="Normal 3 2 4 2 2" xfId="7270" xr:uid="{00000000-0005-0000-0000-0000D0110000}"/>
    <cellStyle name="Normal 3 2 4 2 2 2" xfId="15709" xr:uid="{7BF536FE-174B-4B46-82AC-2FD324B37403}"/>
    <cellStyle name="Normal 3 2 4 2 3" xfId="11491" xr:uid="{EEA3B309-5983-404B-89A9-4DEA6AE82B45}"/>
    <cellStyle name="Normal 3 2 4 3" xfId="5125" xr:uid="{00000000-0005-0000-0000-0000D1110000}"/>
    <cellStyle name="Normal 3 2 4 3 2" xfId="13564" xr:uid="{CF887510-0FC4-4680-82F8-B089352E2C6A}"/>
    <cellStyle name="Normal 3 2 4 4" xfId="9346" xr:uid="{7E1054AC-261C-4B4F-AC78-2BF0E9D1B447}"/>
    <cellStyle name="Normal 3 2 5" xfId="1230" xr:uid="{00000000-0005-0000-0000-0000D2110000}"/>
    <cellStyle name="Normal 3 2 5 2" xfId="3460" xr:uid="{00000000-0005-0000-0000-0000D3110000}"/>
    <cellStyle name="Normal 3 2 5 2 2" xfId="7683" xr:uid="{00000000-0005-0000-0000-0000D4110000}"/>
    <cellStyle name="Normal 3 2 5 2 2 2" xfId="16122" xr:uid="{01CE1772-5B2E-45E4-962F-A7A9D51B8F6E}"/>
    <cellStyle name="Normal 3 2 5 2 3" xfId="11904" xr:uid="{798C6D7F-131D-4AB5-808D-F7E936D03A49}"/>
    <cellStyle name="Normal 3 2 5 3" xfId="5538" xr:uid="{00000000-0005-0000-0000-0000D5110000}"/>
    <cellStyle name="Normal 3 2 5 3 2" xfId="13977" xr:uid="{C3FDE490-D35E-454C-9C64-9C6C6A61ECA9}"/>
    <cellStyle name="Normal 3 2 5 4" xfId="9759" xr:uid="{4A35B386-65B0-4677-8044-1E2AFB8AECDF}"/>
    <cellStyle name="Normal 3 2 6" xfId="1643" xr:uid="{00000000-0005-0000-0000-0000D6110000}"/>
    <cellStyle name="Normal 3 2 6 2" xfId="3873" xr:uid="{00000000-0005-0000-0000-0000D7110000}"/>
    <cellStyle name="Normal 3 2 6 2 2" xfId="8096" xr:uid="{00000000-0005-0000-0000-0000D8110000}"/>
    <cellStyle name="Normal 3 2 6 2 2 2" xfId="16535" xr:uid="{75B74FC0-4D5F-49C0-B0EF-8546BD84FF30}"/>
    <cellStyle name="Normal 3 2 6 2 3" xfId="12317" xr:uid="{05D53D1A-D040-4D58-AA8D-952F01FBD1D0}"/>
    <cellStyle name="Normal 3 2 6 3" xfId="5951" xr:uid="{00000000-0005-0000-0000-0000D9110000}"/>
    <cellStyle name="Normal 3 2 6 3 2" xfId="14390" xr:uid="{54407E52-F8CB-4D87-80F4-E4ACCE6CE6F5}"/>
    <cellStyle name="Normal 3 2 6 4" xfId="10172" xr:uid="{B364A90E-4582-4615-9370-6D43AB676E43}"/>
    <cellStyle name="Normal 3 2 7" xfId="2057" xr:uid="{00000000-0005-0000-0000-0000DA110000}"/>
    <cellStyle name="Normal 3 2 7 2" xfId="4286" xr:uid="{00000000-0005-0000-0000-0000DB110000}"/>
    <cellStyle name="Normal 3 2 7 2 2" xfId="8509" xr:uid="{00000000-0005-0000-0000-0000DC110000}"/>
    <cellStyle name="Normal 3 2 7 2 2 2" xfId="16948" xr:uid="{408C933C-49CF-422E-8AD1-0B5105EA30B5}"/>
    <cellStyle name="Normal 3 2 7 2 3" xfId="12730" xr:uid="{0E02342D-92C4-4B4D-BA4D-7E7F6EB3DFCF}"/>
    <cellStyle name="Normal 3 2 7 3" xfId="6364" xr:uid="{00000000-0005-0000-0000-0000DD110000}"/>
    <cellStyle name="Normal 3 2 7 3 2" xfId="14803" xr:uid="{27E87685-F76A-472C-BE8A-E249919BBF1E}"/>
    <cellStyle name="Normal 3 2 7 4" xfId="10585" xr:uid="{6CDA87BF-D2AF-4DD7-BA23-34C0D7E2B174}"/>
    <cellStyle name="Normal 3 2 8" xfId="2493" xr:uid="{00000000-0005-0000-0000-0000DE110000}"/>
    <cellStyle name="Normal 3 2 8 2" xfId="6777" xr:uid="{00000000-0005-0000-0000-0000DF110000}"/>
    <cellStyle name="Normal 3 2 8 2 2" xfId="15216" xr:uid="{F9A0F1B3-000F-4A2A-93BF-3806F2D5B560}"/>
    <cellStyle name="Normal 3 2 8 3" xfId="10998" xr:uid="{54BB99F3-72A7-4708-8414-1147FBDB14AA}"/>
    <cellStyle name="Normal 3 2 9" xfId="4711" xr:uid="{00000000-0005-0000-0000-0000E0110000}"/>
    <cellStyle name="Normal 3 2 9 2" xfId="13150" xr:uid="{68ADB723-3DF1-4A90-B08B-FD3142C7DF5B}"/>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37" xr:uid="{2B2CE0C6-EB04-4D1F-9E03-1274F401E1E7}"/>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3" xr:uid="{1902B89F-9C40-4D34-836D-E15B4771DB3D}"/>
    <cellStyle name="Normal 4 2 2 10 2 3" xfId="12735" xr:uid="{B75D7325-5143-4C0E-86C0-F720F340DBC7}"/>
    <cellStyle name="Normal 4 2 2 10 3" xfId="6369" xr:uid="{00000000-0005-0000-0000-0000ED110000}"/>
    <cellStyle name="Normal 4 2 2 10 3 2" xfId="14808" xr:uid="{C4EC8B0C-CFBD-4D5B-9114-37A3A98554D7}"/>
    <cellStyle name="Normal 4 2 2 10 4" xfId="10590" xr:uid="{33087A4C-BD27-4611-B6B8-1AC1C84F6826}"/>
    <cellStyle name="Normal 4 2 2 11" xfId="2498" xr:uid="{00000000-0005-0000-0000-0000EE110000}"/>
    <cellStyle name="Normal 4 2 2 11 2" xfId="6782" xr:uid="{00000000-0005-0000-0000-0000EF110000}"/>
    <cellStyle name="Normal 4 2 2 11 2 2" xfId="15221" xr:uid="{3EB3C484-B706-45A7-BA44-6956758E146F}"/>
    <cellStyle name="Normal 4 2 2 11 3" xfId="11003" xr:uid="{438D7384-EE3F-4509-A255-D7EFD2C459F2}"/>
    <cellStyle name="Normal 4 2 2 12" xfId="4717" xr:uid="{00000000-0005-0000-0000-0000F0110000}"/>
    <cellStyle name="Normal 4 2 2 12 2" xfId="13156" xr:uid="{8ED24BF5-5D00-474E-8F0A-28C654819D1D}"/>
    <cellStyle name="Normal 4 2 2 13" xfId="8938" xr:uid="{093311F5-C322-4A8E-943A-DBF00567E6D7}"/>
    <cellStyle name="Normal 4 2 2 2" xfId="338" xr:uid="{00000000-0005-0000-0000-0000F1110000}"/>
    <cellStyle name="Normal 4 2 2 3" xfId="339" xr:uid="{00000000-0005-0000-0000-0000F2110000}"/>
    <cellStyle name="Normal 4 2 2 3 10" xfId="4718" xr:uid="{00000000-0005-0000-0000-0000F3110000}"/>
    <cellStyle name="Normal 4 2 2 3 10 2" xfId="13157" xr:uid="{CEBC1297-FDE5-4D9E-B89F-B9F9A239C066}"/>
    <cellStyle name="Normal 4 2 2 3 11" xfId="8939" xr:uid="{D12AA674-010C-4805-A56E-0FCB9030FD92}"/>
    <cellStyle name="Normal 4 2 2 3 2" xfId="340" xr:uid="{00000000-0005-0000-0000-0000F4110000}"/>
    <cellStyle name="Normal 4 2 2 3 2 10" xfId="8940" xr:uid="{077484CF-C006-4007-AA67-64809A8E051D}"/>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18" xr:uid="{A6FBD31C-D89F-43BA-8B13-E0CD3961A7DD}"/>
    <cellStyle name="Normal 4 2 2 3 2 2 2 2 2 3" xfId="11500" xr:uid="{411C3183-DF17-4313-BD0B-83CB9C1772D1}"/>
    <cellStyle name="Normal 4 2 2 3 2 2 2 2 3" xfId="5134" xr:uid="{00000000-0005-0000-0000-0000FA110000}"/>
    <cellStyle name="Normal 4 2 2 3 2 2 2 2 3 2" xfId="13573" xr:uid="{214214EB-2A26-484E-8C24-40E7DCB7FF20}"/>
    <cellStyle name="Normal 4 2 2 3 2 2 2 2 4" xfId="9355" xr:uid="{5709D931-0408-42AA-941E-6F2F0BD322EE}"/>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1" xr:uid="{EF00F4BC-C6C4-42F5-9E72-87552CC80BCA}"/>
    <cellStyle name="Normal 4 2 2 3 2 2 2 3 2 3" xfId="11913" xr:uid="{F9A64681-4721-405C-85FD-E14F634B477A}"/>
    <cellStyle name="Normal 4 2 2 3 2 2 2 3 3" xfId="5547" xr:uid="{00000000-0005-0000-0000-0000FE110000}"/>
    <cellStyle name="Normal 4 2 2 3 2 2 2 3 3 2" xfId="13986" xr:uid="{F64F4FCE-C690-404D-8F01-7BD6F925AC0B}"/>
    <cellStyle name="Normal 4 2 2 3 2 2 2 3 4" xfId="9768" xr:uid="{CB80B333-9380-4AE2-87A1-A72A9E0A7D78}"/>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4" xr:uid="{ADE5AE30-94BA-4968-B4D6-40DDFC7F40F1}"/>
    <cellStyle name="Normal 4 2 2 3 2 2 2 4 2 3" xfId="12326" xr:uid="{FD81149B-266D-40AC-AB26-E92FAB1EFC46}"/>
    <cellStyle name="Normal 4 2 2 3 2 2 2 4 3" xfId="5960" xr:uid="{00000000-0005-0000-0000-000002120000}"/>
    <cellStyle name="Normal 4 2 2 3 2 2 2 4 3 2" xfId="14399" xr:uid="{A677D9C6-9FEE-48CF-A441-B2344EDB9F1B}"/>
    <cellStyle name="Normal 4 2 2 3 2 2 2 4 4" xfId="10181" xr:uid="{8364EEBC-7CF0-4700-B591-E9CF42D8EAC7}"/>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57" xr:uid="{84DE92C2-31D8-499E-A5E8-B3FD0E6366BE}"/>
    <cellStyle name="Normal 4 2 2 3 2 2 2 5 2 3" xfId="12739" xr:uid="{0C1689C5-E3DA-49FB-BB2F-EF20D11BF839}"/>
    <cellStyle name="Normal 4 2 2 3 2 2 2 5 3" xfId="6373" xr:uid="{00000000-0005-0000-0000-000006120000}"/>
    <cellStyle name="Normal 4 2 2 3 2 2 2 5 3 2" xfId="14812" xr:uid="{E36B91A6-5AB5-4D86-B397-35F1F84EA1D3}"/>
    <cellStyle name="Normal 4 2 2 3 2 2 2 5 4" xfId="10594" xr:uid="{A18237D8-1DBA-48B8-81C5-83CE2CF40821}"/>
    <cellStyle name="Normal 4 2 2 3 2 2 2 6" xfId="2502" xr:uid="{00000000-0005-0000-0000-000007120000}"/>
    <cellStyle name="Normal 4 2 2 3 2 2 2 6 2" xfId="6786" xr:uid="{00000000-0005-0000-0000-000008120000}"/>
    <cellStyle name="Normal 4 2 2 3 2 2 2 6 2 2" xfId="15225" xr:uid="{C8F5EEE6-D94F-4295-8750-63E7F1FEB692}"/>
    <cellStyle name="Normal 4 2 2 3 2 2 2 6 3" xfId="11007" xr:uid="{97148131-9426-4039-AED0-D297122D8BC8}"/>
    <cellStyle name="Normal 4 2 2 3 2 2 2 7" xfId="4721" xr:uid="{00000000-0005-0000-0000-000009120000}"/>
    <cellStyle name="Normal 4 2 2 3 2 2 2 7 2" xfId="13160" xr:uid="{54AD0767-9728-4F30-B97F-6EE0ADB421C0}"/>
    <cellStyle name="Normal 4 2 2 3 2 2 2 8" xfId="8942" xr:uid="{FCAC68B9-C776-4525-A0CD-8BCBAB62D13A}"/>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17" xr:uid="{82004AB3-B455-48FB-A286-5F1187F7973C}"/>
    <cellStyle name="Normal 4 2 2 3 2 2 3 2 3" xfId="11499" xr:uid="{AD0A9ABD-51D6-44B7-A83A-3B12D283BF28}"/>
    <cellStyle name="Normal 4 2 2 3 2 2 3 3" xfId="5133" xr:uid="{00000000-0005-0000-0000-00000D120000}"/>
    <cellStyle name="Normal 4 2 2 3 2 2 3 3 2" xfId="13572" xr:uid="{85C532DF-F575-4ACD-90EB-3F557DCBD9DE}"/>
    <cellStyle name="Normal 4 2 2 3 2 2 3 4" xfId="9354" xr:uid="{4208D703-1430-4EBF-801F-D89D4603772E}"/>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0" xr:uid="{F08FF12A-D48B-4D03-9392-08169249AE1A}"/>
    <cellStyle name="Normal 4 2 2 3 2 2 4 2 3" xfId="11912" xr:uid="{826FB058-ED68-45B1-A860-CFD50011D37D}"/>
    <cellStyle name="Normal 4 2 2 3 2 2 4 3" xfId="5546" xr:uid="{00000000-0005-0000-0000-000011120000}"/>
    <cellStyle name="Normal 4 2 2 3 2 2 4 3 2" xfId="13985" xr:uid="{774A7C65-4A8A-42FB-8AD2-E7E94EEF4DAA}"/>
    <cellStyle name="Normal 4 2 2 3 2 2 4 4" xfId="9767" xr:uid="{E9E7070D-D799-4249-AE71-46C9155ABF9D}"/>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3" xr:uid="{BD1725B2-948A-4DE4-840F-AE8CD2A215B8}"/>
    <cellStyle name="Normal 4 2 2 3 2 2 5 2 3" xfId="12325" xr:uid="{D4F113AF-4C2A-40D8-9997-6805DC313EBF}"/>
    <cellStyle name="Normal 4 2 2 3 2 2 5 3" xfId="5959" xr:uid="{00000000-0005-0000-0000-000015120000}"/>
    <cellStyle name="Normal 4 2 2 3 2 2 5 3 2" xfId="14398" xr:uid="{34131FF2-C29E-4818-8620-1D9F6EB35CCF}"/>
    <cellStyle name="Normal 4 2 2 3 2 2 5 4" xfId="10180" xr:uid="{9FEDE3D7-3D1C-4D87-AEF5-B7C086061B2C}"/>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6" xr:uid="{DC76EB2A-0744-4886-969C-92E01FE89FE6}"/>
    <cellStyle name="Normal 4 2 2 3 2 2 6 2 3" xfId="12738" xr:uid="{B688F5FA-8D3A-4B24-9DB8-94DD7295995A}"/>
    <cellStyle name="Normal 4 2 2 3 2 2 6 3" xfId="6372" xr:uid="{00000000-0005-0000-0000-000019120000}"/>
    <cellStyle name="Normal 4 2 2 3 2 2 6 3 2" xfId="14811" xr:uid="{5A577C5E-445D-4C31-86BC-F0BE7A73384D}"/>
    <cellStyle name="Normal 4 2 2 3 2 2 6 4" xfId="10593" xr:uid="{CED4CCCF-3F36-4109-98A0-0CAF25D261D3}"/>
    <cellStyle name="Normal 4 2 2 3 2 2 7" xfId="2501" xr:uid="{00000000-0005-0000-0000-00001A120000}"/>
    <cellStyle name="Normal 4 2 2 3 2 2 7 2" xfId="6785" xr:uid="{00000000-0005-0000-0000-00001B120000}"/>
    <cellStyle name="Normal 4 2 2 3 2 2 7 2 2" xfId="15224" xr:uid="{2CA5E85A-2F35-4939-886B-2A89B91BAEEF}"/>
    <cellStyle name="Normal 4 2 2 3 2 2 7 3" xfId="11006" xr:uid="{1A7BFA41-8119-419A-A81E-A79CAC83ACAA}"/>
    <cellStyle name="Normal 4 2 2 3 2 2 8" xfId="4720" xr:uid="{00000000-0005-0000-0000-00001C120000}"/>
    <cellStyle name="Normal 4 2 2 3 2 2 8 2" xfId="13159" xr:uid="{63DC105D-9E04-4746-A493-00F4A8461017}"/>
    <cellStyle name="Normal 4 2 2 3 2 2 9" xfId="8941" xr:uid="{F1866757-9033-4A3F-930B-4812178481F8}"/>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19" xr:uid="{DC3566A4-80B7-4022-9464-274B25E1CA28}"/>
    <cellStyle name="Normal 4 2 2 3 2 3 2 2 3" xfId="11501" xr:uid="{D93CE42F-F07F-4210-A327-3B3A123FAE1F}"/>
    <cellStyle name="Normal 4 2 2 3 2 3 2 3" xfId="5135" xr:uid="{00000000-0005-0000-0000-000021120000}"/>
    <cellStyle name="Normal 4 2 2 3 2 3 2 3 2" xfId="13574" xr:uid="{A1E9A4D0-695B-4991-ABBC-98C7D2E22300}"/>
    <cellStyle name="Normal 4 2 2 3 2 3 2 4" xfId="9356" xr:uid="{9DB64FA3-32AD-493B-9A08-62A3CE800B52}"/>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2" xr:uid="{E808679A-BC73-4186-9684-CBD7EBDA8E18}"/>
    <cellStyle name="Normal 4 2 2 3 2 3 3 2 3" xfId="11914" xr:uid="{DADBDC12-1726-4325-80EE-E2BCB74D9068}"/>
    <cellStyle name="Normal 4 2 2 3 2 3 3 3" xfId="5548" xr:uid="{00000000-0005-0000-0000-000025120000}"/>
    <cellStyle name="Normal 4 2 2 3 2 3 3 3 2" xfId="13987" xr:uid="{0A49A009-652B-48E1-BF6D-87509B1771F6}"/>
    <cellStyle name="Normal 4 2 2 3 2 3 3 4" xfId="9769" xr:uid="{F9B749C9-4443-4777-8976-75028A124846}"/>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5" xr:uid="{0AD37C25-FFD9-439E-B61E-797FA27DBFD6}"/>
    <cellStyle name="Normal 4 2 2 3 2 3 4 2 3" xfId="12327" xr:uid="{3371793A-8A17-4D19-8281-1D89943EE72E}"/>
    <cellStyle name="Normal 4 2 2 3 2 3 4 3" xfId="5961" xr:uid="{00000000-0005-0000-0000-000029120000}"/>
    <cellStyle name="Normal 4 2 2 3 2 3 4 3 2" xfId="14400" xr:uid="{CCA54161-33B1-4FBF-8DC6-2C2E093DA26A}"/>
    <cellStyle name="Normal 4 2 2 3 2 3 4 4" xfId="10182" xr:uid="{821C0B4E-29C6-4067-B891-C9BC27069501}"/>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58" xr:uid="{CF264D57-1363-4148-B07B-817838705AE1}"/>
    <cellStyle name="Normal 4 2 2 3 2 3 5 2 3" xfId="12740" xr:uid="{0D277DAC-13D8-42B6-AFF0-7BAA376C6A22}"/>
    <cellStyle name="Normal 4 2 2 3 2 3 5 3" xfId="6374" xr:uid="{00000000-0005-0000-0000-00002D120000}"/>
    <cellStyle name="Normal 4 2 2 3 2 3 5 3 2" xfId="14813" xr:uid="{B4C51F10-68E6-4B98-BEAF-9869C7272F0E}"/>
    <cellStyle name="Normal 4 2 2 3 2 3 5 4" xfId="10595" xr:uid="{C56C79BB-94EE-4F22-879F-C244F6CE0E80}"/>
    <cellStyle name="Normal 4 2 2 3 2 3 6" xfId="2503" xr:uid="{00000000-0005-0000-0000-00002E120000}"/>
    <cellStyle name="Normal 4 2 2 3 2 3 6 2" xfId="6787" xr:uid="{00000000-0005-0000-0000-00002F120000}"/>
    <cellStyle name="Normal 4 2 2 3 2 3 6 2 2" xfId="15226" xr:uid="{9F9895A9-3B22-40C0-A803-A67BF1396F27}"/>
    <cellStyle name="Normal 4 2 2 3 2 3 6 3" xfId="11008" xr:uid="{7D11DB43-3163-4B92-9AFD-CB38D8C0D0EA}"/>
    <cellStyle name="Normal 4 2 2 3 2 3 7" xfId="4722" xr:uid="{00000000-0005-0000-0000-000030120000}"/>
    <cellStyle name="Normal 4 2 2 3 2 3 7 2" xfId="13161" xr:uid="{2DAF620F-6580-4199-ACCF-E5FA1ED3DD38}"/>
    <cellStyle name="Normal 4 2 2 3 2 3 8" xfId="8943" xr:uid="{419E00AC-394F-4A63-94A7-7A9403FC1064}"/>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6" xr:uid="{C1E46972-979B-4D18-809F-A73C022FFC20}"/>
    <cellStyle name="Normal 4 2 2 3 2 4 2 3" xfId="11498" xr:uid="{C610DD69-DFB6-4385-8E50-CA1E7977B241}"/>
    <cellStyle name="Normal 4 2 2 3 2 4 3" xfId="5132" xr:uid="{00000000-0005-0000-0000-000034120000}"/>
    <cellStyle name="Normal 4 2 2 3 2 4 3 2" xfId="13571" xr:uid="{6EADE125-37F9-42E7-8FAD-68BE292CF705}"/>
    <cellStyle name="Normal 4 2 2 3 2 4 4" xfId="9353" xr:uid="{5FFD86FE-9916-41FC-94B1-6CD1B4074A52}"/>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29" xr:uid="{6A35C593-716B-4389-AF7C-90DC8912DC7A}"/>
    <cellStyle name="Normal 4 2 2 3 2 5 2 3" xfId="11911" xr:uid="{63A72A2B-DEFA-412D-A815-FDDFF146B8B3}"/>
    <cellStyle name="Normal 4 2 2 3 2 5 3" xfId="5545" xr:uid="{00000000-0005-0000-0000-000038120000}"/>
    <cellStyle name="Normal 4 2 2 3 2 5 3 2" xfId="13984" xr:uid="{A75991F0-AE12-47DE-BCC7-36E0CA4B0824}"/>
    <cellStyle name="Normal 4 2 2 3 2 5 4" xfId="9766" xr:uid="{F694C566-DFE0-4B3C-AF57-EAC5EA08C734}"/>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2" xr:uid="{F08000DA-0D4A-4264-9308-992073498F5A}"/>
    <cellStyle name="Normal 4 2 2 3 2 6 2 3" xfId="12324" xr:uid="{27AC4F8F-9599-48A5-A4ED-B67058F14F31}"/>
    <cellStyle name="Normal 4 2 2 3 2 6 3" xfId="5958" xr:uid="{00000000-0005-0000-0000-00003C120000}"/>
    <cellStyle name="Normal 4 2 2 3 2 6 3 2" xfId="14397" xr:uid="{1A63E393-B76E-4F30-90CF-46B5BD1C23C4}"/>
    <cellStyle name="Normal 4 2 2 3 2 6 4" xfId="10179" xr:uid="{DAD3DB96-F1F3-471B-BB86-2039CAFBF8EC}"/>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5" xr:uid="{788B59DD-9CEF-4A52-BB09-2C160072255A}"/>
    <cellStyle name="Normal 4 2 2 3 2 7 2 3" xfId="12737" xr:uid="{36594EDC-69E8-4F3D-9935-1D33F1D97C85}"/>
    <cellStyle name="Normal 4 2 2 3 2 7 3" xfId="6371" xr:uid="{00000000-0005-0000-0000-000040120000}"/>
    <cellStyle name="Normal 4 2 2 3 2 7 3 2" xfId="14810" xr:uid="{AE3E7E38-5528-43CF-978F-E63CC45CC6F8}"/>
    <cellStyle name="Normal 4 2 2 3 2 7 4" xfId="10592" xr:uid="{A19DB248-4700-4897-92D8-F20635E5096B}"/>
    <cellStyle name="Normal 4 2 2 3 2 8" xfId="2500" xr:uid="{00000000-0005-0000-0000-000041120000}"/>
    <cellStyle name="Normal 4 2 2 3 2 8 2" xfId="6784" xr:uid="{00000000-0005-0000-0000-000042120000}"/>
    <cellStyle name="Normal 4 2 2 3 2 8 2 2" xfId="15223" xr:uid="{DA3A4609-91E0-4386-ADF2-0669FB4E146A}"/>
    <cellStyle name="Normal 4 2 2 3 2 8 3" xfId="11005" xr:uid="{68A88180-FF2F-494E-B315-6AF2383AB2C0}"/>
    <cellStyle name="Normal 4 2 2 3 2 9" xfId="4719" xr:uid="{00000000-0005-0000-0000-000043120000}"/>
    <cellStyle name="Normal 4 2 2 3 2 9 2" xfId="13158" xr:uid="{00AB2116-E0C3-4071-86B3-59202C99693D}"/>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1" xr:uid="{207677DF-8FC8-456A-B6EA-34975D7B44C4}"/>
    <cellStyle name="Normal 4 2 2 3 3 2 2 2 3" xfId="11503" xr:uid="{FE62BAD5-1B95-4CBC-822C-20BB2D333646}"/>
    <cellStyle name="Normal 4 2 2 3 3 2 2 3" xfId="5137" xr:uid="{00000000-0005-0000-0000-000049120000}"/>
    <cellStyle name="Normal 4 2 2 3 3 2 2 3 2" xfId="13576" xr:uid="{9409E9E6-CE14-4843-8299-A50D669BC650}"/>
    <cellStyle name="Normal 4 2 2 3 3 2 2 4" xfId="9358" xr:uid="{92A8E070-716F-4961-AD82-EABD24B9EDC8}"/>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4" xr:uid="{4029C755-9C5D-4CE8-8E0F-3B937B2F5671}"/>
    <cellStyle name="Normal 4 2 2 3 3 2 3 2 3" xfId="11916" xr:uid="{1C43D2C7-51BB-4504-B820-D4524B51701F}"/>
    <cellStyle name="Normal 4 2 2 3 3 2 3 3" xfId="5550" xr:uid="{00000000-0005-0000-0000-00004D120000}"/>
    <cellStyle name="Normal 4 2 2 3 3 2 3 3 2" xfId="13989" xr:uid="{D676B4C1-98EA-46B7-AEF7-2AD838934201}"/>
    <cellStyle name="Normal 4 2 2 3 3 2 3 4" xfId="9771" xr:uid="{CB6D291F-BDCA-415D-9483-AE6C46F118E1}"/>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47" xr:uid="{5540981F-A09E-4494-B8AC-1FC11F7FB73E}"/>
    <cellStyle name="Normal 4 2 2 3 3 2 4 2 3" xfId="12329" xr:uid="{1B0BB350-C32B-4719-B2E5-CDD8EE58C970}"/>
    <cellStyle name="Normal 4 2 2 3 3 2 4 3" xfId="5963" xr:uid="{00000000-0005-0000-0000-000051120000}"/>
    <cellStyle name="Normal 4 2 2 3 3 2 4 3 2" xfId="14402" xr:uid="{69C1B038-C687-4C68-9AC0-DCA88C64FD5F}"/>
    <cellStyle name="Normal 4 2 2 3 3 2 4 4" xfId="10184" xr:uid="{D9228947-AFE2-44C0-9C16-C198AB8479C3}"/>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0" xr:uid="{67780DCB-1340-4509-8C0B-7686F5FB1D3B}"/>
    <cellStyle name="Normal 4 2 2 3 3 2 5 2 3" xfId="12742" xr:uid="{D465FC64-A433-42EF-BFAE-000ACF449878}"/>
    <cellStyle name="Normal 4 2 2 3 3 2 5 3" xfId="6376" xr:uid="{00000000-0005-0000-0000-000055120000}"/>
    <cellStyle name="Normal 4 2 2 3 3 2 5 3 2" xfId="14815" xr:uid="{5DBEF570-9D88-4AC3-BF22-42FB7B2EE368}"/>
    <cellStyle name="Normal 4 2 2 3 3 2 5 4" xfId="10597" xr:uid="{E39704BD-06B3-4A6E-83CB-454796F013EA}"/>
    <cellStyle name="Normal 4 2 2 3 3 2 6" xfId="2505" xr:uid="{00000000-0005-0000-0000-000056120000}"/>
    <cellStyle name="Normal 4 2 2 3 3 2 6 2" xfId="6789" xr:uid="{00000000-0005-0000-0000-000057120000}"/>
    <cellStyle name="Normal 4 2 2 3 3 2 6 2 2" xfId="15228" xr:uid="{B0D8DF13-F9AA-44DF-9003-D511D15A6215}"/>
    <cellStyle name="Normal 4 2 2 3 3 2 6 3" xfId="11010" xr:uid="{83B86AB9-47C1-42C8-8A9E-671766DF8085}"/>
    <cellStyle name="Normal 4 2 2 3 3 2 7" xfId="4724" xr:uid="{00000000-0005-0000-0000-000058120000}"/>
    <cellStyle name="Normal 4 2 2 3 3 2 7 2" xfId="13163" xr:uid="{A9D15D6C-F2D1-4286-8D24-582313B89609}"/>
    <cellStyle name="Normal 4 2 2 3 3 2 8" xfId="8945" xr:uid="{78451538-72C0-4C5C-AE0F-1C636215CB84}"/>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0" xr:uid="{D3F1E8ED-3072-4518-8A0A-894CF35862BC}"/>
    <cellStyle name="Normal 4 2 2 3 3 3 2 3" xfId="11502" xr:uid="{0804BB4F-8D63-404D-81B3-FBDB17939A65}"/>
    <cellStyle name="Normal 4 2 2 3 3 3 3" xfId="5136" xr:uid="{00000000-0005-0000-0000-00005C120000}"/>
    <cellStyle name="Normal 4 2 2 3 3 3 3 2" xfId="13575" xr:uid="{77673837-23EB-42DD-850E-24ED3C4F8080}"/>
    <cellStyle name="Normal 4 2 2 3 3 3 4" xfId="9357" xr:uid="{D40A5FED-67FA-4FDC-97C9-A0C5DAE40B98}"/>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3" xr:uid="{D82AB70C-C1C1-4B2E-AB70-37DD1BACAEBB}"/>
    <cellStyle name="Normal 4 2 2 3 3 4 2 3" xfId="11915" xr:uid="{DB9FE861-8D19-4677-BC85-5C64612FFA47}"/>
    <cellStyle name="Normal 4 2 2 3 3 4 3" xfId="5549" xr:uid="{00000000-0005-0000-0000-000060120000}"/>
    <cellStyle name="Normal 4 2 2 3 3 4 3 2" xfId="13988" xr:uid="{745430EA-B99A-43DE-9D3B-1DC7D639357F}"/>
    <cellStyle name="Normal 4 2 2 3 3 4 4" xfId="9770" xr:uid="{287D41B8-A81D-4D57-98EC-809D114F3136}"/>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6" xr:uid="{D07749A8-603E-43A8-A5B6-3D4D8371579A}"/>
    <cellStyle name="Normal 4 2 2 3 3 5 2 3" xfId="12328" xr:uid="{8317179D-889E-4593-AB2C-37F3D86EBDFE}"/>
    <cellStyle name="Normal 4 2 2 3 3 5 3" xfId="5962" xr:uid="{00000000-0005-0000-0000-000064120000}"/>
    <cellStyle name="Normal 4 2 2 3 3 5 3 2" xfId="14401" xr:uid="{B31C3DE5-E4DC-4F1A-9FD7-4A9EEEE97EB7}"/>
    <cellStyle name="Normal 4 2 2 3 3 5 4" xfId="10183" xr:uid="{507087BC-8A62-427F-9B38-76B02AFAB2E4}"/>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59" xr:uid="{ADCC7B92-E9F1-4CC8-BBFF-A1C0F0CEEFB4}"/>
    <cellStyle name="Normal 4 2 2 3 3 6 2 3" xfId="12741" xr:uid="{2E0197EE-1787-4A72-B7C2-E646F7F4DC1D}"/>
    <cellStyle name="Normal 4 2 2 3 3 6 3" xfId="6375" xr:uid="{00000000-0005-0000-0000-000068120000}"/>
    <cellStyle name="Normal 4 2 2 3 3 6 3 2" xfId="14814" xr:uid="{E74FFEF9-8601-4A44-8F5C-D58FD0906368}"/>
    <cellStyle name="Normal 4 2 2 3 3 6 4" xfId="10596" xr:uid="{B2E6D352-DD10-4170-8C03-AF9535F25A5F}"/>
    <cellStyle name="Normal 4 2 2 3 3 7" xfId="2504" xr:uid="{00000000-0005-0000-0000-000069120000}"/>
    <cellStyle name="Normal 4 2 2 3 3 7 2" xfId="6788" xr:uid="{00000000-0005-0000-0000-00006A120000}"/>
    <cellStyle name="Normal 4 2 2 3 3 7 2 2" xfId="15227" xr:uid="{9B1EF228-29C8-4294-89DD-E2924EBE43F9}"/>
    <cellStyle name="Normal 4 2 2 3 3 7 3" xfId="11009" xr:uid="{8E008F9C-E1F8-4DCD-B6FD-8E116E7C1201}"/>
    <cellStyle name="Normal 4 2 2 3 3 8" xfId="4723" xr:uid="{00000000-0005-0000-0000-00006B120000}"/>
    <cellStyle name="Normal 4 2 2 3 3 8 2" xfId="13162" xr:uid="{E278B173-6045-4F1D-93E8-550F591A0A31}"/>
    <cellStyle name="Normal 4 2 2 3 3 9" xfId="8944" xr:uid="{B10F4449-29C3-4FED-9A48-B0DEC2CF7F6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2" xr:uid="{97F54961-9884-449C-8294-CA452C5FAF13}"/>
    <cellStyle name="Normal 4 2 2 3 4 2 2 3" xfId="11504" xr:uid="{E992B7CD-B17D-4E6F-BB2E-322D09FCC848}"/>
    <cellStyle name="Normal 4 2 2 3 4 2 3" xfId="5138" xr:uid="{00000000-0005-0000-0000-000070120000}"/>
    <cellStyle name="Normal 4 2 2 3 4 2 3 2" xfId="13577" xr:uid="{AA26DF0C-2773-437B-AE8C-27F6E6DFD0EF}"/>
    <cellStyle name="Normal 4 2 2 3 4 2 4" xfId="9359" xr:uid="{D9D9D17E-5805-467B-AFB0-4EED0DD8ADDC}"/>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5" xr:uid="{9753A601-4E7C-48A0-B805-B35B44627052}"/>
    <cellStyle name="Normal 4 2 2 3 4 3 2 3" xfId="11917" xr:uid="{11CD15C6-A764-409D-90FE-D27BA9669868}"/>
    <cellStyle name="Normal 4 2 2 3 4 3 3" xfId="5551" xr:uid="{00000000-0005-0000-0000-000074120000}"/>
    <cellStyle name="Normal 4 2 2 3 4 3 3 2" xfId="13990" xr:uid="{66ED1655-D289-4D90-8EFA-F1FBFB1037BE}"/>
    <cellStyle name="Normal 4 2 2 3 4 3 4" xfId="9772" xr:uid="{241991F4-49B6-4986-A290-51E8704C9583}"/>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48" xr:uid="{06894E45-9CD2-4652-9929-E0C3552A94A7}"/>
    <cellStyle name="Normal 4 2 2 3 4 4 2 3" xfId="12330" xr:uid="{053F8BAA-138D-4345-A801-E40E0ECC4A93}"/>
    <cellStyle name="Normal 4 2 2 3 4 4 3" xfId="5964" xr:uid="{00000000-0005-0000-0000-000078120000}"/>
    <cellStyle name="Normal 4 2 2 3 4 4 3 2" xfId="14403" xr:uid="{2A5542A9-64AB-451A-A276-7C682E79F9D8}"/>
    <cellStyle name="Normal 4 2 2 3 4 4 4" xfId="10185" xr:uid="{6B69FE10-00FF-4C20-96B0-AD8B3946BF8D}"/>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1" xr:uid="{3A710992-998C-47DA-9562-2D4E78C45857}"/>
    <cellStyle name="Normal 4 2 2 3 4 5 2 3" xfId="12743" xr:uid="{0FC890B7-EE9D-47F1-AA7A-48139218408F}"/>
    <cellStyle name="Normal 4 2 2 3 4 5 3" xfId="6377" xr:uid="{00000000-0005-0000-0000-00007C120000}"/>
    <cellStyle name="Normal 4 2 2 3 4 5 3 2" xfId="14816" xr:uid="{A6DD7A2A-9379-4397-9BC7-1FB451CB1809}"/>
    <cellStyle name="Normal 4 2 2 3 4 5 4" xfId="10598" xr:uid="{49EFFA7A-3473-468A-9CE8-60622BF38200}"/>
    <cellStyle name="Normal 4 2 2 3 4 6" xfId="2506" xr:uid="{00000000-0005-0000-0000-00007D120000}"/>
    <cellStyle name="Normal 4 2 2 3 4 6 2" xfId="6790" xr:uid="{00000000-0005-0000-0000-00007E120000}"/>
    <cellStyle name="Normal 4 2 2 3 4 6 2 2" xfId="15229" xr:uid="{44CCFBCC-C94F-43F4-B5A8-384A6BE28A88}"/>
    <cellStyle name="Normal 4 2 2 3 4 6 3" xfId="11011" xr:uid="{5D5EE6FD-039E-4E6B-B44A-ADDDEACE9975}"/>
    <cellStyle name="Normal 4 2 2 3 4 7" xfId="4725" xr:uid="{00000000-0005-0000-0000-00007F120000}"/>
    <cellStyle name="Normal 4 2 2 3 4 7 2" xfId="13164" xr:uid="{B8158529-2B0D-43BD-9FB2-20F76A746EEE}"/>
    <cellStyle name="Normal 4 2 2 3 4 8" xfId="8946" xr:uid="{07DC82FC-A7A3-4497-B61D-7F79DCAE2CCB}"/>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5" xr:uid="{3B16CB39-A141-4AA6-A844-77F350226868}"/>
    <cellStyle name="Normal 4 2 2 3 5 2 3" xfId="11497" xr:uid="{494950BB-2BD2-4837-BBF6-930FE6C0F264}"/>
    <cellStyle name="Normal 4 2 2 3 5 3" xfId="5131" xr:uid="{00000000-0005-0000-0000-000083120000}"/>
    <cellStyle name="Normal 4 2 2 3 5 3 2" xfId="13570" xr:uid="{294A0FD3-D3A6-4F3C-B27F-94A30B441A1E}"/>
    <cellStyle name="Normal 4 2 2 3 5 4" xfId="9352" xr:uid="{13FE7D47-3788-4628-B473-A7C2359BB3AF}"/>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28" xr:uid="{3306BAEB-1CE9-465E-B81D-E5873F4735E5}"/>
    <cellStyle name="Normal 4 2 2 3 6 2 3" xfId="11910" xr:uid="{27935288-3FF7-4FC4-B3A0-CF050554DD04}"/>
    <cellStyle name="Normal 4 2 2 3 6 3" xfId="5544" xr:uid="{00000000-0005-0000-0000-000087120000}"/>
    <cellStyle name="Normal 4 2 2 3 6 3 2" xfId="13983" xr:uid="{75744D3B-DDB3-424A-A80B-590E8D99265A}"/>
    <cellStyle name="Normal 4 2 2 3 6 4" xfId="9765" xr:uid="{DB95AD43-1056-4A50-B52A-EEDD53C7ABE4}"/>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1" xr:uid="{06F8D81C-309E-4AD2-93DF-475D61A12A4A}"/>
    <cellStyle name="Normal 4 2 2 3 7 2 3" xfId="12323" xr:uid="{A1034E93-885D-49DE-AAC5-7BDC7D15A3D5}"/>
    <cellStyle name="Normal 4 2 2 3 7 3" xfId="5957" xr:uid="{00000000-0005-0000-0000-00008B120000}"/>
    <cellStyle name="Normal 4 2 2 3 7 3 2" xfId="14396" xr:uid="{7208BCEC-DCFF-47F9-87DF-F41B3D76B022}"/>
    <cellStyle name="Normal 4 2 2 3 7 4" xfId="10178" xr:uid="{07E39408-8F53-4538-AB18-6AF33305427A}"/>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4" xr:uid="{0C1FE2EF-72B3-429F-9FBB-D3CC9740EA60}"/>
    <cellStyle name="Normal 4 2 2 3 8 2 3" xfId="12736" xr:uid="{B923C812-34C4-43A1-985E-6EEAAB3E0EC1}"/>
    <cellStyle name="Normal 4 2 2 3 8 3" xfId="6370" xr:uid="{00000000-0005-0000-0000-00008F120000}"/>
    <cellStyle name="Normal 4 2 2 3 8 3 2" xfId="14809" xr:uid="{06EF0251-99E4-4F5E-B368-1E3B5A5F00BD}"/>
    <cellStyle name="Normal 4 2 2 3 8 4" xfId="10591" xr:uid="{EBB22D47-6ECB-43AE-9C3A-6D57F59990CB}"/>
    <cellStyle name="Normal 4 2 2 3 9" xfId="2499" xr:uid="{00000000-0005-0000-0000-000090120000}"/>
    <cellStyle name="Normal 4 2 2 3 9 2" xfId="6783" xr:uid="{00000000-0005-0000-0000-000091120000}"/>
    <cellStyle name="Normal 4 2 2 3 9 2 2" xfId="15222" xr:uid="{7B7FB192-2FB1-43C8-BEC8-2883D7ED027B}"/>
    <cellStyle name="Normal 4 2 2 3 9 3" xfId="11004" xr:uid="{9B6F8E66-D93B-4740-B799-21ABD5F6B34B}"/>
    <cellStyle name="Normal 4 2 2 4" xfId="347" xr:uid="{00000000-0005-0000-0000-000092120000}"/>
    <cellStyle name="Normal 4 2 2 4 10" xfId="8947" xr:uid="{02EE7D48-86B9-4A36-A955-57422698E968}"/>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5" xr:uid="{A932ECB3-F262-498F-8D4A-CBFC36A3D956}"/>
    <cellStyle name="Normal 4 2 2 4 2 2 2 2 3" xfId="11507" xr:uid="{58304AAA-7E50-4A1D-A62F-1A331D799AAC}"/>
    <cellStyle name="Normal 4 2 2 4 2 2 2 3" xfId="5141" xr:uid="{00000000-0005-0000-0000-000098120000}"/>
    <cellStyle name="Normal 4 2 2 4 2 2 2 3 2" xfId="13580" xr:uid="{B3704081-D33F-4F32-9BF7-74FB3EBA4D53}"/>
    <cellStyle name="Normal 4 2 2 4 2 2 2 4" xfId="9362" xr:uid="{CE792105-6CE3-4D90-97B0-5D1784EC1336}"/>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38" xr:uid="{588815C6-6F6F-4CDB-891F-46EBFCA912C7}"/>
    <cellStyle name="Normal 4 2 2 4 2 2 3 2 3" xfId="11920" xr:uid="{D3B52EBA-853D-47CE-85A7-A980BE75801D}"/>
    <cellStyle name="Normal 4 2 2 4 2 2 3 3" xfId="5554" xr:uid="{00000000-0005-0000-0000-00009C120000}"/>
    <cellStyle name="Normal 4 2 2 4 2 2 3 3 2" xfId="13993" xr:uid="{661E5399-0AA1-41CA-BF79-3C62EFA563C1}"/>
    <cellStyle name="Normal 4 2 2 4 2 2 3 4" xfId="9775" xr:uid="{5904678D-50D5-4F6E-B6F6-EC9B8E89BA42}"/>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1" xr:uid="{5E6264EE-5B6D-482F-8249-FBD22FCE45C4}"/>
    <cellStyle name="Normal 4 2 2 4 2 2 4 2 3" xfId="12333" xr:uid="{FE04DE9B-4BE6-4980-A5AD-310AD03AF2A4}"/>
    <cellStyle name="Normal 4 2 2 4 2 2 4 3" xfId="5967" xr:uid="{00000000-0005-0000-0000-0000A0120000}"/>
    <cellStyle name="Normal 4 2 2 4 2 2 4 3 2" xfId="14406" xr:uid="{48F27D52-120C-4AE8-9DAC-6FE86427EC27}"/>
    <cellStyle name="Normal 4 2 2 4 2 2 4 4" xfId="10188" xr:uid="{0EAC01B2-6C68-4A62-99BE-0EEBF9B5404B}"/>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4" xr:uid="{5B15C321-8E7A-48B8-8379-388E1682542C}"/>
    <cellStyle name="Normal 4 2 2 4 2 2 5 2 3" xfId="12746" xr:uid="{166B42BD-7F4A-4691-AA0C-30FAEBAC7D3B}"/>
    <cellStyle name="Normal 4 2 2 4 2 2 5 3" xfId="6380" xr:uid="{00000000-0005-0000-0000-0000A4120000}"/>
    <cellStyle name="Normal 4 2 2 4 2 2 5 3 2" xfId="14819" xr:uid="{BB27B262-1870-4FC4-BCEE-4EFF75F0C43C}"/>
    <cellStyle name="Normal 4 2 2 4 2 2 5 4" xfId="10601" xr:uid="{7DBB23E6-F172-4A6F-ADB3-3C8A1A93388A}"/>
    <cellStyle name="Normal 4 2 2 4 2 2 6" xfId="2509" xr:uid="{00000000-0005-0000-0000-0000A5120000}"/>
    <cellStyle name="Normal 4 2 2 4 2 2 6 2" xfId="6793" xr:uid="{00000000-0005-0000-0000-0000A6120000}"/>
    <cellStyle name="Normal 4 2 2 4 2 2 6 2 2" xfId="15232" xr:uid="{8A078882-AB64-4CC5-9F87-9DBD7B5D667C}"/>
    <cellStyle name="Normal 4 2 2 4 2 2 6 3" xfId="11014" xr:uid="{2CC46F33-6D11-40B7-B374-1FBEF7F48D23}"/>
    <cellStyle name="Normal 4 2 2 4 2 2 7" xfId="4728" xr:uid="{00000000-0005-0000-0000-0000A7120000}"/>
    <cellStyle name="Normal 4 2 2 4 2 2 7 2" xfId="13167" xr:uid="{44F6B521-BEEF-4572-9681-1EF24AF42254}"/>
    <cellStyle name="Normal 4 2 2 4 2 2 8" xfId="8949" xr:uid="{6BB9A27F-237D-4BEE-8B5B-9899A2A18192}"/>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4" xr:uid="{D7A0CA2E-A51B-456C-9DA1-0EEC71C45A16}"/>
    <cellStyle name="Normal 4 2 2 4 2 3 2 3" xfId="11506" xr:uid="{7B11312F-D435-40AE-8A8F-78960D6E9480}"/>
    <cellStyle name="Normal 4 2 2 4 2 3 3" xfId="5140" xr:uid="{00000000-0005-0000-0000-0000AB120000}"/>
    <cellStyle name="Normal 4 2 2 4 2 3 3 2" xfId="13579" xr:uid="{FDC46D5F-4F86-48BE-B318-0702BECBDC6C}"/>
    <cellStyle name="Normal 4 2 2 4 2 3 4" xfId="9361" xr:uid="{9CB524BA-15C1-4D12-A040-8D43CF31318B}"/>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37" xr:uid="{2C8330C3-B97D-4653-858F-EF4CE138BDF4}"/>
    <cellStyle name="Normal 4 2 2 4 2 4 2 3" xfId="11919" xr:uid="{A033988E-D8CB-490F-83F7-60BFB8AA762F}"/>
    <cellStyle name="Normal 4 2 2 4 2 4 3" xfId="5553" xr:uid="{00000000-0005-0000-0000-0000AF120000}"/>
    <cellStyle name="Normal 4 2 2 4 2 4 3 2" xfId="13992" xr:uid="{142CA160-BA86-4DFF-85C3-004D238CB86E}"/>
    <cellStyle name="Normal 4 2 2 4 2 4 4" xfId="9774" xr:uid="{B81459DA-8C14-4F96-A725-F3DB012EBE56}"/>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0" xr:uid="{93570A63-13C3-435B-93FF-1A6FFC213A66}"/>
    <cellStyle name="Normal 4 2 2 4 2 5 2 3" xfId="12332" xr:uid="{FA706A55-14AA-4679-9A16-298EA0D95702}"/>
    <cellStyle name="Normal 4 2 2 4 2 5 3" xfId="5966" xr:uid="{00000000-0005-0000-0000-0000B3120000}"/>
    <cellStyle name="Normal 4 2 2 4 2 5 3 2" xfId="14405" xr:uid="{33BFB165-7A9A-42EF-A491-41C776ED5B2B}"/>
    <cellStyle name="Normal 4 2 2 4 2 5 4" xfId="10187" xr:uid="{6A69FF6A-D97C-4839-A80F-9FE89A3C8472}"/>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3" xr:uid="{C3C5AF5E-EB37-4781-9114-BB7AAFC68977}"/>
    <cellStyle name="Normal 4 2 2 4 2 6 2 3" xfId="12745" xr:uid="{28DAAA6C-8AAA-4C7A-9BE5-290CE19331F9}"/>
    <cellStyle name="Normal 4 2 2 4 2 6 3" xfId="6379" xr:uid="{00000000-0005-0000-0000-0000B7120000}"/>
    <cellStyle name="Normal 4 2 2 4 2 6 3 2" xfId="14818" xr:uid="{972268F3-2B96-4D54-8FED-8415FEE55E0D}"/>
    <cellStyle name="Normal 4 2 2 4 2 6 4" xfId="10600" xr:uid="{8943C3C2-3883-473B-B7FF-F2C6F20DFE80}"/>
    <cellStyle name="Normal 4 2 2 4 2 7" xfId="2508" xr:uid="{00000000-0005-0000-0000-0000B8120000}"/>
    <cellStyle name="Normal 4 2 2 4 2 7 2" xfId="6792" xr:uid="{00000000-0005-0000-0000-0000B9120000}"/>
    <cellStyle name="Normal 4 2 2 4 2 7 2 2" xfId="15231" xr:uid="{4D6F3660-2135-4472-BD57-B07F3DCDBF98}"/>
    <cellStyle name="Normal 4 2 2 4 2 7 3" xfId="11013" xr:uid="{25CA4C60-CDF9-4BEC-9822-39534011C837}"/>
    <cellStyle name="Normal 4 2 2 4 2 8" xfId="4727" xr:uid="{00000000-0005-0000-0000-0000BA120000}"/>
    <cellStyle name="Normal 4 2 2 4 2 8 2" xfId="13166" xr:uid="{B4AEE7A0-18E8-4B44-BFB9-D0CA5F5F62F2}"/>
    <cellStyle name="Normal 4 2 2 4 2 9" xfId="8948" xr:uid="{B222DEDE-06A1-4417-ABFE-B8B53253D1D1}"/>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6" xr:uid="{4CC32BCE-9A03-4AC5-BF02-BE70C68A25FB}"/>
    <cellStyle name="Normal 4 2 2 4 3 2 2 3" xfId="11508" xr:uid="{7AF93F8B-5248-4D75-9B5A-1030A04E7914}"/>
    <cellStyle name="Normal 4 2 2 4 3 2 3" xfId="5142" xr:uid="{00000000-0005-0000-0000-0000BF120000}"/>
    <cellStyle name="Normal 4 2 2 4 3 2 3 2" xfId="13581" xr:uid="{21C8C8EC-1576-46D8-90E3-D966D6C38E28}"/>
    <cellStyle name="Normal 4 2 2 4 3 2 4" xfId="9363" xr:uid="{2096ACDB-2277-4E63-BD94-FF4FA622E0F6}"/>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39" xr:uid="{446F0C0B-57FE-45A8-905B-B1FB78F18CA8}"/>
    <cellStyle name="Normal 4 2 2 4 3 3 2 3" xfId="11921" xr:uid="{334103A9-F660-46C5-A624-818986782878}"/>
    <cellStyle name="Normal 4 2 2 4 3 3 3" xfId="5555" xr:uid="{00000000-0005-0000-0000-0000C3120000}"/>
    <cellStyle name="Normal 4 2 2 4 3 3 3 2" xfId="13994" xr:uid="{C0D7C42E-72E8-4774-941B-526381FBFF64}"/>
    <cellStyle name="Normal 4 2 2 4 3 3 4" xfId="9776" xr:uid="{F609457B-A513-47B7-8536-7AA961A9C463}"/>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2" xr:uid="{DE864501-EE67-4310-9936-A1825320269D}"/>
    <cellStyle name="Normal 4 2 2 4 3 4 2 3" xfId="12334" xr:uid="{45912FFE-CF92-4A8F-9063-455A068EE734}"/>
    <cellStyle name="Normal 4 2 2 4 3 4 3" xfId="5968" xr:uid="{00000000-0005-0000-0000-0000C7120000}"/>
    <cellStyle name="Normal 4 2 2 4 3 4 3 2" xfId="14407" xr:uid="{4EC8B7A8-4408-44FB-886A-F2A486FEDA19}"/>
    <cellStyle name="Normal 4 2 2 4 3 4 4" xfId="10189" xr:uid="{F9727889-AA2C-4BCD-9866-D0A3F7615429}"/>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5" xr:uid="{6309FABF-4766-4595-A5F7-0FF187B31C6A}"/>
    <cellStyle name="Normal 4 2 2 4 3 5 2 3" xfId="12747" xr:uid="{50383754-C83A-4348-AF24-A2DE73A7A543}"/>
    <cellStyle name="Normal 4 2 2 4 3 5 3" xfId="6381" xr:uid="{00000000-0005-0000-0000-0000CB120000}"/>
    <cellStyle name="Normal 4 2 2 4 3 5 3 2" xfId="14820" xr:uid="{FF75D8A2-8824-4592-848C-35BDC3CEA362}"/>
    <cellStyle name="Normal 4 2 2 4 3 5 4" xfId="10602" xr:uid="{E3E765B9-2270-44D6-B9C5-EC97176FE437}"/>
    <cellStyle name="Normal 4 2 2 4 3 6" xfId="2510" xr:uid="{00000000-0005-0000-0000-0000CC120000}"/>
    <cellStyle name="Normal 4 2 2 4 3 6 2" xfId="6794" xr:uid="{00000000-0005-0000-0000-0000CD120000}"/>
    <cellStyle name="Normal 4 2 2 4 3 6 2 2" xfId="15233" xr:uid="{7CBC43F8-975F-4283-933A-FA35E3FCA250}"/>
    <cellStyle name="Normal 4 2 2 4 3 6 3" xfId="11015" xr:uid="{7E9B7E85-45B1-4206-950D-B302CE07750B}"/>
    <cellStyle name="Normal 4 2 2 4 3 7" xfId="4729" xr:uid="{00000000-0005-0000-0000-0000CE120000}"/>
    <cellStyle name="Normal 4 2 2 4 3 7 2" xfId="13168" xr:uid="{04F18B2F-F245-478A-943D-9766D579F671}"/>
    <cellStyle name="Normal 4 2 2 4 3 8" xfId="8950" xr:uid="{DC019D13-2A89-4CC3-BCC2-4049E9A9455C}"/>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3" xr:uid="{47426D08-EBE9-426A-BEEE-EEDDEF9097A5}"/>
    <cellStyle name="Normal 4 2 2 4 4 2 3" xfId="11505" xr:uid="{804A0518-5333-4D56-A66D-A7657F8AA8E7}"/>
    <cellStyle name="Normal 4 2 2 4 4 3" xfId="5139" xr:uid="{00000000-0005-0000-0000-0000D2120000}"/>
    <cellStyle name="Normal 4 2 2 4 4 3 2" xfId="13578" xr:uid="{6A2D37B1-FDF3-4A88-86EC-0C5757633E5C}"/>
    <cellStyle name="Normal 4 2 2 4 4 4" xfId="9360" xr:uid="{7DDC8898-6A4C-4972-80FF-F5140BDB80DD}"/>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6" xr:uid="{9AF22342-BC1E-4D95-A986-C02DC065EFFC}"/>
    <cellStyle name="Normal 4 2 2 4 5 2 3" xfId="11918" xr:uid="{EA7D827B-E89F-445B-9E8C-F5949606B4AF}"/>
    <cellStyle name="Normal 4 2 2 4 5 3" xfId="5552" xr:uid="{00000000-0005-0000-0000-0000D6120000}"/>
    <cellStyle name="Normal 4 2 2 4 5 3 2" xfId="13991" xr:uid="{939A841F-2305-4860-83EA-B20F702D0713}"/>
    <cellStyle name="Normal 4 2 2 4 5 4" xfId="9773" xr:uid="{85B66CF2-131C-40B1-826D-E3D39F30933F}"/>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49" xr:uid="{92FFB4D9-51B9-4763-8182-3BF7667FDCEE}"/>
    <cellStyle name="Normal 4 2 2 4 6 2 3" xfId="12331" xr:uid="{22833512-2D16-4746-B7EE-D238F185F542}"/>
    <cellStyle name="Normal 4 2 2 4 6 3" xfId="5965" xr:uid="{00000000-0005-0000-0000-0000DA120000}"/>
    <cellStyle name="Normal 4 2 2 4 6 3 2" xfId="14404" xr:uid="{4A27047F-2260-4644-9748-A2ED049FB280}"/>
    <cellStyle name="Normal 4 2 2 4 6 4" xfId="10186" xr:uid="{C6F0EA00-3993-461C-8DBA-725248F500E7}"/>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2" xr:uid="{6A319490-08FC-40AA-8B66-4BBA9909A65D}"/>
    <cellStyle name="Normal 4 2 2 4 7 2 3" xfId="12744" xr:uid="{74B83199-A933-4BD0-B802-42E87E58CB90}"/>
    <cellStyle name="Normal 4 2 2 4 7 3" xfId="6378" xr:uid="{00000000-0005-0000-0000-0000DE120000}"/>
    <cellStyle name="Normal 4 2 2 4 7 3 2" xfId="14817" xr:uid="{48ABE1E5-7CAB-454B-8966-CCC98120A9EF}"/>
    <cellStyle name="Normal 4 2 2 4 7 4" xfId="10599" xr:uid="{4507CC62-CE29-49A3-99BC-1FED83B70EB8}"/>
    <cellStyle name="Normal 4 2 2 4 8" xfId="2507" xr:uid="{00000000-0005-0000-0000-0000DF120000}"/>
    <cellStyle name="Normal 4 2 2 4 8 2" xfId="6791" xr:uid="{00000000-0005-0000-0000-0000E0120000}"/>
    <cellStyle name="Normal 4 2 2 4 8 2 2" xfId="15230" xr:uid="{3CC21CE7-C47D-40E5-B6A8-5DB19700A27A}"/>
    <cellStyle name="Normal 4 2 2 4 8 3" xfId="11012" xr:uid="{A92D5BB4-23DF-40C9-8847-E8E3193E14E0}"/>
    <cellStyle name="Normal 4 2 2 4 9" xfId="4726" xr:uid="{00000000-0005-0000-0000-0000E1120000}"/>
    <cellStyle name="Normal 4 2 2 4 9 2" xfId="13165" xr:uid="{1622A148-F1EC-40DB-BDC7-6AFEA185CBAA}"/>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28" xr:uid="{EC895D6B-AC17-46D4-B70C-42E10B89E7F6}"/>
    <cellStyle name="Normal 4 2 2 5 2 2 2 3" xfId="11510" xr:uid="{00909BDD-0D07-4F46-A5EA-015E608414D7}"/>
    <cellStyle name="Normal 4 2 2 5 2 2 3" xfId="5144" xr:uid="{00000000-0005-0000-0000-0000E7120000}"/>
    <cellStyle name="Normal 4 2 2 5 2 2 3 2" xfId="13583" xr:uid="{5B292034-48C4-4314-BFBC-740AA7646D2B}"/>
    <cellStyle name="Normal 4 2 2 5 2 2 4" xfId="9365" xr:uid="{FCF7C18A-2DC5-476E-BA64-BBF6BA0902B1}"/>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1" xr:uid="{014AB9CC-31B0-471F-A030-16F369E8EB0A}"/>
    <cellStyle name="Normal 4 2 2 5 2 3 2 3" xfId="11923" xr:uid="{AB041B6C-418F-494B-BC33-062066E110A3}"/>
    <cellStyle name="Normal 4 2 2 5 2 3 3" xfId="5557" xr:uid="{00000000-0005-0000-0000-0000EB120000}"/>
    <cellStyle name="Normal 4 2 2 5 2 3 3 2" xfId="13996" xr:uid="{E8A05BEE-DA41-4ADA-8C76-5FD2A2E06D8A}"/>
    <cellStyle name="Normal 4 2 2 5 2 3 4" xfId="9778" xr:uid="{FAD5CDC0-79BA-4FF8-BA88-DE0223F7520D}"/>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4" xr:uid="{F13B39D0-7B47-4762-8859-AFE832388603}"/>
    <cellStyle name="Normal 4 2 2 5 2 4 2 3" xfId="12336" xr:uid="{DD58A75A-6C45-472C-939D-F16D4229F052}"/>
    <cellStyle name="Normal 4 2 2 5 2 4 3" xfId="5970" xr:uid="{00000000-0005-0000-0000-0000EF120000}"/>
    <cellStyle name="Normal 4 2 2 5 2 4 3 2" xfId="14409" xr:uid="{084E6095-6D71-43C8-8971-0277886D1704}"/>
    <cellStyle name="Normal 4 2 2 5 2 4 4" xfId="10191" xr:uid="{A8394F9B-A347-4DD6-A069-6A84E310F674}"/>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67" xr:uid="{5813F854-3C35-426D-A0F6-73690DEF953A}"/>
    <cellStyle name="Normal 4 2 2 5 2 5 2 3" xfId="12749" xr:uid="{FE70E17C-3DD0-4DFD-AA84-6FC73CFFD26D}"/>
    <cellStyle name="Normal 4 2 2 5 2 5 3" xfId="6383" xr:uid="{00000000-0005-0000-0000-0000F3120000}"/>
    <cellStyle name="Normal 4 2 2 5 2 5 3 2" xfId="14822" xr:uid="{44E48C9D-A9CE-4E77-A330-2850AEB8EBBA}"/>
    <cellStyle name="Normal 4 2 2 5 2 5 4" xfId="10604" xr:uid="{ABA970C9-AC4A-4365-880B-DA9A70CAD15C}"/>
    <cellStyle name="Normal 4 2 2 5 2 6" xfId="2512" xr:uid="{00000000-0005-0000-0000-0000F4120000}"/>
    <cellStyle name="Normal 4 2 2 5 2 6 2" xfId="6796" xr:uid="{00000000-0005-0000-0000-0000F5120000}"/>
    <cellStyle name="Normal 4 2 2 5 2 6 2 2" xfId="15235" xr:uid="{0B71154B-EE88-4128-BF52-0EB0F6EFF881}"/>
    <cellStyle name="Normal 4 2 2 5 2 6 3" xfId="11017" xr:uid="{6E755C80-BBAC-4B62-89A4-37577CEBBF37}"/>
    <cellStyle name="Normal 4 2 2 5 2 7" xfId="4731" xr:uid="{00000000-0005-0000-0000-0000F6120000}"/>
    <cellStyle name="Normal 4 2 2 5 2 7 2" xfId="13170" xr:uid="{4952FBCD-908D-4405-8943-0B275018678F}"/>
    <cellStyle name="Normal 4 2 2 5 2 8" xfId="8952" xr:uid="{3FFCD079-0B82-4311-8B37-83D7D6417C03}"/>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27" xr:uid="{B26590EF-83F7-404E-B086-C973DAF5EBAB}"/>
    <cellStyle name="Normal 4 2 2 5 3 2 3" xfId="11509" xr:uid="{731C7C2A-4F24-4A79-A6F7-ED97954BAE54}"/>
    <cellStyle name="Normal 4 2 2 5 3 3" xfId="5143" xr:uid="{00000000-0005-0000-0000-0000FA120000}"/>
    <cellStyle name="Normal 4 2 2 5 3 3 2" xfId="13582" xr:uid="{FFCF90C5-30BE-4456-9162-A51148E781C1}"/>
    <cellStyle name="Normal 4 2 2 5 3 4" xfId="9364" xr:uid="{4BFA200A-1886-407C-A693-BBD3E09C8ADA}"/>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0" xr:uid="{89E9E365-1A1B-4790-A49D-443CAB70BE1C}"/>
    <cellStyle name="Normal 4 2 2 5 4 2 3" xfId="11922" xr:uid="{7D5AE544-8D56-4FB1-8C43-97DDB9AFC8B8}"/>
    <cellStyle name="Normal 4 2 2 5 4 3" xfId="5556" xr:uid="{00000000-0005-0000-0000-0000FE120000}"/>
    <cellStyle name="Normal 4 2 2 5 4 3 2" xfId="13995" xr:uid="{7287356D-7CA8-40C8-8C76-44064955F3DF}"/>
    <cellStyle name="Normal 4 2 2 5 4 4" xfId="9777" xr:uid="{BC36E2B7-62CA-4EF7-AECB-8F4C3866871D}"/>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3" xr:uid="{AF1D540B-25B2-47B1-99A8-E1640AE09DDE}"/>
    <cellStyle name="Normal 4 2 2 5 5 2 3" xfId="12335" xr:uid="{C481864E-98D3-41B0-9BBE-2E2E2A8DC9E7}"/>
    <cellStyle name="Normal 4 2 2 5 5 3" xfId="5969" xr:uid="{00000000-0005-0000-0000-000002130000}"/>
    <cellStyle name="Normal 4 2 2 5 5 3 2" xfId="14408" xr:uid="{056DF8D8-D291-43B9-B81E-9EDE04C20961}"/>
    <cellStyle name="Normal 4 2 2 5 5 4" xfId="10190" xr:uid="{1307AE90-A88E-42D2-BD36-17110777E89D}"/>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6" xr:uid="{E1BF35CF-C7D8-4FD4-94BE-4B1BD335984B}"/>
    <cellStyle name="Normal 4 2 2 5 6 2 3" xfId="12748" xr:uid="{F2D19C6A-56C4-4BCF-828D-E2BEA5F7AAEC}"/>
    <cellStyle name="Normal 4 2 2 5 6 3" xfId="6382" xr:uid="{00000000-0005-0000-0000-000006130000}"/>
    <cellStyle name="Normal 4 2 2 5 6 3 2" xfId="14821" xr:uid="{56398EEF-F598-46B6-BDFA-5BCFF3AF79A5}"/>
    <cellStyle name="Normal 4 2 2 5 6 4" xfId="10603" xr:uid="{2A72754A-5B81-436E-BA8C-232E8E9250B0}"/>
    <cellStyle name="Normal 4 2 2 5 7" xfId="2511" xr:uid="{00000000-0005-0000-0000-000007130000}"/>
    <cellStyle name="Normal 4 2 2 5 7 2" xfId="6795" xr:uid="{00000000-0005-0000-0000-000008130000}"/>
    <cellStyle name="Normal 4 2 2 5 7 2 2" xfId="15234" xr:uid="{BFFA6938-1CEF-4B85-9CA3-3F3EE3D94F10}"/>
    <cellStyle name="Normal 4 2 2 5 7 3" xfId="11016" xr:uid="{5033DCC3-2DD4-4C9A-BE10-DB15B4800CC9}"/>
    <cellStyle name="Normal 4 2 2 5 8" xfId="4730" xr:uid="{00000000-0005-0000-0000-000009130000}"/>
    <cellStyle name="Normal 4 2 2 5 8 2" xfId="13169" xr:uid="{A7EAD272-60BE-4C5B-B50F-9BF41177E91B}"/>
    <cellStyle name="Normal 4 2 2 5 9" xfId="8951" xr:uid="{BEF1E6E8-59D7-4EC7-8312-E81A13D6CAED}"/>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29" xr:uid="{C41B0E18-9271-4BCC-B114-73BEE964AB86}"/>
    <cellStyle name="Normal 4 2 2 6 2 2 3" xfId="11511" xr:uid="{42B4F7EA-F197-4DEA-983F-832015454200}"/>
    <cellStyle name="Normal 4 2 2 6 2 3" xfId="5145" xr:uid="{00000000-0005-0000-0000-00000E130000}"/>
    <cellStyle name="Normal 4 2 2 6 2 3 2" xfId="13584" xr:uid="{F139376D-77AC-4FD0-B7D1-CF39BD18D4FB}"/>
    <cellStyle name="Normal 4 2 2 6 2 4" xfId="9366" xr:uid="{249375FA-89C7-4EB5-8015-CE01F2F6C89E}"/>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2" xr:uid="{A2A40D8D-026C-4F28-8498-EE255DA99CD4}"/>
    <cellStyle name="Normal 4 2 2 6 3 2 3" xfId="11924" xr:uid="{327356F4-9BBE-45A4-AB3B-FAE75AAA7A4F}"/>
    <cellStyle name="Normal 4 2 2 6 3 3" xfId="5558" xr:uid="{00000000-0005-0000-0000-000012130000}"/>
    <cellStyle name="Normal 4 2 2 6 3 3 2" xfId="13997" xr:uid="{1E548094-AD6D-4B01-8DDD-92DDBA627747}"/>
    <cellStyle name="Normal 4 2 2 6 3 4" xfId="9779" xr:uid="{1BB10271-B810-4EBB-BE38-E4DDE123CF30}"/>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5" xr:uid="{980AF414-977A-44A5-BF8B-6B335BDF980A}"/>
    <cellStyle name="Normal 4 2 2 6 4 2 3" xfId="12337" xr:uid="{A48A2F35-FAC2-422F-AA1C-F814E4AA0D67}"/>
    <cellStyle name="Normal 4 2 2 6 4 3" xfId="5971" xr:uid="{00000000-0005-0000-0000-000016130000}"/>
    <cellStyle name="Normal 4 2 2 6 4 3 2" xfId="14410" xr:uid="{E8C78049-E6C9-4C42-9BED-82597DCD20BC}"/>
    <cellStyle name="Normal 4 2 2 6 4 4" xfId="10192" xr:uid="{6F4E71AD-CAA5-40F7-BF5C-6257151975E8}"/>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68" xr:uid="{4CA3240B-1679-49EE-8FAE-A02E02A98F3A}"/>
    <cellStyle name="Normal 4 2 2 6 5 2 3" xfId="12750" xr:uid="{D624CD0D-45F3-438C-955A-227D7D362B64}"/>
    <cellStyle name="Normal 4 2 2 6 5 3" xfId="6384" xr:uid="{00000000-0005-0000-0000-00001A130000}"/>
    <cellStyle name="Normal 4 2 2 6 5 3 2" xfId="14823" xr:uid="{592049FF-28D5-4B8A-AE36-D3B4D8C0C266}"/>
    <cellStyle name="Normal 4 2 2 6 5 4" xfId="10605" xr:uid="{02AA7713-CDFF-4F3C-9B2A-F76F9288475D}"/>
    <cellStyle name="Normal 4 2 2 6 6" xfId="2513" xr:uid="{00000000-0005-0000-0000-00001B130000}"/>
    <cellStyle name="Normal 4 2 2 6 6 2" xfId="6797" xr:uid="{00000000-0005-0000-0000-00001C130000}"/>
    <cellStyle name="Normal 4 2 2 6 6 2 2" xfId="15236" xr:uid="{6617E25C-119E-4A07-9D01-530B57039F65}"/>
    <cellStyle name="Normal 4 2 2 6 6 3" xfId="11018" xr:uid="{094D5A64-2396-46C6-B9D3-99ED8FF90C8C}"/>
    <cellStyle name="Normal 4 2 2 6 7" xfId="4732" xr:uid="{00000000-0005-0000-0000-00001D130000}"/>
    <cellStyle name="Normal 4 2 2 6 7 2" xfId="13171" xr:uid="{575EEBE3-A5CE-4BBC-9C15-E40C9BDC2066}"/>
    <cellStyle name="Normal 4 2 2 6 8" xfId="8953" xr:uid="{B513E69E-6344-4DFC-9576-E426DAE4E020}"/>
    <cellStyle name="Normal 4 2 2 7" xfId="815" xr:uid="{00000000-0005-0000-0000-00001E130000}"/>
    <cellStyle name="Normal 4 2 2 7 2" xfId="3052" xr:uid="{00000000-0005-0000-0000-00001F130000}"/>
    <cellStyle name="Normal 4 2 2 7 2 2" xfId="7275" xr:uid="{00000000-0005-0000-0000-000020130000}"/>
    <cellStyle name="Normal 4 2 2 7 2 2 2" xfId="15714" xr:uid="{890AEA2B-693D-4D75-BF4B-09B216B21916}"/>
    <cellStyle name="Normal 4 2 2 7 2 3" xfId="11496" xr:uid="{2C3C6527-7A82-4A49-A2DA-8EB64BDD810D}"/>
    <cellStyle name="Normal 4 2 2 7 3" xfId="5130" xr:uid="{00000000-0005-0000-0000-000021130000}"/>
    <cellStyle name="Normal 4 2 2 7 3 2" xfId="13569" xr:uid="{8D5EC60D-0028-4BF0-9B1E-055B64554BBC}"/>
    <cellStyle name="Normal 4 2 2 7 4" xfId="9351" xr:uid="{A79AC990-3E80-4F74-BF78-D1A0C58BE727}"/>
    <cellStyle name="Normal 4 2 2 8" xfId="1235" xr:uid="{00000000-0005-0000-0000-000022130000}"/>
    <cellStyle name="Normal 4 2 2 8 2" xfId="3465" xr:uid="{00000000-0005-0000-0000-000023130000}"/>
    <cellStyle name="Normal 4 2 2 8 2 2" xfId="7688" xr:uid="{00000000-0005-0000-0000-000024130000}"/>
    <cellStyle name="Normal 4 2 2 8 2 2 2" xfId="16127" xr:uid="{1F19F438-6887-4AA9-AA8C-F3C7E08B3484}"/>
    <cellStyle name="Normal 4 2 2 8 2 3" xfId="11909" xr:uid="{EF9A0AFC-46A2-483B-BB79-706C30A4E7BB}"/>
    <cellStyle name="Normal 4 2 2 8 3" xfId="5543" xr:uid="{00000000-0005-0000-0000-000025130000}"/>
    <cellStyle name="Normal 4 2 2 8 3 2" xfId="13982" xr:uid="{739EC20C-5A02-4C6A-9CB7-7BE6BD45C373}"/>
    <cellStyle name="Normal 4 2 2 8 4" xfId="9764" xr:uid="{9DB4A4FB-C1B0-4CC7-AA63-8BAD5E591FBA}"/>
    <cellStyle name="Normal 4 2 2 9" xfId="1648" xr:uid="{00000000-0005-0000-0000-000026130000}"/>
    <cellStyle name="Normal 4 2 2 9 2" xfId="3878" xr:uid="{00000000-0005-0000-0000-000027130000}"/>
    <cellStyle name="Normal 4 2 2 9 2 2" xfId="8101" xr:uid="{00000000-0005-0000-0000-000028130000}"/>
    <cellStyle name="Normal 4 2 2 9 2 2 2" xfId="16540" xr:uid="{120E5552-3119-4B43-AF45-406361F785CA}"/>
    <cellStyle name="Normal 4 2 2 9 2 3" xfId="12322" xr:uid="{B3F0AABC-B283-455E-91F2-9B649CD01801}"/>
    <cellStyle name="Normal 4 2 2 9 3" xfId="5956" xr:uid="{00000000-0005-0000-0000-000029130000}"/>
    <cellStyle name="Normal 4 2 2 9 3 2" xfId="14395" xr:uid="{5AE984CD-8C92-4AE1-974E-1F74D0A937B0}"/>
    <cellStyle name="Normal 4 2 2 9 4" xfId="10177" xr:uid="{AEA46698-3FF6-43CE-B759-63947284EF43}"/>
    <cellStyle name="Normal 4 2 3" xfId="354" xr:uid="{00000000-0005-0000-0000-00002A130000}"/>
    <cellStyle name="Normal 4 2 4" xfId="355" xr:uid="{00000000-0005-0000-0000-00002B130000}"/>
    <cellStyle name="Normal 4 2 4 10" xfId="4733" xr:uid="{00000000-0005-0000-0000-00002C130000}"/>
    <cellStyle name="Normal 4 2 4 10 2" xfId="13172" xr:uid="{534B9742-9390-4F6F-B68B-ABC91223D8EA}"/>
    <cellStyle name="Normal 4 2 4 11" xfId="8954" xr:uid="{B1B72DE7-2FC3-4FA7-A70A-EBE8FC94C6DB}"/>
    <cellStyle name="Normal 4 2 4 2" xfId="356" xr:uid="{00000000-0005-0000-0000-00002D130000}"/>
    <cellStyle name="Normal 4 2 4 2 10" xfId="8955" xr:uid="{516955AE-6FDD-4E29-8C0B-7FB37F471A37}"/>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3" xr:uid="{2C4AD9E3-D048-447A-9BFE-F90FFFCA2842}"/>
    <cellStyle name="Normal 4 2 4 2 2 2 2 2 3" xfId="11515" xr:uid="{13270E77-07E3-44A1-AA6A-0594C2EDC9BB}"/>
    <cellStyle name="Normal 4 2 4 2 2 2 2 3" xfId="5149" xr:uid="{00000000-0005-0000-0000-000033130000}"/>
    <cellStyle name="Normal 4 2 4 2 2 2 2 3 2" xfId="13588" xr:uid="{9EE35C19-EFA7-4E42-92D4-C57B65232D75}"/>
    <cellStyle name="Normal 4 2 4 2 2 2 2 4" xfId="9370" xr:uid="{F505E830-F60A-4070-8513-F8BEF85CFD28}"/>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6" xr:uid="{5D4DECCC-62AC-459D-8F5B-683A7411D190}"/>
    <cellStyle name="Normal 4 2 4 2 2 2 3 2 3" xfId="11928" xr:uid="{FD383EEE-B808-49C6-873D-48285F78EFDC}"/>
    <cellStyle name="Normal 4 2 4 2 2 2 3 3" xfId="5562" xr:uid="{00000000-0005-0000-0000-000037130000}"/>
    <cellStyle name="Normal 4 2 4 2 2 2 3 3 2" xfId="14001" xr:uid="{4AC54EB0-112E-4DAF-B9A5-5FB4308A413D}"/>
    <cellStyle name="Normal 4 2 4 2 2 2 3 4" xfId="9783" xr:uid="{41AE602C-459E-47F6-BD6B-5E145F38CB26}"/>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59" xr:uid="{95612B6A-A098-414E-B4B6-80EEB42614CC}"/>
    <cellStyle name="Normal 4 2 4 2 2 2 4 2 3" xfId="12341" xr:uid="{E7C166FA-47E5-4AC6-8C22-7992315F34C3}"/>
    <cellStyle name="Normal 4 2 4 2 2 2 4 3" xfId="5975" xr:uid="{00000000-0005-0000-0000-00003B130000}"/>
    <cellStyle name="Normal 4 2 4 2 2 2 4 3 2" xfId="14414" xr:uid="{454DA412-A5A0-424D-983C-0A3D70101072}"/>
    <cellStyle name="Normal 4 2 4 2 2 2 4 4" xfId="10196" xr:uid="{D613E914-81AF-4D71-A261-2446BCD513F2}"/>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2" xr:uid="{BF8FEEC8-E352-4B18-85B3-A585D105111F}"/>
    <cellStyle name="Normal 4 2 4 2 2 2 5 2 3" xfId="12754" xr:uid="{A5AF44D8-3CA7-483C-BC43-043ED22BE243}"/>
    <cellStyle name="Normal 4 2 4 2 2 2 5 3" xfId="6388" xr:uid="{00000000-0005-0000-0000-00003F130000}"/>
    <cellStyle name="Normal 4 2 4 2 2 2 5 3 2" xfId="14827" xr:uid="{DFDE63AA-A2EC-4632-AF3D-3AEDF1F4C3BE}"/>
    <cellStyle name="Normal 4 2 4 2 2 2 5 4" xfId="10609" xr:uid="{8B6A396E-C999-4B67-8962-4A43288E011E}"/>
    <cellStyle name="Normal 4 2 4 2 2 2 6" xfId="2517" xr:uid="{00000000-0005-0000-0000-000040130000}"/>
    <cellStyle name="Normal 4 2 4 2 2 2 6 2" xfId="6801" xr:uid="{00000000-0005-0000-0000-000041130000}"/>
    <cellStyle name="Normal 4 2 4 2 2 2 6 2 2" xfId="15240" xr:uid="{FA87F3A5-A81A-4F9F-848B-C6E42DE128E1}"/>
    <cellStyle name="Normal 4 2 4 2 2 2 6 3" xfId="11022" xr:uid="{2588B864-2174-4C5C-BCA6-388D7B74F1A6}"/>
    <cellStyle name="Normal 4 2 4 2 2 2 7" xfId="4736" xr:uid="{00000000-0005-0000-0000-000042130000}"/>
    <cellStyle name="Normal 4 2 4 2 2 2 7 2" xfId="13175" xr:uid="{369DB2E7-B73C-4090-BC7B-305C7287CCE2}"/>
    <cellStyle name="Normal 4 2 4 2 2 2 8" xfId="8957" xr:uid="{DE4CF15C-F0F5-4950-BABA-95CEE22C9876}"/>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2" xr:uid="{AB73472C-CF6D-4696-897B-EFEAC7B83A66}"/>
    <cellStyle name="Normal 4 2 4 2 2 3 2 3" xfId="11514" xr:uid="{704097C7-334F-44E1-8118-D26DB8AD7276}"/>
    <cellStyle name="Normal 4 2 4 2 2 3 3" xfId="5148" xr:uid="{00000000-0005-0000-0000-000046130000}"/>
    <cellStyle name="Normal 4 2 4 2 2 3 3 2" xfId="13587" xr:uid="{A90C134C-B2B6-4A41-A12A-7E4BACFF8491}"/>
    <cellStyle name="Normal 4 2 4 2 2 3 4" xfId="9369" xr:uid="{23826152-FB6A-487B-BF58-13B2F418451A}"/>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5" xr:uid="{B92F935E-A39D-43D7-A90E-AFC75A27EC35}"/>
    <cellStyle name="Normal 4 2 4 2 2 4 2 3" xfId="11927" xr:uid="{7E724BA5-4A1D-48BB-9625-4A957DCEF24F}"/>
    <cellStyle name="Normal 4 2 4 2 2 4 3" xfId="5561" xr:uid="{00000000-0005-0000-0000-00004A130000}"/>
    <cellStyle name="Normal 4 2 4 2 2 4 3 2" xfId="14000" xr:uid="{59C31805-1F5B-404F-BDE3-48A0A74B108F}"/>
    <cellStyle name="Normal 4 2 4 2 2 4 4" xfId="9782" xr:uid="{DF8AFF8F-3EA4-4351-9CCD-86B4015DF7BA}"/>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58" xr:uid="{4642DEF8-FA1A-4DA7-9E92-D80502325227}"/>
    <cellStyle name="Normal 4 2 4 2 2 5 2 3" xfId="12340" xr:uid="{D442EEAC-7AE0-44A3-BF4C-2908BBF9E67B}"/>
    <cellStyle name="Normal 4 2 4 2 2 5 3" xfId="5974" xr:uid="{00000000-0005-0000-0000-00004E130000}"/>
    <cellStyle name="Normal 4 2 4 2 2 5 3 2" xfId="14413" xr:uid="{4C2D044A-B7BF-4C25-B366-479146353E68}"/>
    <cellStyle name="Normal 4 2 4 2 2 5 4" xfId="10195" xr:uid="{5C6BBE7F-ED70-46CE-B0AA-7324C820B72E}"/>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1" xr:uid="{7249ED77-3A6D-4B4E-8980-AC7651DB9D97}"/>
    <cellStyle name="Normal 4 2 4 2 2 6 2 3" xfId="12753" xr:uid="{C7DBBB1B-E682-4044-A40E-2A12A60A9D5A}"/>
    <cellStyle name="Normal 4 2 4 2 2 6 3" xfId="6387" xr:uid="{00000000-0005-0000-0000-000052130000}"/>
    <cellStyle name="Normal 4 2 4 2 2 6 3 2" xfId="14826" xr:uid="{1A0AA11F-8F61-4A16-AF31-689CEBA8AF38}"/>
    <cellStyle name="Normal 4 2 4 2 2 6 4" xfId="10608" xr:uid="{533E9DF4-9A42-4752-A666-2CBA43171B86}"/>
    <cellStyle name="Normal 4 2 4 2 2 7" xfId="2516" xr:uid="{00000000-0005-0000-0000-000053130000}"/>
    <cellStyle name="Normal 4 2 4 2 2 7 2" xfId="6800" xr:uid="{00000000-0005-0000-0000-000054130000}"/>
    <cellStyle name="Normal 4 2 4 2 2 7 2 2" xfId="15239" xr:uid="{9BE23A41-F751-4FA9-9E9C-01E64CCFB50F}"/>
    <cellStyle name="Normal 4 2 4 2 2 7 3" xfId="11021" xr:uid="{47A42428-557D-40D0-97A9-D8FDEC6CC1AF}"/>
    <cellStyle name="Normal 4 2 4 2 2 8" xfId="4735" xr:uid="{00000000-0005-0000-0000-000055130000}"/>
    <cellStyle name="Normal 4 2 4 2 2 8 2" xfId="13174" xr:uid="{7937266F-B270-4E42-BBCD-CB86B755BD8F}"/>
    <cellStyle name="Normal 4 2 4 2 2 9" xfId="8956" xr:uid="{D6D86B7F-0DD2-45B5-9EBB-2C084CFB0DCC}"/>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4" xr:uid="{E26BD3A1-0188-42C5-B004-C1A279DF2E13}"/>
    <cellStyle name="Normal 4 2 4 2 3 2 2 3" xfId="11516" xr:uid="{A2484319-6D53-41CF-AD00-ABF2506FDB97}"/>
    <cellStyle name="Normal 4 2 4 2 3 2 3" xfId="5150" xr:uid="{00000000-0005-0000-0000-00005A130000}"/>
    <cellStyle name="Normal 4 2 4 2 3 2 3 2" xfId="13589" xr:uid="{8FCB4846-9359-4D65-8092-0B2D9B813673}"/>
    <cellStyle name="Normal 4 2 4 2 3 2 4" xfId="9371" xr:uid="{B7EACA76-6E1C-4270-936A-999E31AD5745}"/>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47" xr:uid="{935CD535-59B2-4C93-8934-1A8178A9F152}"/>
    <cellStyle name="Normal 4 2 4 2 3 3 2 3" xfId="11929" xr:uid="{E0619EBA-29EB-4FC8-AD6A-384947640AD3}"/>
    <cellStyle name="Normal 4 2 4 2 3 3 3" xfId="5563" xr:uid="{00000000-0005-0000-0000-00005E130000}"/>
    <cellStyle name="Normal 4 2 4 2 3 3 3 2" xfId="14002" xr:uid="{888AE235-9E34-4203-9153-3D602A1B2758}"/>
    <cellStyle name="Normal 4 2 4 2 3 3 4" xfId="9784" xr:uid="{3DE88E36-24B7-4A7D-84B6-5D3DBE0B50CD}"/>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0" xr:uid="{7D905725-A428-49DB-86AC-680182DF58C6}"/>
    <cellStyle name="Normal 4 2 4 2 3 4 2 3" xfId="12342" xr:uid="{E88FBD8F-863B-48CB-86B9-5E6298D97DAF}"/>
    <cellStyle name="Normal 4 2 4 2 3 4 3" xfId="5976" xr:uid="{00000000-0005-0000-0000-000062130000}"/>
    <cellStyle name="Normal 4 2 4 2 3 4 3 2" xfId="14415" xr:uid="{AE827CA4-BDBA-43E2-B665-FEFC6F5560BF}"/>
    <cellStyle name="Normal 4 2 4 2 3 4 4" xfId="10197" xr:uid="{7F6562D6-5DD2-4A5C-BCB6-1B8A455E70EC}"/>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3" xr:uid="{083D1633-27F4-499A-B5F6-9A42C5008EFF}"/>
    <cellStyle name="Normal 4 2 4 2 3 5 2 3" xfId="12755" xr:uid="{3D618C8D-6F1B-4FEA-AB57-367EF7208C40}"/>
    <cellStyle name="Normal 4 2 4 2 3 5 3" xfId="6389" xr:uid="{00000000-0005-0000-0000-000066130000}"/>
    <cellStyle name="Normal 4 2 4 2 3 5 3 2" xfId="14828" xr:uid="{B896BB28-3C81-409B-B56D-865C2D819D53}"/>
    <cellStyle name="Normal 4 2 4 2 3 5 4" xfId="10610" xr:uid="{0AD0AE7C-535F-43A8-825D-8A93779E65AC}"/>
    <cellStyle name="Normal 4 2 4 2 3 6" xfId="2518" xr:uid="{00000000-0005-0000-0000-000067130000}"/>
    <cellStyle name="Normal 4 2 4 2 3 6 2" xfId="6802" xr:uid="{00000000-0005-0000-0000-000068130000}"/>
    <cellStyle name="Normal 4 2 4 2 3 6 2 2" xfId="15241" xr:uid="{908D8786-2AD4-4BEB-AAB4-69F9E45873C5}"/>
    <cellStyle name="Normal 4 2 4 2 3 6 3" xfId="11023" xr:uid="{5D914645-DA23-4B31-92E9-55BD60D3CA2F}"/>
    <cellStyle name="Normal 4 2 4 2 3 7" xfId="4737" xr:uid="{00000000-0005-0000-0000-000069130000}"/>
    <cellStyle name="Normal 4 2 4 2 3 7 2" xfId="13176" xr:uid="{A64E0D8D-C542-450A-B370-9236118E8819}"/>
    <cellStyle name="Normal 4 2 4 2 3 8" xfId="8958" xr:uid="{60D576B1-CA62-4D98-AB94-75FB4486AE64}"/>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1" xr:uid="{5CDE1948-3088-4F7D-97CB-649ADD54BEDC}"/>
    <cellStyle name="Normal 4 2 4 2 4 2 3" xfId="11513" xr:uid="{10DA1109-C438-4FCF-BE1C-6A751DE1562A}"/>
    <cellStyle name="Normal 4 2 4 2 4 3" xfId="5147" xr:uid="{00000000-0005-0000-0000-00006D130000}"/>
    <cellStyle name="Normal 4 2 4 2 4 3 2" xfId="13586" xr:uid="{D0129DB5-DE53-40F2-BF3F-C300892F187F}"/>
    <cellStyle name="Normal 4 2 4 2 4 4" xfId="9368" xr:uid="{97DE922C-1727-4AFC-AC6E-B4B6588F3B05}"/>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4" xr:uid="{23FD5E2E-31E5-4A37-A4A1-BD468E71D39B}"/>
    <cellStyle name="Normal 4 2 4 2 5 2 3" xfId="11926" xr:uid="{4C01246C-C9CE-49FE-A433-34E3BF7AECF5}"/>
    <cellStyle name="Normal 4 2 4 2 5 3" xfId="5560" xr:uid="{00000000-0005-0000-0000-000071130000}"/>
    <cellStyle name="Normal 4 2 4 2 5 3 2" xfId="13999" xr:uid="{B63A70C8-4146-4C74-A22E-49A2410C4FAD}"/>
    <cellStyle name="Normal 4 2 4 2 5 4" xfId="9781" xr:uid="{4028086C-A037-45CD-B111-DAE00954947B}"/>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57" xr:uid="{4E7FC2F5-B7C5-4EA1-B90B-58A8FCA30F64}"/>
    <cellStyle name="Normal 4 2 4 2 6 2 3" xfId="12339" xr:uid="{8C99BA52-9BA9-4EDA-9DCE-2203AFAB2ACE}"/>
    <cellStyle name="Normal 4 2 4 2 6 3" xfId="5973" xr:uid="{00000000-0005-0000-0000-000075130000}"/>
    <cellStyle name="Normal 4 2 4 2 6 3 2" xfId="14412" xr:uid="{8A597BE1-1CD8-455D-BFD2-CF82CFC11825}"/>
    <cellStyle name="Normal 4 2 4 2 6 4" xfId="10194" xr:uid="{5883DBB1-523B-46F8-B2FE-916976A78485}"/>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0" xr:uid="{3A03000B-1F2A-4FAF-A56A-F697471AD311}"/>
    <cellStyle name="Normal 4 2 4 2 7 2 3" xfId="12752" xr:uid="{763D858E-7BD4-4B41-B19A-C9AC2AB4DD20}"/>
    <cellStyle name="Normal 4 2 4 2 7 3" xfId="6386" xr:uid="{00000000-0005-0000-0000-000079130000}"/>
    <cellStyle name="Normal 4 2 4 2 7 3 2" xfId="14825" xr:uid="{56A04BB4-DDE0-47CA-B57E-FA47B02AAF5C}"/>
    <cellStyle name="Normal 4 2 4 2 7 4" xfId="10607" xr:uid="{F9DBF56D-50CA-4B72-BC9F-A6E9CF0F1F66}"/>
    <cellStyle name="Normal 4 2 4 2 8" xfId="2515" xr:uid="{00000000-0005-0000-0000-00007A130000}"/>
    <cellStyle name="Normal 4 2 4 2 8 2" xfId="6799" xr:uid="{00000000-0005-0000-0000-00007B130000}"/>
    <cellStyle name="Normal 4 2 4 2 8 2 2" xfId="15238" xr:uid="{850FEB78-5408-40E3-972D-5BF358624B5A}"/>
    <cellStyle name="Normal 4 2 4 2 8 3" xfId="11020" xr:uid="{CFFC4E62-06FE-4A79-B168-8BE2BCA2C41F}"/>
    <cellStyle name="Normal 4 2 4 2 9" xfId="4734" xr:uid="{00000000-0005-0000-0000-00007C130000}"/>
    <cellStyle name="Normal 4 2 4 2 9 2" xfId="13173" xr:uid="{8336DCC9-11AD-4CF8-8F7B-AE305523AA6E}"/>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6" xr:uid="{9326BB78-B228-43F5-80C1-674EA958BC88}"/>
    <cellStyle name="Normal 4 2 4 3 2 2 2 3" xfId="11518" xr:uid="{593EDBB5-C4CC-48FF-AB04-D47F078832EA}"/>
    <cellStyle name="Normal 4 2 4 3 2 2 3" xfId="5152" xr:uid="{00000000-0005-0000-0000-000082130000}"/>
    <cellStyle name="Normal 4 2 4 3 2 2 3 2" xfId="13591" xr:uid="{4CD52BB6-0C4E-4AC8-AE72-4659D3FAD187}"/>
    <cellStyle name="Normal 4 2 4 3 2 2 4" xfId="9373" xr:uid="{C2DE0C57-A363-4292-BCD2-279612C1647D}"/>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49" xr:uid="{848B7B91-FDF1-42D0-92CC-DCAE97824E0E}"/>
    <cellStyle name="Normal 4 2 4 3 2 3 2 3" xfId="11931" xr:uid="{7EFE235D-2011-4293-9490-0010A84DB469}"/>
    <cellStyle name="Normal 4 2 4 3 2 3 3" xfId="5565" xr:uid="{00000000-0005-0000-0000-000086130000}"/>
    <cellStyle name="Normal 4 2 4 3 2 3 3 2" xfId="14004" xr:uid="{35F925F9-E151-4EC1-A608-0C55BC79C6BF}"/>
    <cellStyle name="Normal 4 2 4 3 2 3 4" xfId="9786" xr:uid="{0EEB00C6-C951-438E-B2DD-47B123F5D8B5}"/>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2" xr:uid="{5A742093-4183-4939-A177-3585BED0846F}"/>
    <cellStyle name="Normal 4 2 4 3 2 4 2 3" xfId="12344" xr:uid="{D75D2032-A4F5-4B64-956A-FAE36E5323F8}"/>
    <cellStyle name="Normal 4 2 4 3 2 4 3" xfId="5978" xr:uid="{00000000-0005-0000-0000-00008A130000}"/>
    <cellStyle name="Normal 4 2 4 3 2 4 3 2" xfId="14417" xr:uid="{15F7A49E-660D-4B22-926F-64CEBB2A4117}"/>
    <cellStyle name="Normal 4 2 4 3 2 4 4" xfId="10199" xr:uid="{7C8F1E9E-32EA-4231-A343-7B5152819D9C}"/>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5" xr:uid="{99A1BAB8-4993-4125-AD27-945071C42E1F}"/>
    <cellStyle name="Normal 4 2 4 3 2 5 2 3" xfId="12757" xr:uid="{6C00E503-1566-4971-AE4A-D7E8CD100EFE}"/>
    <cellStyle name="Normal 4 2 4 3 2 5 3" xfId="6391" xr:uid="{00000000-0005-0000-0000-00008E130000}"/>
    <cellStyle name="Normal 4 2 4 3 2 5 3 2" xfId="14830" xr:uid="{A4701BDC-0C13-45D1-80FC-E80AFCA89E3B}"/>
    <cellStyle name="Normal 4 2 4 3 2 5 4" xfId="10612" xr:uid="{233408E3-6BA7-4CC8-B3F1-DE7E2C67494A}"/>
    <cellStyle name="Normal 4 2 4 3 2 6" xfId="2520" xr:uid="{00000000-0005-0000-0000-00008F130000}"/>
    <cellStyle name="Normal 4 2 4 3 2 6 2" xfId="6804" xr:uid="{00000000-0005-0000-0000-000090130000}"/>
    <cellStyle name="Normal 4 2 4 3 2 6 2 2" xfId="15243" xr:uid="{31C494A9-213B-4653-B3BC-FE5858ED709E}"/>
    <cellStyle name="Normal 4 2 4 3 2 6 3" xfId="11025" xr:uid="{6E278351-F039-4134-BD3B-ADA242DFE291}"/>
    <cellStyle name="Normal 4 2 4 3 2 7" xfId="4739" xr:uid="{00000000-0005-0000-0000-000091130000}"/>
    <cellStyle name="Normal 4 2 4 3 2 7 2" xfId="13178" xr:uid="{29636308-55B3-4A43-978B-1A602A9A7E7B}"/>
    <cellStyle name="Normal 4 2 4 3 2 8" xfId="8960" xr:uid="{E7D95B56-608C-4E18-9446-8E7C12735C55}"/>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5" xr:uid="{37B85C4D-22B1-4A12-8E0A-4A1B1ED410D6}"/>
    <cellStyle name="Normal 4 2 4 3 3 2 3" xfId="11517" xr:uid="{215165E4-608C-4AD3-9C33-13576ED86776}"/>
    <cellStyle name="Normal 4 2 4 3 3 3" xfId="5151" xr:uid="{00000000-0005-0000-0000-000095130000}"/>
    <cellStyle name="Normal 4 2 4 3 3 3 2" xfId="13590" xr:uid="{415693A8-DC70-4353-A225-5BE25EBEC1F7}"/>
    <cellStyle name="Normal 4 2 4 3 3 4" xfId="9372" xr:uid="{D324712B-5C5A-440E-8042-E32536C021B9}"/>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48" xr:uid="{6A77E9A2-7EFF-4668-A74A-3D0BB01EACC3}"/>
    <cellStyle name="Normal 4 2 4 3 4 2 3" xfId="11930" xr:uid="{FB5BAD77-0711-432A-9DE9-B8B07A848B0E}"/>
    <cellStyle name="Normal 4 2 4 3 4 3" xfId="5564" xr:uid="{00000000-0005-0000-0000-000099130000}"/>
    <cellStyle name="Normal 4 2 4 3 4 3 2" xfId="14003" xr:uid="{18C4D917-3378-436B-B1C1-66BCC023E7AC}"/>
    <cellStyle name="Normal 4 2 4 3 4 4" xfId="9785" xr:uid="{E4831F89-952D-4E37-A0F3-4BACDA0282C0}"/>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1" xr:uid="{79F084A2-E98C-4CB1-8D01-97E9C57B7BA9}"/>
    <cellStyle name="Normal 4 2 4 3 5 2 3" xfId="12343" xr:uid="{F3179066-8AA3-4D77-82A0-7AEE17E6FB62}"/>
    <cellStyle name="Normal 4 2 4 3 5 3" xfId="5977" xr:uid="{00000000-0005-0000-0000-00009D130000}"/>
    <cellStyle name="Normal 4 2 4 3 5 3 2" xfId="14416" xr:uid="{AF95A2DA-BC5F-42F7-86BF-B6CF2644BA7A}"/>
    <cellStyle name="Normal 4 2 4 3 5 4" xfId="10198" xr:uid="{E0447311-A8F9-48A4-801A-D6C74D251966}"/>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4" xr:uid="{C264349C-2EB8-4E71-AAAA-0D1CB242D0CA}"/>
    <cellStyle name="Normal 4 2 4 3 6 2 3" xfId="12756" xr:uid="{FD8FB317-BE47-4E97-AA38-3A03F4DFE284}"/>
    <cellStyle name="Normal 4 2 4 3 6 3" xfId="6390" xr:uid="{00000000-0005-0000-0000-0000A1130000}"/>
    <cellStyle name="Normal 4 2 4 3 6 3 2" xfId="14829" xr:uid="{E9BD8C46-2C3A-4142-ACFF-0EBCBC2BDBE9}"/>
    <cellStyle name="Normal 4 2 4 3 6 4" xfId="10611" xr:uid="{061E68FF-69FA-4ECE-B58A-24F0885C2AA9}"/>
    <cellStyle name="Normal 4 2 4 3 7" xfId="2519" xr:uid="{00000000-0005-0000-0000-0000A2130000}"/>
    <cellStyle name="Normal 4 2 4 3 7 2" xfId="6803" xr:uid="{00000000-0005-0000-0000-0000A3130000}"/>
    <cellStyle name="Normal 4 2 4 3 7 2 2" xfId="15242" xr:uid="{36EFC332-64DA-405B-BB91-CED44659DBCD}"/>
    <cellStyle name="Normal 4 2 4 3 7 3" xfId="11024" xr:uid="{CE650798-3BEA-4DBB-B6A1-AEE7D778153D}"/>
    <cellStyle name="Normal 4 2 4 3 8" xfId="4738" xr:uid="{00000000-0005-0000-0000-0000A4130000}"/>
    <cellStyle name="Normal 4 2 4 3 8 2" xfId="13177" xr:uid="{B04C2360-F827-4706-A5FD-1CDD84F03DCD}"/>
    <cellStyle name="Normal 4 2 4 3 9" xfId="8959" xr:uid="{B01BACF4-A1CF-49AD-9755-43CAFF6D8CB7}"/>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37" xr:uid="{89EE0103-5DD6-4E9D-9E31-D4E31478F918}"/>
    <cellStyle name="Normal 4 2 4 4 2 2 3" xfId="11519" xr:uid="{F61CDC72-C22A-4EEF-9146-2C30AE8784B7}"/>
    <cellStyle name="Normal 4 2 4 4 2 3" xfId="5153" xr:uid="{00000000-0005-0000-0000-0000A9130000}"/>
    <cellStyle name="Normal 4 2 4 4 2 3 2" xfId="13592" xr:uid="{2F922246-2DC9-4FD2-A545-7864CCE1D1F2}"/>
    <cellStyle name="Normal 4 2 4 4 2 4" xfId="9374" xr:uid="{C9445AB9-C75C-43CA-96BD-A7018E208A2D}"/>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0" xr:uid="{313C09D3-F8BC-43C0-A3EF-FF2FC253E18D}"/>
    <cellStyle name="Normal 4 2 4 4 3 2 3" xfId="11932" xr:uid="{43B729A1-65B8-44B7-AB5F-F76AB213396E}"/>
    <cellStyle name="Normal 4 2 4 4 3 3" xfId="5566" xr:uid="{00000000-0005-0000-0000-0000AD130000}"/>
    <cellStyle name="Normal 4 2 4 4 3 3 2" xfId="14005" xr:uid="{D8C6E95D-2B44-4071-989A-005BC30F5D0A}"/>
    <cellStyle name="Normal 4 2 4 4 3 4" xfId="9787" xr:uid="{5B4FB545-0E58-49A4-BC8B-2350FD2B7860}"/>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3" xr:uid="{E0D4EA7F-FE20-4B4B-9EC5-DA1A60AED30A}"/>
    <cellStyle name="Normal 4 2 4 4 4 2 3" xfId="12345" xr:uid="{8626D62F-9CC7-4ABC-A1D4-7D227D8695BB}"/>
    <cellStyle name="Normal 4 2 4 4 4 3" xfId="5979" xr:uid="{00000000-0005-0000-0000-0000B1130000}"/>
    <cellStyle name="Normal 4 2 4 4 4 3 2" xfId="14418" xr:uid="{5EEFD227-9814-40C9-A4E2-87531A861FA7}"/>
    <cellStyle name="Normal 4 2 4 4 4 4" xfId="10200" xr:uid="{E907DF1F-E653-4717-979F-3C74538A6716}"/>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6" xr:uid="{A28BD0CF-CE23-4DD7-AFEE-AD428A89F77C}"/>
    <cellStyle name="Normal 4 2 4 4 5 2 3" xfId="12758" xr:uid="{10DFA5D0-168B-4F24-9420-95112BB2C726}"/>
    <cellStyle name="Normal 4 2 4 4 5 3" xfId="6392" xr:uid="{00000000-0005-0000-0000-0000B5130000}"/>
    <cellStyle name="Normal 4 2 4 4 5 3 2" xfId="14831" xr:uid="{22123391-6006-49F6-A4AE-F74AB26AD90A}"/>
    <cellStyle name="Normal 4 2 4 4 5 4" xfId="10613" xr:uid="{51B77EFF-CAB3-4C12-B8A0-9554E2D3C503}"/>
    <cellStyle name="Normal 4 2 4 4 6" xfId="2521" xr:uid="{00000000-0005-0000-0000-0000B6130000}"/>
    <cellStyle name="Normal 4 2 4 4 6 2" xfId="6805" xr:uid="{00000000-0005-0000-0000-0000B7130000}"/>
    <cellStyle name="Normal 4 2 4 4 6 2 2" xfId="15244" xr:uid="{6CBAD3E3-20FA-4240-ABAD-3EDA4ACDB341}"/>
    <cellStyle name="Normal 4 2 4 4 6 3" xfId="11026" xr:uid="{C3913962-C767-43DF-9730-EA54EB4B3578}"/>
    <cellStyle name="Normal 4 2 4 4 7" xfId="4740" xr:uid="{00000000-0005-0000-0000-0000B8130000}"/>
    <cellStyle name="Normal 4 2 4 4 7 2" xfId="13179" xr:uid="{006BFF79-9360-419F-B58D-C9165B6531BA}"/>
    <cellStyle name="Normal 4 2 4 4 8" xfId="8961" xr:uid="{3492215A-FD07-4D45-BDFD-8A51C845D95E}"/>
    <cellStyle name="Normal 4 2 4 5" xfId="831" xr:uid="{00000000-0005-0000-0000-0000B9130000}"/>
    <cellStyle name="Normal 4 2 4 5 2" xfId="3068" xr:uid="{00000000-0005-0000-0000-0000BA130000}"/>
    <cellStyle name="Normal 4 2 4 5 2 2" xfId="7291" xr:uid="{00000000-0005-0000-0000-0000BB130000}"/>
    <cellStyle name="Normal 4 2 4 5 2 2 2" xfId="15730" xr:uid="{320367AF-E91B-4B9A-8392-B37891FDDC83}"/>
    <cellStyle name="Normal 4 2 4 5 2 3" xfId="11512" xr:uid="{CC01F04E-3CCC-490B-9D30-0FE2C47EFC38}"/>
    <cellStyle name="Normal 4 2 4 5 3" xfId="5146" xr:uid="{00000000-0005-0000-0000-0000BC130000}"/>
    <cellStyle name="Normal 4 2 4 5 3 2" xfId="13585" xr:uid="{F2D35FDF-0FDD-45BA-A07E-EC0BB19740AC}"/>
    <cellStyle name="Normal 4 2 4 5 4" xfId="9367" xr:uid="{7415C993-9224-40A6-AD0F-CC8687D49563}"/>
    <cellStyle name="Normal 4 2 4 6" xfId="1251" xr:uid="{00000000-0005-0000-0000-0000BD130000}"/>
    <cellStyle name="Normal 4 2 4 6 2" xfId="3481" xr:uid="{00000000-0005-0000-0000-0000BE130000}"/>
    <cellStyle name="Normal 4 2 4 6 2 2" xfId="7704" xr:uid="{00000000-0005-0000-0000-0000BF130000}"/>
    <cellStyle name="Normal 4 2 4 6 2 2 2" xfId="16143" xr:uid="{F9E5D5B8-0BDD-45DC-B3D9-0D984CF2CF53}"/>
    <cellStyle name="Normal 4 2 4 6 2 3" xfId="11925" xr:uid="{73867C62-48F3-491C-8BB4-7ADF0EB84D0A}"/>
    <cellStyle name="Normal 4 2 4 6 3" xfId="5559" xr:uid="{00000000-0005-0000-0000-0000C0130000}"/>
    <cellStyle name="Normal 4 2 4 6 3 2" xfId="13998" xr:uid="{D49ED4E7-4398-412A-BE62-FB1E102BF5E2}"/>
    <cellStyle name="Normal 4 2 4 6 4" xfId="9780" xr:uid="{D7CF37A9-CAB5-4D60-8D0A-B07456C07E52}"/>
    <cellStyle name="Normal 4 2 4 7" xfId="1664" xr:uid="{00000000-0005-0000-0000-0000C1130000}"/>
    <cellStyle name="Normal 4 2 4 7 2" xfId="3894" xr:uid="{00000000-0005-0000-0000-0000C2130000}"/>
    <cellStyle name="Normal 4 2 4 7 2 2" xfId="8117" xr:uid="{00000000-0005-0000-0000-0000C3130000}"/>
    <cellStyle name="Normal 4 2 4 7 2 2 2" xfId="16556" xr:uid="{A37A3A7D-1896-4457-B4F0-D5D498A4B982}"/>
    <cellStyle name="Normal 4 2 4 7 2 3" xfId="12338" xr:uid="{B2D9E034-ADD5-4525-8834-D00AA7679F82}"/>
    <cellStyle name="Normal 4 2 4 7 3" xfId="5972" xr:uid="{00000000-0005-0000-0000-0000C4130000}"/>
    <cellStyle name="Normal 4 2 4 7 3 2" xfId="14411" xr:uid="{D2E96358-1469-48A3-9561-6DC0F2F4B6D0}"/>
    <cellStyle name="Normal 4 2 4 7 4" xfId="10193" xr:uid="{B187D0DC-B6C6-4D6B-B1D9-B993615F12BB}"/>
    <cellStyle name="Normal 4 2 4 8" xfId="2078" xr:uid="{00000000-0005-0000-0000-0000C5130000}"/>
    <cellStyle name="Normal 4 2 4 8 2" xfId="4307" xr:uid="{00000000-0005-0000-0000-0000C6130000}"/>
    <cellStyle name="Normal 4 2 4 8 2 2" xfId="8530" xr:uid="{00000000-0005-0000-0000-0000C7130000}"/>
    <cellStyle name="Normal 4 2 4 8 2 2 2" xfId="16969" xr:uid="{52641281-1968-4048-A656-E063DADAC2C6}"/>
    <cellStyle name="Normal 4 2 4 8 2 3" xfId="12751" xr:uid="{83B3A43F-5087-496E-BF78-53F4F1683D65}"/>
    <cellStyle name="Normal 4 2 4 8 3" xfId="6385" xr:uid="{00000000-0005-0000-0000-0000C8130000}"/>
    <cellStyle name="Normal 4 2 4 8 3 2" xfId="14824" xr:uid="{E1E0A699-10B4-4D1A-AE52-CE952BE74366}"/>
    <cellStyle name="Normal 4 2 4 8 4" xfId="10606" xr:uid="{F936028E-296C-4F39-87F9-1C5067D1AC7A}"/>
    <cellStyle name="Normal 4 2 4 9" xfId="2514" xr:uid="{00000000-0005-0000-0000-0000C9130000}"/>
    <cellStyle name="Normal 4 2 4 9 2" xfId="6798" xr:uid="{00000000-0005-0000-0000-0000CA130000}"/>
    <cellStyle name="Normal 4 2 4 9 2 2" xfId="15237" xr:uid="{00472239-7B91-477A-ABE4-3C429E33B76F}"/>
    <cellStyle name="Normal 4 2 4 9 3" xfId="11019" xr:uid="{6C247FC5-EC5E-4083-A11A-F05F08E5F8F8}"/>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39" xr:uid="{A498039F-8ADF-41BE-8B95-B8AC2E24408E}"/>
    <cellStyle name="Normal 4 2 5 2 2 2 3" xfId="11521" xr:uid="{EBC7A04C-CD6D-4660-9100-CF1FB0E66CB5}"/>
    <cellStyle name="Normal 4 2 5 2 2 3" xfId="5155" xr:uid="{00000000-0005-0000-0000-0000D0130000}"/>
    <cellStyle name="Normal 4 2 5 2 2 3 2" xfId="13594" xr:uid="{B31FEBA3-F551-455F-8B0B-EB019186BC93}"/>
    <cellStyle name="Normal 4 2 5 2 2 4" xfId="9376" xr:uid="{6F05625E-535C-442D-8AC5-26CC8AD62148}"/>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2" xr:uid="{A3771DAC-826C-4D57-BBCD-63E3C073C725}"/>
    <cellStyle name="Normal 4 2 5 2 3 2 3" xfId="11934" xr:uid="{63D6A3BD-5A47-415F-A928-77056B272F16}"/>
    <cellStyle name="Normal 4 2 5 2 3 3" xfId="5568" xr:uid="{00000000-0005-0000-0000-0000D4130000}"/>
    <cellStyle name="Normal 4 2 5 2 3 3 2" xfId="14007" xr:uid="{BF4B2D8E-94C9-43CB-80C6-BFC0254BDA95}"/>
    <cellStyle name="Normal 4 2 5 2 3 4" xfId="9789" xr:uid="{19B75EB4-61B4-419B-BBCF-0209FD919272}"/>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5" xr:uid="{F2408D66-4695-4ED2-84FC-0DEBB1BF01B7}"/>
    <cellStyle name="Normal 4 2 5 2 4 2 3" xfId="12347" xr:uid="{0BA9BC1B-E243-459A-B086-9CD27588F4BA}"/>
    <cellStyle name="Normal 4 2 5 2 4 3" xfId="5981" xr:uid="{00000000-0005-0000-0000-0000D8130000}"/>
    <cellStyle name="Normal 4 2 5 2 4 3 2" xfId="14420" xr:uid="{2CDF076B-7C96-4FAB-A47A-D05736BB2769}"/>
    <cellStyle name="Normal 4 2 5 2 4 4" xfId="10202" xr:uid="{96DF4AE0-DE92-4D02-A629-DBEE90D32EA2}"/>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78" xr:uid="{55547014-C195-4575-A7F5-F93ED0A6C20A}"/>
    <cellStyle name="Normal 4 2 5 2 5 2 3" xfId="12760" xr:uid="{718DEBE0-FEE6-4484-B30E-8A2AEB332610}"/>
    <cellStyle name="Normal 4 2 5 2 5 3" xfId="6394" xr:uid="{00000000-0005-0000-0000-0000DC130000}"/>
    <cellStyle name="Normal 4 2 5 2 5 3 2" xfId="14833" xr:uid="{5F5B179B-7DDB-4FAB-8603-916B98369F7E}"/>
    <cellStyle name="Normal 4 2 5 2 5 4" xfId="10615" xr:uid="{73226D2A-A479-4FDC-9401-B5000F65DCC4}"/>
    <cellStyle name="Normal 4 2 5 2 6" xfId="2523" xr:uid="{00000000-0005-0000-0000-0000DD130000}"/>
    <cellStyle name="Normal 4 2 5 2 6 2" xfId="6807" xr:uid="{00000000-0005-0000-0000-0000DE130000}"/>
    <cellStyle name="Normal 4 2 5 2 6 2 2" xfId="15246" xr:uid="{7A3B45BB-8A2B-442F-8413-F1A5167482DA}"/>
    <cellStyle name="Normal 4 2 5 2 6 3" xfId="11028" xr:uid="{77E626D1-51A9-473E-9827-7D1919CB9040}"/>
    <cellStyle name="Normal 4 2 5 2 7" xfId="4742" xr:uid="{00000000-0005-0000-0000-0000DF130000}"/>
    <cellStyle name="Normal 4 2 5 2 7 2" xfId="13181" xr:uid="{3ABD978C-D9B3-47F1-B1AB-0395854A42FA}"/>
    <cellStyle name="Normal 4 2 5 2 8" xfId="8963" xr:uid="{C57ACE35-3345-4EC2-A439-6A45EA35D529}"/>
    <cellStyle name="Normal 4 2 5 3" xfId="839" xr:uid="{00000000-0005-0000-0000-0000E0130000}"/>
    <cellStyle name="Normal 4 2 5 3 2" xfId="3076" xr:uid="{00000000-0005-0000-0000-0000E1130000}"/>
    <cellStyle name="Normal 4 2 5 3 2 2" xfId="7299" xr:uid="{00000000-0005-0000-0000-0000E2130000}"/>
    <cellStyle name="Normal 4 2 5 3 2 2 2" xfId="15738" xr:uid="{74C7C349-981F-45DA-B169-11BC4B356396}"/>
    <cellStyle name="Normal 4 2 5 3 2 3" xfId="11520" xr:uid="{1BD8F4D6-41F4-4B40-92D8-2E097E973F4D}"/>
    <cellStyle name="Normal 4 2 5 3 3" xfId="5154" xr:uid="{00000000-0005-0000-0000-0000E3130000}"/>
    <cellStyle name="Normal 4 2 5 3 3 2" xfId="13593" xr:uid="{1AFB13D2-FEA8-4B66-8323-44F702CCB8BC}"/>
    <cellStyle name="Normal 4 2 5 3 4" xfId="9375" xr:uid="{B276BFE1-7D91-45B9-B032-624A09D8010F}"/>
    <cellStyle name="Normal 4 2 5 4" xfId="1259" xr:uid="{00000000-0005-0000-0000-0000E4130000}"/>
    <cellStyle name="Normal 4 2 5 4 2" xfId="3489" xr:uid="{00000000-0005-0000-0000-0000E5130000}"/>
    <cellStyle name="Normal 4 2 5 4 2 2" xfId="7712" xr:uid="{00000000-0005-0000-0000-0000E6130000}"/>
    <cellStyle name="Normal 4 2 5 4 2 2 2" xfId="16151" xr:uid="{205C5FAE-CB55-4219-8251-CA42F02B3A6C}"/>
    <cellStyle name="Normal 4 2 5 4 2 3" xfId="11933" xr:uid="{1CE305F4-7677-4770-81B7-4CED9AFC6609}"/>
    <cellStyle name="Normal 4 2 5 4 3" xfId="5567" xr:uid="{00000000-0005-0000-0000-0000E7130000}"/>
    <cellStyle name="Normal 4 2 5 4 3 2" xfId="14006" xr:uid="{3A209FB8-4ADC-4799-BB53-B4F6010E2320}"/>
    <cellStyle name="Normal 4 2 5 4 4" xfId="9788" xr:uid="{12215589-B396-4FE1-92C9-EB95458DCE39}"/>
    <cellStyle name="Normal 4 2 5 5" xfId="1672" xr:uid="{00000000-0005-0000-0000-0000E8130000}"/>
    <cellStyle name="Normal 4 2 5 5 2" xfId="3902" xr:uid="{00000000-0005-0000-0000-0000E9130000}"/>
    <cellStyle name="Normal 4 2 5 5 2 2" xfId="8125" xr:uid="{00000000-0005-0000-0000-0000EA130000}"/>
    <cellStyle name="Normal 4 2 5 5 2 2 2" xfId="16564" xr:uid="{82B2F6A4-0E33-471F-A504-E9C120FB9977}"/>
    <cellStyle name="Normal 4 2 5 5 2 3" xfId="12346" xr:uid="{1383BC35-AD01-4070-97F6-DB8576B8AB67}"/>
    <cellStyle name="Normal 4 2 5 5 3" xfId="5980" xr:uid="{00000000-0005-0000-0000-0000EB130000}"/>
    <cellStyle name="Normal 4 2 5 5 3 2" xfId="14419" xr:uid="{92925D25-FC82-428E-923E-901A038B8951}"/>
    <cellStyle name="Normal 4 2 5 5 4" xfId="10201" xr:uid="{91082C59-B023-44D3-8323-A82624221FAE}"/>
    <cellStyle name="Normal 4 2 5 6" xfId="2086" xr:uid="{00000000-0005-0000-0000-0000EC130000}"/>
    <cellStyle name="Normal 4 2 5 6 2" xfId="4315" xr:uid="{00000000-0005-0000-0000-0000ED130000}"/>
    <cellStyle name="Normal 4 2 5 6 2 2" xfId="8538" xr:uid="{00000000-0005-0000-0000-0000EE130000}"/>
    <cellStyle name="Normal 4 2 5 6 2 2 2" xfId="16977" xr:uid="{D7BD6948-B2DA-4D85-9C84-B7D03C39892B}"/>
    <cellStyle name="Normal 4 2 5 6 2 3" xfId="12759" xr:uid="{2FCD0531-51FB-40B2-81BE-A3A2EDBD9C0E}"/>
    <cellStyle name="Normal 4 2 5 6 3" xfId="6393" xr:uid="{00000000-0005-0000-0000-0000EF130000}"/>
    <cellStyle name="Normal 4 2 5 6 3 2" xfId="14832" xr:uid="{E1DBE124-2F3B-453B-B83F-151FFC827BD0}"/>
    <cellStyle name="Normal 4 2 5 6 4" xfId="10614" xr:uid="{4154D523-68B5-48AD-9D66-5AAF5ED82744}"/>
    <cellStyle name="Normal 4 2 5 7" xfId="2522" xr:uid="{00000000-0005-0000-0000-0000F0130000}"/>
    <cellStyle name="Normal 4 2 5 7 2" xfId="6806" xr:uid="{00000000-0005-0000-0000-0000F1130000}"/>
    <cellStyle name="Normal 4 2 5 7 2 2" xfId="15245" xr:uid="{44596B94-F9AB-4EE7-ABFD-B8199995F7A8}"/>
    <cellStyle name="Normal 4 2 5 7 3" xfId="11027" xr:uid="{7BD82046-92A7-4A13-957B-6997E8AC44A4}"/>
    <cellStyle name="Normal 4 2 5 8" xfId="4741" xr:uid="{00000000-0005-0000-0000-0000F2130000}"/>
    <cellStyle name="Normal 4 2 5 8 2" xfId="13180" xr:uid="{A427CC9A-459C-47F5-B51E-39AE85563143}"/>
    <cellStyle name="Normal 4 2 5 9" xfId="8962" xr:uid="{1225F4A2-4DF0-468A-A8AC-1FF1B987A057}"/>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0" xr:uid="{C52D28F1-F80A-4F38-9879-F00BBD6E1558}"/>
    <cellStyle name="Normal 4 2 6 2 2 3" xfId="11522" xr:uid="{ECF0360C-D26B-4893-9720-01D52BE242DB}"/>
    <cellStyle name="Normal 4 2 6 2 3" xfId="5156" xr:uid="{00000000-0005-0000-0000-0000F7130000}"/>
    <cellStyle name="Normal 4 2 6 2 3 2" xfId="13595" xr:uid="{10947BE5-C713-45CD-B5BC-C8F2BF15C772}"/>
    <cellStyle name="Normal 4 2 6 2 4" xfId="9377" xr:uid="{C2F50569-5912-4351-BE99-21CC2953FF5F}"/>
    <cellStyle name="Normal 4 2 6 3" xfId="1261" xr:uid="{00000000-0005-0000-0000-0000F8130000}"/>
    <cellStyle name="Normal 4 2 6 3 2" xfId="3491" xr:uid="{00000000-0005-0000-0000-0000F9130000}"/>
    <cellStyle name="Normal 4 2 6 3 2 2" xfId="7714" xr:uid="{00000000-0005-0000-0000-0000FA130000}"/>
    <cellStyle name="Normal 4 2 6 3 2 2 2" xfId="16153" xr:uid="{6D21D651-FC49-4806-BBD2-606BA30CEAC5}"/>
    <cellStyle name="Normal 4 2 6 3 2 3" xfId="11935" xr:uid="{D2282AB0-0471-4C7F-B278-8EBC86BAC4C5}"/>
    <cellStyle name="Normal 4 2 6 3 3" xfId="5569" xr:uid="{00000000-0005-0000-0000-0000FB130000}"/>
    <cellStyle name="Normal 4 2 6 3 3 2" xfId="14008" xr:uid="{7BBC8ED6-A2BE-41E2-81E5-3CAF555E04B5}"/>
    <cellStyle name="Normal 4 2 6 3 4" xfId="9790" xr:uid="{2CF17FC0-AF9D-49EA-BE16-74F3837BD5E8}"/>
    <cellStyle name="Normal 4 2 6 4" xfId="1674" xr:uid="{00000000-0005-0000-0000-0000FC130000}"/>
    <cellStyle name="Normal 4 2 6 4 2" xfId="3904" xr:uid="{00000000-0005-0000-0000-0000FD130000}"/>
    <cellStyle name="Normal 4 2 6 4 2 2" xfId="8127" xr:uid="{00000000-0005-0000-0000-0000FE130000}"/>
    <cellStyle name="Normal 4 2 6 4 2 2 2" xfId="16566" xr:uid="{F440202A-F553-4492-93B7-596801798CEF}"/>
    <cellStyle name="Normal 4 2 6 4 2 3" xfId="12348" xr:uid="{902A3D8B-F98C-4B6E-8E10-53E6E3E9011F}"/>
    <cellStyle name="Normal 4 2 6 4 3" xfId="5982" xr:uid="{00000000-0005-0000-0000-0000FF130000}"/>
    <cellStyle name="Normal 4 2 6 4 3 2" xfId="14421" xr:uid="{C93A80C2-E5CB-44D6-A309-A9BE0E84103C}"/>
    <cellStyle name="Normal 4 2 6 4 4" xfId="10203" xr:uid="{ED73A098-7992-4A32-B5F9-FB2DAF80B579}"/>
    <cellStyle name="Normal 4 2 6 5" xfId="2088" xr:uid="{00000000-0005-0000-0000-000000140000}"/>
    <cellStyle name="Normal 4 2 6 5 2" xfId="4317" xr:uid="{00000000-0005-0000-0000-000001140000}"/>
    <cellStyle name="Normal 4 2 6 5 2 2" xfId="8540" xr:uid="{00000000-0005-0000-0000-000002140000}"/>
    <cellStyle name="Normal 4 2 6 5 2 2 2" xfId="16979" xr:uid="{16DFF08E-D33D-4723-9459-950D712A5F1B}"/>
    <cellStyle name="Normal 4 2 6 5 2 3" xfId="12761" xr:uid="{A4150C71-3D60-4FCA-B13D-4703E7861E82}"/>
    <cellStyle name="Normal 4 2 6 5 3" xfId="6395" xr:uid="{00000000-0005-0000-0000-000003140000}"/>
    <cellStyle name="Normal 4 2 6 5 3 2" xfId="14834" xr:uid="{5CA3DE90-2B19-4431-BAFA-A72F7D2429D2}"/>
    <cellStyle name="Normal 4 2 6 5 4" xfId="10616" xr:uid="{47C7D4F2-DC45-4C96-A104-16B757C3D5BE}"/>
    <cellStyle name="Normal 4 2 6 6" xfId="2524" xr:uid="{00000000-0005-0000-0000-000004140000}"/>
    <cellStyle name="Normal 4 2 6 6 2" xfId="6808" xr:uid="{00000000-0005-0000-0000-000005140000}"/>
    <cellStyle name="Normal 4 2 6 6 2 2" xfId="15247" xr:uid="{636CCD9D-FBD8-49BB-BD4F-45235A66D77A}"/>
    <cellStyle name="Normal 4 2 6 6 3" xfId="11029" xr:uid="{2E3BC558-50A3-4277-BC9D-4539E784EB50}"/>
    <cellStyle name="Normal 4 2 6 7" xfId="4743" xr:uid="{00000000-0005-0000-0000-000006140000}"/>
    <cellStyle name="Normal 4 2 6 7 2" xfId="13182" xr:uid="{B1876665-9F78-4B1E-BFAE-AE86A40465CF}"/>
    <cellStyle name="Normal 4 2 6 8" xfId="8964" xr:uid="{57E076A0-0A8F-48F9-AD8E-E5158E62E485}"/>
    <cellStyle name="Normal 4 3" xfId="366" xr:uid="{00000000-0005-0000-0000-000007140000}"/>
    <cellStyle name="Normal 4 3 10" xfId="8965" xr:uid="{A90BBA95-B843-4445-9FAC-500318EBBEBA}"/>
    <cellStyle name="Normal 4 3 2" xfId="367" xr:uid="{00000000-0005-0000-0000-000008140000}"/>
    <cellStyle name="Normal 4 3 2 2" xfId="368" xr:uid="{00000000-0005-0000-0000-000009140000}"/>
    <cellStyle name="Normal 4 3 2 2 2" xfId="369" xr:uid="{00000000-0005-0000-0000-00000A140000}"/>
    <cellStyle name="Normal 4 3 2 2 2 10" xfId="8966" xr:uid="{BE799EED-F30B-47F5-887A-D578832E3D43}"/>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4" xr:uid="{EDB3D401-D7D1-48FE-A5B0-2692A1640FAE}"/>
    <cellStyle name="Normal 4 3 2 2 2 2 2 2 2 3" xfId="11526" xr:uid="{700214B0-178F-4DDA-8342-05867BC3B928}"/>
    <cellStyle name="Normal 4 3 2 2 2 2 2 2 3" xfId="5160" xr:uid="{00000000-0005-0000-0000-000010140000}"/>
    <cellStyle name="Normal 4 3 2 2 2 2 2 2 3 2" xfId="13599" xr:uid="{D684A94C-F5D1-421F-A7AA-C6D48030132D}"/>
    <cellStyle name="Normal 4 3 2 2 2 2 2 2 4" xfId="9381" xr:uid="{5C3D1361-FD29-414E-B6B6-0F592BB6C1FC}"/>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57" xr:uid="{BB61CBC8-08EE-4A8D-869D-D3DFE6762AEA}"/>
    <cellStyle name="Normal 4 3 2 2 2 2 2 3 2 3" xfId="11939" xr:uid="{B5A1418E-617E-4B8B-BBF4-F1C52764295B}"/>
    <cellStyle name="Normal 4 3 2 2 2 2 2 3 3" xfId="5573" xr:uid="{00000000-0005-0000-0000-000014140000}"/>
    <cellStyle name="Normal 4 3 2 2 2 2 2 3 3 2" xfId="14012" xr:uid="{BD8791D2-71BF-4819-AC58-1D7A3ADFDFC0}"/>
    <cellStyle name="Normal 4 3 2 2 2 2 2 3 4" xfId="9794" xr:uid="{8B303007-B0A0-44D7-B4DE-D0DD4ADB4C6A}"/>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0" xr:uid="{9EECA3A3-B6BD-40BD-BFCC-4A36BA4092E4}"/>
    <cellStyle name="Normal 4 3 2 2 2 2 2 4 2 3" xfId="12352" xr:uid="{3628E581-5358-4472-B33C-FC10EC246C09}"/>
    <cellStyle name="Normal 4 3 2 2 2 2 2 4 3" xfId="5986" xr:uid="{00000000-0005-0000-0000-000018140000}"/>
    <cellStyle name="Normal 4 3 2 2 2 2 2 4 3 2" xfId="14425" xr:uid="{82DFFDED-A341-4069-B454-8B2905055D71}"/>
    <cellStyle name="Normal 4 3 2 2 2 2 2 4 4" xfId="10207" xr:uid="{4ED63896-5071-42F3-BD11-BC783EC85462}"/>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3" xr:uid="{2E672831-8882-4978-B078-D70334CA2551}"/>
    <cellStyle name="Normal 4 3 2 2 2 2 2 5 2 3" xfId="12765" xr:uid="{AE3DEFB5-DA4B-49F1-BB99-D48ED771A7F5}"/>
    <cellStyle name="Normal 4 3 2 2 2 2 2 5 3" xfId="6399" xr:uid="{00000000-0005-0000-0000-00001C140000}"/>
    <cellStyle name="Normal 4 3 2 2 2 2 2 5 3 2" xfId="14838" xr:uid="{30F7EAF5-0264-4063-94E0-8EEFAA7C8328}"/>
    <cellStyle name="Normal 4 3 2 2 2 2 2 5 4" xfId="10620" xr:uid="{4F91806D-E969-484D-8149-C9CB57B67563}"/>
    <cellStyle name="Normal 4 3 2 2 2 2 2 6" xfId="2528" xr:uid="{00000000-0005-0000-0000-00001D140000}"/>
    <cellStyle name="Normal 4 3 2 2 2 2 2 6 2" xfId="6812" xr:uid="{00000000-0005-0000-0000-00001E140000}"/>
    <cellStyle name="Normal 4 3 2 2 2 2 2 6 2 2" xfId="15251" xr:uid="{0DECBC6A-023F-4383-B8CB-D6B9A505B8E0}"/>
    <cellStyle name="Normal 4 3 2 2 2 2 2 6 3" xfId="11033" xr:uid="{765C6AAA-59E2-4C2A-A76F-EAA1A64D46A2}"/>
    <cellStyle name="Normal 4 3 2 2 2 2 2 7" xfId="4747" xr:uid="{00000000-0005-0000-0000-00001F140000}"/>
    <cellStyle name="Normal 4 3 2 2 2 2 2 7 2" xfId="13186" xr:uid="{BB192EA7-FA38-4257-9399-70455C765137}"/>
    <cellStyle name="Normal 4 3 2 2 2 2 2 8" xfId="8968" xr:uid="{CACF2054-884C-44A7-B8F8-DAA5902914D2}"/>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3" xr:uid="{FD3DFD7F-1515-4411-8E9D-3372D218FB0A}"/>
    <cellStyle name="Normal 4 3 2 2 2 2 3 2 3" xfId="11525" xr:uid="{8602954B-69BE-4B1D-9D0A-C360A4364F6B}"/>
    <cellStyle name="Normal 4 3 2 2 2 2 3 3" xfId="5159" xr:uid="{00000000-0005-0000-0000-000023140000}"/>
    <cellStyle name="Normal 4 3 2 2 2 2 3 3 2" xfId="13598" xr:uid="{7B10404C-0623-4CD0-8758-A16166847DF1}"/>
    <cellStyle name="Normal 4 3 2 2 2 2 3 4" xfId="9380" xr:uid="{21A6C2AE-5871-4677-A0DA-9358E9931922}"/>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6" xr:uid="{7101575F-86C4-4388-830D-7994220F3775}"/>
    <cellStyle name="Normal 4 3 2 2 2 2 4 2 3" xfId="11938" xr:uid="{0F8013DA-FE60-4A91-B8A3-902C9D8C43C4}"/>
    <cellStyle name="Normal 4 3 2 2 2 2 4 3" xfId="5572" xr:uid="{00000000-0005-0000-0000-000027140000}"/>
    <cellStyle name="Normal 4 3 2 2 2 2 4 3 2" xfId="14011" xr:uid="{BF2169F1-1D65-415F-B877-6A2B54D6E8B4}"/>
    <cellStyle name="Normal 4 3 2 2 2 2 4 4" xfId="9793" xr:uid="{F561B7AC-86DB-4CA0-9A27-A0BC230CC36E}"/>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69" xr:uid="{76CA75D3-B5F7-4FFD-83C9-2AC51C77540A}"/>
    <cellStyle name="Normal 4 3 2 2 2 2 5 2 3" xfId="12351" xr:uid="{03C52165-457F-4B18-8935-45E1138E7D4C}"/>
    <cellStyle name="Normal 4 3 2 2 2 2 5 3" xfId="5985" xr:uid="{00000000-0005-0000-0000-00002B140000}"/>
    <cellStyle name="Normal 4 3 2 2 2 2 5 3 2" xfId="14424" xr:uid="{C50CE987-4492-4259-BCD6-A096A47B2E69}"/>
    <cellStyle name="Normal 4 3 2 2 2 2 5 4" xfId="10206" xr:uid="{9E5B0408-1C1E-4FF7-938A-F53F955E1097}"/>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2" xr:uid="{8418F03D-B0E8-4598-9FC5-55CC8FB2FFBF}"/>
    <cellStyle name="Normal 4 3 2 2 2 2 6 2 3" xfId="12764" xr:uid="{71887A1A-BBE6-4AF1-A5C5-920404791847}"/>
    <cellStyle name="Normal 4 3 2 2 2 2 6 3" xfId="6398" xr:uid="{00000000-0005-0000-0000-00002F140000}"/>
    <cellStyle name="Normal 4 3 2 2 2 2 6 3 2" xfId="14837" xr:uid="{6A0658EE-3F7D-4395-89F6-7FD4759FA6E1}"/>
    <cellStyle name="Normal 4 3 2 2 2 2 6 4" xfId="10619" xr:uid="{ED90A322-FE17-4FFE-AB17-FD89CC9DC13F}"/>
    <cellStyle name="Normal 4 3 2 2 2 2 7" xfId="2527" xr:uid="{00000000-0005-0000-0000-000030140000}"/>
    <cellStyle name="Normal 4 3 2 2 2 2 7 2" xfId="6811" xr:uid="{00000000-0005-0000-0000-000031140000}"/>
    <cellStyle name="Normal 4 3 2 2 2 2 7 2 2" xfId="15250" xr:uid="{4AC7D12D-3908-4752-A3CB-6517E3239714}"/>
    <cellStyle name="Normal 4 3 2 2 2 2 7 3" xfId="11032" xr:uid="{DFFA4BFA-A084-414C-96B1-EBD2FAE76596}"/>
    <cellStyle name="Normal 4 3 2 2 2 2 8" xfId="4746" xr:uid="{00000000-0005-0000-0000-000032140000}"/>
    <cellStyle name="Normal 4 3 2 2 2 2 8 2" xfId="13185" xr:uid="{34601F09-F03A-4F2D-B6FE-57432CE86DFD}"/>
    <cellStyle name="Normal 4 3 2 2 2 2 9" xfId="8967" xr:uid="{D9475646-40B0-45BD-AF9D-357D473BACF7}"/>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5" xr:uid="{C8A01F3D-2BD4-45DC-9170-7A56FC506347}"/>
    <cellStyle name="Normal 4 3 2 2 2 3 2 2 3" xfId="11527" xr:uid="{21F4674C-0AE8-4B5D-8FEF-4FF4082BD0C0}"/>
    <cellStyle name="Normal 4 3 2 2 2 3 2 3" xfId="5161" xr:uid="{00000000-0005-0000-0000-000037140000}"/>
    <cellStyle name="Normal 4 3 2 2 2 3 2 3 2" xfId="13600" xr:uid="{54D48226-3BF6-4212-B633-ECC625D963C7}"/>
    <cellStyle name="Normal 4 3 2 2 2 3 2 4" xfId="9382" xr:uid="{F8CFBCC1-3162-418B-A2DD-7188E8F86E2C}"/>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58" xr:uid="{6795838C-6082-4D7E-A427-E118E26CD570}"/>
    <cellStyle name="Normal 4 3 2 2 2 3 3 2 3" xfId="11940" xr:uid="{3EC71E61-0A5A-4CC2-931E-30801DA006CA}"/>
    <cellStyle name="Normal 4 3 2 2 2 3 3 3" xfId="5574" xr:uid="{00000000-0005-0000-0000-00003B140000}"/>
    <cellStyle name="Normal 4 3 2 2 2 3 3 3 2" xfId="14013" xr:uid="{B1A97814-7188-4711-9E4B-958FE7DC032E}"/>
    <cellStyle name="Normal 4 3 2 2 2 3 3 4" xfId="9795" xr:uid="{728CA284-F3D9-4B39-872D-77466A2FE7E3}"/>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1" xr:uid="{DB746721-67F0-462D-AF3D-D468C4D1455B}"/>
    <cellStyle name="Normal 4 3 2 2 2 3 4 2 3" xfId="12353" xr:uid="{CA71DEF5-33D3-4F75-B336-289AF77C472F}"/>
    <cellStyle name="Normal 4 3 2 2 2 3 4 3" xfId="5987" xr:uid="{00000000-0005-0000-0000-00003F140000}"/>
    <cellStyle name="Normal 4 3 2 2 2 3 4 3 2" xfId="14426" xr:uid="{A0E4350B-3E23-474B-B048-DDB48EDE8C22}"/>
    <cellStyle name="Normal 4 3 2 2 2 3 4 4" xfId="10208" xr:uid="{259B5E9A-C205-4407-9A37-0710ECDA78D1}"/>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4" xr:uid="{AB72C25F-1A85-457D-BE42-C1FD02A56176}"/>
    <cellStyle name="Normal 4 3 2 2 2 3 5 2 3" xfId="12766" xr:uid="{B54AABDD-19E6-4083-8EA4-F56589F90147}"/>
    <cellStyle name="Normal 4 3 2 2 2 3 5 3" xfId="6400" xr:uid="{00000000-0005-0000-0000-000043140000}"/>
    <cellStyle name="Normal 4 3 2 2 2 3 5 3 2" xfId="14839" xr:uid="{3800A40B-2380-4DB5-8C65-F5E20C17D643}"/>
    <cellStyle name="Normal 4 3 2 2 2 3 5 4" xfId="10621" xr:uid="{62E268A9-6C49-48E0-8DD2-B6800AA02835}"/>
    <cellStyle name="Normal 4 3 2 2 2 3 6" xfId="2529" xr:uid="{00000000-0005-0000-0000-000044140000}"/>
    <cellStyle name="Normal 4 3 2 2 2 3 6 2" xfId="6813" xr:uid="{00000000-0005-0000-0000-000045140000}"/>
    <cellStyle name="Normal 4 3 2 2 2 3 6 2 2" xfId="15252" xr:uid="{F9C77552-B8C1-4F65-B608-63FE7987269C}"/>
    <cellStyle name="Normal 4 3 2 2 2 3 6 3" xfId="11034" xr:uid="{D1F76E1E-3B03-44D0-9F9D-3DF517D4F265}"/>
    <cellStyle name="Normal 4 3 2 2 2 3 7" xfId="4748" xr:uid="{00000000-0005-0000-0000-000046140000}"/>
    <cellStyle name="Normal 4 3 2 2 2 3 7 2" xfId="13187" xr:uid="{24425CD5-174C-4103-89C1-4AEB6B5F8C7D}"/>
    <cellStyle name="Normal 4 3 2 2 2 3 8" xfId="8969" xr:uid="{F95CFC54-7DB8-4C3F-B09D-134849798FAA}"/>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2" xr:uid="{1511E009-18BE-4218-A74F-EBB155A160A8}"/>
    <cellStyle name="Normal 4 3 2 2 2 4 2 3" xfId="11524" xr:uid="{FD800E4D-F3AF-4F7E-B6F4-FAEE20239372}"/>
    <cellStyle name="Normal 4 3 2 2 2 4 3" xfId="5158" xr:uid="{00000000-0005-0000-0000-00004A140000}"/>
    <cellStyle name="Normal 4 3 2 2 2 4 3 2" xfId="13597" xr:uid="{8ED0CA83-35B0-499F-AB1A-8D0745C9D0DA}"/>
    <cellStyle name="Normal 4 3 2 2 2 4 4" xfId="9379" xr:uid="{7359EB25-BC8B-4F8E-89BE-8D0D950DACB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5" xr:uid="{7734A279-91BC-44C9-BF6A-8BBAA10E106E}"/>
    <cellStyle name="Normal 4 3 2 2 2 5 2 3" xfId="11937" xr:uid="{8B1ECBF6-5890-491B-9957-1BF93015D3D0}"/>
    <cellStyle name="Normal 4 3 2 2 2 5 3" xfId="5571" xr:uid="{00000000-0005-0000-0000-00004E140000}"/>
    <cellStyle name="Normal 4 3 2 2 2 5 3 2" xfId="14010" xr:uid="{0D7C0DB2-A240-4FC6-847F-C72A1C607057}"/>
    <cellStyle name="Normal 4 3 2 2 2 5 4" xfId="9792" xr:uid="{7221CFDD-E751-4769-8E42-85C4DF23E927}"/>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68" xr:uid="{AABED7DE-16EF-4621-B693-7065639D0D3F}"/>
    <cellStyle name="Normal 4 3 2 2 2 6 2 3" xfId="12350" xr:uid="{F1A7F291-1793-4B46-AE2E-E49EEBA2A819}"/>
    <cellStyle name="Normal 4 3 2 2 2 6 3" xfId="5984" xr:uid="{00000000-0005-0000-0000-000052140000}"/>
    <cellStyle name="Normal 4 3 2 2 2 6 3 2" xfId="14423" xr:uid="{7185B5B7-241F-470E-9F3C-8C9CFB7E5917}"/>
    <cellStyle name="Normal 4 3 2 2 2 6 4" xfId="10205" xr:uid="{ED4B2954-3233-437B-AB47-306AB5C325F8}"/>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1" xr:uid="{2EC74357-0E60-4168-A7D2-140B7B21D9BA}"/>
    <cellStyle name="Normal 4 3 2 2 2 7 2 3" xfId="12763" xr:uid="{94AF89AE-60AE-4842-AEDE-2A35D9C6262A}"/>
    <cellStyle name="Normal 4 3 2 2 2 7 3" xfId="6397" xr:uid="{00000000-0005-0000-0000-000056140000}"/>
    <cellStyle name="Normal 4 3 2 2 2 7 3 2" xfId="14836" xr:uid="{F5EBCD82-2405-4303-86D0-C7AFDD12E99B}"/>
    <cellStyle name="Normal 4 3 2 2 2 7 4" xfId="10618" xr:uid="{2790C9E5-7627-403B-970B-2401E52C1DE2}"/>
    <cellStyle name="Normal 4 3 2 2 2 8" xfId="2526" xr:uid="{00000000-0005-0000-0000-000057140000}"/>
    <cellStyle name="Normal 4 3 2 2 2 8 2" xfId="6810" xr:uid="{00000000-0005-0000-0000-000058140000}"/>
    <cellStyle name="Normal 4 3 2 2 2 8 2 2" xfId="15249" xr:uid="{707BA3AB-88B8-4BD3-8383-363D1881C4FE}"/>
    <cellStyle name="Normal 4 3 2 2 2 8 3" xfId="11031" xr:uid="{369D5B94-8C9F-47D5-B067-A4DD71A7B811}"/>
    <cellStyle name="Normal 4 3 2 2 2 9" xfId="4745" xr:uid="{00000000-0005-0000-0000-000059140000}"/>
    <cellStyle name="Normal 4 3 2 2 2 9 2" xfId="13184" xr:uid="{05FC4519-AA65-4776-810B-C0D1FE705E38}"/>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0" xr:uid="{816C2B8E-F624-4622-8B67-FDA58591B7C4}"/>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48" xr:uid="{86D4016B-4400-4F50-B132-52926DFBD660}"/>
    <cellStyle name="Normal 4 3 3 2 2 2 2 3" xfId="11530" xr:uid="{0158891C-95AA-469C-8C4E-A727610F48F8}"/>
    <cellStyle name="Normal 4 3 3 2 2 2 3" xfId="5164" xr:uid="{00000000-0005-0000-0000-000063140000}"/>
    <cellStyle name="Normal 4 3 3 2 2 2 3 2" xfId="13603" xr:uid="{0B8AC9C3-3454-4FF3-AF75-3D502637F723}"/>
    <cellStyle name="Normal 4 3 3 2 2 2 4" xfId="9385" xr:uid="{9E3FB3B3-D225-4041-9114-49ED93DB7E42}"/>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1" xr:uid="{B3407120-64B3-4C46-B68E-D8E9445AF663}"/>
    <cellStyle name="Normal 4 3 3 2 2 3 2 3" xfId="11943" xr:uid="{5038A3BE-9592-405D-B574-041CE43D17C8}"/>
    <cellStyle name="Normal 4 3 3 2 2 3 3" xfId="5577" xr:uid="{00000000-0005-0000-0000-000067140000}"/>
    <cellStyle name="Normal 4 3 3 2 2 3 3 2" xfId="14016" xr:uid="{C13DA228-DD88-429B-8ABD-7CA785936634}"/>
    <cellStyle name="Normal 4 3 3 2 2 3 4" xfId="9798" xr:uid="{D0B77E34-0DEB-423B-AE8A-A1547C0CF5C7}"/>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4" xr:uid="{2C1119BC-3D36-4F13-BF7B-875746400BB7}"/>
    <cellStyle name="Normal 4 3 3 2 2 4 2 3" xfId="12356" xr:uid="{D24A16EC-094E-4ACE-913B-718A08616120}"/>
    <cellStyle name="Normal 4 3 3 2 2 4 3" xfId="5990" xr:uid="{00000000-0005-0000-0000-00006B140000}"/>
    <cellStyle name="Normal 4 3 3 2 2 4 3 2" xfId="14429" xr:uid="{A3E0396B-96A3-43BB-87E9-411F84A54A6D}"/>
    <cellStyle name="Normal 4 3 3 2 2 4 4" xfId="10211" xr:uid="{67FD2702-6179-4F92-B7D7-C623DD2F5088}"/>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87" xr:uid="{F9A7611B-7CF4-4EDD-8E5E-E85D883C3BD7}"/>
    <cellStyle name="Normal 4 3 3 2 2 5 2 3" xfId="12769" xr:uid="{605BCAEC-BD55-4BDB-8521-AAF73B4C389B}"/>
    <cellStyle name="Normal 4 3 3 2 2 5 3" xfId="6403" xr:uid="{00000000-0005-0000-0000-00006F140000}"/>
    <cellStyle name="Normal 4 3 3 2 2 5 3 2" xfId="14842" xr:uid="{812FAF2D-91A0-4BFD-89B7-26CEA592F654}"/>
    <cellStyle name="Normal 4 3 3 2 2 5 4" xfId="10624" xr:uid="{DB52482B-075B-49DE-9B27-37344175C74F}"/>
    <cellStyle name="Normal 4 3 3 2 2 6" xfId="2532" xr:uid="{00000000-0005-0000-0000-000070140000}"/>
    <cellStyle name="Normal 4 3 3 2 2 6 2" xfId="6816" xr:uid="{00000000-0005-0000-0000-000071140000}"/>
    <cellStyle name="Normal 4 3 3 2 2 6 2 2" xfId="15255" xr:uid="{1AE5999A-B296-4A28-9DC1-A14F6E63D239}"/>
    <cellStyle name="Normal 4 3 3 2 2 6 3" xfId="11037" xr:uid="{7790E142-AA73-4141-83CD-8193188781A8}"/>
    <cellStyle name="Normal 4 3 3 2 2 7" xfId="4751" xr:uid="{00000000-0005-0000-0000-000072140000}"/>
    <cellStyle name="Normal 4 3 3 2 2 7 2" xfId="13190" xr:uid="{0DA3D1C3-8202-4C49-B9F6-D7282427069F}"/>
    <cellStyle name="Normal 4 3 3 2 2 8" xfId="8972" xr:uid="{9F520B8A-E990-4EF5-99DB-0C2D303556CC}"/>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47" xr:uid="{262B20C6-E0EE-4C77-A421-89BE29F746D1}"/>
    <cellStyle name="Normal 4 3 3 2 3 2 3" xfId="11529" xr:uid="{EF0EBB14-2898-4406-AAC9-12FF690766AA}"/>
    <cellStyle name="Normal 4 3 3 2 3 3" xfId="5163" xr:uid="{00000000-0005-0000-0000-000076140000}"/>
    <cellStyle name="Normal 4 3 3 2 3 3 2" xfId="13602" xr:uid="{C41133CB-A7CB-49EF-A16E-9A99711B3FD9}"/>
    <cellStyle name="Normal 4 3 3 2 3 4" xfId="9384" xr:uid="{E93C4EE9-D5D5-4627-88A3-4047D3F8A5C5}"/>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0" xr:uid="{13543914-3DF8-4876-8FDA-556B44D92738}"/>
    <cellStyle name="Normal 4 3 3 2 4 2 3" xfId="11942" xr:uid="{9FB12CC8-28B5-4036-B345-5642E6DDF4A3}"/>
    <cellStyle name="Normal 4 3 3 2 4 3" xfId="5576" xr:uid="{00000000-0005-0000-0000-00007A140000}"/>
    <cellStyle name="Normal 4 3 3 2 4 3 2" xfId="14015" xr:uid="{4FE906A3-D7D9-40E3-B6B4-A20625D9537D}"/>
    <cellStyle name="Normal 4 3 3 2 4 4" xfId="9797" xr:uid="{14273838-FB75-4969-93EB-CF0013F478C3}"/>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3" xr:uid="{EAD9845E-756C-46FA-B20B-C6CAFEAF67AB}"/>
    <cellStyle name="Normal 4 3 3 2 5 2 3" xfId="12355" xr:uid="{969929CB-0885-449C-92E3-4EDB624B49FF}"/>
    <cellStyle name="Normal 4 3 3 2 5 3" xfId="5989" xr:uid="{00000000-0005-0000-0000-00007E140000}"/>
    <cellStyle name="Normal 4 3 3 2 5 3 2" xfId="14428" xr:uid="{9C2C125F-D606-4F1B-AE4A-E92130C37A37}"/>
    <cellStyle name="Normal 4 3 3 2 5 4" xfId="10210" xr:uid="{F12F1303-D6EA-47AE-BC17-FF88EC9D7CC6}"/>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6" xr:uid="{4C7E650C-7AE1-404D-982E-C00A749C6EC5}"/>
    <cellStyle name="Normal 4 3 3 2 6 2 3" xfId="12768" xr:uid="{9E43162A-AE9E-400F-AE3E-12E5E3BDFF3A}"/>
    <cellStyle name="Normal 4 3 3 2 6 3" xfId="6402" xr:uid="{00000000-0005-0000-0000-000082140000}"/>
    <cellStyle name="Normal 4 3 3 2 6 3 2" xfId="14841" xr:uid="{05522F9F-51C9-483D-AB2F-64E77A6F38E5}"/>
    <cellStyle name="Normal 4 3 3 2 6 4" xfId="10623" xr:uid="{1DD4D349-C0DE-4B16-87DC-BB4AF4BC032E}"/>
    <cellStyle name="Normal 4 3 3 2 7" xfId="2531" xr:uid="{00000000-0005-0000-0000-000083140000}"/>
    <cellStyle name="Normal 4 3 3 2 7 2" xfId="6815" xr:uid="{00000000-0005-0000-0000-000084140000}"/>
    <cellStyle name="Normal 4 3 3 2 7 2 2" xfId="15254" xr:uid="{EE6FDDD0-7F40-477E-A0C5-69875CA67379}"/>
    <cellStyle name="Normal 4 3 3 2 7 3" xfId="11036" xr:uid="{1593C640-D547-4D15-AD72-C5CCEA134047}"/>
    <cellStyle name="Normal 4 3 3 2 8" xfId="4750" xr:uid="{00000000-0005-0000-0000-000085140000}"/>
    <cellStyle name="Normal 4 3 3 2 8 2" xfId="13189" xr:uid="{0AB91E15-B037-44FF-A0FE-DE9E894A5D08}"/>
    <cellStyle name="Normal 4 3 3 2 9" xfId="8971" xr:uid="{29126C1E-D7E8-4D2C-BCBF-F15513609C21}"/>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49" xr:uid="{7450B2EC-044D-43A5-AAFE-6F2099F8339B}"/>
    <cellStyle name="Normal 4 3 3 3 2 2 3" xfId="11531" xr:uid="{3219340E-F5A4-499E-81C2-94D5790D25EC}"/>
    <cellStyle name="Normal 4 3 3 3 2 3" xfId="5165" xr:uid="{00000000-0005-0000-0000-00008A140000}"/>
    <cellStyle name="Normal 4 3 3 3 2 3 2" xfId="13604" xr:uid="{B3E6476E-2C6F-48FB-AC31-2B64598A2CA1}"/>
    <cellStyle name="Normal 4 3 3 3 2 4" xfId="9386" xr:uid="{866570D4-F476-441C-866F-97DC5F2D2C6D}"/>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2" xr:uid="{D08F2005-CDEC-4C18-924A-F5013735A9C3}"/>
    <cellStyle name="Normal 4 3 3 3 3 2 3" xfId="11944" xr:uid="{23C914B1-ECEF-4FBB-8D89-9E40A5544D7D}"/>
    <cellStyle name="Normal 4 3 3 3 3 3" xfId="5578" xr:uid="{00000000-0005-0000-0000-00008E140000}"/>
    <cellStyle name="Normal 4 3 3 3 3 3 2" xfId="14017" xr:uid="{82ECDE36-550D-4ABC-B1A8-ACEFBF1BA811}"/>
    <cellStyle name="Normal 4 3 3 3 3 4" xfId="9799" xr:uid="{6857B57A-E19E-4425-B92A-1F8159CC98B4}"/>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5" xr:uid="{880066ED-B089-49D3-98A7-F8ED39CD8139}"/>
    <cellStyle name="Normal 4 3 3 3 4 2 3" xfId="12357" xr:uid="{7F7D30DA-835F-4E1F-B513-3751D46A6E79}"/>
    <cellStyle name="Normal 4 3 3 3 4 3" xfId="5991" xr:uid="{00000000-0005-0000-0000-000092140000}"/>
    <cellStyle name="Normal 4 3 3 3 4 3 2" xfId="14430" xr:uid="{F8CF97AB-6031-4469-9C80-D507CE8C892F}"/>
    <cellStyle name="Normal 4 3 3 3 4 4" xfId="10212" xr:uid="{AA014A37-2706-4DDD-9A48-2864F19D89F4}"/>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88" xr:uid="{0B8377BD-FFC7-4BA3-A4B1-CDD75D7C33B1}"/>
    <cellStyle name="Normal 4 3 3 3 5 2 3" xfId="12770" xr:uid="{2EB43304-821B-427E-A88F-AA9176D69FE1}"/>
    <cellStyle name="Normal 4 3 3 3 5 3" xfId="6404" xr:uid="{00000000-0005-0000-0000-000096140000}"/>
    <cellStyle name="Normal 4 3 3 3 5 3 2" xfId="14843" xr:uid="{BC3651EC-AE98-4886-A6E6-8F8B0AD66206}"/>
    <cellStyle name="Normal 4 3 3 3 5 4" xfId="10625" xr:uid="{BCA8741F-F848-4A1F-9473-F9430C3380F0}"/>
    <cellStyle name="Normal 4 3 3 3 6" xfId="2533" xr:uid="{00000000-0005-0000-0000-000097140000}"/>
    <cellStyle name="Normal 4 3 3 3 6 2" xfId="6817" xr:uid="{00000000-0005-0000-0000-000098140000}"/>
    <cellStyle name="Normal 4 3 3 3 6 2 2" xfId="15256" xr:uid="{D58436A9-47F1-4736-98D1-336CAD513A3D}"/>
    <cellStyle name="Normal 4 3 3 3 6 3" xfId="11038" xr:uid="{84852192-FFAF-4656-B49F-C90D1B794FEE}"/>
    <cellStyle name="Normal 4 3 3 3 7" xfId="4752" xr:uid="{00000000-0005-0000-0000-000099140000}"/>
    <cellStyle name="Normal 4 3 3 3 7 2" xfId="13191" xr:uid="{ECB0829D-CD1B-4D99-B44D-BA393BE5B03E}"/>
    <cellStyle name="Normal 4 3 3 3 8" xfId="8973" xr:uid="{564E1938-A40A-475A-8486-C6092D419BB1}"/>
    <cellStyle name="Normal 4 3 3 4" xfId="849" xr:uid="{00000000-0005-0000-0000-00009A140000}"/>
    <cellStyle name="Normal 4 3 3 4 2" xfId="3084" xr:uid="{00000000-0005-0000-0000-00009B140000}"/>
    <cellStyle name="Normal 4 3 3 4 2 2" xfId="7307" xr:uid="{00000000-0005-0000-0000-00009C140000}"/>
    <cellStyle name="Normal 4 3 3 4 2 2 2" xfId="15746" xr:uid="{96226118-9EF3-49C7-8E55-ED5CFF5FC29A}"/>
    <cellStyle name="Normal 4 3 3 4 2 3" xfId="11528" xr:uid="{9DB63DA7-1982-45E9-B8DE-54A780616CDB}"/>
    <cellStyle name="Normal 4 3 3 4 3" xfId="5162" xr:uid="{00000000-0005-0000-0000-00009D140000}"/>
    <cellStyle name="Normal 4 3 3 4 3 2" xfId="13601" xr:uid="{1D78C44B-B2FD-42B7-8CC5-18CE42A18A6C}"/>
    <cellStyle name="Normal 4 3 3 4 4" xfId="9383" xr:uid="{2F12E1C7-01D4-455D-83CF-00B8FAFFC5F3}"/>
    <cellStyle name="Normal 4 3 3 5" xfId="1267" xr:uid="{00000000-0005-0000-0000-00009E140000}"/>
    <cellStyle name="Normal 4 3 3 5 2" xfId="3497" xr:uid="{00000000-0005-0000-0000-00009F140000}"/>
    <cellStyle name="Normal 4 3 3 5 2 2" xfId="7720" xr:uid="{00000000-0005-0000-0000-0000A0140000}"/>
    <cellStyle name="Normal 4 3 3 5 2 2 2" xfId="16159" xr:uid="{CE157FEF-91A6-4AE5-8A87-601A9DBC7094}"/>
    <cellStyle name="Normal 4 3 3 5 2 3" xfId="11941" xr:uid="{19B489F2-B376-4A0B-B59C-871ADF03C5DE}"/>
    <cellStyle name="Normal 4 3 3 5 3" xfId="5575" xr:uid="{00000000-0005-0000-0000-0000A1140000}"/>
    <cellStyle name="Normal 4 3 3 5 3 2" xfId="14014" xr:uid="{4822292D-7462-4D3C-860C-E6E9A7AF9138}"/>
    <cellStyle name="Normal 4 3 3 5 4" xfId="9796" xr:uid="{7C36B005-5926-424B-849D-E7C7DF5EE1CA}"/>
    <cellStyle name="Normal 4 3 3 6" xfId="1680" xr:uid="{00000000-0005-0000-0000-0000A2140000}"/>
    <cellStyle name="Normal 4 3 3 6 2" xfId="3910" xr:uid="{00000000-0005-0000-0000-0000A3140000}"/>
    <cellStyle name="Normal 4 3 3 6 2 2" xfId="8133" xr:uid="{00000000-0005-0000-0000-0000A4140000}"/>
    <cellStyle name="Normal 4 3 3 6 2 2 2" xfId="16572" xr:uid="{592A0CFC-5E96-4807-B0CE-D57AAA7EF3EA}"/>
    <cellStyle name="Normal 4 3 3 6 2 3" xfId="12354" xr:uid="{50A234F3-CA5E-414D-962F-4640C4314ED2}"/>
    <cellStyle name="Normal 4 3 3 6 3" xfId="5988" xr:uid="{00000000-0005-0000-0000-0000A5140000}"/>
    <cellStyle name="Normal 4 3 3 6 3 2" xfId="14427" xr:uid="{1F76F0D9-6A00-4175-A6A6-8CD2F3A9CEC0}"/>
    <cellStyle name="Normal 4 3 3 6 4" xfId="10209" xr:uid="{FFDDC2FD-4200-4947-9B58-6E71D0A867DE}"/>
    <cellStyle name="Normal 4 3 3 7" xfId="2094" xr:uid="{00000000-0005-0000-0000-0000A6140000}"/>
    <cellStyle name="Normal 4 3 3 7 2" xfId="4323" xr:uid="{00000000-0005-0000-0000-0000A7140000}"/>
    <cellStyle name="Normal 4 3 3 7 2 2" xfId="8546" xr:uid="{00000000-0005-0000-0000-0000A8140000}"/>
    <cellStyle name="Normal 4 3 3 7 2 2 2" xfId="16985" xr:uid="{1DBC0C85-3EE5-4E8E-A53F-84BA0876E8A7}"/>
    <cellStyle name="Normal 4 3 3 7 2 3" xfId="12767" xr:uid="{A349CCB5-F7B3-48CC-B449-AE777D5D9F9D}"/>
    <cellStyle name="Normal 4 3 3 7 3" xfId="6401" xr:uid="{00000000-0005-0000-0000-0000A9140000}"/>
    <cellStyle name="Normal 4 3 3 7 3 2" xfId="14840" xr:uid="{8DCE9B3C-2C9D-4A89-A0DF-4F15E198BD48}"/>
    <cellStyle name="Normal 4 3 3 7 4" xfId="10622" xr:uid="{B8D0CE76-5B97-4293-95E0-E5A60CA47B96}"/>
    <cellStyle name="Normal 4 3 3 8" xfId="2530" xr:uid="{00000000-0005-0000-0000-0000AA140000}"/>
    <cellStyle name="Normal 4 3 3 8 2" xfId="6814" xr:uid="{00000000-0005-0000-0000-0000AB140000}"/>
    <cellStyle name="Normal 4 3 3 8 2 2" xfId="15253" xr:uid="{1060054F-56B5-4D1E-8E62-4955A610495A}"/>
    <cellStyle name="Normal 4 3 3 8 3" xfId="11035" xr:uid="{1C21E1C0-3AFC-4F02-9543-F8DE5CB97433}"/>
    <cellStyle name="Normal 4 3 3 9" xfId="4749" xr:uid="{00000000-0005-0000-0000-0000AC140000}"/>
    <cellStyle name="Normal 4 3 3 9 2" xfId="13188" xr:uid="{2BE63467-F4B9-443B-8F91-00765FE36331}"/>
    <cellStyle name="Normal 4 3 4" xfId="842" xr:uid="{00000000-0005-0000-0000-0000AD140000}"/>
    <cellStyle name="Normal 4 3 4 2" xfId="3079" xr:uid="{00000000-0005-0000-0000-0000AE140000}"/>
    <cellStyle name="Normal 4 3 4 2 2" xfId="7302" xr:uid="{00000000-0005-0000-0000-0000AF140000}"/>
    <cellStyle name="Normal 4 3 4 2 2 2" xfId="15741" xr:uid="{6BC550A0-E4AB-4553-9C24-0E77BA627A06}"/>
    <cellStyle name="Normal 4 3 4 2 3" xfId="11523" xr:uid="{BE6FC90E-81EC-42D8-85FF-42B79153B26D}"/>
    <cellStyle name="Normal 4 3 4 3" xfId="5157" xr:uid="{00000000-0005-0000-0000-0000B0140000}"/>
    <cellStyle name="Normal 4 3 4 3 2" xfId="13596" xr:uid="{4BDF1482-F644-4D75-99A3-F2832188D7AC}"/>
    <cellStyle name="Normal 4 3 4 4" xfId="9378" xr:uid="{43A7885B-F7A1-4BC5-A081-6BCD8D8E539F}"/>
    <cellStyle name="Normal 4 3 5" xfId="1262" xr:uid="{00000000-0005-0000-0000-0000B1140000}"/>
    <cellStyle name="Normal 4 3 5 2" xfId="3492" xr:uid="{00000000-0005-0000-0000-0000B2140000}"/>
    <cellStyle name="Normal 4 3 5 2 2" xfId="7715" xr:uid="{00000000-0005-0000-0000-0000B3140000}"/>
    <cellStyle name="Normal 4 3 5 2 2 2" xfId="16154" xr:uid="{7232689C-7129-4C07-9B94-E89DBC921800}"/>
    <cellStyle name="Normal 4 3 5 2 3" xfId="11936" xr:uid="{BAB795D5-BEFD-4913-AA1A-9934676F4932}"/>
    <cellStyle name="Normal 4 3 5 3" xfId="5570" xr:uid="{00000000-0005-0000-0000-0000B4140000}"/>
    <cellStyle name="Normal 4 3 5 3 2" xfId="14009" xr:uid="{ACA029E3-D012-4F45-B950-73628C016EEB}"/>
    <cellStyle name="Normal 4 3 5 4" xfId="9791" xr:uid="{97E7E24E-2B9D-4967-A8E6-BD7AEFCB180D}"/>
    <cellStyle name="Normal 4 3 6" xfId="1675" xr:uid="{00000000-0005-0000-0000-0000B5140000}"/>
    <cellStyle name="Normal 4 3 6 2" xfId="3905" xr:uid="{00000000-0005-0000-0000-0000B6140000}"/>
    <cellStyle name="Normal 4 3 6 2 2" xfId="8128" xr:uid="{00000000-0005-0000-0000-0000B7140000}"/>
    <cellStyle name="Normal 4 3 6 2 2 2" xfId="16567" xr:uid="{588B5605-ACD8-4A97-8600-079AD1149B84}"/>
    <cellStyle name="Normal 4 3 6 2 3" xfId="12349" xr:uid="{ECBE7811-0BAB-4364-B4E8-0AC08561EBE0}"/>
    <cellStyle name="Normal 4 3 6 3" xfId="5983" xr:uid="{00000000-0005-0000-0000-0000B8140000}"/>
    <cellStyle name="Normal 4 3 6 3 2" xfId="14422" xr:uid="{70177B2A-D5BD-4030-93CE-055A31F28A07}"/>
    <cellStyle name="Normal 4 3 6 4" xfId="10204" xr:uid="{43F2C03E-F767-456B-8A59-B959A5EF4EC5}"/>
    <cellStyle name="Normal 4 3 7" xfId="2089" xr:uid="{00000000-0005-0000-0000-0000B9140000}"/>
    <cellStyle name="Normal 4 3 7 2" xfId="4318" xr:uid="{00000000-0005-0000-0000-0000BA140000}"/>
    <cellStyle name="Normal 4 3 7 2 2" xfId="8541" xr:uid="{00000000-0005-0000-0000-0000BB140000}"/>
    <cellStyle name="Normal 4 3 7 2 2 2" xfId="16980" xr:uid="{C3F78DBB-2438-457A-AAC2-A5B38F18C532}"/>
    <cellStyle name="Normal 4 3 7 2 3" xfId="12762" xr:uid="{DCC28775-EF43-4F18-AFF5-7F4545F2537A}"/>
    <cellStyle name="Normal 4 3 7 3" xfId="6396" xr:uid="{00000000-0005-0000-0000-0000BC140000}"/>
    <cellStyle name="Normal 4 3 7 3 2" xfId="14835" xr:uid="{F6F90030-9F1C-4405-AFC9-0E513F96AF09}"/>
    <cellStyle name="Normal 4 3 7 4" xfId="10617" xr:uid="{4BAA54A6-A8A4-46B4-B955-3B7B5F513AC0}"/>
    <cellStyle name="Normal 4 3 8" xfId="2525" xr:uid="{00000000-0005-0000-0000-0000BD140000}"/>
    <cellStyle name="Normal 4 3 8 2" xfId="6809" xr:uid="{00000000-0005-0000-0000-0000BE140000}"/>
    <cellStyle name="Normal 4 3 8 2 2" xfId="15248" xr:uid="{90B2256F-9B1B-4B35-A58F-928F3515765E}"/>
    <cellStyle name="Normal 4 3 8 3" xfId="11030" xr:uid="{5E4E3C94-5EF0-4536-83B8-E81D489A5EE1}"/>
    <cellStyle name="Normal 4 3 9" xfId="4744" xr:uid="{00000000-0005-0000-0000-0000BF140000}"/>
    <cellStyle name="Normal 4 3 9 2" xfId="13183" xr:uid="{8105F20E-C9B6-4DB1-9D77-6A96A84C3F16}"/>
    <cellStyle name="Normal 4 4" xfId="378" xr:uid="{00000000-0005-0000-0000-0000C0140000}"/>
    <cellStyle name="Normal 4 4 10" xfId="2534" xr:uid="{00000000-0005-0000-0000-0000C1140000}"/>
    <cellStyle name="Normal 4 4 10 2" xfId="6818" xr:uid="{00000000-0005-0000-0000-0000C2140000}"/>
    <cellStyle name="Normal 4 4 10 2 2" xfId="15257" xr:uid="{A488C9FB-D27A-42A9-9A6E-B9CA8D8B6969}"/>
    <cellStyle name="Normal 4 4 10 3" xfId="11039" xr:uid="{A893387F-4F18-48BA-8653-FEBD6E5A38BB}"/>
    <cellStyle name="Normal 4 4 11" xfId="4753" xr:uid="{00000000-0005-0000-0000-0000C3140000}"/>
    <cellStyle name="Normal 4 4 11 2" xfId="13192" xr:uid="{6ACDE78A-4BB8-4E3D-A262-02686804E804}"/>
    <cellStyle name="Normal 4 4 12" xfId="8974" xr:uid="{59BB7A72-BC52-493E-A7B8-B1F437E42FE8}"/>
    <cellStyle name="Normal 4 4 2" xfId="379" xr:uid="{00000000-0005-0000-0000-0000C4140000}"/>
    <cellStyle name="Normal 4 4 2 10" xfId="4754" xr:uid="{00000000-0005-0000-0000-0000C5140000}"/>
    <cellStyle name="Normal 4 4 2 10 2" xfId="13193" xr:uid="{2D1AC2B4-8511-46BD-B1AB-E0E98ABB902A}"/>
    <cellStyle name="Normal 4 4 2 11" xfId="8975" xr:uid="{D73C5FA6-AF40-491E-B05B-6CE9F66397AC}"/>
    <cellStyle name="Normal 4 4 2 2" xfId="380" xr:uid="{00000000-0005-0000-0000-0000C6140000}"/>
    <cellStyle name="Normal 4 4 2 2 10" xfId="8976" xr:uid="{E4207D28-7494-4343-9F9C-F6B8777586E9}"/>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4" xr:uid="{AA3E4D5C-BEC7-4A8D-A948-7DFAF62B52C7}"/>
    <cellStyle name="Normal 4 4 2 2 2 2 2 2 3" xfId="11536" xr:uid="{AB4A4D2D-07FF-4E55-8712-9E14C878DC74}"/>
    <cellStyle name="Normal 4 4 2 2 2 2 2 3" xfId="5170" xr:uid="{00000000-0005-0000-0000-0000CC140000}"/>
    <cellStyle name="Normal 4 4 2 2 2 2 2 3 2" xfId="13609" xr:uid="{9B1488A3-2CC1-45E0-A189-D7A5ECFA4654}"/>
    <cellStyle name="Normal 4 4 2 2 2 2 2 4" xfId="9391" xr:uid="{77F05E92-52A6-4DAC-A2A2-44AF19811F6A}"/>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67" xr:uid="{DCD26C3D-A66C-4519-AB7F-0A7A5C2B309B}"/>
    <cellStyle name="Normal 4 4 2 2 2 2 3 2 3" xfId="11949" xr:uid="{806C514B-0FDF-4BF9-A088-74D29CEFEB17}"/>
    <cellStyle name="Normal 4 4 2 2 2 2 3 3" xfId="5583" xr:uid="{00000000-0005-0000-0000-0000D0140000}"/>
    <cellStyle name="Normal 4 4 2 2 2 2 3 3 2" xfId="14022" xr:uid="{8FE288E6-CAD8-400E-BAC9-025F42B45449}"/>
    <cellStyle name="Normal 4 4 2 2 2 2 3 4" xfId="9804" xr:uid="{7A01BA23-9AEE-4C6D-B394-C7D3C252C40A}"/>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0" xr:uid="{EB484D86-77C5-4A24-8372-054AA435EFE0}"/>
    <cellStyle name="Normal 4 4 2 2 2 2 4 2 3" xfId="12362" xr:uid="{6A88D523-842A-4899-A0F4-AEEF9B088A8E}"/>
    <cellStyle name="Normal 4 4 2 2 2 2 4 3" xfId="5996" xr:uid="{00000000-0005-0000-0000-0000D4140000}"/>
    <cellStyle name="Normal 4 4 2 2 2 2 4 3 2" xfId="14435" xr:uid="{D29D2A07-3EAE-4290-8067-627D45496E9A}"/>
    <cellStyle name="Normal 4 4 2 2 2 2 4 4" xfId="10217" xr:uid="{D054A6D5-E8D8-47C4-95B0-BB14F4F842FE}"/>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3" xr:uid="{44898E77-1116-44AE-A4D6-9F1D62AB8FE5}"/>
    <cellStyle name="Normal 4 4 2 2 2 2 5 2 3" xfId="12775" xr:uid="{1C4EE390-C99A-4C53-AF51-B4C9A25F2970}"/>
    <cellStyle name="Normal 4 4 2 2 2 2 5 3" xfId="6409" xr:uid="{00000000-0005-0000-0000-0000D8140000}"/>
    <cellStyle name="Normal 4 4 2 2 2 2 5 3 2" xfId="14848" xr:uid="{C54D7A3A-F20B-4629-8AD6-0844A6FCA13B}"/>
    <cellStyle name="Normal 4 4 2 2 2 2 5 4" xfId="10630" xr:uid="{E1A31172-99EB-4C83-B037-40900F72E628}"/>
    <cellStyle name="Normal 4 4 2 2 2 2 6" xfId="2538" xr:uid="{00000000-0005-0000-0000-0000D9140000}"/>
    <cellStyle name="Normal 4 4 2 2 2 2 6 2" xfId="6822" xr:uid="{00000000-0005-0000-0000-0000DA140000}"/>
    <cellStyle name="Normal 4 4 2 2 2 2 6 2 2" xfId="15261" xr:uid="{3EE25EED-F7C4-4E63-9A73-471C41DB9758}"/>
    <cellStyle name="Normal 4 4 2 2 2 2 6 3" xfId="11043" xr:uid="{371F775D-5D41-4AF3-9947-6D0940D3412D}"/>
    <cellStyle name="Normal 4 4 2 2 2 2 7" xfId="4757" xr:uid="{00000000-0005-0000-0000-0000DB140000}"/>
    <cellStyle name="Normal 4 4 2 2 2 2 7 2" xfId="13196" xr:uid="{6E6EC64E-D5CD-4448-BC2C-B67AA69F476F}"/>
    <cellStyle name="Normal 4 4 2 2 2 2 8" xfId="8978" xr:uid="{03ABA0AA-9838-411E-B043-C1367B1B9078}"/>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3" xr:uid="{7A3B946A-3617-4F71-93C8-6620F66147B3}"/>
    <cellStyle name="Normal 4 4 2 2 2 3 2 3" xfId="11535" xr:uid="{180FD633-C5AD-4439-BD25-3D0A33132945}"/>
    <cellStyle name="Normal 4 4 2 2 2 3 3" xfId="5169" xr:uid="{00000000-0005-0000-0000-0000DF140000}"/>
    <cellStyle name="Normal 4 4 2 2 2 3 3 2" xfId="13608" xr:uid="{96F27AE2-5631-45B0-BC7D-91ABC3264EF2}"/>
    <cellStyle name="Normal 4 4 2 2 2 3 4" xfId="9390" xr:uid="{BF532ADF-EAA8-44FE-9281-22B8AC3BB98E}"/>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6" xr:uid="{25886441-E5F9-4735-AA22-CC06786C12E5}"/>
    <cellStyle name="Normal 4 4 2 2 2 4 2 3" xfId="11948" xr:uid="{241EA8A7-8365-4ADA-93AB-463DE07EB3DA}"/>
    <cellStyle name="Normal 4 4 2 2 2 4 3" xfId="5582" xr:uid="{00000000-0005-0000-0000-0000E3140000}"/>
    <cellStyle name="Normal 4 4 2 2 2 4 3 2" xfId="14021" xr:uid="{1F3BAC8A-937F-411D-815A-75EA09394592}"/>
    <cellStyle name="Normal 4 4 2 2 2 4 4" xfId="9803" xr:uid="{17AFA0EF-430B-4656-81EE-3EAFEBEE540B}"/>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79" xr:uid="{FE204A73-5EF8-4748-8589-8D1804C74BAA}"/>
    <cellStyle name="Normal 4 4 2 2 2 5 2 3" xfId="12361" xr:uid="{5F3F06BB-8EA2-40E1-B4FE-9D81EA3970C4}"/>
    <cellStyle name="Normal 4 4 2 2 2 5 3" xfId="5995" xr:uid="{00000000-0005-0000-0000-0000E7140000}"/>
    <cellStyle name="Normal 4 4 2 2 2 5 3 2" xfId="14434" xr:uid="{FB0D769C-177A-4F88-965C-A37998713407}"/>
    <cellStyle name="Normal 4 4 2 2 2 5 4" xfId="10216" xr:uid="{3033F960-75BB-4951-8D96-5A130168A2AF}"/>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2" xr:uid="{EC95325A-E8DC-473A-B8E3-66F962742840}"/>
    <cellStyle name="Normal 4 4 2 2 2 6 2 3" xfId="12774" xr:uid="{E1783458-7639-437B-82BA-E9EB147E475C}"/>
    <cellStyle name="Normal 4 4 2 2 2 6 3" xfId="6408" xr:uid="{00000000-0005-0000-0000-0000EB140000}"/>
    <cellStyle name="Normal 4 4 2 2 2 6 3 2" xfId="14847" xr:uid="{2910AE7E-0FFB-490A-AB61-CCD7A6FDEA54}"/>
    <cellStyle name="Normal 4 4 2 2 2 6 4" xfId="10629" xr:uid="{A8E9F6AA-F8AA-483C-ADBB-464658252E74}"/>
    <cellStyle name="Normal 4 4 2 2 2 7" xfId="2537" xr:uid="{00000000-0005-0000-0000-0000EC140000}"/>
    <cellStyle name="Normal 4 4 2 2 2 7 2" xfId="6821" xr:uid="{00000000-0005-0000-0000-0000ED140000}"/>
    <cellStyle name="Normal 4 4 2 2 2 7 2 2" xfId="15260" xr:uid="{C9A8B80A-C131-49DF-B383-A560172CCB0A}"/>
    <cellStyle name="Normal 4 4 2 2 2 7 3" xfId="11042" xr:uid="{D1A42E2D-38AE-4332-BAF2-C4C4DEAEBEB4}"/>
    <cellStyle name="Normal 4 4 2 2 2 8" xfId="4756" xr:uid="{00000000-0005-0000-0000-0000EE140000}"/>
    <cellStyle name="Normal 4 4 2 2 2 8 2" xfId="13195" xr:uid="{561DF105-128A-48BB-A0AD-7F1E30A4BF4F}"/>
    <cellStyle name="Normal 4 4 2 2 2 9" xfId="8977" xr:uid="{F71DB992-9801-45CD-9FBA-354125E255AE}"/>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5" xr:uid="{2BE64599-074E-4546-A855-E70D6485D95B}"/>
    <cellStyle name="Normal 4 4 2 2 3 2 2 3" xfId="11537" xr:uid="{036F5F4D-1907-4505-99D1-8BB9F58A1466}"/>
    <cellStyle name="Normal 4 4 2 2 3 2 3" xfId="5171" xr:uid="{00000000-0005-0000-0000-0000F3140000}"/>
    <cellStyle name="Normal 4 4 2 2 3 2 3 2" xfId="13610" xr:uid="{8552781B-4760-46CB-B37D-15046EC0A639}"/>
    <cellStyle name="Normal 4 4 2 2 3 2 4" xfId="9392" xr:uid="{71F1C326-37DF-472B-8ECA-83BD5BCF0FFC}"/>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68" xr:uid="{B7876EFB-A90C-4EA5-90A0-FA19978FC7E5}"/>
    <cellStyle name="Normal 4 4 2 2 3 3 2 3" xfId="11950" xr:uid="{48A69468-5681-4A42-8DDB-CCA7B55F8F5B}"/>
    <cellStyle name="Normal 4 4 2 2 3 3 3" xfId="5584" xr:uid="{00000000-0005-0000-0000-0000F7140000}"/>
    <cellStyle name="Normal 4 4 2 2 3 3 3 2" xfId="14023" xr:uid="{68F44458-2E46-4AC0-ACA7-1E65FFEBD940}"/>
    <cellStyle name="Normal 4 4 2 2 3 3 4" xfId="9805" xr:uid="{AFD7B682-4554-4DE5-9F3C-66767F24278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1" xr:uid="{BE54CEE9-0AF9-41A6-AFF8-7EB731B8ACBE}"/>
    <cellStyle name="Normal 4 4 2 2 3 4 2 3" xfId="12363" xr:uid="{9DAC2AB9-4B27-4800-8385-7ABF3D725FA0}"/>
    <cellStyle name="Normal 4 4 2 2 3 4 3" xfId="5997" xr:uid="{00000000-0005-0000-0000-0000FB140000}"/>
    <cellStyle name="Normal 4 4 2 2 3 4 3 2" xfId="14436" xr:uid="{819A69F7-A6B1-4EEE-90CE-17906C491741}"/>
    <cellStyle name="Normal 4 4 2 2 3 4 4" xfId="10218" xr:uid="{9EC89F0C-4614-4B60-9965-0FFBBAC44754}"/>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4" xr:uid="{FA29BAC3-6BDC-489B-B6D3-BA634AB4F0E6}"/>
    <cellStyle name="Normal 4 4 2 2 3 5 2 3" xfId="12776" xr:uid="{3F02CC18-23C7-498F-825A-DBEE229DCC82}"/>
    <cellStyle name="Normal 4 4 2 2 3 5 3" xfId="6410" xr:uid="{00000000-0005-0000-0000-0000FF140000}"/>
    <cellStyle name="Normal 4 4 2 2 3 5 3 2" xfId="14849" xr:uid="{4DBA7AD5-F15D-4A10-9B03-7887F03C3E74}"/>
    <cellStyle name="Normal 4 4 2 2 3 5 4" xfId="10631" xr:uid="{7ADC30A0-8403-4D20-AD6D-272C5894AE3F}"/>
    <cellStyle name="Normal 4 4 2 2 3 6" xfId="2539" xr:uid="{00000000-0005-0000-0000-000000150000}"/>
    <cellStyle name="Normal 4 4 2 2 3 6 2" xfId="6823" xr:uid="{00000000-0005-0000-0000-000001150000}"/>
    <cellStyle name="Normal 4 4 2 2 3 6 2 2" xfId="15262" xr:uid="{B4CB6E37-51FB-4BA5-B007-FF4B63B40520}"/>
    <cellStyle name="Normal 4 4 2 2 3 6 3" xfId="11044" xr:uid="{75D44DF2-6C27-4F92-B761-441DB7A52446}"/>
    <cellStyle name="Normal 4 4 2 2 3 7" xfId="4758" xr:uid="{00000000-0005-0000-0000-000002150000}"/>
    <cellStyle name="Normal 4 4 2 2 3 7 2" xfId="13197" xr:uid="{0F8C0B2E-99E6-4843-80B2-8F8D900BEB2B}"/>
    <cellStyle name="Normal 4 4 2 2 3 8" xfId="8979" xr:uid="{E0C5FDDB-CC87-4F40-89A1-00A95C1CF0DF}"/>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2" xr:uid="{95C5765A-193C-4509-BBDC-E92BEA3D748D}"/>
    <cellStyle name="Normal 4 4 2 2 4 2 3" xfId="11534" xr:uid="{5FA382BA-8598-4EC3-934B-A40F17B0B5C1}"/>
    <cellStyle name="Normal 4 4 2 2 4 3" xfId="5168" xr:uid="{00000000-0005-0000-0000-000006150000}"/>
    <cellStyle name="Normal 4 4 2 2 4 3 2" xfId="13607" xr:uid="{1BD0321C-25B2-4DC6-9424-09DEF46C80CC}"/>
    <cellStyle name="Normal 4 4 2 2 4 4" xfId="9389" xr:uid="{37FC5D92-243D-4F76-83DA-82F323CC9FFF}"/>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5" xr:uid="{C72E9136-170D-4697-8645-CCC7595B85EA}"/>
    <cellStyle name="Normal 4 4 2 2 5 2 3" xfId="11947" xr:uid="{37E65255-3DDE-431F-AE78-F7C6F5CAFB6D}"/>
    <cellStyle name="Normal 4 4 2 2 5 3" xfId="5581" xr:uid="{00000000-0005-0000-0000-00000A150000}"/>
    <cellStyle name="Normal 4 4 2 2 5 3 2" xfId="14020" xr:uid="{A991C182-6918-4340-AFB0-1A0E83C12F08}"/>
    <cellStyle name="Normal 4 4 2 2 5 4" xfId="9802" xr:uid="{83949239-8B55-4285-BCD3-9B1A4488F8ED}"/>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78" xr:uid="{F86F5687-6A0D-4253-B655-003CCD452AE8}"/>
    <cellStyle name="Normal 4 4 2 2 6 2 3" xfId="12360" xr:uid="{2410FC2D-E06C-48DE-8291-8DC448E4C896}"/>
    <cellStyle name="Normal 4 4 2 2 6 3" xfId="5994" xr:uid="{00000000-0005-0000-0000-00000E150000}"/>
    <cellStyle name="Normal 4 4 2 2 6 3 2" xfId="14433" xr:uid="{472BE935-C726-4F1A-B454-C491D21555FA}"/>
    <cellStyle name="Normal 4 4 2 2 6 4" xfId="10215" xr:uid="{5436AC77-EB2F-4261-B0DA-F9F26C485AC0}"/>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1" xr:uid="{EB076C8A-9A8F-4264-9D46-E9EE7839007B}"/>
    <cellStyle name="Normal 4 4 2 2 7 2 3" xfId="12773" xr:uid="{AC81059B-B54F-40DE-9F57-EA17D57FD549}"/>
    <cellStyle name="Normal 4 4 2 2 7 3" xfId="6407" xr:uid="{00000000-0005-0000-0000-000012150000}"/>
    <cellStyle name="Normal 4 4 2 2 7 3 2" xfId="14846" xr:uid="{4817EE67-7848-44AF-8097-5D33D446387F}"/>
    <cellStyle name="Normal 4 4 2 2 7 4" xfId="10628" xr:uid="{C7283B3E-FFD0-4109-9198-1558E62F1F75}"/>
    <cellStyle name="Normal 4 4 2 2 8" xfId="2536" xr:uid="{00000000-0005-0000-0000-000013150000}"/>
    <cellStyle name="Normal 4 4 2 2 8 2" xfId="6820" xr:uid="{00000000-0005-0000-0000-000014150000}"/>
    <cellStyle name="Normal 4 4 2 2 8 2 2" xfId="15259" xr:uid="{61145D7F-4605-41D1-9BC3-C2652A86834C}"/>
    <cellStyle name="Normal 4 4 2 2 8 3" xfId="11041" xr:uid="{CB390531-16A0-4B73-A0FC-CE6B9FB3A658}"/>
    <cellStyle name="Normal 4 4 2 2 9" xfId="4755" xr:uid="{00000000-0005-0000-0000-000015150000}"/>
    <cellStyle name="Normal 4 4 2 2 9 2" xfId="13194" xr:uid="{43DFD229-26C3-4A2E-82D2-BCF88FCF7805}"/>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57" xr:uid="{EE9CA70B-2A95-447C-9149-8FEA3DCE60AE}"/>
    <cellStyle name="Normal 4 4 2 3 2 2 2 3" xfId="11539" xr:uid="{3E42DC39-A127-486B-BE02-0F27336B2DAA}"/>
    <cellStyle name="Normal 4 4 2 3 2 2 3" xfId="5173" xr:uid="{00000000-0005-0000-0000-00001B150000}"/>
    <cellStyle name="Normal 4 4 2 3 2 2 3 2" xfId="13612" xr:uid="{34A7B23A-5E9D-47B0-8603-2FB3E4E39AB4}"/>
    <cellStyle name="Normal 4 4 2 3 2 2 4" xfId="9394" xr:uid="{FC24C5CC-F5D6-4466-9D19-5C709D70F544}"/>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0" xr:uid="{0BC6BC50-876C-4820-BFAA-8AE6FC1A733E}"/>
    <cellStyle name="Normal 4 4 2 3 2 3 2 3" xfId="11952" xr:uid="{98B62D0F-742A-4230-9761-932457B39FD6}"/>
    <cellStyle name="Normal 4 4 2 3 2 3 3" xfId="5586" xr:uid="{00000000-0005-0000-0000-00001F150000}"/>
    <cellStyle name="Normal 4 4 2 3 2 3 3 2" xfId="14025" xr:uid="{687E2931-054E-4F32-A8BE-2DA88EC538A9}"/>
    <cellStyle name="Normal 4 4 2 3 2 3 4" xfId="9807" xr:uid="{FBAA9BEB-E734-439F-B193-AA403AADD93C}"/>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3" xr:uid="{526647F4-D761-45AA-8AE6-61C7E30DDCC9}"/>
    <cellStyle name="Normal 4 4 2 3 2 4 2 3" xfId="12365" xr:uid="{C5FABD07-4D34-425B-9D22-6D4FAF4D90CB}"/>
    <cellStyle name="Normal 4 4 2 3 2 4 3" xfId="5999" xr:uid="{00000000-0005-0000-0000-000023150000}"/>
    <cellStyle name="Normal 4 4 2 3 2 4 3 2" xfId="14438" xr:uid="{812E5F06-60E9-4093-97F5-8A616B9CA597}"/>
    <cellStyle name="Normal 4 4 2 3 2 4 4" xfId="10220" xr:uid="{E7403F3D-CE3D-451D-85E9-8D2B9EE4A451}"/>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6" xr:uid="{94C69B60-000A-487B-BA68-9F80BCD07E10}"/>
    <cellStyle name="Normal 4 4 2 3 2 5 2 3" xfId="12778" xr:uid="{375F5C50-C992-473D-B542-989B9C67A53B}"/>
    <cellStyle name="Normal 4 4 2 3 2 5 3" xfId="6412" xr:uid="{00000000-0005-0000-0000-000027150000}"/>
    <cellStyle name="Normal 4 4 2 3 2 5 3 2" xfId="14851" xr:uid="{EC820912-E935-4320-9DC1-D52AE44C6BC1}"/>
    <cellStyle name="Normal 4 4 2 3 2 5 4" xfId="10633" xr:uid="{4ACC3F6A-D31B-4448-ABC6-8F11110C117C}"/>
    <cellStyle name="Normal 4 4 2 3 2 6" xfId="2541" xr:uid="{00000000-0005-0000-0000-000028150000}"/>
    <cellStyle name="Normal 4 4 2 3 2 6 2" xfId="6825" xr:uid="{00000000-0005-0000-0000-000029150000}"/>
    <cellStyle name="Normal 4 4 2 3 2 6 2 2" xfId="15264" xr:uid="{B42BEE72-8C95-4390-889E-336CEF624549}"/>
    <cellStyle name="Normal 4 4 2 3 2 6 3" xfId="11046" xr:uid="{544A8FEA-964A-4523-8918-0D8E2B59B132}"/>
    <cellStyle name="Normal 4 4 2 3 2 7" xfId="4760" xr:uid="{00000000-0005-0000-0000-00002A150000}"/>
    <cellStyle name="Normal 4 4 2 3 2 7 2" xfId="13199" xr:uid="{5EA6DECC-9E6F-4DF8-A7F3-FB7C210C2374}"/>
    <cellStyle name="Normal 4 4 2 3 2 8" xfId="8981" xr:uid="{1F2FF286-8ECD-4754-9EC0-05DE9495DCBA}"/>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6" xr:uid="{406EEA01-EA82-4199-97BE-46240DC92234}"/>
    <cellStyle name="Normal 4 4 2 3 3 2 3" xfId="11538" xr:uid="{F551F87A-DE45-4123-A840-4D32383E9BBF}"/>
    <cellStyle name="Normal 4 4 2 3 3 3" xfId="5172" xr:uid="{00000000-0005-0000-0000-00002E150000}"/>
    <cellStyle name="Normal 4 4 2 3 3 3 2" xfId="13611" xr:uid="{30C7F4F3-D389-4D4A-A0B6-92B4252BFDCF}"/>
    <cellStyle name="Normal 4 4 2 3 3 4" xfId="9393" xr:uid="{ABA3740F-F4CE-4C58-BFD9-BADBD6C0A9AB}"/>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69" xr:uid="{AB867CED-9335-4B1D-A17A-E8A660D312CC}"/>
    <cellStyle name="Normal 4 4 2 3 4 2 3" xfId="11951" xr:uid="{28D72CD9-F267-4F21-A6A3-B3ACD0A59529}"/>
    <cellStyle name="Normal 4 4 2 3 4 3" xfId="5585" xr:uid="{00000000-0005-0000-0000-000032150000}"/>
    <cellStyle name="Normal 4 4 2 3 4 3 2" xfId="14024" xr:uid="{FABC47B3-9BA8-4C20-A7B2-143E8B5AC46B}"/>
    <cellStyle name="Normal 4 4 2 3 4 4" xfId="9806" xr:uid="{8494DA3F-7294-4D59-868D-7ADB6917493E}"/>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2" xr:uid="{D39B49A8-8782-4CDE-AA0F-3BFF9E3B04DC}"/>
    <cellStyle name="Normal 4 4 2 3 5 2 3" xfId="12364" xr:uid="{42103D86-5E54-445A-A7F2-0481DEBD567B}"/>
    <cellStyle name="Normal 4 4 2 3 5 3" xfId="5998" xr:uid="{00000000-0005-0000-0000-000036150000}"/>
    <cellStyle name="Normal 4 4 2 3 5 3 2" xfId="14437" xr:uid="{78F5ACD8-7D27-417B-80A5-81A040D7F6C5}"/>
    <cellStyle name="Normal 4 4 2 3 5 4" xfId="10219" xr:uid="{96C7DEA7-CF86-4797-A8FC-B93991B66CEA}"/>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5" xr:uid="{F20CAA3D-C247-416C-AD0C-648C199A76A1}"/>
    <cellStyle name="Normal 4 4 2 3 6 2 3" xfId="12777" xr:uid="{67489D8A-5D8D-4B70-8CD5-78F68AA73F26}"/>
    <cellStyle name="Normal 4 4 2 3 6 3" xfId="6411" xr:uid="{00000000-0005-0000-0000-00003A150000}"/>
    <cellStyle name="Normal 4 4 2 3 6 3 2" xfId="14850" xr:uid="{ECF0F8C7-B756-4C9D-B0C8-CCD1D669A75C}"/>
    <cellStyle name="Normal 4 4 2 3 6 4" xfId="10632" xr:uid="{3A04696A-51D4-4DE2-A225-545B52BD3DF1}"/>
    <cellStyle name="Normal 4 4 2 3 7" xfId="2540" xr:uid="{00000000-0005-0000-0000-00003B150000}"/>
    <cellStyle name="Normal 4 4 2 3 7 2" xfId="6824" xr:uid="{00000000-0005-0000-0000-00003C150000}"/>
    <cellStyle name="Normal 4 4 2 3 7 2 2" xfId="15263" xr:uid="{B79A76F3-FBB0-403C-8EE9-8AC0AEC0CF85}"/>
    <cellStyle name="Normal 4 4 2 3 7 3" xfId="11045" xr:uid="{84135231-5677-435E-9C67-55C0D4D72277}"/>
    <cellStyle name="Normal 4 4 2 3 8" xfId="4759" xr:uid="{00000000-0005-0000-0000-00003D150000}"/>
    <cellStyle name="Normal 4 4 2 3 8 2" xfId="13198" xr:uid="{A8AED6C9-096A-44BE-9D42-744DC9B8DD02}"/>
    <cellStyle name="Normal 4 4 2 3 9" xfId="8980" xr:uid="{D5923AD6-2EC7-451F-AA51-4E3E139AFA24}"/>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58" xr:uid="{4F50991F-0452-4284-BA59-2D545B10DE6F}"/>
    <cellStyle name="Normal 4 4 2 4 2 2 3" xfId="11540" xr:uid="{48E12C34-F6BA-4896-8C2B-CA4534FA141A}"/>
    <cellStyle name="Normal 4 4 2 4 2 3" xfId="5174" xr:uid="{00000000-0005-0000-0000-000042150000}"/>
    <cellStyle name="Normal 4 4 2 4 2 3 2" xfId="13613" xr:uid="{862EB1D7-9519-42E8-AE7A-77253AC997F1}"/>
    <cellStyle name="Normal 4 4 2 4 2 4" xfId="9395" xr:uid="{1A1688E7-D356-4187-874B-C9DBE1E70E44}"/>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1" xr:uid="{1F521353-D051-46D5-BB62-621AFE3EABF2}"/>
    <cellStyle name="Normal 4 4 2 4 3 2 3" xfId="11953" xr:uid="{97F836DA-D6F6-4774-9E32-5D2299B4D9B9}"/>
    <cellStyle name="Normal 4 4 2 4 3 3" xfId="5587" xr:uid="{00000000-0005-0000-0000-000046150000}"/>
    <cellStyle name="Normal 4 4 2 4 3 3 2" xfId="14026" xr:uid="{6FAADD9C-AAA7-4333-A0A4-D2F21D0491A9}"/>
    <cellStyle name="Normal 4 4 2 4 3 4" xfId="9808" xr:uid="{81B82A46-402F-4FED-94FA-B4622FD2F2E6}"/>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4" xr:uid="{EB6ECBE0-2D56-4036-8EC7-A48B78EE2FDC}"/>
    <cellStyle name="Normal 4 4 2 4 4 2 3" xfId="12366" xr:uid="{68D5120C-0797-4440-B332-F35C8A14FD82}"/>
    <cellStyle name="Normal 4 4 2 4 4 3" xfId="6000" xr:uid="{00000000-0005-0000-0000-00004A150000}"/>
    <cellStyle name="Normal 4 4 2 4 4 3 2" xfId="14439" xr:uid="{2414EFB7-3C08-4055-B15A-495F6EB43CD0}"/>
    <cellStyle name="Normal 4 4 2 4 4 4" xfId="10221" xr:uid="{38C7E64D-CDA5-4610-AB8E-915F3626B990}"/>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6997" xr:uid="{1CA47526-60CB-472B-BDFA-6859764C7199}"/>
    <cellStyle name="Normal 4 4 2 4 5 2 3" xfId="12779" xr:uid="{AB23F7DF-8688-4E18-BD82-0C3652CD5416}"/>
    <cellStyle name="Normal 4 4 2 4 5 3" xfId="6413" xr:uid="{00000000-0005-0000-0000-00004E150000}"/>
    <cellStyle name="Normal 4 4 2 4 5 3 2" xfId="14852" xr:uid="{F4B921D4-937F-4039-81E3-5C3233D1ADBF}"/>
    <cellStyle name="Normal 4 4 2 4 5 4" xfId="10634" xr:uid="{A2F85224-943C-4971-A0DA-63EFEE95B560}"/>
    <cellStyle name="Normal 4 4 2 4 6" xfId="2542" xr:uid="{00000000-0005-0000-0000-00004F150000}"/>
    <cellStyle name="Normal 4 4 2 4 6 2" xfId="6826" xr:uid="{00000000-0005-0000-0000-000050150000}"/>
    <cellStyle name="Normal 4 4 2 4 6 2 2" xfId="15265" xr:uid="{AC414AB5-13C3-420D-BF72-49AAE807A15C}"/>
    <cellStyle name="Normal 4 4 2 4 6 3" xfId="11047" xr:uid="{8CF7588A-5A0C-48D9-9414-97BEC278A472}"/>
    <cellStyle name="Normal 4 4 2 4 7" xfId="4761" xr:uid="{00000000-0005-0000-0000-000051150000}"/>
    <cellStyle name="Normal 4 4 2 4 7 2" xfId="13200" xr:uid="{7FAC58B2-351E-40FD-884D-B986AEB636BB}"/>
    <cellStyle name="Normal 4 4 2 4 8" xfId="8982" xr:uid="{B2B61039-12A7-4B92-AA61-9B64125C8549}"/>
    <cellStyle name="Normal 4 4 2 5" xfId="854" xr:uid="{00000000-0005-0000-0000-000052150000}"/>
    <cellStyle name="Normal 4 4 2 5 2" xfId="3089" xr:uid="{00000000-0005-0000-0000-000053150000}"/>
    <cellStyle name="Normal 4 4 2 5 2 2" xfId="7312" xr:uid="{00000000-0005-0000-0000-000054150000}"/>
    <cellStyle name="Normal 4 4 2 5 2 2 2" xfId="15751" xr:uid="{39059F3C-3646-45D0-8CD3-5AAAC47B8575}"/>
    <cellStyle name="Normal 4 4 2 5 2 3" xfId="11533" xr:uid="{9104F317-9297-4A05-913A-A47CC6F4954A}"/>
    <cellStyle name="Normal 4 4 2 5 3" xfId="5167" xr:uid="{00000000-0005-0000-0000-000055150000}"/>
    <cellStyle name="Normal 4 4 2 5 3 2" xfId="13606" xr:uid="{1A1C7786-3ACB-4481-AE5E-55824F41A042}"/>
    <cellStyle name="Normal 4 4 2 5 4" xfId="9388" xr:uid="{9D8EEE8D-1CE4-42CA-B923-9D515F439946}"/>
    <cellStyle name="Normal 4 4 2 6" xfId="1272" xr:uid="{00000000-0005-0000-0000-000056150000}"/>
    <cellStyle name="Normal 4 4 2 6 2" xfId="3502" xr:uid="{00000000-0005-0000-0000-000057150000}"/>
    <cellStyle name="Normal 4 4 2 6 2 2" xfId="7725" xr:uid="{00000000-0005-0000-0000-000058150000}"/>
    <cellStyle name="Normal 4 4 2 6 2 2 2" xfId="16164" xr:uid="{10BF9B5B-3B55-4AA6-824B-AC797036FFC9}"/>
    <cellStyle name="Normal 4 4 2 6 2 3" xfId="11946" xr:uid="{3FD48778-66D3-4E1F-B532-561990B7D6E4}"/>
    <cellStyle name="Normal 4 4 2 6 3" xfId="5580" xr:uid="{00000000-0005-0000-0000-000059150000}"/>
    <cellStyle name="Normal 4 4 2 6 3 2" xfId="14019" xr:uid="{E3D34142-CC06-4F2D-A76A-B6517419ADC0}"/>
    <cellStyle name="Normal 4 4 2 6 4" xfId="9801" xr:uid="{7FC98C92-1EAE-4B66-B433-AD435C459677}"/>
    <cellStyle name="Normal 4 4 2 7" xfId="1685" xr:uid="{00000000-0005-0000-0000-00005A150000}"/>
    <cellStyle name="Normal 4 4 2 7 2" xfId="3915" xr:uid="{00000000-0005-0000-0000-00005B150000}"/>
    <cellStyle name="Normal 4 4 2 7 2 2" xfId="8138" xr:uid="{00000000-0005-0000-0000-00005C150000}"/>
    <cellStyle name="Normal 4 4 2 7 2 2 2" xfId="16577" xr:uid="{0035240B-E9F7-4F17-BD53-B0EF139470A1}"/>
    <cellStyle name="Normal 4 4 2 7 2 3" xfId="12359" xr:uid="{5DD35A4C-9FD3-474F-86CD-861EC1E751C3}"/>
    <cellStyle name="Normal 4 4 2 7 3" xfId="5993" xr:uid="{00000000-0005-0000-0000-00005D150000}"/>
    <cellStyle name="Normal 4 4 2 7 3 2" xfId="14432" xr:uid="{26A85302-58E0-4B15-BB6E-DA217F96DE77}"/>
    <cellStyle name="Normal 4 4 2 7 4" xfId="10214" xr:uid="{29BB6D85-98CC-4876-BA89-4012FE0F8B06}"/>
    <cellStyle name="Normal 4 4 2 8" xfId="2099" xr:uid="{00000000-0005-0000-0000-00005E150000}"/>
    <cellStyle name="Normal 4 4 2 8 2" xfId="4328" xr:uid="{00000000-0005-0000-0000-00005F150000}"/>
    <cellStyle name="Normal 4 4 2 8 2 2" xfId="8551" xr:uid="{00000000-0005-0000-0000-000060150000}"/>
    <cellStyle name="Normal 4 4 2 8 2 2 2" xfId="16990" xr:uid="{01B33EB7-D229-43DB-89FC-0F1478E14C72}"/>
    <cellStyle name="Normal 4 4 2 8 2 3" xfId="12772" xr:uid="{A6CCDFEE-300D-4BF0-867F-61696018566A}"/>
    <cellStyle name="Normal 4 4 2 8 3" xfId="6406" xr:uid="{00000000-0005-0000-0000-000061150000}"/>
    <cellStyle name="Normal 4 4 2 8 3 2" xfId="14845" xr:uid="{7E4576E3-5D69-4E84-ADCB-730CEFA67551}"/>
    <cellStyle name="Normal 4 4 2 8 4" xfId="10627" xr:uid="{E3688934-A9C5-4BFA-8BE3-BB4E51BC538D}"/>
    <cellStyle name="Normal 4 4 2 9" xfId="2535" xr:uid="{00000000-0005-0000-0000-000062150000}"/>
    <cellStyle name="Normal 4 4 2 9 2" xfId="6819" xr:uid="{00000000-0005-0000-0000-000063150000}"/>
    <cellStyle name="Normal 4 4 2 9 2 2" xfId="15258" xr:uid="{1BC63674-DA24-4A0D-BA5F-96DC675C942F}"/>
    <cellStyle name="Normal 4 4 2 9 3" xfId="11040" xr:uid="{7750951B-6639-44D9-84E2-DA17CEEFD694}"/>
    <cellStyle name="Normal 4 4 3" xfId="387" xr:uid="{00000000-0005-0000-0000-000064150000}"/>
    <cellStyle name="Normal 4 4 3 10" xfId="8983" xr:uid="{85126236-7354-4F4D-B248-4805F20D0E6B}"/>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1" xr:uid="{49B3EE85-A99B-4962-BF13-75975B12452E}"/>
    <cellStyle name="Normal 4 4 3 2 2 2 2 3" xfId="11543" xr:uid="{BF939797-6867-4197-B6BF-579C8B831DA2}"/>
    <cellStyle name="Normal 4 4 3 2 2 2 3" xfId="5177" xr:uid="{00000000-0005-0000-0000-00006A150000}"/>
    <cellStyle name="Normal 4 4 3 2 2 2 3 2" xfId="13616" xr:uid="{4A12078F-442D-4872-9127-B0E75D5538CB}"/>
    <cellStyle name="Normal 4 4 3 2 2 2 4" xfId="9398" xr:uid="{6B1B9C64-A4E3-4DF1-BE0D-9DD08E665B94}"/>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4" xr:uid="{41F98346-06C9-46DD-AD48-B60CDE455ACB}"/>
    <cellStyle name="Normal 4 4 3 2 2 3 2 3" xfId="11956" xr:uid="{891694AD-2AF6-4C1F-A2DE-1806867195E6}"/>
    <cellStyle name="Normal 4 4 3 2 2 3 3" xfId="5590" xr:uid="{00000000-0005-0000-0000-00006E150000}"/>
    <cellStyle name="Normal 4 4 3 2 2 3 3 2" xfId="14029" xr:uid="{8A4040D9-98BA-4CAA-8276-2EA409A0DE95}"/>
    <cellStyle name="Normal 4 4 3 2 2 3 4" xfId="9811" xr:uid="{01C70EA0-07F0-4CEC-AA06-B4C6E7823C5E}"/>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87" xr:uid="{E0B9434B-CFF9-42BA-89F4-11FFF7FF762B}"/>
    <cellStyle name="Normal 4 4 3 2 2 4 2 3" xfId="12369" xr:uid="{A3DB5B78-E931-4B2A-BC94-48A8E4E106FE}"/>
    <cellStyle name="Normal 4 4 3 2 2 4 3" xfId="6003" xr:uid="{00000000-0005-0000-0000-000072150000}"/>
    <cellStyle name="Normal 4 4 3 2 2 4 3 2" xfId="14442" xr:uid="{C8CD77A0-1187-4541-AB2B-807808E3180A}"/>
    <cellStyle name="Normal 4 4 3 2 2 4 4" xfId="10224" xr:uid="{A2E2EBDE-70FE-4A9F-976B-50E2F0860C5A}"/>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0" xr:uid="{85B1CE13-2782-4FC0-81BF-BFBA2904D993}"/>
    <cellStyle name="Normal 4 4 3 2 2 5 2 3" xfId="12782" xr:uid="{CC518B01-E086-480A-8724-244E1F8B26F5}"/>
    <cellStyle name="Normal 4 4 3 2 2 5 3" xfId="6416" xr:uid="{00000000-0005-0000-0000-000076150000}"/>
    <cellStyle name="Normal 4 4 3 2 2 5 3 2" xfId="14855" xr:uid="{5A7A4AA5-B971-45A5-A60D-EDCFB6DF4A8F}"/>
    <cellStyle name="Normal 4 4 3 2 2 5 4" xfId="10637" xr:uid="{303A812E-F436-4C71-AB1B-2CAEC7B3B8F2}"/>
    <cellStyle name="Normal 4 4 3 2 2 6" xfId="2545" xr:uid="{00000000-0005-0000-0000-000077150000}"/>
    <cellStyle name="Normal 4 4 3 2 2 6 2" xfId="6829" xr:uid="{00000000-0005-0000-0000-000078150000}"/>
    <cellStyle name="Normal 4 4 3 2 2 6 2 2" xfId="15268" xr:uid="{2592D22B-FD73-41E3-B3BA-B18F941A0A48}"/>
    <cellStyle name="Normal 4 4 3 2 2 6 3" xfId="11050" xr:uid="{0A0C8CEE-5C46-4896-94FA-35522121458F}"/>
    <cellStyle name="Normal 4 4 3 2 2 7" xfId="4764" xr:uid="{00000000-0005-0000-0000-000079150000}"/>
    <cellStyle name="Normal 4 4 3 2 2 7 2" xfId="13203" xr:uid="{5FCE16D9-BDB7-47D3-947D-EE330FA39D36}"/>
    <cellStyle name="Normal 4 4 3 2 2 8" xfId="8985" xr:uid="{B5EA697C-55C6-45DC-8B8C-0F5C9D1EAE1E}"/>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0" xr:uid="{2E326FAB-DEF3-496F-8138-FD91FCB244A7}"/>
    <cellStyle name="Normal 4 4 3 2 3 2 3" xfId="11542" xr:uid="{100990FF-10F8-466A-BC38-2CEF707C9DAD}"/>
    <cellStyle name="Normal 4 4 3 2 3 3" xfId="5176" xr:uid="{00000000-0005-0000-0000-00007D150000}"/>
    <cellStyle name="Normal 4 4 3 2 3 3 2" xfId="13615" xr:uid="{F348E326-3BB9-4C89-94E2-D30CC674E12D}"/>
    <cellStyle name="Normal 4 4 3 2 3 4" xfId="9397" xr:uid="{4D0402C9-4563-4B2D-B2E0-2CDF4009E709}"/>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3" xr:uid="{8CC3CA4E-2803-4EDD-9C17-CBA0DB04B6CF}"/>
    <cellStyle name="Normal 4 4 3 2 4 2 3" xfId="11955" xr:uid="{E49FC9BD-4CAD-4F7B-9F4E-69F863595CEC}"/>
    <cellStyle name="Normal 4 4 3 2 4 3" xfId="5589" xr:uid="{00000000-0005-0000-0000-000081150000}"/>
    <cellStyle name="Normal 4 4 3 2 4 3 2" xfId="14028" xr:uid="{A9A1D3D9-529F-4AFC-8C82-66BD3A5E453C}"/>
    <cellStyle name="Normal 4 4 3 2 4 4" xfId="9810" xr:uid="{83825E7A-A69F-4824-BFFF-E1C9AA5D6B7E}"/>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6" xr:uid="{79849E74-395D-4BCE-9FFA-1CBF72BBFBCF}"/>
    <cellStyle name="Normal 4 4 3 2 5 2 3" xfId="12368" xr:uid="{2A9B9153-E05C-47AB-88EE-B4359D64A5C3}"/>
    <cellStyle name="Normal 4 4 3 2 5 3" xfId="6002" xr:uid="{00000000-0005-0000-0000-000085150000}"/>
    <cellStyle name="Normal 4 4 3 2 5 3 2" xfId="14441" xr:uid="{A1BF787B-036E-4578-8320-57DC1BE8990D}"/>
    <cellStyle name="Normal 4 4 3 2 5 4" xfId="10223" xr:uid="{B3AE4596-C3B0-48DA-8A1D-DD866A3165A6}"/>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6999" xr:uid="{DE9E543D-2EA2-4EA8-AAFF-5492C593D4C0}"/>
    <cellStyle name="Normal 4 4 3 2 6 2 3" xfId="12781" xr:uid="{2F3B71B2-95FE-4E09-8193-8C9380028247}"/>
    <cellStyle name="Normal 4 4 3 2 6 3" xfId="6415" xr:uid="{00000000-0005-0000-0000-000089150000}"/>
    <cellStyle name="Normal 4 4 3 2 6 3 2" xfId="14854" xr:uid="{B6A845CD-A4C4-4611-94B0-11805E1BD941}"/>
    <cellStyle name="Normal 4 4 3 2 6 4" xfId="10636" xr:uid="{68851012-707E-434C-B9FB-4198600EBA19}"/>
    <cellStyle name="Normal 4 4 3 2 7" xfId="2544" xr:uid="{00000000-0005-0000-0000-00008A150000}"/>
    <cellStyle name="Normal 4 4 3 2 7 2" xfId="6828" xr:uid="{00000000-0005-0000-0000-00008B150000}"/>
    <cellStyle name="Normal 4 4 3 2 7 2 2" xfId="15267" xr:uid="{482B765B-5A39-4EC6-8728-AA0E754F1674}"/>
    <cellStyle name="Normal 4 4 3 2 7 3" xfId="11049" xr:uid="{947EA862-B78C-42FC-8EA7-3CBC11D4A4DE}"/>
    <cellStyle name="Normal 4 4 3 2 8" xfId="4763" xr:uid="{00000000-0005-0000-0000-00008C150000}"/>
    <cellStyle name="Normal 4 4 3 2 8 2" xfId="13202" xr:uid="{FBFC475E-7368-4448-A18C-03BFC5F64589}"/>
    <cellStyle name="Normal 4 4 3 2 9" xfId="8984" xr:uid="{3CC94E47-2482-47E1-B4DB-3924B4DD2CB6}"/>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2" xr:uid="{BB5D684C-4D06-40E4-AFCC-4EE41EDCA095}"/>
    <cellStyle name="Normal 4 4 3 3 2 2 3" xfId="11544" xr:uid="{AE78F66F-D624-4830-AF45-BE226F00C513}"/>
    <cellStyle name="Normal 4 4 3 3 2 3" xfId="5178" xr:uid="{00000000-0005-0000-0000-000091150000}"/>
    <cellStyle name="Normal 4 4 3 3 2 3 2" xfId="13617" xr:uid="{A639A675-D2C0-4533-B7D3-921C8C5DE53B}"/>
    <cellStyle name="Normal 4 4 3 3 2 4" xfId="9399" xr:uid="{2A62188F-16C3-4641-B658-9AC607DCCCBF}"/>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5" xr:uid="{1BAD76CB-B244-47AD-83F8-10F301F13522}"/>
    <cellStyle name="Normal 4 4 3 3 3 2 3" xfId="11957" xr:uid="{FAB070D2-F35C-40A9-A403-4945B24B4A70}"/>
    <cellStyle name="Normal 4 4 3 3 3 3" xfId="5591" xr:uid="{00000000-0005-0000-0000-000095150000}"/>
    <cellStyle name="Normal 4 4 3 3 3 3 2" xfId="14030" xr:uid="{5C13BE64-866B-491B-8868-9DD21A1A2E8F}"/>
    <cellStyle name="Normal 4 4 3 3 3 4" xfId="9812" xr:uid="{AD7189FC-379B-4FE6-AE24-B6EEE69FF497}"/>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88" xr:uid="{D220AD33-DC95-44A1-A269-FFCDBD2DA68D}"/>
    <cellStyle name="Normal 4 4 3 3 4 2 3" xfId="12370" xr:uid="{76980C67-4593-4071-80DF-AE93D48019BF}"/>
    <cellStyle name="Normal 4 4 3 3 4 3" xfId="6004" xr:uid="{00000000-0005-0000-0000-000099150000}"/>
    <cellStyle name="Normal 4 4 3 3 4 3 2" xfId="14443" xr:uid="{8EA5ABFD-CC10-4F3F-B03A-0ABEE9EF3F6A}"/>
    <cellStyle name="Normal 4 4 3 3 4 4" xfId="10225" xr:uid="{57656DB5-A3CD-4484-84A4-A1C68D995085}"/>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1" xr:uid="{70BCB33D-A606-447E-A9F3-CC1FEC628F13}"/>
    <cellStyle name="Normal 4 4 3 3 5 2 3" xfId="12783" xr:uid="{19601397-EEA9-4102-B5D8-2FA866231EBF}"/>
    <cellStyle name="Normal 4 4 3 3 5 3" xfId="6417" xr:uid="{00000000-0005-0000-0000-00009D150000}"/>
    <cellStyle name="Normal 4 4 3 3 5 3 2" xfId="14856" xr:uid="{DAFCED26-D5DE-4686-98A7-02F94C0A905C}"/>
    <cellStyle name="Normal 4 4 3 3 5 4" xfId="10638" xr:uid="{48E31974-2E9D-46BE-82AE-254E6335AD5B}"/>
    <cellStyle name="Normal 4 4 3 3 6" xfId="2546" xr:uid="{00000000-0005-0000-0000-00009E150000}"/>
    <cellStyle name="Normal 4 4 3 3 6 2" xfId="6830" xr:uid="{00000000-0005-0000-0000-00009F150000}"/>
    <cellStyle name="Normal 4 4 3 3 6 2 2" xfId="15269" xr:uid="{F3E47591-D466-49B7-9021-F50BB369B059}"/>
    <cellStyle name="Normal 4 4 3 3 6 3" xfId="11051" xr:uid="{CB16D745-5289-48B2-9B16-4DC4CB2EEE1B}"/>
    <cellStyle name="Normal 4 4 3 3 7" xfId="4765" xr:uid="{00000000-0005-0000-0000-0000A0150000}"/>
    <cellStyle name="Normal 4 4 3 3 7 2" xfId="13204" xr:uid="{E312FE05-19B3-4007-940F-DB1F6661999A}"/>
    <cellStyle name="Normal 4 4 3 3 8" xfId="8986" xr:uid="{2AC972A2-325D-42F8-91AF-03665D67152C}"/>
    <cellStyle name="Normal 4 4 3 4" xfId="862" xr:uid="{00000000-0005-0000-0000-0000A1150000}"/>
    <cellStyle name="Normal 4 4 3 4 2" xfId="3097" xr:uid="{00000000-0005-0000-0000-0000A2150000}"/>
    <cellStyle name="Normal 4 4 3 4 2 2" xfId="7320" xr:uid="{00000000-0005-0000-0000-0000A3150000}"/>
    <cellStyle name="Normal 4 4 3 4 2 2 2" xfId="15759" xr:uid="{EFC24CA4-EAF1-479E-A73B-4B6579215748}"/>
    <cellStyle name="Normal 4 4 3 4 2 3" xfId="11541" xr:uid="{B78816E7-3128-4738-A22C-444CEE6AAFA8}"/>
    <cellStyle name="Normal 4 4 3 4 3" xfId="5175" xr:uid="{00000000-0005-0000-0000-0000A4150000}"/>
    <cellStyle name="Normal 4 4 3 4 3 2" xfId="13614" xr:uid="{4AEC74F5-727B-43D7-AEFC-66518C6EE921}"/>
    <cellStyle name="Normal 4 4 3 4 4" xfId="9396" xr:uid="{39B42797-C5BE-4CD4-9931-26962431B759}"/>
    <cellStyle name="Normal 4 4 3 5" xfId="1280" xr:uid="{00000000-0005-0000-0000-0000A5150000}"/>
    <cellStyle name="Normal 4 4 3 5 2" xfId="3510" xr:uid="{00000000-0005-0000-0000-0000A6150000}"/>
    <cellStyle name="Normal 4 4 3 5 2 2" xfId="7733" xr:uid="{00000000-0005-0000-0000-0000A7150000}"/>
    <cellStyle name="Normal 4 4 3 5 2 2 2" xfId="16172" xr:uid="{81742005-E831-41FC-B928-AC4024E5E768}"/>
    <cellStyle name="Normal 4 4 3 5 2 3" xfId="11954" xr:uid="{DEA5E337-ADAE-42C3-99A1-DAC0845D8493}"/>
    <cellStyle name="Normal 4 4 3 5 3" xfId="5588" xr:uid="{00000000-0005-0000-0000-0000A8150000}"/>
    <cellStyle name="Normal 4 4 3 5 3 2" xfId="14027" xr:uid="{4B8A36FD-AE28-45B8-8A91-6F79C627F43B}"/>
    <cellStyle name="Normal 4 4 3 5 4" xfId="9809" xr:uid="{BF7EF069-5C3E-4554-948F-C6812276EA75}"/>
    <cellStyle name="Normal 4 4 3 6" xfId="1693" xr:uid="{00000000-0005-0000-0000-0000A9150000}"/>
    <cellStyle name="Normal 4 4 3 6 2" xfId="3923" xr:uid="{00000000-0005-0000-0000-0000AA150000}"/>
    <cellStyle name="Normal 4 4 3 6 2 2" xfId="8146" xr:uid="{00000000-0005-0000-0000-0000AB150000}"/>
    <cellStyle name="Normal 4 4 3 6 2 2 2" xfId="16585" xr:uid="{23FA078B-5EE9-40E2-85EC-3C8548F3D827}"/>
    <cellStyle name="Normal 4 4 3 6 2 3" xfId="12367" xr:uid="{4E06369B-6879-44C4-AC51-328CEEE460A4}"/>
    <cellStyle name="Normal 4 4 3 6 3" xfId="6001" xr:uid="{00000000-0005-0000-0000-0000AC150000}"/>
    <cellStyle name="Normal 4 4 3 6 3 2" xfId="14440" xr:uid="{6BDD5E60-73D5-4FE5-96CB-364AE887895B}"/>
    <cellStyle name="Normal 4 4 3 6 4" xfId="10222" xr:uid="{B4ADFD7F-BD3D-4A91-8B91-A4F871D4F1FE}"/>
    <cellStyle name="Normal 4 4 3 7" xfId="2107" xr:uid="{00000000-0005-0000-0000-0000AD150000}"/>
    <cellStyle name="Normal 4 4 3 7 2" xfId="4336" xr:uid="{00000000-0005-0000-0000-0000AE150000}"/>
    <cellStyle name="Normal 4 4 3 7 2 2" xfId="8559" xr:uid="{00000000-0005-0000-0000-0000AF150000}"/>
    <cellStyle name="Normal 4 4 3 7 2 2 2" xfId="16998" xr:uid="{8D644303-CF32-427A-B0F2-52376FAEBDA7}"/>
    <cellStyle name="Normal 4 4 3 7 2 3" xfId="12780" xr:uid="{21CEDDA9-BF95-41EA-B091-D2AB2705211E}"/>
    <cellStyle name="Normal 4 4 3 7 3" xfId="6414" xr:uid="{00000000-0005-0000-0000-0000B0150000}"/>
    <cellStyle name="Normal 4 4 3 7 3 2" xfId="14853" xr:uid="{27E98629-BB34-4D6E-852D-B2BD29EE7DDF}"/>
    <cellStyle name="Normal 4 4 3 7 4" xfId="10635" xr:uid="{3C9BAA16-88CA-4687-90F9-F91FF59DED1C}"/>
    <cellStyle name="Normal 4 4 3 8" xfId="2543" xr:uid="{00000000-0005-0000-0000-0000B1150000}"/>
    <cellStyle name="Normal 4 4 3 8 2" xfId="6827" xr:uid="{00000000-0005-0000-0000-0000B2150000}"/>
    <cellStyle name="Normal 4 4 3 8 2 2" xfId="15266" xr:uid="{E66B82F8-EB18-48C6-AF1A-5654747A6811}"/>
    <cellStyle name="Normal 4 4 3 8 3" xfId="11048" xr:uid="{FA57F287-648F-4420-8E58-047180F293F5}"/>
    <cellStyle name="Normal 4 4 3 9" xfId="4762" xr:uid="{00000000-0005-0000-0000-0000B3150000}"/>
    <cellStyle name="Normal 4 4 3 9 2" xfId="13201" xr:uid="{4D8A866A-7950-43FC-8D25-20868E6CDB52}"/>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4" xr:uid="{9B1FE09B-D45E-4520-A826-5185185C9567}"/>
    <cellStyle name="Normal 4 4 4 2 2 2 3" xfId="11546" xr:uid="{BD7709BD-BDAB-4486-A5F6-AC3DC97C2EFA}"/>
    <cellStyle name="Normal 4 4 4 2 2 3" xfId="5180" xr:uid="{00000000-0005-0000-0000-0000B9150000}"/>
    <cellStyle name="Normal 4 4 4 2 2 3 2" xfId="13619" xr:uid="{4834582D-E4F4-4C4D-9444-2F0AA50935DE}"/>
    <cellStyle name="Normal 4 4 4 2 2 4" xfId="9401" xr:uid="{35C40492-C619-4A3A-88E7-29CC08338A0A}"/>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77" xr:uid="{DC431C92-FCA5-4347-9E88-1171372DFD3D}"/>
    <cellStyle name="Normal 4 4 4 2 3 2 3" xfId="11959" xr:uid="{39E7E6DB-F2DE-470D-A771-2DE9FCA7917F}"/>
    <cellStyle name="Normal 4 4 4 2 3 3" xfId="5593" xr:uid="{00000000-0005-0000-0000-0000BD150000}"/>
    <cellStyle name="Normal 4 4 4 2 3 3 2" xfId="14032" xr:uid="{087C53CA-B83C-4F1D-ABE2-DD8758BE8A47}"/>
    <cellStyle name="Normal 4 4 4 2 3 4" xfId="9814" xr:uid="{32A35BDE-0CE5-49B1-8DA0-6FA2061610F3}"/>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0" xr:uid="{60044164-E1F2-438E-BC3B-A257BC39AC5F}"/>
    <cellStyle name="Normal 4 4 4 2 4 2 3" xfId="12372" xr:uid="{E773A81C-2C3A-4588-B4A6-C56AD691EA7B}"/>
    <cellStyle name="Normal 4 4 4 2 4 3" xfId="6006" xr:uid="{00000000-0005-0000-0000-0000C1150000}"/>
    <cellStyle name="Normal 4 4 4 2 4 3 2" xfId="14445" xr:uid="{9271D35A-EB38-4FF5-B7F5-17CE7A949BF3}"/>
    <cellStyle name="Normal 4 4 4 2 4 4" xfId="10227" xr:uid="{9FDFCE24-2E63-408A-81A6-C689CE483909}"/>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3" xr:uid="{B55AFD8E-E33B-42CF-BB95-140A1EA0D841}"/>
    <cellStyle name="Normal 4 4 4 2 5 2 3" xfId="12785" xr:uid="{B35DF9C0-94D1-4F4D-B2A6-041900DCB6F9}"/>
    <cellStyle name="Normal 4 4 4 2 5 3" xfId="6419" xr:uid="{00000000-0005-0000-0000-0000C5150000}"/>
    <cellStyle name="Normal 4 4 4 2 5 3 2" xfId="14858" xr:uid="{75EE6F35-739E-4935-AE26-7BC03615E938}"/>
    <cellStyle name="Normal 4 4 4 2 5 4" xfId="10640" xr:uid="{A5692F00-11EC-401F-8E1B-2C5706E97F41}"/>
    <cellStyle name="Normal 4 4 4 2 6" xfId="2548" xr:uid="{00000000-0005-0000-0000-0000C6150000}"/>
    <cellStyle name="Normal 4 4 4 2 6 2" xfId="6832" xr:uid="{00000000-0005-0000-0000-0000C7150000}"/>
    <cellStyle name="Normal 4 4 4 2 6 2 2" xfId="15271" xr:uid="{1B4CC20A-AA72-4C82-8E70-749F274076C0}"/>
    <cellStyle name="Normal 4 4 4 2 6 3" xfId="11053" xr:uid="{E5435110-32C4-4C3E-B156-1C288AC0200D}"/>
    <cellStyle name="Normal 4 4 4 2 7" xfId="4767" xr:uid="{00000000-0005-0000-0000-0000C8150000}"/>
    <cellStyle name="Normal 4 4 4 2 7 2" xfId="13206" xr:uid="{7B3E9527-8708-4440-A01C-033CC84A261F}"/>
    <cellStyle name="Normal 4 4 4 2 8" xfId="8988" xr:uid="{D28029FC-649F-42D2-A1EE-7D630D5F31D1}"/>
    <cellStyle name="Normal 4 4 4 3" xfId="866" xr:uid="{00000000-0005-0000-0000-0000C9150000}"/>
    <cellStyle name="Normal 4 4 4 3 2" xfId="3101" xr:uid="{00000000-0005-0000-0000-0000CA150000}"/>
    <cellStyle name="Normal 4 4 4 3 2 2" xfId="7324" xr:uid="{00000000-0005-0000-0000-0000CB150000}"/>
    <cellStyle name="Normal 4 4 4 3 2 2 2" xfId="15763" xr:uid="{2490398C-5A7A-40AD-9E63-081DF93B7799}"/>
    <cellStyle name="Normal 4 4 4 3 2 3" xfId="11545" xr:uid="{61F12223-5D88-4B82-922A-018574DF4563}"/>
    <cellStyle name="Normal 4 4 4 3 3" xfId="5179" xr:uid="{00000000-0005-0000-0000-0000CC150000}"/>
    <cellStyle name="Normal 4 4 4 3 3 2" xfId="13618" xr:uid="{703F34F9-2339-4DFB-8026-3AF60FCA2592}"/>
    <cellStyle name="Normal 4 4 4 3 4" xfId="9400" xr:uid="{B567F7A0-2252-43B8-A9B9-4F8B3E1957C1}"/>
    <cellStyle name="Normal 4 4 4 4" xfId="1284" xr:uid="{00000000-0005-0000-0000-0000CD150000}"/>
    <cellStyle name="Normal 4 4 4 4 2" xfId="3514" xr:uid="{00000000-0005-0000-0000-0000CE150000}"/>
    <cellStyle name="Normal 4 4 4 4 2 2" xfId="7737" xr:uid="{00000000-0005-0000-0000-0000CF150000}"/>
    <cellStyle name="Normal 4 4 4 4 2 2 2" xfId="16176" xr:uid="{335F7EB1-A855-4F3D-9DC5-28A0A5821E19}"/>
    <cellStyle name="Normal 4 4 4 4 2 3" xfId="11958" xr:uid="{F5457FEA-1D03-4CF5-8055-029562F0E818}"/>
    <cellStyle name="Normal 4 4 4 4 3" xfId="5592" xr:uid="{00000000-0005-0000-0000-0000D0150000}"/>
    <cellStyle name="Normal 4 4 4 4 3 2" xfId="14031" xr:uid="{6C0FEA51-B65C-482D-8B82-CA9705A5AD21}"/>
    <cellStyle name="Normal 4 4 4 4 4" xfId="9813" xr:uid="{53549E9D-70B7-4C9C-A7CF-ED86891B361A}"/>
    <cellStyle name="Normal 4 4 4 5" xfId="1697" xr:uid="{00000000-0005-0000-0000-0000D1150000}"/>
    <cellStyle name="Normal 4 4 4 5 2" xfId="3927" xr:uid="{00000000-0005-0000-0000-0000D2150000}"/>
    <cellStyle name="Normal 4 4 4 5 2 2" xfId="8150" xr:uid="{00000000-0005-0000-0000-0000D3150000}"/>
    <cellStyle name="Normal 4 4 4 5 2 2 2" xfId="16589" xr:uid="{34F4FB2A-9987-4B72-A92F-921A64035B1D}"/>
    <cellStyle name="Normal 4 4 4 5 2 3" xfId="12371" xr:uid="{928F9A2B-1D4F-4E3A-85A3-8858E12D4C26}"/>
    <cellStyle name="Normal 4 4 4 5 3" xfId="6005" xr:uid="{00000000-0005-0000-0000-0000D4150000}"/>
    <cellStyle name="Normal 4 4 4 5 3 2" xfId="14444" xr:uid="{728A101A-A02F-417B-AFE0-3F55DD6AA19D}"/>
    <cellStyle name="Normal 4 4 4 5 4" xfId="10226" xr:uid="{0EE2BCFC-AFEE-48F9-9EC5-6B3F48DD5729}"/>
    <cellStyle name="Normal 4 4 4 6" xfId="2111" xr:uid="{00000000-0005-0000-0000-0000D5150000}"/>
    <cellStyle name="Normal 4 4 4 6 2" xfId="4340" xr:uid="{00000000-0005-0000-0000-0000D6150000}"/>
    <cellStyle name="Normal 4 4 4 6 2 2" xfId="8563" xr:uid="{00000000-0005-0000-0000-0000D7150000}"/>
    <cellStyle name="Normal 4 4 4 6 2 2 2" xfId="17002" xr:uid="{D6167CCE-BE00-4745-B419-CA10A66CDD7D}"/>
    <cellStyle name="Normal 4 4 4 6 2 3" xfId="12784" xr:uid="{FF8A3F67-8FD1-4682-AFC2-80C6224FD12C}"/>
    <cellStyle name="Normal 4 4 4 6 3" xfId="6418" xr:uid="{00000000-0005-0000-0000-0000D8150000}"/>
    <cellStyle name="Normal 4 4 4 6 3 2" xfId="14857" xr:uid="{3C323BC2-3EFB-40C1-A3A4-C56AAEB931FC}"/>
    <cellStyle name="Normal 4 4 4 6 4" xfId="10639" xr:uid="{5FBAA56C-452E-4E27-BCA8-BC951CA95414}"/>
    <cellStyle name="Normal 4 4 4 7" xfId="2547" xr:uid="{00000000-0005-0000-0000-0000D9150000}"/>
    <cellStyle name="Normal 4 4 4 7 2" xfId="6831" xr:uid="{00000000-0005-0000-0000-0000DA150000}"/>
    <cellStyle name="Normal 4 4 4 7 2 2" xfId="15270" xr:uid="{E5F4B697-89D6-4C53-A5B2-EF95A9C7B376}"/>
    <cellStyle name="Normal 4 4 4 7 3" xfId="11052" xr:uid="{C3011554-EE39-4F16-B2D8-FD2914D0CA83}"/>
    <cellStyle name="Normal 4 4 4 8" xfId="4766" xr:uid="{00000000-0005-0000-0000-0000DB150000}"/>
    <cellStyle name="Normal 4 4 4 8 2" xfId="13205" xr:uid="{102463F4-534F-4DB3-855D-A2C64C26CFB8}"/>
    <cellStyle name="Normal 4 4 4 9" xfId="8987" xr:uid="{EDCFB284-8D21-47E4-A932-DF5AA95779BA}"/>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5" xr:uid="{679F39EE-5245-43F9-B029-663DBE82061C}"/>
    <cellStyle name="Normal 4 4 5 2 2 3" xfId="11547" xr:uid="{D1993231-AC3C-4552-AA06-B4C2B0527EFF}"/>
    <cellStyle name="Normal 4 4 5 2 3" xfId="5181" xr:uid="{00000000-0005-0000-0000-0000E0150000}"/>
    <cellStyle name="Normal 4 4 5 2 3 2" xfId="13620" xr:uid="{D1D2A1C4-01EB-46FB-BE6A-2708993B961A}"/>
    <cellStyle name="Normal 4 4 5 2 4" xfId="9402" xr:uid="{06F8AD8E-1A2B-494C-9422-45F05BEED5DF}"/>
    <cellStyle name="Normal 4 4 5 3" xfId="1286" xr:uid="{00000000-0005-0000-0000-0000E1150000}"/>
    <cellStyle name="Normal 4 4 5 3 2" xfId="3516" xr:uid="{00000000-0005-0000-0000-0000E2150000}"/>
    <cellStyle name="Normal 4 4 5 3 2 2" xfId="7739" xr:uid="{00000000-0005-0000-0000-0000E3150000}"/>
    <cellStyle name="Normal 4 4 5 3 2 2 2" xfId="16178" xr:uid="{234A910C-7C3A-443D-AE7B-10C1530F2C61}"/>
    <cellStyle name="Normal 4 4 5 3 2 3" xfId="11960" xr:uid="{E259034E-01FB-4511-9173-CD2E401E6E14}"/>
    <cellStyle name="Normal 4 4 5 3 3" xfId="5594" xr:uid="{00000000-0005-0000-0000-0000E4150000}"/>
    <cellStyle name="Normal 4 4 5 3 3 2" xfId="14033" xr:uid="{1E528798-D07E-4A12-BE61-1DCD05B3E390}"/>
    <cellStyle name="Normal 4 4 5 3 4" xfId="9815" xr:uid="{C2FF53EC-8B39-4388-ABA8-220D6FFE2304}"/>
    <cellStyle name="Normal 4 4 5 4" xfId="1699" xr:uid="{00000000-0005-0000-0000-0000E5150000}"/>
    <cellStyle name="Normal 4 4 5 4 2" xfId="3929" xr:uid="{00000000-0005-0000-0000-0000E6150000}"/>
    <cellStyle name="Normal 4 4 5 4 2 2" xfId="8152" xr:uid="{00000000-0005-0000-0000-0000E7150000}"/>
    <cellStyle name="Normal 4 4 5 4 2 2 2" xfId="16591" xr:uid="{F8107C3B-53CC-4161-9713-916FB4E9237F}"/>
    <cellStyle name="Normal 4 4 5 4 2 3" xfId="12373" xr:uid="{0A630E90-9564-49F3-BBB4-E00D5DF7E453}"/>
    <cellStyle name="Normal 4 4 5 4 3" xfId="6007" xr:uid="{00000000-0005-0000-0000-0000E8150000}"/>
    <cellStyle name="Normal 4 4 5 4 3 2" xfId="14446" xr:uid="{77784B7A-55F2-4543-A0D7-1A67A0517052}"/>
    <cellStyle name="Normal 4 4 5 4 4" xfId="10228" xr:uid="{77E45456-BF6B-4A1D-80EB-ADE021A9415A}"/>
    <cellStyle name="Normal 4 4 5 5" xfId="2113" xr:uid="{00000000-0005-0000-0000-0000E9150000}"/>
    <cellStyle name="Normal 4 4 5 5 2" xfId="4342" xr:uid="{00000000-0005-0000-0000-0000EA150000}"/>
    <cellStyle name="Normal 4 4 5 5 2 2" xfId="8565" xr:uid="{00000000-0005-0000-0000-0000EB150000}"/>
    <cellStyle name="Normal 4 4 5 5 2 2 2" xfId="17004" xr:uid="{CD4292DE-44DB-45C8-893C-B70746B59E2E}"/>
    <cellStyle name="Normal 4 4 5 5 2 3" xfId="12786" xr:uid="{B804A8FB-7722-478C-8823-EF03FBB76769}"/>
    <cellStyle name="Normal 4 4 5 5 3" xfId="6420" xr:uid="{00000000-0005-0000-0000-0000EC150000}"/>
    <cellStyle name="Normal 4 4 5 5 3 2" xfId="14859" xr:uid="{8385E257-F4F5-4F09-829A-5087C4028D50}"/>
    <cellStyle name="Normal 4 4 5 5 4" xfId="10641" xr:uid="{8034101E-BE87-4F01-9704-F5FF2DAEA383}"/>
    <cellStyle name="Normal 4 4 5 6" xfId="2549" xr:uid="{00000000-0005-0000-0000-0000ED150000}"/>
    <cellStyle name="Normal 4 4 5 6 2" xfId="6833" xr:uid="{00000000-0005-0000-0000-0000EE150000}"/>
    <cellStyle name="Normal 4 4 5 6 2 2" xfId="15272" xr:uid="{FB1B3CF1-CD49-4756-8A3E-0235162FD8B3}"/>
    <cellStyle name="Normal 4 4 5 6 3" xfId="11054" xr:uid="{DD897FD0-05F9-4BF6-842D-383B0DB24EC6}"/>
    <cellStyle name="Normal 4 4 5 7" xfId="4768" xr:uid="{00000000-0005-0000-0000-0000EF150000}"/>
    <cellStyle name="Normal 4 4 5 7 2" xfId="13207" xr:uid="{F6882FF3-D113-4086-9F57-D411D1841582}"/>
    <cellStyle name="Normal 4 4 5 8" xfId="8989" xr:uid="{40396FDE-E518-4690-B564-1D0D59774363}"/>
    <cellStyle name="Normal 4 4 6" xfId="853" xr:uid="{00000000-0005-0000-0000-0000F0150000}"/>
    <cellStyle name="Normal 4 4 6 2" xfId="3088" xr:uid="{00000000-0005-0000-0000-0000F1150000}"/>
    <cellStyle name="Normal 4 4 6 2 2" xfId="7311" xr:uid="{00000000-0005-0000-0000-0000F2150000}"/>
    <cellStyle name="Normal 4 4 6 2 2 2" xfId="15750" xr:uid="{C1A3D3AD-9B08-4A68-8D4A-D9E5D48BE28C}"/>
    <cellStyle name="Normal 4 4 6 2 3" xfId="11532" xr:uid="{619341A7-7992-4564-8384-B898B0E0F8AB}"/>
    <cellStyle name="Normal 4 4 6 3" xfId="5166" xr:uid="{00000000-0005-0000-0000-0000F3150000}"/>
    <cellStyle name="Normal 4 4 6 3 2" xfId="13605" xr:uid="{869BC8D0-6643-4C55-8565-525DAEB57FF1}"/>
    <cellStyle name="Normal 4 4 6 4" xfId="9387" xr:uid="{3D20920F-43C5-4876-978F-5810FD014D81}"/>
    <cellStyle name="Normal 4 4 7" xfId="1271" xr:uid="{00000000-0005-0000-0000-0000F4150000}"/>
    <cellStyle name="Normal 4 4 7 2" xfId="3501" xr:uid="{00000000-0005-0000-0000-0000F5150000}"/>
    <cellStyle name="Normal 4 4 7 2 2" xfId="7724" xr:uid="{00000000-0005-0000-0000-0000F6150000}"/>
    <cellStyle name="Normal 4 4 7 2 2 2" xfId="16163" xr:uid="{8F9B75EC-1370-4BE7-9DE2-EACA3A8ED048}"/>
    <cellStyle name="Normal 4 4 7 2 3" xfId="11945" xr:uid="{1CF76E4D-74A3-4D6C-91D4-33FB1DA79931}"/>
    <cellStyle name="Normal 4 4 7 3" xfId="5579" xr:uid="{00000000-0005-0000-0000-0000F7150000}"/>
    <cellStyle name="Normal 4 4 7 3 2" xfId="14018" xr:uid="{71CBA5BB-4573-4389-A615-7060CB03A1CD}"/>
    <cellStyle name="Normal 4 4 7 4" xfId="9800" xr:uid="{46F4ABBC-5790-4E14-8940-8BEFDC745B69}"/>
    <cellStyle name="Normal 4 4 8" xfId="1684" xr:uid="{00000000-0005-0000-0000-0000F8150000}"/>
    <cellStyle name="Normal 4 4 8 2" xfId="3914" xr:uid="{00000000-0005-0000-0000-0000F9150000}"/>
    <cellStyle name="Normal 4 4 8 2 2" xfId="8137" xr:uid="{00000000-0005-0000-0000-0000FA150000}"/>
    <cellStyle name="Normal 4 4 8 2 2 2" xfId="16576" xr:uid="{FAC40C82-35D7-49B0-B33F-8B9A10758AEA}"/>
    <cellStyle name="Normal 4 4 8 2 3" xfId="12358" xr:uid="{2488D910-A07D-4B06-8821-21E14BE45366}"/>
    <cellStyle name="Normal 4 4 8 3" xfId="5992" xr:uid="{00000000-0005-0000-0000-0000FB150000}"/>
    <cellStyle name="Normal 4 4 8 3 2" xfId="14431" xr:uid="{E1CB8A88-B9E4-4313-A9DB-DC8A499B6147}"/>
    <cellStyle name="Normal 4 4 8 4" xfId="10213" xr:uid="{A7B57470-42C2-4410-80E1-73567775FFC4}"/>
    <cellStyle name="Normal 4 4 9" xfId="2098" xr:uid="{00000000-0005-0000-0000-0000FC150000}"/>
    <cellStyle name="Normal 4 4 9 2" xfId="4327" xr:uid="{00000000-0005-0000-0000-0000FD150000}"/>
    <cellStyle name="Normal 4 4 9 2 2" xfId="8550" xr:uid="{00000000-0005-0000-0000-0000FE150000}"/>
    <cellStyle name="Normal 4 4 9 2 2 2" xfId="16989" xr:uid="{17DA6FCD-035A-4820-BE0B-BCA2B6DAA254}"/>
    <cellStyle name="Normal 4 4 9 2 3" xfId="12771" xr:uid="{2D3AED7F-C04A-4931-B1FA-4979252C3D36}"/>
    <cellStyle name="Normal 4 4 9 3" xfId="6405" xr:uid="{00000000-0005-0000-0000-0000FF150000}"/>
    <cellStyle name="Normal 4 4 9 3 2" xfId="14844" xr:uid="{D1B96092-89ED-4ED7-978D-81DB76120A25}"/>
    <cellStyle name="Normal 4 4 9 4" xfId="10626" xr:uid="{2A629B24-0DF4-4C62-BEE2-9F559723253D}"/>
    <cellStyle name="Normal 4 5" xfId="394" xr:uid="{00000000-0005-0000-0000-000000160000}"/>
    <cellStyle name="Normal 4 6" xfId="395" xr:uid="{00000000-0005-0000-0000-000001160000}"/>
    <cellStyle name="Normal 4 6 10" xfId="4769" xr:uid="{00000000-0005-0000-0000-000002160000}"/>
    <cellStyle name="Normal 4 6 10 2" xfId="13208" xr:uid="{CC9EA8F0-9CEF-4415-A411-4A6EF1B7CDA7}"/>
    <cellStyle name="Normal 4 6 11" xfId="8990" xr:uid="{270E2471-EC22-4B57-84AA-425C34E8D375}"/>
    <cellStyle name="Normal 4 6 2" xfId="396" xr:uid="{00000000-0005-0000-0000-000003160000}"/>
    <cellStyle name="Normal 4 6 2 10" xfId="8991" xr:uid="{00658001-6233-4BE0-9DAD-1B1CDE6970E1}"/>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69" xr:uid="{278818D6-7E69-47F3-9EB4-62E279B1C7A1}"/>
    <cellStyle name="Normal 4 6 2 2 2 2 2 3" xfId="11551" xr:uid="{0D91A91F-B9B7-4A74-9B19-0BE3F70CF993}"/>
    <cellStyle name="Normal 4 6 2 2 2 2 3" xfId="5185" xr:uid="{00000000-0005-0000-0000-000009160000}"/>
    <cellStyle name="Normal 4 6 2 2 2 2 3 2" xfId="13624" xr:uid="{8B110963-CD30-4CD0-B92F-20177ADAF80F}"/>
    <cellStyle name="Normal 4 6 2 2 2 2 4" xfId="9406" xr:uid="{CF799BDE-82A2-44CF-83B3-2D2F461BE556}"/>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2" xr:uid="{ABB03C92-A31D-48AD-A375-C462A86E4B97}"/>
    <cellStyle name="Normal 4 6 2 2 2 3 2 3" xfId="11964" xr:uid="{F247607C-F71F-4DB9-A43B-C54958EDF626}"/>
    <cellStyle name="Normal 4 6 2 2 2 3 3" xfId="5598" xr:uid="{00000000-0005-0000-0000-00000D160000}"/>
    <cellStyle name="Normal 4 6 2 2 2 3 3 2" xfId="14037" xr:uid="{70CCDADD-9A7D-4230-970D-9250A312C0F4}"/>
    <cellStyle name="Normal 4 6 2 2 2 3 4" xfId="9819" xr:uid="{3114985C-6883-4C0C-BE80-91E347E4253A}"/>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5" xr:uid="{14E53700-456D-465A-A8B6-E02A5E594D99}"/>
    <cellStyle name="Normal 4 6 2 2 2 4 2 3" xfId="12377" xr:uid="{F41E6E9D-5EF9-41B7-A8F9-02C72FEC1111}"/>
    <cellStyle name="Normal 4 6 2 2 2 4 3" xfId="6011" xr:uid="{00000000-0005-0000-0000-000011160000}"/>
    <cellStyle name="Normal 4 6 2 2 2 4 3 2" xfId="14450" xr:uid="{D64793B9-39EA-41FC-98E4-34902D74545A}"/>
    <cellStyle name="Normal 4 6 2 2 2 4 4" xfId="10232" xr:uid="{0EAC2C72-6C00-4902-9908-679AC05E4FF4}"/>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08" xr:uid="{67E4CBA8-B013-4BAE-B460-33809FC3221D}"/>
    <cellStyle name="Normal 4 6 2 2 2 5 2 3" xfId="12790" xr:uid="{807188B3-9A47-41CA-8E66-23E347DC8292}"/>
    <cellStyle name="Normal 4 6 2 2 2 5 3" xfId="6424" xr:uid="{00000000-0005-0000-0000-000015160000}"/>
    <cellStyle name="Normal 4 6 2 2 2 5 3 2" xfId="14863" xr:uid="{EC7A782F-9FEB-438D-AA55-B1EE151223DF}"/>
    <cellStyle name="Normal 4 6 2 2 2 5 4" xfId="10645" xr:uid="{000F76EE-C5A7-4202-9871-0C681F103AD2}"/>
    <cellStyle name="Normal 4 6 2 2 2 6" xfId="2553" xr:uid="{00000000-0005-0000-0000-000016160000}"/>
    <cellStyle name="Normal 4 6 2 2 2 6 2" xfId="6837" xr:uid="{00000000-0005-0000-0000-000017160000}"/>
    <cellStyle name="Normal 4 6 2 2 2 6 2 2" xfId="15276" xr:uid="{350DADB6-B7D9-45FC-9D8C-291E5A9EE129}"/>
    <cellStyle name="Normal 4 6 2 2 2 6 3" xfId="11058" xr:uid="{3B5836EF-8FEE-4B09-8872-CE11AE124970}"/>
    <cellStyle name="Normal 4 6 2 2 2 7" xfId="4772" xr:uid="{00000000-0005-0000-0000-000018160000}"/>
    <cellStyle name="Normal 4 6 2 2 2 7 2" xfId="13211" xr:uid="{AEA3A442-49DD-4500-9C52-51026740445A}"/>
    <cellStyle name="Normal 4 6 2 2 2 8" xfId="8993" xr:uid="{67E85AD7-A56A-404F-9FEB-88FC8C8301C6}"/>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68" xr:uid="{8562CE10-38BC-48ED-9E1E-0E327DC95936}"/>
    <cellStyle name="Normal 4 6 2 2 3 2 3" xfId="11550" xr:uid="{9174E6E5-6C9C-4182-A449-F88479F03125}"/>
    <cellStyle name="Normal 4 6 2 2 3 3" xfId="5184" xr:uid="{00000000-0005-0000-0000-00001C160000}"/>
    <cellStyle name="Normal 4 6 2 2 3 3 2" xfId="13623" xr:uid="{22F63BBE-75BE-4CC7-9041-06281CD7693A}"/>
    <cellStyle name="Normal 4 6 2 2 3 4" xfId="9405" xr:uid="{0D1D4FEF-8C9D-47AE-9BF5-01EDFFA3F89B}"/>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1" xr:uid="{6C8BEE5A-6A86-46E4-8B53-B7A6EAF0FCA1}"/>
    <cellStyle name="Normal 4 6 2 2 4 2 3" xfId="11963" xr:uid="{6D2612DA-D797-4E40-88A5-A4D69188C879}"/>
    <cellStyle name="Normal 4 6 2 2 4 3" xfId="5597" xr:uid="{00000000-0005-0000-0000-000020160000}"/>
    <cellStyle name="Normal 4 6 2 2 4 3 2" xfId="14036" xr:uid="{1FE12167-C5AB-4AB9-800B-B711EBA8E6CB}"/>
    <cellStyle name="Normal 4 6 2 2 4 4" xfId="9818" xr:uid="{98752D3E-B0C0-4AA0-86BB-B5C5CD12EE69}"/>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4" xr:uid="{C87BCA48-6C39-48A3-9251-4BE26FC3197A}"/>
    <cellStyle name="Normal 4 6 2 2 5 2 3" xfId="12376" xr:uid="{5B041C8E-0F3B-49F1-89A5-E31A7BA4EBBF}"/>
    <cellStyle name="Normal 4 6 2 2 5 3" xfId="6010" xr:uid="{00000000-0005-0000-0000-000024160000}"/>
    <cellStyle name="Normal 4 6 2 2 5 3 2" xfId="14449" xr:uid="{A8E466F3-BE7F-49BC-8419-9A3BE6B8BA74}"/>
    <cellStyle name="Normal 4 6 2 2 5 4" xfId="10231" xr:uid="{C01A99C2-0409-45AE-940C-D22482CDB60F}"/>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07" xr:uid="{D843194E-A07B-4C53-8965-602AA570027D}"/>
    <cellStyle name="Normal 4 6 2 2 6 2 3" xfId="12789" xr:uid="{909BA9B1-B93C-452C-9DD2-5EF0D8B78C8C}"/>
    <cellStyle name="Normal 4 6 2 2 6 3" xfId="6423" xr:uid="{00000000-0005-0000-0000-000028160000}"/>
    <cellStyle name="Normal 4 6 2 2 6 3 2" xfId="14862" xr:uid="{5FD506C1-9A9B-44E3-95FD-A85445832052}"/>
    <cellStyle name="Normal 4 6 2 2 6 4" xfId="10644" xr:uid="{C9DAAA17-4019-4482-A924-D527BDC4C43A}"/>
    <cellStyle name="Normal 4 6 2 2 7" xfId="2552" xr:uid="{00000000-0005-0000-0000-000029160000}"/>
    <cellStyle name="Normal 4 6 2 2 7 2" xfId="6836" xr:uid="{00000000-0005-0000-0000-00002A160000}"/>
    <cellStyle name="Normal 4 6 2 2 7 2 2" xfId="15275" xr:uid="{8E7AC38A-DA5A-400A-8A8B-747EC1C7CBD2}"/>
    <cellStyle name="Normal 4 6 2 2 7 3" xfId="11057" xr:uid="{CBED05DC-2856-484C-A25E-8AECAD2F46BB}"/>
    <cellStyle name="Normal 4 6 2 2 8" xfId="4771" xr:uid="{00000000-0005-0000-0000-00002B160000}"/>
    <cellStyle name="Normal 4 6 2 2 8 2" xfId="13210" xr:uid="{60B9428D-001D-4C79-AC03-D833B4D82F77}"/>
    <cellStyle name="Normal 4 6 2 2 9" xfId="8992" xr:uid="{A6CA916A-B73F-4684-888F-CB6DF3CF30FD}"/>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0" xr:uid="{D642DA8C-6931-4D35-980C-F11B78B2CE83}"/>
    <cellStyle name="Normal 4 6 2 3 2 2 3" xfId="11552" xr:uid="{A00EB01E-02B6-46A7-98D2-D6787707BB45}"/>
    <cellStyle name="Normal 4 6 2 3 2 3" xfId="5186" xr:uid="{00000000-0005-0000-0000-000030160000}"/>
    <cellStyle name="Normal 4 6 2 3 2 3 2" xfId="13625" xr:uid="{A2484E1D-42C0-451D-9C9D-331A78F16AF5}"/>
    <cellStyle name="Normal 4 6 2 3 2 4" xfId="9407" xr:uid="{42243850-90DC-4604-AD28-A82AA5A15491}"/>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3" xr:uid="{8126734A-8261-4539-BEB2-E8C8B4A2D10B}"/>
    <cellStyle name="Normal 4 6 2 3 3 2 3" xfId="11965" xr:uid="{932B80B2-011E-4AE1-A08A-F7FD968C1F91}"/>
    <cellStyle name="Normal 4 6 2 3 3 3" xfId="5599" xr:uid="{00000000-0005-0000-0000-000034160000}"/>
    <cellStyle name="Normal 4 6 2 3 3 3 2" xfId="14038" xr:uid="{15AB32EE-CBCC-496E-ABE6-6FBEFAA5F86C}"/>
    <cellStyle name="Normal 4 6 2 3 3 4" xfId="9820" xr:uid="{1082F40B-A00E-46B7-8FBE-A07C955B755B}"/>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6" xr:uid="{5E6F2992-3445-4AA7-9594-29C4609159AF}"/>
    <cellStyle name="Normal 4 6 2 3 4 2 3" xfId="12378" xr:uid="{41EAB27E-27B7-444B-89FE-EBBFFE7DFD62}"/>
    <cellStyle name="Normal 4 6 2 3 4 3" xfId="6012" xr:uid="{00000000-0005-0000-0000-000038160000}"/>
    <cellStyle name="Normal 4 6 2 3 4 3 2" xfId="14451" xr:uid="{DB3D023F-47EA-4796-B3D3-5736D540FED8}"/>
    <cellStyle name="Normal 4 6 2 3 4 4" xfId="10233" xr:uid="{2049B470-5B2B-42D5-98DA-EB81406AC33C}"/>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09" xr:uid="{351D89C9-D37C-46FB-9F4B-EA7FA433936D}"/>
    <cellStyle name="Normal 4 6 2 3 5 2 3" xfId="12791" xr:uid="{901D008E-BE30-4269-9473-6513749DF400}"/>
    <cellStyle name="Normal 4 6 2 3 5 3" xfId="6425" xr:uid="{00000000-0005-0000-0000-00003C160000}"/>
    <cellStyle name="Normal 4 6 2 3 5 3 2" xfId="14864" xr:uid="{39848375-A64C-4D17-A270-5D23F2D75EB6}"/>
    <cellStyle name="Normal 4 6 2 3 5 4" xfId="10646" xr:uid="{A60A9DDE-AD51-4242-A238-70BB7CA2A37F}"/>
    <cellStyle name="Normal 4 6 2 3 6" xfId="2554" xr:uid="{00000000-0005-0000-0000-00003D160000}"/>
    <cellStyle name="Normal 4 6 2 3 6 2" xfId="6838" xr:uid="{00000000-0005-0000-0000-00003E160000}"/>
    <cellStyle name="Normal 4 6 2 3 6 2 2" xfId="15277" xr:uid="{2B1DD4FE-DC38-4966-BF6B-2D8C240272A3}"/>
    <cellStyle name="Normal 4 6 2 3 6 3" xfId="11059" xr:uid="{CDD61D77-0B74-4B61-A3BF-24C77458BF88}"/>
    <cellStyle name="Normal 4 6 2 3 7" xfId="4773" xr:uid="{00000000-0005-0000-0000-00003F160000}"/>
    <cellStyle name="Normal 4 6 2 3 7 2" xfId="13212" xr:uid="{5C3CEFFF-4DE8-4BDE-B1A2-2223E48A85DA}"/>
    <cellStyle name="Normal 4 6 2 3 8" xfId="8994" xr:uid="{4D892628-F987-4493-AAF4-20DB98C89DCC}"/>
    <cellStyle name="Normal 4 6 2 4" xfId="870" xr:uid="{00000000-0005-0000-0000-000040160000}"/>
    <cellStyle name="Normal 4 6 2 4 2" xfId="3105" xr:uid="{00000000-0005-0000-0000-000041160000}"/>
    <cellStyle name="Normal 4 6 2 4 2 2" xfId="7328" xr:uid="{00000000-0005-0000-0000-000042160000}"/>
    <cellStyle name="Normal 4 6 2 4 2 2 2" xfId="15767" xr:uid="{353C4755-24B9-4C18-A294-6737DA0F9E34}"/>
    <cellStyle name="Normal 4 6 2 4 2 3" xfId="11549" xr:uid="{B351FA1F-58AF-4836-901C-AF17E3899F6B}"/>
    <cellStyle name="Normal 4 6 2 4 3" xfId="5183" xr:uid="{00000000-0005-0000-0000-000043160000}"/>
    <cellStyle name="Normal 4 6 2 4 3 2" xfId="13622" xr:uid="{ECF7AB1E-823C-4829-99B2-9C2DA7E02F77}"/>
    <cellStyle name="Normal 4 6 2 4 4" xfId="9404" xr:uid="{E335E9FC-2D39-4B8A-9A8E-51DFA7D97BA2}"/>
    <cellStyle name="Normal 4 6 2 5" xfId="1288" xr:uid="{00000000-0005-0000-0000-000044160000}"/>
    <cellStyle name="Normal 4 6 2 5 2" xfId="3518" xr:uid="{00000000-0005-0000-0000-000045160000}"/>
    <cellStyle name="Normal 4 6 2 5 2 2" xfId="7741" xr:uid="{00000000-0005-0000-0000-000046160000}"/>
    <cellStyle name="Normal 4 6 2 5 2 2 2" xfId="16180" xr:uid="{AA758F06-6B67-4BAF-A911-C28F28345BCE}"/>
    <cellStyle name="Normal 4 6 2 5 2 3" xfId="11962" xr:uid="{B707C0D5-C317-423B-83E6-BB01B56D8331}"/>
    <cellStyle name="Normal 4 6 2 5 3" xfId="5596" xr:uid="{00000000-0005-0000-0000-000047160000}"/>
    <cellStyle name="Normal 4 6 2 5 3 2" xfId="14035" xr:uid="{59B907B4-7747-4E90-8E24-4153ECE5A1A1}"/>
    <cellStyle name="Normal 4 6 2 5 4" xfId="9817" xr:uid="{B690AF04-CD47-47FC-822D-A22F2C1BEA5D}"/>
    <cellStyle name="Normal 4 6 2 6" xfId="1701" xr:uid="{00000000-0005-0000-0000-000048160000}"/>
    <cellStyle name="Normal 4 6 2 6 2" xfId="3931" xr:uid="{00000000-0005-0000-0000-000049160000}"/>
    <cellStyle name="Normal 4 6 2 6 2 2" xfId="8154" xr:uid="{00000000-0005-0000-0000-00004A160000}"/>
    <cellStyle name="Normal 4 6 2 6 2 2 2" xfId="16593" xr:uid="{8B959E48-3277-4A11-806B-9FF450971334}"/>
    <cellStyle name="Normal 4 6 2 6 2 3" xfId="12375" xr:uid="{AFBC796F-E4E5-4C48-9D33-F6C1EAEC679C}"/>
    <cellStyle name="Normal 4 6 2 6 3" xfId="6009" xr:uid="{00000000-0005-0000-0000-00004B160000}"/>
    <cellStyle name="Normal 4 6 2 6 3 2" xfId="14448" xr:uid="{D32C5EC8-6078-415F-B34E-47C4A391B5EC}"/>
    <cellStyle name="Normal 4 6 2 6 4" xfId="10230" xr:uid="{B6D73FCE-4EBB-4C84-B45B-F48CB837DA4B}"/>
    <cellStyle name="Normal 4 6 2 7" xfId="2115" xr:uid="{00000000-0005-0000-0000-00004C160000}"/>
    <cellStyle name="Normal 4 6 2 7 2" xfId="4344" xr:uid="{00000000-0005-0000-0000-00004D160000}"/>
    <cellStyle name="Normal 4 6 2 7 2 2" xfId="8567" xr:uid="{00000000-0005-0000-0000-00004E160000}"/>
    <cellStyle name="Normal 4 6 2 7 2 2 2" xfId="17006" xr:uid="{64E9AFC2-244A-439E-9049-7E8BFA7F3051}"/>
    <cellStyle name="Normal 4 6 2 7 2 3" xfId="12788" xr:uid="{32D2CF9C-ABE8-400A-ACE1-10B15267950F}"/>
    <cellStyle name="Normal 4 6 2 7 3" xfId="6422" xr:uid="{00000000-0005-0000-0000-00004F160000}"/>
    <cellStyle name="Normal 4 6 2 7 3 2" xfId="14861" xr:uid="{972B9B9D-F8A8-4E0C-993A-1E4F6CD7C81F}"/>
    <cellStyle name="Normal 4 6 2 7 4" xfId="10643" xr:uid="{E3BAB5A3-D1B8-4429-AC9A-928602247E92}"/>
    <cellStyle name="Normal 4 6 2 8" xfId="2551" xr:uid="{00000000-0005-0000-0000-000050160000}"/>
    <cellStyle name="Normal 4 6 2 8 2" xfId="6835" xr:uid="{00000000-0005-0000-0000-000051160000}"/>
    <cellStyle name="Normal 4 6 2 8 2 2" xfId="15274" xr:uid="{DB9A7466-55C1-42D0-9899-BA4423824802}"/>
    <cellStyle name="Normal 4 6 2 8 3" xfId="11056" xr:uid="{CD65D46A-CC7B-4A09-9B3A-90606EC11239}"/>
    <cellStyle name="Normal 4 6 2 9" xfId="4770" xr:uid="{00000000-0005-0000-0000-000052160000}"/>
    <cellStyle name="Normal 4 6 2 9 2" xfId="13209" xr:uid="{DFE6EAF6-B5B5-4697-8AFA-0AA0FD3BF058}"/>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2" xr:uid="{2B73366A-C5D9-4399-81D0-F82CDD95747D}"/>
    <cellStyle name="Normal 4 6 3 2 2 2 3" xfId="11554" xr:uid="{4B52F0DB-741F-47B1-9A8F-2D56A0DB72C8}"/>
    <cellStyle name="Normal 4 6 3 2 2 3" xfId="5188" xr:uid="{00000000-0005-0000-0000-000058160000}"/>
    <cellStyle name="Normal 4 6 3 2 2 3 2" xfId="13627" xr:uid="{39AF4137-E345-476F-8453-C81EF4849C12}"/>
    <cellStyle name="Normal 4 6 3 2 2 4" xfId="9409" xr:uid="{3823370E-8D75-4307-A34A-30C7B579F148}"/>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5" xr:uid="{43FED055-EA56-4CD1-A7C0-F53D1C184A24}"/>
    <cellStyle name="Normal 4 6 3 2 3 2 3" xfId="11967" xr:uid="{4AA07DB2-D8E0-4ACF-A18A-73D6DB4F1740}"/>
    <cellStyle name="Normal 4 6 3 2 3 3" xfId="5601" xr:uid="{00000000-0005-0000-0000-00005C160000}"/>
    <cellStyle name="Normal 4 6 3 2 3 3 2" xfId="14040" xr:uid="{D54008DC-6FF7-47E6-9A3E-3AD92639F94F}"/>
    <cellStyle name="Normal 4 6 3 2 3 4" xfId="9822" xr:uid="{539FFF29-80F0-464F-ABB4-C5B96CCC4BAC}"/>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598" xr:uid="{27AA5457-2CA1-4F7A-B47D-EA17FE07CBF7}"/>
    <cellStyle name="Normal 4 6 3 2 4 2 3" xfId="12380" xr:uid="{C3F0EB16-D0AA-43DD-9AF9-2DF2594C7EF9}"/>
    <cellStyle name="Normal 4 6 3 2 4 3" xfId="6014" xr:uid="{00000000-0005-0000-0000-000060160000}"/>
    <cellStyle name="Normal 4 6 3 2 4 3 2" xfId="14453" xr:uid="{67A8E4F5-80E1-4871-ABC0-260C504E97C3}"/>
    <cellStyle name="Normal 4 6 3 2 4 4" xfId="10235" xr:uid="{A03A5074-BD54-497F-BD56-8B575E7BA661}"/>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1" xr:uid="{71FC9F75-D7B3-4831-ADA8-D1CF288F578F}"/>
    <cellStyle name="Normal 4 6 3 2 5 2 3" xfId="12793" xr:uid="{44C7FE6A-F979-46ED-B48A-71E165AAACB5}"/>
    <cellStyle name="Normal 4 6 3 2 5 3" xfId="6427" xr:uid="{00000000-0005-0000-0000-000064160000}"/>
    <cellStyle name="Normal 4 6 3 2 5 3 2" xfId="14866" xr:uid="{B8D3BB1D-E0A7-4A34-8238-601660815509}"/>
    <cellStyle name="Normal 4 6 3 2 5 4" xfId="10648" xr:uid="{507AFB55-6EE8-4127-AD2C-FE2D77CCF194}"/>
    <cellStyle name="Normal 4 6 3 2 6" xfId="2556" xr:uid="{00000000-0005-0000-0000-000065160000}"/>
    <cellStyle name="Normal 4 6 3 2 6 2" xfId="6840" xr:uid="{00000000-0005-0000-0000-000066160000}"/>
    <cellStyle name="Normal 4 6 3 2 6 2 2" xfId="15279" xr:uid="{AAA6C054-25B0-4072-B5BB-5D47508399FB}"/>
    <cellStyle name="Normal 4 6 3 2 6 3" xfId="11061" xr:uid="{59093C10-9EDE-4443-8BD0-6A4A5D4E16A2}"/>
    <cellStyle name="Normal 4 6 3 2 7" xfId="4775" xr:uid="{00000000-0005-0000-0000-000067160000}"/>
    <cellStyle name="Normal 4 6 3 2 7 2" xfId="13214" xr:uid="{1E96447B-1DA7-430E-97FA-6132EE692230}"/>
    <cellStyle name="Normal 4 6 3 2 8" xfId="8996" xr:uid="{A7873E6C-B8DC-4CC2-9CBB-75BC7CADA9DE}"/>
    <cellStyle name="Normal 4 6 3 3" xfId="874" xr:uid="{00000000-0005-0000-0000-000068160000}"/>
    <cellStyle name="Normal 4 6 3 3 2" xfId="3109" xr:uid="{00000000-0005-0000-0000-000069160000}"/>
    <cellStyle name="Normal 4 6 3 3 2 2" xfId="7332" xr:uid="{00000000-0005-0000-0000-00006A160000}"/>
    <cellStyle name="Normal 4 6 3 3 2 2 2" xfId="15771" xr:uid="{E965BA30-47F4-4176-A3EF-216181A3C307}"/>
    <cellStyle name="Normal 4 6 3 3 2 3" xfId="11553" xr:uid="{ACC66812-847D-40B1-8248-67A80C1FF5DB}"/>
    <cellStyle name="Normal 4 6 3 3 3" xfId="5187" xr:uid="{00000000-0005-0000-0000-00006B160000}"/>
    <cellStyle name="Normal 4 6 3 3 3 2" xfId="13626" xr:uid="{DEFF2C40-AEFA-430E-A0A7-D7BCAA06DE36}"/>
    <cellStyle name="Normal 4 6 3 3 4" xfId="9408" xr:uid="{92E9B062-F09B-4D5A-8432-534725D17F40}"/>
    <cellStyle name="Normal 4 6 3 4" xfId="1292" xr:uid="{00000000-0005-0000-0000-00006C160000}"/>
    <cellStyle name="Normal 4 6 3 4 2" xfId="3522" xr:uid="{00000000-0005-0000-0000-00006D160000}"/>
    <cellStyle name="Normal 4 6 3 4 2 2" xfId="7745" xr:uid="{00000000-0005-0000-0000-00006E160000}"/>
    <cellStyle name="Normal 4 6 3 4 2 2 2" xfId="16184" xr:uid="{17F1C5D4-5BB2-42C9-8A7B-65258BAFF4A4}"/>
    <cellStyle name="Normal 4 6 3 4 2 3" xfId="11966" xr:uid="{BACEDB1F-077F-49FE-8763-7AED800F5A70}"/>
    <cellStyle name="Normal 4 6 3 4 3" xfId="5600" xr:uid="{00000000-0005-0000-0000-00006F160000}"/>
    <cellStyle name="Normal 4 6 3 4 3 2" xfId="14039" xr:uid="{18E95A52-4EFF-45C9-89B8-A1CE2C07C065}"/>
    <cellStyle name="Normal 4 6 3 4 4" xfId="9821" xr:uid="{A3F2AE07-799C-4FD9-B928-3C06EFB1F682}"/>
    <cellStyle name="Normal 4 6 3 5" xfId="1705" xr:uid="{00000000-0005-0000-0000-000070160000}"/>
    <cellStyle name="Normal 4 6 3 5 2" xfId="3935" xr:uid="{00000000-0005-0000-0000-000071160000}"/>
    <cellStyle name="Normal 4 6 3 5 2 2" xfId="8158" xr:uid="{00000000-0005-0000-0000-000072160000}"/>
    <cellStyle name="Normal 4 6 3 5 2 2 2" xfId="16597" xr:uid="{A972BE64-BEA2-4042-B6A9-B27CA6E0A843}"/>
    <cellStyle name="Normal 4 6 3 5 2 3" xfId="12379" xr:uid="{4E69F748-A267-4B04-8492-A8AD0B55A6DE}"/>
    <cellStyle name="Normal 4 6 3 5 3" xfId="6013" xr:uid="{00000000-0005-0000-0000-000073160000}"/>
    <cellStyle name="Normal 4 6 3 5 3 2" xfId="14452" xr:uid="{FAB13E78-0C71-4217-9325-29E8921B7674}"/>
    <cellStyle name="Normal 4 6 3 5 4" xfId="10234" xr:uid="{FC9B28CB-9D9A-4FD8-ADC3-799F67BD8BF3}"/>
    <cellStyle name="Normal 4 6 3 6" xfId="2119" xr:uid="{00000000-0005-0000-0000-000074160000}"/>
    <cellStyle name="Normal 4 6 3 6 2" xfId="4348" xr:uid="{00000000-0005-0000-0000-000075160000}"/>
    <cellStyle name="Normal 4 6 3 6 2 2" xfId="8571" xr:uid="{00000000-0005-0000-0000-000076160000}"/>
    <cellStyle name="Normal 4 6 3 6 2 2 2" xfId="17010" xr:uid="{1E70E3CB-A12D-4F4A-BE4A-EFFCEA41BF02}"/>
    <cellStyle name="Normal 4 6 3 6 2 3" xfId="12792" xr:uid="{34F9C3F7-B623-4A9C-AC1E-B814AC6B9E0E}"/>
    <cellStyle name="Normal 4 6 3 6 3" xfId="6426" xr:uid="{00000000-0005-0000-0000-000077160000}"/>
    <cellStyle name="Normal 4 6 3 6 3 2" xfId="14865" xr:uid="{796CC895-5D3B-47A2-B5ED-785621FFF158}"/>
    <cellStyle name="Normal 4 6 3 6 4" xfId="10647" xr:uid="{FB3F2423-3013-4CA3-8183-75770E98F068}"/>
    <cellStyle name="Normal 4 6 3 7" xfId="2555" xr:uid="{00000000-0005-0000-0000-000078160000}"/>
    <cellStyle name="Normal 4 6 3 7 2" xfId="6839" xr:uid="{00000000-0005-0000-0000-000079160000}"/>
    <cellStyle name="Normal 4 6 3 7 2 2" xfId="15278" xr:uid="{A203D9CA-209E-4A2C-8C55-BBC8355036AC}"/>
    <cellStyle name="Normal 4 6 3 7 3" xfId="11060" xr:uid="{904DB406-A704-476C-BE69-1C2056545A3C}"/>
    <cellStyle name="Normal 4 6 3 8" xfId="4774" xr:uid="{00000000-0005-0000-0000-00007A160000}"/>
    <cellStyle name="Normal 4 6 3 8 2" xfId="13213" xr:uid="{6A0651FF-46AF-4A26-8F71-2AF9432F4875}"/>
    <cellStyle name="Normal 4 6 3 9" xfId="8995" xr:uid="{C406FDCC-9C2E-42AE-9A10-3D05D515CD71}"/>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3" xr:uid="{6C6E0B2B-9073-47DC-8FC6-451E34C65795}"/>
    <cellStyle name="Normal 4 6 4 2 2 3" xfId="11555" xr:uid="{87BE6C64-FEA3-4A14-9A17-CB8F1072A8FB}"/>
    <cellStyle name="Normal 4 6 4 2 3" xfId="5189" xr:uid="{00000000-0005-0000-0000-00007F160000}"/>
    <cellStyle name="Normal 4 6 4 2 3 2" xfId="13628" xr:uid="{B20EE450-2A2E-47E6-B650-299CA491EEE2}"/>
    <cellStyle name="Normal 4 6 4 2 4" xfId="9410" xr:uid="{981E5A31-326A-4A41-9215-32CE01A3A132}"/>
    <cellStyle name="Normal 4 6 4 3" xfId="1294" xr:uid="{00000000-0005-0000-0000-000080160000}"/>
    <cellStyle name="Normal 4 6 4 3 2" xfId="3524" xr:uid="{00000000-0005-0000-0000-000081160000}"/>
    <cellStyle name="Normal 4 6 4 3 2 2" xfId="7747" xr:uid="{00000000-0005-0000-0000-000082160000}"/>
    <cellStyle name="Normal 4 6 4 3 2 2 2" xfId="16186" xr:uid="{BE571CE7-2AF8-4F96-8703-113CF1A6255F}"/>
    <cellStyle name="Normal 4 6 4 3 2 3" xfId="11968" xr:uid="{3D4404E5-AB18-4E23-BE75-74B5C2D80803}"/>
    <cellStyle name="Normal 4 6 4 3 3" xfId="5602" xr:uid="{00000000-0005-0000-0000-000083160000}"/>
    <cellStyle name="Normal 4 6 4 3 3 2" xfId="14041" xr:uid="{DA321365-D841-4C50-BA09-7D0ECFA86026}"/>
    <cellStyle name="Normal 4 6 4 3 4" xfId="9823" xr:uid="{CB376C67-AC41-4B41-B943-54010830A11B}"/>
    <cellStyle name="Normal 4 6 4 4" xfId="1707" xr:uid="{00000000-0005-0000-0000-000084160000}"/>
    <cellStyle name="Normal 4 6 4 4 2" xfId="3937" xr:uid="{00000000-0005-0000-0000-000085160000}"/>
    <cellStyle name="Normal 4 6 4 4 2 2" xfId="8160" xr:uid="{00000000-0005-0000-0000-000086160000}"/>
    <cellStyle name="Normal 4 6 4 4 2 2 2" xfId="16599" xr:uid="{9BCCAAE8-25D4-495E-A84A-4A31815D53BD}"/>
    <cellStyle name="Normal 4 6 4 4 2 3" xfId="12381" xr:uid="{E2624774-DD0E-42AE-898F-5679C897A53F}"/>
    <cellStyle name="Normal 4 6 4 4 3" xfId="6015" xr:uid="{00000000-0005-0000-0000-000087160000}"/>
    <cellStyle name="Normal 4 6 4 4 3 2" xfId="14454" xr:uid="{CB53B9A6-25FC-4527-9AEA-2BBFF234941F}"/>
    <cellStyle name="Normal 4 6 4 4 4" xfId="10236" xr:uid="{A18296D1-D92E-4D83-84AE-E952A7A8EA4B}"/>
    <cellStyle name="Normal 4 6 4 5" xfId="2121" xr:uid="{00000000-0005-0000-0000-000088160000}"/>
    <cellStyle name="Normal 4 6 4 5 2" xfId="4350" xr:uid="{00000000-0005-0000-0000-000089160000}"/>
    <cellStyle name="Normal 4 6 4 5 2 2" xfId="8573" xr:uid="{00000000-0005-0000-0000-00008A160000}"/>
    <cellStyle name="Normal 4 6 4 5 2 2 2" xfId="17012" xr:uid="{A19D309B-D121-48C2-A1D2-2324332D92C6}"/>
    <cellStyle name="Normal 4 6 4 5 2 3" xfId="12794" xr:uid="{D1E8B447-2D12-43AF-BEE6-2EFBAD1FD2FA}"/>
    <cellStyle name="Normal 4 6 4 5 3" xfId="6428" xr:uid="{00000000-0005-0000-0000-00008B160000}"/>
    <cellStyle name="Normal 4 6 4 5 3 2" xfId="14867" xr:uid="{0A10F4FA-19B5-49F3-8E3A-21209271B51A}"/>
    <cellStyle name="Normal 4 6 4 5 4" xfId="10649" xr:uid="{A3A76BD5-B145-427B-ADFE-A0CB06BCE379}"/>
    <cellStyle name="Normal 4 6 4 6" xfId="2557" xr:uid="{00000000-0005-0000-0000-00008C160000}"/>
    <cellStyle name="Normal 4 6 4 6 2" xfId="6841" xr:uid="{00000000-0005-0000-0000-00008D160000}"/>
    <cellStyle name="Normal 4 6 4 6 2 2" xfId="15280" xr:uid="{B7EEED15-5423-47B0-B2B0-9D14F9019CE7}"/>
    <cellStyle name="Normal 4 6 4 6 3" xfId="11062" xr:uid="{74268C81-2CCB-48F0-8770-667C089B3B81}"/>
    <cellStyle name="Normal 4 6 4 7" xfId="4776" xr:uid="{00000000-0005-0000-0000-00008E160000}"/>
    <cellStyle name="Normal 4 6 4 7 2" xfId="13215" xr:uid="{B72E6B77-C3E2-4487-95FE-8180BB47BF8A}"/>
    <cellStyle name="Normal 4 6 4 8" xfId="8997" xr:uid="{385DE988-CEEE-4C0A-B4B5-B634E727C13E}"/>
    <cellStyle name="Normal 4 6 5" xfId="869" xr:uid="{00000000-0005-0000-0000-00008F160000}"/>
    <cellStyle name="Normal 4 6 5 2" xfId="3104" xr:uid="{00000000-0005-0000-0000-000090160000}"/>
    <cellStyle name="Normal 4 6 5 2 2" xfId="7327" xr:uid="{00000000-0005-0000-0000-000091160000}"/>
    <cellStyle name="Normal 4 6 5 2 2 2" xfId="15766" xr:uid="{A6545332-4B70-4023-9107-5B554002B794}"/>
    <cellStyle name="Normal 4 6 5 2 3" xfId="11548" xr:uid="{2AFA9BBF-50FE-4EA5-AE1B-FE766470296B}"/>
    <cellStyle name="Normal 4 6 5 3" xfId="5182" xr:uid="{00000000-0005-0000-0000-000092160000}"/>
    <cellStyle name="Normal 4 6 5 3 2" xfId="13621" xr:uid="{F60C831D-6BC4-42BE-A6E8-14E2486B6F7D}"/>
    <cellStyle name="Normal 4 6 5 4" xfId="9403" xr:uid="{51257DC2-862F-4801-AFAF-BAC15F39E1A7}"/>
    <cellStyle name="Normal 4 6 6" xfId="1287" xr:uid="{00000000-0005-0000-0000-000093160000}"/>
    <cellStyle name="Normal 4 6 6 2" xfId="3517" xr:uid="{00000000-0005-0000-0000-000094160000}"/>
    <cellStyle name="Normal 4 6 6 2 2" xfId="7740" xr:uid="{00000000-0005-0000-0000-000095160000}"/>
    <cellStyle name="Normal 4 6 6 2 2 2" xfId="16179" xr:uid="{B51120EE-513A-4448-B107-19632A7CC154}"/>
    <cellStyle name="Normal 4 6 6 2 3" xfId="11961" xr:uid="{418E86F4-2F60-454B-9DFD-E9053BEAEB25}"/>
    <cellStyle name="Normal 4 6 6 3" xfId="5595" xr:uid="{00000000-0005-0000-0000-000096160000}"/>
    <cellStyle name="Normal 4 6 6 3 2" xfId="14034" xr:uid="{24CA7F0B-45D7-483A-9554-DD02672B2AB3}"/>
    <cellStyle name="Normal 4 6 6 4" xfId="9816" xr:uid="{1D425550-DB31-4770-9DB1-9781FBE3BDB3}"/>
    <cellStyle name="Normal 4 6 7" xfId="1700" xr:uid="{00000000-0005-0000-0000-000097160000}"/>
    <cellStyle name="Normal 4 6 7 2" xfId="3930" xr:uid="{00000000-0005-0000-0000-000098160000}"/>
    <cellStyle name="Normal 4 6 7 2 2" xfId="8153" xr:uid="{00000000-0005-0000-0000-000099160000}"/>
    <cellStyle name="Normal 4 6 7 2 2 2" xfId="16592" xr:uid="{7E0DEE0F-5B9E-4976-9693-1B78F94F4025}"/>
    <cellStyle name="Normal 4 6 7 2 3" xfId="12374" xr:uid="{D845F521-EC61-4458-8FB2-BBD979023641}"/>
    <cellStyle name="Normal 4 6 7 3" xfId="6008" xr:uid="{00000000-0005-0000-0000-00009A160000}"/>
    <cellStyle name="Normal 4 6 7 3 2" xfId="14447" xr:uid="{020A4E00-82D1-494A-AC0D-92016CF71CEA}"/>
    <cellStyle name="Normal 4 6 7 4" xfId="10229" xr:uid="{1B40A735-AF35-43A0-ADCB-9B3A80B85B21}"/>
    <cellStyle name="Normal 4 6 8" xfId="2114" xr:uid="{00000000-0005-0000-0000-00009B160000}"/>
    <cellStyle name="Normal 4 6 8 2" xfId="4343" xr:uid="{00000000-0005-0000-0000-00009C160000}"/>
    <cellStyle name="Normal 4 6 8 2 2" xfId="8566" xr:uid="{00000000-0005-0000-0000-00009D160000}"/>
    <cellStyle name="Normal 4 6 8 2 2 2" xfId="17005" xr:uid="{F4E9D830-CB17-4FBD-AF6D-D54A3E7F2926}"/>
    <cellStyle name="Normal 4 6 8 2 3" xfId="12787" xr:uid="{D3384EB6-CDA0-4016-8187-E52492565ED2}"/>
    <cellStyle name="Normal 4 6 8 3" xfId="6421" xr:uid="{00000000-0005-0000-0000-00009E160000}"/>
    <cellStyle name="Normal 4 6 8 3 2" xfId="14860" xr:uid="{C198B485-EA5B-4F27-B763-6C2F8AB251E8}"/>
    <cellStyle name="Normal 4 6 8 4" xfId="10642" xr:uid="{960596FA-DAA2-41D2-BF4B-8C01E1B280DA}"/>
    <cellStyle name="Normal 4 6 9" xfId="2550" xr:uid="{00000000-0005-0000-0000-00009F160000}"/>
    <cellStyle name="Normal 4 6 9 2" xfId="6834" xr:uid="{00000000-0005-0000-0000-0000A0160000}"/>
    <cellStyle name="Normal 4 6 9 2 2" xfId="15273" xr:uid="{C41147E6-333D-4231-82F7-4D14ADDB780A}"/>
    <cellStyle name="Normal 4 6 9 3" xfId="11055" xr:uid="{8027AD55-B676-4493-B8E8-BF6F15316455}"/>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5" xr:uid="{0BD046AE-C3BE-44BF-B769-D75BB06682A4}"/>
    <cellStyle name="Normal 4 7 2 2 2 3" xfId="11557" xr:uid="{829F79B2-85E8-46A9-96D0-4136B9367532}"/>
    <cellStyle name="Normal 4 7 2 2 3" xfId="5191" xr:uid="{00000000-0005-0000-0000-0000A6160000}"/>
    <cellStyle name="Normal 4 7 2 2 3 2" xfId="13630" xr:uid="{54A4C433-5E99-40B9-BE91-8F5D1480077E}"/>
    <cellStyle name="Normal 4 7 2 2 4" xfId="9412" xr:uid="{91BB90A8-CFE5-449C-8E5C-54D3D70AFA11}"/>
    <cellStyle name="Normal 4 7 2 3" xfId="1296" xr:uid="{00000000-0005-0000-0000-0000A7160000}"/>
    <cellStyle name="Normal 4 7 2 3 2" xfId="3526" xr:uid="{00000000-0005-0000-0000-0000A8160000}"/>
    <cellStyle name="Normal 4 7 2 3 2 2" xfId="7749" xr:uid="{00000000-0005-0000-0000-0000A9160000}"/>
    <cellStyle name="Normal 4 7 2 3 2 2 2" xfId="16188" xr:uid="{D11EB2B5-D561-4021-8287-AF33FA164D10}"/>
    <cellStyle name="Normal 4 7 2 3 2 3" xfId="11970" xr:uid="{C0BC4686-C75A-410C-97AD-393FBE9E44F3}"/>
    <cellStyle name="Normal 4 7 2 3 3" xfId="5604" xr:uid="{00000000-0005-0000-0000-0000AA160000}"/>
    <cellStyle name="Normal 4 7 2 3 3 2" xfId="14043" xr:uid="{79AEFC07-A7B8-4D86-92DB-F2EFA3C967BF}"/>
    <cellStyle name="Normal 4 7 2 3 4" xfId="9825" xr:uid="{E0FF159B-BFD7-4B72-BB8A-1302B851192B}"/>
    <cellStyle name="Normal 4 7 2 4" xfId="1709" xr:uid="{00000000-0005-0000-0000-0000AB160000}"/>
    <cellStyle name="Normal 4 7 2 4 2" xfId="3939" xr:uid="{00000000-0005-0000-0000-0000AC160000}"/>
    <cellStyle name="Normal 4 7 2 4 2 2" xfId="8162" xr:uid="{00000000-0005-0000-0000-0000AD160000}"/>
    <cellStyle name="Normal 4 7 2 4 2 2 2" xfId="16601" xr:uid="{D444AD8C-67CA-460C-A5EF-E575CB1F2051}"/>
    <cellStyle name="Normal 4 7 2 4 2 3" xfId="12383" xr:uid="{0CC35395-429D-4E4B-927E-6AE983E8BC75}"/>
    <cellStyle name="Normal 4 7 2 4 3" xfId="6017" xr:uid="{00000000-0005-0000-0000-0000AE160000}"/>
    <cellStyle name="Normal 4 7 2 4 3 2" xfId="14456" xr:uid="{05F98004-F055-47E5-83E2-688689274849}"/>
    <cellStyle name="Normal 4 7 2 4 4" xfId="10238" xr:uid="{97754ADC-A289-4835-904C-F7B785B5AF03}"/>
    <cellStyle name="Normal 4 7 2 5" xfId="2123" xr:uid="{00000000-0005-0000-0000-0000AF160000}"/>
    <cellStyle name="Normal 4 7 2 5 2" xfId="4352" xr:uid="{00000000-0005-0000-0000-0000B0160000}"/>
    <cellStyle name="Normal 4 7 2 5 2 2" xfId="8575" xr:uid="{00000000-0005-0000-0000-0000B1160000}"/>
    <cellStyle name="Normal 4 7 2 5 2 2 2" xfId="17014" xr:uid="{A1241D9A-F11F-4512-8EF1-F702C1BB360A}"/>
    <cellStyle name="Normal 4 7 2 5 2 3" xfId="12796" xr:uid="{74C28541-0E18-46E4-81CE-5547C14708E3}"/>
    <cellStyle name="Normal 4 7 2 5 3" xfId="6430" xr:uid="{00000000-0005-0000-0000-0000B2160000}"/>
    <cellStyle name="Normal 4 7 2 5 3 2" xfId="14869" xr:uid="{DA4A31BA-33A2-42A2-A223-A7F2ABC663F6}"/>
    <cellStyle name="Normal 4 7 2 5 4" xfId="10651" xr:uid="{012066EB-E9D2-4139-9018-EA34C6A0323B}"/>
    <cellStyle name="Normal 4 7 2 6" xfId="2559" xr:uid="{00000000-0005-0000-0000-0000B3160000}"/>
    <cellStyle name="Normal 4 7 2 6 2" xfId="6843" xr:uid="{00000000-0005-0000-0000-0000B4160000}"/>
    <cellStyle name="Normal 4 7 2 6 2 2" xfId="15282" xr:uid="{EF657E1B-269C-4853-9D21-6FA4D80727EB}"/>
    <cellStyle name="Normal 4 7 2 6 3" xfId="11064" xr:uid="{FD541D2F-EB8D-4E15-8A58-513672120017}"/>
    <cellStyle name="Normal 4 7 2 7" xfId="4778" xr:uid="{00000000-0005-0000-0000-0000B5160000}"/>
    <cellStyle name="Normal 4 7 2 7 2" xfId="13217" xr:uid="{BCD5D9B3-6B83-4C7A-AC60-0763D292F856}"/>
    <cellStyle name="Normal 4 7 2 8" xfId="8999" xr:uid="{C748B430-E19C-4E1E-95D2-922E3082EEE4}"/>
    <cellStyle name="Normal 4 7 3" xfId="877" xr:uid="{00000000-0005-0000-0000-0000B6160000}"/>
    <cellStyle name="Normal 4 7 3 2" xfId="3112" xr:uid="{00000000-0005-0000-0000-0000B7160000}"/>
    <cellStyle name="Normal 4 7 3 2 2" xfId="7335" xr:uid="{00000000-0005-0000-0000-0000B8160000}"/>
    <cellStyle name="Normal 4 7 3 2 2 2" xfId="15774" xr:uid="{85B09A6A-6821-4726-BBCE-06ED1781E52D}"/>
    <cellStyle name="Normal 4 7 3 2 3" xfId="11556" xr:uid="{9D7F4CB6-C95E-4AEA-9345-60A662011762}"/>
    <cellStyle name="Normal 4 7 3 3" xfId="5190" xr:uid="{00000000-0005-0000-0000-0000B9160000}"/>
    <cellStyle name="Normal 4 7 3 3 2" xfId="13629" xr:uid="{62F021B6-23E7-47DF-91EF-4D1D5B8F6505}"/>
    <cellStyle name="Normal 4 7 3 4" xfId="9411" xr:uid="{2CEE8746-CBA9-4A2D-88E6-1A37CEE7F12F}"/>
    <cellStyle name="Normal 4 7 4" xfId="1295" xr:uid="{00000000-0005-0000-0000-0000BA160000}"/>
    <cellStyle name="Normal 4 7 4 2" xfId="3525" xr:uid="{00000000-0005-0000-0000-0000BB160000}"/>
    <cellStyle name="Normal 4 7 4 2 2" xfId="7748" xr:uid="{00000000-0005-0000-0000-0000BC160000}"/>
    <cellStyle name="Normal 4 7 4 2 2 2" xfId="16187" xr:uid="{A6A9C120-BF33-4508-8D20-A98DB2E7A503}"/>
    <cellStyle name="Normal 4 7 4 2 3" xfId="11969" xr:uid="{58EC17CC-5D56-4A9C-AEF9-6C74D48BC6EA}"/>
    <cellStyle name="Normal 4 7 4 3" xfId="5603" xr:uid="{00000000-0005-0000-0000-0000BD160000}"/>
    <cellStyle name="Normal 4 7 4 3 2" xfId="14042" xr:uid="{C21E4195-37C7-4B67-94D1-47645FA69FDD}"/>
    <cellStyle name="Normal 4 7 4 4" xfId="9824" xr:uid="{F6E168D9-AC66-4040-A519-A55225B6E6B1}"/>
    <cellStyle name="Normal 4 7 5" xfId="1708" xr:uid="{00000000-0005-0000-0000-0000BE160000}"/>
    <cellStyle name="Normal 4 7 5 2" xfId="3938" xr:uid="{00000000-0005-0000-0000-0000BF160000}"/>
    <cellStyle name="Normal 4 7 5 2 2" xfId="8161" xr:uid="{00000000-0005-0000-0000-0000C0160000}"/>
    <cellStyle name="Normal 4 7 5 2 2 2" xfId="16600" xr:uid="{A3409D13-88CB-4B6F-8922-5B79AE5A1956}"/>
    <cellStyle name="Normal 4 7 5 2 3" xfId="12382" xr:uid="{DBCB7BCC-419A-4FD9-B413-34306C6E203E}"/>
    <cellStyle name="Normal 4 7 5 3" xfId="6016" xr:uid="{00000000-0005-0000-0000-0000C1160000}"/>
    <cellStyle name="Normal 4 7 5 3 2" xfId="14455" xr:uid="{76C5ACC2-12A7-4393-80B1-25EA307917F9}"/>
    <cellStyle name="Normal 4 7 5 4" xfId="10237" xr:uid="{C809C6E8-B085-4B46-8930-5C8F3BE5B175}"/>
    <cellStyle name="Normal 4 7 6" xfId="2122" xr:uid="{00000000-0005-0000-0000-0000C2160000}"/>
    <cellStyle name="Normal 4 7 6 2" xfId="4351" xr:uid="{00000000-0005-0000-0000-0000C3160000}"/>
    <cellStyle name="Normal 4 7 6 2 2" xfId="8574" xr:uid="{00000000-0005-0000-0000-0000C4160000}"/>
    <cellStyle name="Normal 4 7 6 2 2 2" xfId="17013" xr:uid="{093953EA-7A9A-4597-A01E-599D05207569}"/>
    <cellStyle name="Normal 4 7 6 2 3" xfId="12795" xr:uid="{63636EA7-9853-4E2F-B5C9-C9A8F6A8DFD0}"/>
    <cellStyle name="Normal 4 7 6 3" xfId="6429" xr:uid="{00000000-0005-0000-0000-0000C5160000}"/>
    <cellStyle name="Normal 4 7 6 3 2" xfId="14868" xr:uid="{5AA0537A-C37B-439A-B121-58D2F369D6CB}"/>
    <cellStyle name="Normal 4 7 6 4" xfId="10650" xr:uid="{7B040807-2060-4C4C-8281-A71440F3E2A7}"/>
    <cellStyle name="Normal 4 7 7" xfId="2558" xr:uid="{00000000-0005-0000-0000-0000C6160000}"/>
    <cellStyle name="Normal 4 7 7 2" xfId="6842" xr:uid="{00000000-0005-0000-0000-0000C7160000}"/>
    <cellStyle name="Normal 4 7 7 2 2" xfId="15281" xr:uid="{7D84AA1A-AF67-4987-AF79-D30A651ABA6D}"/>
    <cellStyle name="Normal 4 7 7 3" xfId="11063" xr:uid="{6054C912-3156-4333-80E6-AC9F35A35FDE}"/>
    <cellStyle name="Normal 4 7 8" xfId="4777" xr:uid="{00000000-0005-0000-0000-0000C8160000}"/>
    <cellStyle name="Normal 4 7 8 2" xfId="13216" xr:uid="{8FD4B666-B7DA-49F5-A176-58FBF9948BF6}"/>
    <cellStyle name="Normal 4 7 9" xfId="8998" xr:uid="{4474AB72-39C9-4DEE-BC2F-47C84228F954}"/>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6" xr:uid="{B20CEBDC-5D61-4FAD-96A5-014746F2B361}"/>
    <cellStyle name="Normal 4 8 2 2 3" xfId="11558" xr:uid="{862D1E70-11C5-44FE-8F2C-D590E4111C95}"/>
    <cellStyle name="Normal 4 8 2 3" xfId="5192" xr:uid="{00000000-0005-0000-0000-0000CD160000}"/>
    <cellStyle name="Normal 4 8 2 3 2" xfId="13631" xr:uid="{53F00D2B-93BB-495D-8F9C-61585FF05432}"/>
    <cellStyle name="Normal 4 8 2 4" xfId="9413" xr:uid="{E9AD63C6-9CBD-4BB5-AFEC-B5E3F9D9AF41}"/>
    <cellStyle name="Normal 4 8 3" xfId="1297" xr:uid="{00000000-0005-0000-0000-0000CE160000}"/>
    <cellStyle name="Normal 4 8 3 2" xfId="3527" xr:uid="{00000000-0005-0000-0000-0000CF160000}"/>
    <cellStyle name="Normal 4 8 3 2 2" xfId="7750" xr:uid="{00000000-0005-0000-0000-0000D0160000}"/>
    <cellStyle name="Normal 4 8 3 2 2 2" xfId="16189" xr:uid="{6D2E55C5-BF3C-41A7-A322-F4BCE899BE73}"/>
    <cellStyle name="Normal 4 8 3 2 3" xfId="11971" xr:uid="{CF1228D7-ACAA-4640-A2F1-44620B017714}"/>
    <cellStyle name="Normal 4 8 3 3" xfId="5605" xr:uid="{00000000-0005-0000-0000-0000D1160000}"/>
    <cellStyle name="Normal 4 8 3 3 2" xfId="14044" xr:uid="{40F22FE1-7E60-40AF-B66F-C794DB0457F9}"/>
    <cellStyle name="Normal 4 8 3 4" xfId="9826" xr:uid="{794DE9DF-254B-415E-B0CE-6461D9350655}"/>
    <cellStyle name="Normal 4 8 4" xfId="1710" xr:uid="{00000000-0005-0000-0000-0000D2160000}"/>
    <cellStyle name="Normal 4 8 4 2" xfId="3940" xr:uid="{00000000-0005-0000-0000-0000D3160000}"/>
    <cellStyle name="Normal 4 8 4 2 2" xfId="8163" xr:uid="{00000000-0005-0000-0000-0000D4160000}"/>
    <cellStyle name="Normal 4 8 4 2 2 2" xfId="16602" xr:uid="{3D2D5B33-0650-4214-BE11-A70D7FD450A6}"/>
    <cellStyle name="Normal 4 8 4 2 3" xfId="12384" xr:uid="{89FBDB5D-2D65-472E-90BC-E98CE599C13E}"/>
    <cellStyle name="Normal 4 8 4 3" xfId="6018" xr:uid="{00000000-0005-0000-0000-0000D5160000}"/>
    <cellStyle name="Normal 4 8 4 3 2" xfId="14457" xr:uid="{BDA6BDE5-BF2E-41CD-B7DD-8EB1655427D1}"/>
    <cellStyle name="Normal 4 8 4 4" xfId="10239" xr:uid="{6873EAEC-477E-469A-AE4E-963CECE37023}"/>
    <cellStyle name="Normal 4 8 5" xfId="2124" xr:uid="{00000000-0005-0000-0000-0000D6160000}"/>
    <cellStyle name="Normal 4 8 5 2" xfId="4353" xr:uid="{00000000-0005-0000-0000-0000D7160000}"/>
    <cellStyle name="Normal 4 8 5 2 2" xfId="8576" xr:uid="{00000000-0005-0000-0000-0000D8160000}"/>
    <cellStyle name="Normal 4 8 5 2 2 2" xfId="17015" xr:uid="{CF372E59-C187-4C9D-9644-0504FC37E926}"/>
    <cellStyle name="Normal 4 8 5 2 3" xfId="12797" xr:uid="{495E8BB0-54F0-4607-B71B-8725B8ABC73B}"/>
    <cellStyle name="Normal 4 8 5 3" xfId="6431" xr:uid="{00000000-0005-0000-0000-0000D9160000}"/>
    <cellStyle name="Normal 4 8 5 3 2" xfId="14870" xr:uid="{722FEFB9-0527-419D-8FE4-88E9B2AE8FEF}"/>
    <cellStyle name="Normal 4 8 5 4" xfId="10652" xr:uid="{3FCB06E0-2C83-4604-82FA-4CD5BA59D907}"/>
    <cellStyle name="Normal 4 8 6" xfId="2560" xr:uid="{00000000-0005-0000-0000-0000DA160000}"/>
    <cellStyle name="Normal 4 8 6 2" xfId="6844" xr:uid="{00000000-0005-0000-0000-0000DB160000}"/>
    <cellStyle name="Normal 4 8 6 2 2" xfId="15283" xr:uid="{D76316BF-9A48-415F-BAF2-1971B26FEA4D}"/>
    <cellStyle name="Normal 4 8 6 3" xfId="11065" xr:uid="{F68102D0-4206-4F07-9B16-4C8084C17B3B}"/>
    <cellStyle name="Normal 4 8 7" xfId="4779" xr:uid="{00000000-0005-0000-0000-0000DC160000}"/>
    <cellStyle name="Normal 4 8 7 2" xfId="13218" xr:uid="{A5C16095-A38A-4DA9-92F1-6BE0C98BA960}"/>
    <cellStyle name="Normal 4 8 8" xfId="9000" xr:uid="{76EEF32B-DD7B-4494-B77F-2C1A3D042C51}"/>
    <cellStyle name="Normal 4 9" xfId="4716" xr:uid="{00000000-0005-0000-0000-0000DD160000}"/>
    <cellStyle name="Normal 4 9 2" xfId="13155" xr:uid="{6D2086AA-7387-4F65-BF92-6EE0EFDC6E09}"/>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3" xr:uid="{D854763D-6050-4932-8B52-F2B4356A8989}"/>
    <cellStyle name="Normal 5 10 2 3" xfId="12385" xr:uid="{D0FBC027-4FBC-42E0-9FE4-312A9B1C9302}"/>
    <cellStyle name="Normal 5 10 3" xfId="6019" xr:uid="{00000000-0005-0000-0000-0000E2160000}"/>
    <cellStyle name="Normal 5 10 3 2" xfId="14458" xr:uid="{9E49DFB5-CE22-432A-9360-B9C1898A67DE}"/>
    <cellStyle name="Normal 5 10 4" xfId="10240" xr:uid="{6D7A2FD1-1417-40BF-A503-A7E8957D7699}"/>
    <cellStyle name="Normal 5 11" xfId="2125" xr:uid="{00000000-0005-0000-0000-0000E3160000}"/>
    <cellStyle name="Normal 5 11 2" xfId="4354" xr:uid="{00000000-0005-0000-0000-0000E4160000}"/>
    <cellStyle name="Normal 5 11 2 2" xfId="8577" xr:uid="{00000000-0005-0000-0000-0000E5160000}"/>
    <cellStyle name="Normal 5 11 2 2 2" xfId="17016" xr:uid="{F6BA9C2A-2AA5-42E0-B313-CA84D3413E04}"/>
    <cellStyle name="Normal 5 11 2 3" xfId="12798" xr:uid="{939C7F3F-8F87-49DF-9BF8-0EEC15083CE6}"/>
    <cellStyle name="Normal 5 11 3" xfId="6432" xr:uid="{00000000-0005-0000-0000-0000E6160000}"/>
    <cellStyle name="Normal 5 11 3 2" xfId="14871" xr:uid="{704F716E-7F37-4871-B463-9C3C21542B8D}"/>
    <cellStyle name="Normal 5 11 4" xfId="10653" xr:uid="{29D10295-196C-41A9-A43E-489CD38FCEB0}"/>
    <cellStyle name="Normal 5 12" xfId="2561" xr:uid="{00000000-0005-0000-0000-0000E7160000}"/>
    <cellStyle name="Normal 5 12 2" xfId="6845" xr:uid="{00000000-0005-0000-0000-0000E8160000}"/>
    <cellStyle name="Normal 5 12 2 2" xfId="15284" xr:uid="{B852D454-5FE3-4698-833A-06612A26A7C2}"/>
    <cellStyle name="Normal 5 12 3" xfId="11066" xr:uid="{A2E1E947-F949-4440-BCD0-27FE1D2BDFCE}"/>
    <cellStyle name="Normal 5 13" xfId="4780" xr:uid="{00000000-0005-0000-0000-0000E9160000}"/>
    <cellStyle name="Normal 5 13 2" xfId="13219" xr:uid="{C43F9373-6737-4796-936A-4CE7AE615FF5}"/>
    <cellStyle name="Normal 5 14" xfId="9001" xr:uid="{ED040507-ADAF-49CD-99A6-D05F4FD2E94C}"/>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17" xr:uid="{ED36B47D-3523-42EA-9FED-317FEE1B39D2}"/>
    <cellStyle name="Normal 5 2 10 2 3" xfId="12799" xr:uid="{4834FD83-2CD9-4A1D-B2CC-595EDD4AF5AD}"/>
    <cellStyle name="Normal 5 2 10 3" xfId="6433" xr:uid="{00000000-0005-0000-0000-0000EE160000}"/>
    <cellStyle name="Normal 5 2 10 3 2" xfId="14872" xr:uid="{10820E9B-D205-4749-AD74-74532BB86ADE}"/>
    <cellStyle name="Normal 5 2 10 4" xfId="10654" xr:uid="{4F3492C2-30DF-4740-94C7-C980D03E53DB}"/>
    <cellStyle name="Normal 5 2 11" xfId="2562" xr:uid="{00000000-0005-0000-0000-0000EF160000}"/>
    <cellStyle name="Normal 5 2 11 2" xfId="6846" xr:uid="{00000000-0005-0000-0000-0000F0160000}"/>
    <cellStyle name="Normal 5 2 11 2 2" xfId="15285" xr:uid="{9B45839E-5AEF-4177-A744-E9F54E8CE659}"/>
    <cellStyle name="Normal 5 2 11 3" xfId="11067" xr:uid="{ED1C836B-C140-41EE-BFDE-992A662D5463}"/>
    <cellStyle name="Normal 5 2 12" xfId="4781" xr:uid="{00000000-0005-0000-0000-0000F1160000}"/>
    <cellStyle name="Normal 5 2 12 2" xfId="13220" xr:uid="{A0B5343E-3FF0-4845-8E36-976C48AE7D3B}"/>
    <cellStyle name="Normal 5 2 13" xfId="9002" xr:uid="{B45E8CC6-AF5E-4A09-80FD-EC4DA6AFC556}"/>
    <cellStyle name="Normal 5 2 2" xfId="408" xr:uid="{00000000-0005-0000-0000-0000F2160000}"/>
    <cellStyle name="Normal 5 2 2 10" xfId="2563" xr:uid="{00000000-0005-0000-0000-0000F3160000}"/>
    <cellStyle name="Normal 5 2 2 10 2" xfId="6847" xr:uid="{00000000-0005-0000-0000-0000F4160000}"/>
    <cellStyle name="Normal 5 2 2 10 2 2" xfId="15286" xr:uid="{F6360F7F-8F56-4D18-A04A-48C1BDA07524}"/>
    <cellStyle name="Normal 5 2 2 10 3" xfId="11068" xr:uid="{40EDE025-DCD6-400E-BA1B-B3F95C8B4545}"/>
    <cellStyle name="Normal 5 2 2 11" xfId="4782" xr:uid="{00000000-0005-0000-0000-0000F5160000}"/>
    <cellStyle name="Normal 5 2 2 11 2" xfId="13221" xr:uid="{70FF9CEA-AEDB-4564-AE39-8260311D27AB}"/>
    <cellStyle name="Normal 5 2 2 12" xfId="9003" xr:uid="{FEC2B34F-DCD9-4C1B-95F9-70C3194FCD78}"/>
    <cellStyle name="Normal 5 2 2 2" xfId="409" xr:uid="{00000000-0005-0000-0000-0000F6160000}"/>
    <cellStyle name="Normal 5 2 2 2 10" xfId="4783" xr:uid="{00000000-0005-0000-0000-0000F7160000}"/>
    <cellStyle name="Normal 5 2 2 2 10 2" xfId="13222" xr:uid="{694A5CA2-DC5D-47F4-9DE0-F47B8FE5C6B8}"/>
    <cellStyle name="Normal 5 2 2 2 11" xfId="9004" xr:uid="{C7929712-CA0C-46DD-85EC-A92120DD3313}"/>
    <cellStyle name="Normal 5 2 2 2 2" xfId="410" xr:uid="{00000000-0005-0000-0000-0000F8160000}"/>
    <cellStyle name="Normal 5 2 2 2 2 10" xfId="9005" xr:uid="{AD0E3B6B-D7E4-4122-A283-582845D1C70B}"/>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3" xr:uid="{4F95DC65-A77B-40CC-BBA4-D86031FEFBCE}"/>
    <cellStyle name="Normal 5 2 2 2 2 2 2 2 2 3" xfId="11565" xr:uid="{34358476-C20A-4081-AA6E-B91389BA6DA7}"/>
    <cellStyle name="Normal 5 2 2 2 2 2 2 2 3" xfId="5199" xr:uid="{00000000-0005-0000-0000-0000FE160000}"/>
    <cellStyle name="Normal 5 2 2 2 2 2 2 2 3 2" xfId="13638" xr:uid="{85927572-F41D-4D1D-9D26-47A5528F7CCA}"/>
    <cellStyle name="Normal 5 2 2 2 2 2 2 2 4" xfId="9420" xr:uid="{DA00E713-F396-4244-A9E1-A6BE45DC1743}"/>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6" xr:uid="{F2910BE7-991E-4C94-89A9-5E01A79A5927}"/>
    <cellStyle name="Normal 5 2 2 2 2 2 2 3 2 3" xfId="11978" xr:uid="{1C4A44EB-72C7-4DFF-9168-D709D7D16BFD}"/>
    <cellStyle name="Normal 5 2 2 2 2 2 2 3 3" xfId="5612" xr:uid="{00000000-0005-0000-0000-000002170000}"/>
    <cellStyle name="Normal 5 2 2 2 2 2 2 3 3 2" xfId="14051" xr:uid="{8100B5AB-4480-415C-826D-5B0961E9CD88}"/>
    <cellStyle name="Normal 5 2 2 2 2 2 2 3 4" xfId="9833" xr:uid="{4ECEF3C3-EE7A-4015-8629-CA3F5198AAA8}"/>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09" xr:uid="{B1C3C599-F694-4DFD-8447-9189E7608EF2}"/>
    <cellStyle name="Normal 5 2 2 2 2 2 2 4 2 3" xfId="12391" xr:uid="{949FAC4C-277F-4EDB-AEA6-519D9BBDF189}"/>
    <cellStyle name="Normal 5 2 2 2 2 2 2 4 3" xfId="6025" xr:uid="{00000000-0005-0000-0000-000006170000}"/>
    <cellStyle name="Normal 5 2 2 2 2 2 2 4 3 2" xfId="14464" xr:uid="{F01E4807-1CC6-4D3C-B136-F6CD925DBE01}"/>
    <cellStyle name="Normal 5 2 2 2 2 2 2 4 4" xfId="10246" xr:uid="{89BFDC7B-3C4C-47F4-AA7A-BE5509281057}"/>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2" xr:uid="{E19D3BC0-630A-4540-B88B-2994D04BA138}"/>
    <cellStyle name="Normal 5 2 2 2 2 2 2 5 2 3" xfId="12804" xr:uid="{4316E779-FB89-4DD6-A3ED-90904E4171B5}"/>
    <cellStyle name="Normal 5 2 2 2 2 2 2 5 3" xfId="6438" xr:uid="{00000000-0005-0000-0000-00000A170000}"/>
    <cellStyle name="Normal 5 2 2 2 2 2 2 5 3 2" xfId="14877" xr:uid="{8B7D7AFD-3098-4CAB-AFA4-9FDAE17585E4}"/>
    <cellStyle name="Normal 5 2 2 2 2 2 2 5 4" xfId="10659" xr:uid="{9CE93CDB-51BD-40BD-8BE2-BEA28DFBF9FF}"/>
    <cellStyle name="Normal 5 2 2 2 2 2 2 6" xfId="2567" xr:uid="{00000000-0005-0000-0000-00000B170000}"/>
    <cellStyle name="Normal 5 2 2 2 2 2 2 6 2" xfId="6851" xr:uid="{00000000-0005-0000-0000-00000C170000}"/>
    <cellStyle name="Normal 5 2 2 2 2 2 2 6 2 2" xfId="15290" xr:uid="{DCB3DF7D-0657-400B-BCFD-6011A9243BD2}"/>
    <cellStyle name="Normal 5 2 2 2 2 2 2 6 3" xfId="11072" xr:uid="{595D5BF5-6ED5-43D1-A65E-3797A7ECDEF4}"/>
    <cellStyle name="Normal 5 2 2 2 2 2 2 7" xfId="4786" xr:uid="{00000000-0005-0000-0000-00000D170000}"/>
    <cellStyle name="Normal 5 2 2 2 2 2 2 7 2" xfId="13225" xr:uid="{D5D00E2C-A954-40BF-8664-30A7A98232D6}"/>
    <cellStyle name="Normal 5 2 2 2 2 2 2 8" xfId="9007" xr:uid="{0F4A73BF-DA42-4294-ADCE-95D7B00B11EB}"/>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2" xr:uid="{256B8399-3D1B-4627-88E2-517785C178D4}"/>
    <cellStyle name="Normal 5 2 2 2 2 2 3 2 3" xfId="11564" xr:uid="{1A7FCD11-9FC8-40B9-BBE8-FA512F8651E2}"/>
    <cellStyle name="Normal 5 2 2 2 2 2 3 3" xfId="5198" xr:uid="{00000000-0005-0000-0000-000011170000}"/>
    <cellStyle name="Normal 5 2 2 2 2 2 3 3 2" xfId="13637" xr:uid="{D3406309-EF87-4322-9E59-D223174240C5}"/>
    <cellStyle name="Normal 5 2 2 2 2 2 3 4" xfId="9419" xr:uid="{C5A6070C-C7E4-48A2-9764-CD834399C835}"/>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5" xr:uid="{F075F158-0346-4E9F-933B-FA33F78768A8}"/>
    <cellStyle name="Normal 5 2 2 2 2 2 4 2 3" xfId="11977" xr:uid="{9F635991-8B59-43FF-8C98-E3F7891F89B9}"/>
    <cellStyle name="Normal 5 2 2 2 2 2 4 3" xfId="5611" xr:uid="{00000000-0005-0000-0000-000015170000}"/>
    <cellStyle name="Normal 5 2 2 2 2 2 4 3 2" xfId="14050" xr:uid="{66A324A4-67EB-4473-84A3-AD394BF266D2}"/>
    <cellStyle name="Normal 5 2 2 2 2 2 4 4" xfId="9832" xr:uid="{6126B5A9-F2A3-4AA3-ADB8-63EAB8DA289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08" xr:uid="{8ED9EB2C-0396-4293-82E6-2311B2F30BC2}"/>
    <cellStyle name="Normal 5 2 2 2 2 2 5 2 3" xfId="12390" xr:uid="{14679B3F-2C8E-46D6-8EAB-3B6377FECF1A}"/>
    <cellStyle name="Normal 5 2 2 2 2 2 5 3" xfId="6024" xr:uid="{00000000-0005-0000-0000-000019170000}"/>
    <cellStyle name="Normal 5 2 2 2 2 2 5 3 2" xfId="14463" xr:uid="{DA333411-FFC2-439D-8E4B-2DFF0AD2FE3A}"/>
    <cellStyle name="Normal 5 2 2 2 2 2 5 4" xfId="10245" xr:uid="{37318FB4-00B2-49A1-AF92-725501D36B93}"/>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1" xr:uid="{EA8B4B36-2F63-4834-8EDC-3AB34C3AFE14}"/>
    <cellStyle name="Normal 5 2 2 2 2 2 6 2 3" xfId="12803" xr:uid="{37473CCE-C70D-4E36-B36A-3F24815D1438}"/>
    <cellStyle name="Normal 5 2 2 2 2 2 6 3" xfId="6437" xr:uid="{00000000-0005-0000-0000-00001D170000}"/>
    <cellStyle name="Normal 5 2 2 2 2 2 6 3 2" xfId="14876" xr:uid="{D221AADA-B179-4B42-90CE-C5E9DB80784B}"/>
    <cellStyle name="Normal 5 2 2 2 2 2 6 4" xfId="10658" xr:uid="{D36DBA2E-F847-4045-B973-33CC1B6125FD}"/>
    <cellStyle name="Normal 5 2 2 2 2 2 7" xfId="2566" xr:uid="{00000000-0005-0000-0000-00001E170000}"/>
    <cellStyle name="Normal 5 2 2 2 2 2 7 2" xfId="6850" xr:uid="{00000000-0005-0000-0000-00001F170000}"/>
    <cellStyle name="Normal 5 2 2 2 2 2 7 2 2" xfId="15289" xr:uid="{5ADC6DC2-EC3B-4729-B46E-AAA99A90F75F}"/>
    <cellStyle name="Normal 5 2 2 2 2 2 7 3" xfId="11071" xr:uid="{7C1AD868-5498-4BDA-8DAA-1A6F4063B0A2}"/>
    <cellStyle name="Normal 5 2 2 2 2 2 8" xfId="4785" xr:uid="{00000000-0005-0000-0000-000020170000}"/>
    <cellStyle name="Normal 5 2 2 2 2 2 8 2" xfId="13224" xr:uid="{544B3A59-6104-4236-88A6-8F7103EEA243}"/>
    <cellStyle name="Normal 5 2 2 2 2 2 9" xfId="9006" xr:uid="{B7ACA9CD-0C8A-4A10-BA02-8FCBCA6870E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4" xr:uid="{1501144E-6FB0-48A1-A1B4-A3FA6CE10EDA}"/>
    <cellStyle name="Normal 5 2 2 2 2 3 2 2 3" xfId="11566" xr:uid="{501962A6-2F7A-489A-AEA0-8415263A6084}"/>
    <cellStyle name="Normal 5 2 2 2 2 3 2 3" xfId="5200" xr:uid="{00000000-0005-0000-0000-000025170000}"/>
    <cellStyle name="Normal 5 2 2 2 2 3 2 3 2" xfId="13639" xr:uid="{1DF2BF5F-6B73-4579-B6B1-E1496F60159A}"/>
    <cellStyle name="Normal 5 2 2 2 2 3 2 4" xfId="9421" xr:uid="{FC50E5A9-4F69-4C35-91DC-29228B2536CD}"/>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197" xr:uid="{7C84A5FD-97A7-482B-B23C-4532487BF949}"/>
    <cellStyle name="Normal 5 2 2 2 2 3 3 2 3" xfId="11979" xr:uid="{6292CF58-0E2B-47B3-8D1E-74099696CDDA}"/>
    <cellStyle name="Normal 5 2 2 2 2 3 3 3" xfId="5613" xr:uid="{00000000-0005-0000-0000-000029170000}"/>
    <cellStyle name="Normal 5 2 2 2 2 3 3 3 2" xfId="14052" xr:uid="{A828E124-00B4-4F5A-9B7B-E65E417AAF03}"/>
    <cellStyle name="Normal 5 2 2 2 2 3 3 4" xfId="9834" xr:uid="{5A826F15-1FA8-4DF6-96F8-6B0A91020E88}"/>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0" xr:uid="{08A83155-8511-4A6B-9C1D-7894D22CC645}"/>
    <cellStyle name="Normal 5 2 2 2 2 3 4 2 3" xfId="12392" xr:uid="{1787B643-C42E-4979-88CC-EA9236F3EA6B}"/>
    <cellStyle name="Normal 5 2 2 2 2 3 4 3" xfId="6026" xr:uid="{00000000-0005-0000-0000-00002D170000}"/>
    <cellStyle name="Normal 5 2 2 2 2 3 4 3 2" xfId="14465" xr:uid="{01E4C2BD-5D92-44BD-BC38-4BB221FDBF7B}"/>
    <cellStyle name="Normal 5 2 2 2 2 3 4 4" xfId="10247" xr:uid="{A9F2C787-52FA-459F-AE0D-89DE191F31C6}"/>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3" xr:uid="{51D4B95C-7EDB-41B3-88F1-11B41A94461E}"/>
    <cellStyle name="Normal 5 2 2 2 2 3 5 2 3" xfId="12805" xr:uid="{784CCEFA-3D22-43A6-8B87-588016A0BC0A}"/>
    <cellStyle name="Normal 5 2 2 2 2 3 5 3" xfId="6439" xr:uid="{00000000-0005-0000-0000-000031170000}"/>
    <cellStyle name="Normal 5 2 2 2 2 3 5 3 2" xfId="14878" xr:uid="{13299D55-1D5C-41D8-B908-C8CC00EDDA5B}"/>
    <cellStyle name="Normal 5 2 2 2 2 3 5 4" xfId="10660" xr:uid="{ACFE892B-0DC8-44F3-881B-461DF563BE82}"/>
    <cellStyle name="Normal 5 2 2 2 2 3 6" xfId="2568" xr:uid="{00000000-0005-0000-0000-000032170000}"/>
    <cellStyle name="Normal 5 2 2 2 2 3 6 2" xfId="6852" xr:uid="{00000000-0005-0000-0000-000033170000}"/>
    <cellStyle name="Normal 5 2 2 2 2 3 6 2 2" xfId="15291" xr:uid="{076E5DC9-E4BC-4763-9708-54C5B982163C}"/>
    <cellStyle name="Normal 5 2 2 2 2 3 6 3" xfId="11073" xr:uid="{761CD7BA-4A01-40FB-930D-12C3BA187553}"/>
    <cellStyle name="Normal 5 2 2 2 2 3 7" xfId="4787" xr:uid="{00000000-0005-0000-0000-000034170000}"/>
    <cellStyle name="Normal 5 2 2 2 2 3 7 2" xfId="13226" xr:uid="{60D35B66-D47E-434F-B85F-B92689FEF82F}"/>
    <cellStyle name="Normal 5 2 2 2 2 3 8" xfId="9008" xr:uid="{5C142B99-6F0D-4E69-9953-1B736B70365D}"/>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1" xr:uid="{A40BFDD3-7E96-48E8-A1C1-3A0324001262}"/>
    <cellStyle name="Normal 5 2 2 2 2 4 2 3" xfId="11563" xr:uid="{8D52CB15-CA79-429A-909E-7322DDF91BD5}"/>
    <cellStyle name="Normal 5 2 2 2 2 4 3" xfId="5197" xr:uid="{00000000-0005-0000-0000-000038170000}"/>
    <cellStyle name="Normal 5 2 2 2 2 4 3 2" xfId="13636" xr:uid="{6B9C344C-9DF8-44F8-B59A-B10B5A91C388}"/>
    <cellStyle name="Normal 5 2 2 2 2 4 4" xfId="9418" xr:uid="{3EEE32F4-AB47-43CE-A467-E94C20A3C0B4}"/>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4" xr:uid="{EE00B91B-4C68-4394-A9E4-9AD1FBE4F0B9}"/>
    <cellStyle name="Normal 5 2 2 2 2 5 2 3" xfId="11976" xr:uid="{742D0E84-CF26-4952-BBBB-915ED6AAB5BD}"/>
    <cellStyle name="Normal 5 2 2 2 2 5 3" xfId="5610" xr:uid="{00000000-0005-0000-0000-00003C170000}"/>
    <cellStyle name="Normal 5 2 2 2 2 5 3 2" xfId="14049" xr:uid="{1EDABF4D-4151-4119-A4B6-96DD69CBC1C2}"/>
    <cellStyle name="Normal 5 2 2 2 2 5 4" xfId="9831" xr:uid="{82E80CBC-A524-41D2-8A03-1604A84E7686}"/>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07" xr:uid="{D5CDA6D8-C12D-44ED-A811-1BBFE63B096A}"/>
    <cellStyle name="Normal 5 2 2 2 2 6 2 3" xfId="12389" xr:uid="{A925E7E8-FCBF-45F9-9F14-25F8243D6239}"/>
    <cellStyle name="Normal 5 2 2 2 2 6 3" xfId="6023" xr:uid="{00000000-0005-0000-0000-000040170000}"/>
    <cellStyle name="Normal 5 2 2 2 2 6 3 2" xfId="14462" xr:uid="{0F13284C-8BFF-443E-B1EB-D7A2664901A0}"/>
    <cellStyle name="Normal 5 2 2 2 2 6 4" xfId="10244" xr:uid="{6715D36D-5F02-4330-94C0-9134A90DDDC1}"/>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0" xr:uid="{70316C4E-41A7-4D50-8E5F-8359B9BB5F3C}"/>
    <cellStyle name="Normal 5 2 2 2 2 7 2 3" xfId="12802" xr:uid="{3EE9F2F1-1865-4126-98AC-7D9944488D35}"/>
    <cellStyle name="Normal 5 2 2 2 2 7 3" xfId="6436" xr:uid="{00000000-0005-0000-0000-000044170000}"/>
    <cellStyle name="Normal 5 2 2 2 2 7 3 2" xfId="14875" xr:uid="{347507AA-AD80-4C39-AE1E-2C938780065B}"/>
    <cellStyle name="Normal 5 2 2 2 2 7 4" xfId="10657" xr:uid="{F259198E-4A2C-45E1-B34D-93026711EB10}"/>
    <cellStyle name="Normal 5 2 2 2 2 8" xfId="2565" xr:uid="{00000000-0005-0000-0000-000045170000}"/>
    <cellStyle name="Normal 5 2 2 2 2 8 2" xfId="6849" xr:uid="{00000000-0005-0000-0000-000046170000}"/>
    <cellStyle name="Normal 5 2 2 2 2 8 2 2" xfId="15288" xr:uid="{245294A0-8DDE-43C2-8E1E-E50591A69DF4}"/>
    <cellStyle name="Normal 5 2 2 2 2 8 3" xfId="11070" xr:uid="{00C07420-C392-4645-A7EA-D5BBC6B830C7}"/>
    <cellStyle name="Normal 5 2 2 2 2 9" xfId="4784" xr:uid="{00000000-0005-0000-0000-000047170000}"/>
    <cellStyle name="Normal 5 2 2 2 2 9 2" xfId="13223" xr:uid="{87501EC4-6CA6-4A89-B38B-DCC1E34F26BF}"/>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6" xr:uid="{7869E4F6-7B8A-410E-9F3F-1FFE534395FE}"/>
    <cellStyle name="Normal 5 2 2 2 3 2 2 2 3" xfId="11568" xr:uid="{11F15D7C-6ADF-4BA7-8F60-E6D649A34526}"/>
    <cellStyle name="Normal 5 2 2 2 3 2 2 3" xfId="5202" xr:uid="{00000000-0005-0000-0000-00004D170000}"/>
    <cellStyle name="Normal 5 2 2 2 3 2 2 3 2" xfId="13641" xr:uid="{15AF341B-67B1-4897-BB57-91E6C8A722E3}"/>
    <cellStyle name="Normal 5 2 2 2 3 2 2 4" xfId="9423" xr:uid="{E480A5F7-0941-4E3E-A0F8-23D06C2AC80A}"/>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199" xr:uid="{773843D7-1F96-432D-9CC5-62CE158B8086}"/>
    <cellStyle name="Normal 5 2 2 2 3 2 3 2 3" xfId="11981" xr:uid="{29C91B77-25F2-40DD-844D-98C4C14FDAC1}"/>
    <cellStyle name="Normal 5 2 2 2 3 2 3 3" xfId="5615" xr:uid="{00000000-0005-0000-0000-000051170000}"/>
    <cellStyle name="Normal 5 2 2 2 3 2 3 3 2" xfId="14054" xr:uid="{15A7CA9F-02F3-4083-B7E7-15322D9DF5F1}"/>
    <cellStyle name="Normal 5 2 2 2 3 2 3 4" xfId="9836" xr:uid="{DC902BE3-1C47-43FE-B2C1-BCB31E56FCDA}"/>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2" xr:uid="{8B2796F6-BF83-4456-BF07-7EF9D86E1515}"/>
    <cellStyle name="Normal 5 2 2 2 3 2 4 2 3" xfId="12394" xr:uid="{0F77AE50-46DF-41D0-BB9B-2111550D487B}"/>
    <cellStyle name="Normal 5 2 2 2 3 2 4 3" xfId="6028" xr:uid="{00000000-0005-0000-0000-000055170000}"/>
    <cellStyle name="Normal 5 2 2 2 3 2 4 3 2" xfId="14467" xr:uid="{216E76E9-7888-4A1E-AD9E-C41DEE801ED7}"/>
    <cellStyle name="Normal 5 2 2 2 3 2 4 4" xfId="10249" xr:uid="{E3C5A307-4E3B-4A30-BD3E-E1B9CF830A3D}"/>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5" xr:uid="{6D5C0CFC-B421-4F46-A463-A142BEAE6396}"/>
    <cellStyle name="Normal 5 2 2 2 3 2 5 2 3" xfId="12807" xr:uid="{6BAAF664-508C-4B12-B684-8AF194340D6B}"/>
    <cellStyle name="Normal 5 2 2 2 3 2 5 3" xfId="6441" xr:uid="{00000000-0005-0000-0000-000059170000}"/>
    <cellStyle name="Normal 5 2 2 2 3 2 5 3 2" xfId="14880" xr:uid="{2AEFD1AD-A021-4507-9304-2E9DC1FCC00F}"/>
    <cellStyle name="Normal 5 2 2 2 3 2 5 4" xfId="10662" xr:uid="{5510304F-2A44-4669-ADE8-A997BB1FB6B1}"/>
    <cellStyle name="Normal 5 2 2 2 3 2 6" xfId="2570" xr:uid="{00000000-0005-0000-0000-00005A170000}"/>
    <cellStyle name="Normal 5 2 2 2 3 2 6 2" xfId="6854" xr:uid="{00000000-0005-0000-0000-00005B170000}"/>
    <cellStyle name="Normal 5 2 2 2 3 2 6 2 2" xfId="15293" xr:uid="{B3749F33-5638-4E5E-87A6-BC123C178532}"/>
    <cellStyle name="Normal 5 2 2 2 3 2 6 3" xfId="11075" xr:uid="{8B64C0B4-708B-49A1-898F-656697C69EA5}"/>
    <cellStyle name="Normal 5 2 2 2 3 2 7" xfId="4789" xr:uid="{00000000-0005-0000-0000-00005C170000}"/>
    <cellStyle name="Normal 5 2 2 2 3 2 7 2" xfId="13228" xr:uid="{7E7DEBE4-350D-4058-B657-A88B5724A94B}"/>
    <cellStyle name="Normal 5 2 2 2 3 2 8" xfId="9010" xr:uid="{5646B8AE-40D7-428C-8742-0DF5E589DBDF}"/>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5" xr:uid="{55253A09-4582-4282-BF01-282117842B2B}"/>
    <cellStyle name="Normal 5 2 2 2 3 3 2 3" xfId="11567" xr:uid="{B4F9335E-ABB9-4466-BAAB-422FD928AE44}"/>
    <cellStyle name="Normal 5 2 2 2 3 3 3" xfId="5201" xr:uid="{00000000-0005-0000-0000-000060170000}"/>
    <cellStyle name="Normal 5 2 2 2 3 3 3 2" xfId="13640" xr:uid="{44EB5DA8-93B9-4002-A6DF-68E844112A1D}"/>
    <cellStyle name="Normal 5 2 2 2 3 3 4" xfId="9422" xr:uid="{F0794120-1372-4692-92ED-412491FBE1FF}"/>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198" xr:uid="{1F118842-4642-44F4-8CF0-F0F84000088E}"/>
    <cellStyle name="Normal 5 2 2 2 3 4 2 3" xfId="11980" xr:uid="{9CBB9750-D355-4870-8AB2-FE5A2AC697CB}"/>
    <cellStyle name="Normal 5 2 2 2 3 4 3" xfId="5614" xr:uid="{00000000-0005-0000-0000-000064170000}"/>
    <cellStyle name="Normal 5 2 2 2 3 4 3 2" xfId="14053" xr:uid="{CE43C9D2-F73A-4111-9E82-37FC6EB5A5E0}"/>
    <cellStyle name="Normal 5 2 2 2 3 4 4" xfId="9835" xr:uid="{604693C8-B445-441A-91E7-7E6702712819}"/>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1" xr:uid="{B73F86F7-044E-4159-8BE1-E7BAE578C24B}"/>
    <cellStyle name="Normal 5 2 2 2 3 5 2 3" xfId="12393" xr:uid="{1508ADC6-FA7B-4285-93EB-7CCB2B294B93}"/>
    <cellStyle name="Normal 5 2 2 2 3 5 3" xfId="6027" xr:uid="{00000000-0005-0000-0000-000068170000}"/>
    <cellStyle name="Normal 5 2 2 2 3 5 3 2" xfId="14466" xr:uid="{811A1892-D429-4FD1-988D-5BDA2FD0BBE1}"/>
    <cellStyle name="Normal 5 2 2 2 3 5 4" xfId="10248" xr:uid="{6A8D2BBB-EBAE-4E79-9933-7090E16468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4" xr:uid="{EB084E2B-68C5-40AE-8AB4-0B66248279B9}"/>
    <cellStyle name="Normal 5 2 2 2 3 6 2 3" xfId="12806" xr:uid="{57FCBD31-C9C5-44D4-B57F-AA7D21463BEB}"/>
    <cellStyle name="Normal 5 2 2 2 3 6 3" xfId="6440" xr:uid="{00000000-0005-0000-0000-00006C170000}"/>
    <cellStyle name="Normal 5 2 2 2 3 6 3 2" xfId="14879" xr:uid="{4E2C458D-1D37-4070-90D3-74BA46F65E53}"/>
    <cellStyle name="Normal 5 2 2 2 3 6 4" xfId="10661" xr:uid="{0D98764C-A776-409D-B5C4-6851FF966C17}"/>
    <cellStyle name="Normal 5 2 2 2 3 7" xfId="2569" xr:uid="{00000000-0005-0000-0000-00006D170000}"/>
    <cellStyle name="Normal 5 2 2 2 3 7 2" xfId="6853" xr:uid="{00000000-0005-0000-0000-00006E170000}"/>
    <cellStyle name="Normal 5 2 2 2 3 7 2 2" xfId="15292" xr:uid="{22530054-6FF7-43D8-BC7C-27F063C7C2C8}"/>
    <cellStyle name="Normal 5 2 2 2 3 7 3" xfId="11074" xr:uid="{73C09FAC-314B-47CE-99A0-BD62706B39F5}"/>
    <cellStyle name="Normal 5 2 2 2 3 8" xfId="4788" xr:uid="{00000000-0005-0000-0000-00006F170000}"/>
    <cellStyle name="Normal 5 2 2 2 3 8 2" xfId="13227" xr:uid="{8E28A7DD-BA50-42FA-B1CE-A0F5F26EF83D}"/>
    <cellStyle name="Normal 5 2 2 2 3 9" xfId="9009" xr:uid="{C3205194-D4BD-4580-9B04-FBB6C1DA57C7}"/>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87" xr:uid="{5FB2EF59-8658-43D8-9EFB-A76836C3540B}"/>
    <cellStyle name="Normal 5 2 2 2 4 2 2 3" xfId="11569" xr:uid="{A95189D5-8185-4C79-AF77-67B20F90AA0B}"/>
    <cellStyle name="Normal 5 2 2 2 4 2 3" xfId="5203" xr:uid="{00000000-0005-0000-0000-000074170000}"/>
    <cellStyle name="Normal 5 2 2 2 4 2 3 2" xfId="13642" xr:uid="{558AEEE2-7D24-4755-B52A-61A8BE2C6F98}"/>
    <cellStyle name="Normal 5 2 2 2 4 2 4" xfId="9424" xr:uid="{49E51187-91E0-4F81-8D27-5C551766EE6C}"/>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0" xr:uid="{5D8B0A95-7DD8-44EC-B0EC-783E05BEFD35}"/>
    <cellStyle name="Normal 5 2 2 2 4 3 2 3" xfId="11982" xr:uid="{7E9BA323-ADD7-46B4-839F-079CF129A126}"/>
    <cellStyle name="Normal 5 2 2 2 4 3 3" xfId="5616" xr:uid="{00000000-0005-0000-0000-000078170000}"/>
    <cellStyle name="Normal 5 2 2 2 4 3 3 2" xfId="14055" xr:uid="{655AA5CC-73BA-4026-8AE2-359C3A91A098}"/>
    <cellStyle name="Normal 5 2 2 2 4 3 4" xfId="9837" xr:uid="{392543E2-B163-4684-AFD1-8CC58A93E62E}"/>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3" xr:uid="{C65487AB-8062-4F99-952B-BA656602B19A}"/>
    <cellStyle name="Normal 5 2 2 2 4 4 2 3" xfId="12395" xr:uid="{8CC46FD1-75F9-45FB-B7A3-BF89325E63C9}"/>
    <cellStyle name="Normal 5 2 2 2 4 4 3" xfId="6029" xr:uid="{00000000-0005-0000-0000-00007C170000}"/>
    <cellStyle name="Normal 5 2 2 2 4 4 3 2" xfId="14468" xr:uid="{B98CF737-BFEF-48C7-BB49-727418E6E5B0}"/>
    <cellStyle name="Normal 5 2 2 2 4 4 4" xfId="10250" xr:uid="{B78D60E8-5638-4FE1-AD96-96ED29B9CE8D}"/>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6" xr:uid="{0826AE3B-B8AA-4616-972A-9DFF0F65913D}"/>
    <cellStyle name="Normal 5 2 2 2 4 5 2 3" xfId="12808" xr:uid="{BF871E4A-01E3-4DFD-A9AC-0DA38E926AF6}"/>
    <cellStyle name="Normal 5 2 2 2 4 5 3" xfId="6442" xr:uid="{00000000-0005-0000-0000-000080170000}"/>
    <cellStyle name="Normal 5 2 2 2 4 5 3 2" xfId="14881" xr:uid="{9CABF5A6-0880-418A-9E44-ACB08CE4FC30}"/>
    <cellStyle name="Normal 5 2 2 2 4 5 4" xfId="10663" xr:uid="{54917664-B789-4101-86BE-01BFD1055256}"/>
    <cellStyle name="Normal 5 2 2 2 4 6" xfId="2571" xr:uid="{00000000-0005-0000-0000-000081170000}"/>
    <cellStyle name="Normal 5 2 2 2 4 6 2" xfId="6855" xr:uid="{00000000-0005-0000-0000-000082170000}"/>
    <cellStyle name="Normal 5 2 2 2 4 6 2 2" xfId="15294" xr:uid="{0FBF0BC8-435A-41DD-9911-9B0B474E743E}"/>
    <cellStyle name="Normal 5 2 2 2 4 6 3" xfId="11076" xr:uid="{17955EF9-C55A-4132-AB0E-8C4E4872BB44}"/>
    <cellStyle name="Normal 5 2 2 2 4 7" xfId="4790" xr:uid="{00000000-0005-0000-0000-000083170000}"/>
    <cellStyle name="Normal 5 2 2 2 4 7 2" xfId="13229" xr:uid="{6A98286C-AFC9-4AA6-BEBD-915B57A74F79}"/>
    <cellStyle name="Normal 5 2 2 2 4 8" xfId="9011" xr:uid="{7BC6F5A1-D388-4922-984A-AC7F4949F847}"/>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0" xr:uid="{097E121B-1A34-453A-9FA9-2CF55D949134}"/>
    <cellStyle name="Normal 5 2 2 2 5 2 3" xfId="11562" xr:uid="{4DB2BD84-FC1E-4C98-B0B1-08AF50294194}"/>
    <cellStyle name="Normal 5 2 2 2 5 3" xfId="5196" xr:uid="{00000000-0005-0000-0000-000087170000}"/>
    <cellStyle name="Normal 5 2 2 2 5 3 2" xfId="13635" xr:uid="{DB054DC3-356A-48B8-9AEC-51D151B06D21}"/>
    <cellStyle name="Normal 5 2 2 2 5 4" xfId="9417" xr:uid="{8F62723B-6632-4141-A448-19EB84062936}"/>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3" xr:uid="{732CBF96-8FA8-46A6-BCAB-C4258781A431}"/>
    <cellStyle name="Normal 5 2 2 2 6 2 3" xfId="11975" xr:uid="{3C0739D5-1218-4C09-92C2-13BD7C708853}"/>
    <cellStyle name="Normal 5 2 2 2 6 3" xfId="5609" xr:uid="{00000000-0005-0000-0000-00008B170000}"/>
    <cellStyle name="Normal 5 2 2 2 6 3 2" xfId="14048" xr:uid="{921CE299-52B7-409D-9CD7-A413971304CA}"/>
    <cellStyle name="Normal 5 2 2 2 6 4" xfId="9830" xr:uid="{D670B96A-6296-4636-B144-5360A0166B4E}"/>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6" xr:uid="{3055BBB3-2DCC-4A5C-8789-9FE940A61AB4}"/>
    <cellStyle name="Normal 5 2 2 2 7 2 3" xfId="12388" xr:uid="{E24722E5-1653-4D72-A06A-383D49442369}"/>
    <cellStyle name="Normal 5 2 2 2 7 3" xfId="6022" xr:uid="{00000000-0005-0000-0000-00008F170000}"/>
    <cellStyle name="Normal 5 2 2 2 7 3 2" xfId="14461" xr:uid="{5554BC46-CDEE-47D5-BD5B-57A495C37EFE}"/>
    <cellStyle name="Normal 5 2 2 2 7 4" xfId="10243" xr:uid="{576CB337-310D-4051-A01A-AC57E93B4003}"/>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19" xr:uid="{6CE1206A-EDD5-447E-9BFE-042A65060B08}"/>
    <cellStyle name="Normal 5 2 2 2 8 2 3" xfId="12801" xr:uid="{87F7D49A-665B-4CFB-9EFD-B4057DA1D57C}"/>
    <cellStyle name="Normal 5 2 2 2 8 3" xfId="6435" xr:uid="{00000000-0005-0000-0000-000093170000}"/>
    <cellStyle name="Normal 5 2 2 2 8 3 2" xfId="14874" xr:uid="{6680C96A-B46E-49EF-B5F1-D92CD1A6A705}"/>
    <cellStyle name="Normal 5 2 2 2 8 4" xfId="10656" xr:uid="{789217F2-F5DE-447A-85DE-6F40EC923930}"/>
    <cellStyle name="Normal 5 2 2 2 9" xfId="2564" xr:uid="{00000000-0005-0000-0000-000094170000}"/>
    <cellStyle name="Normal 5 2 2 2 9 2" xfId="6848" xr:uid="{00000000-0005-0000-0000-000095170000}"/>
    <cellStyle name="Normal 5 2 2 2 9 2 2" xfId="15287" xr:uid="{9C3789EE-DA7D-40B8-A015-030F67275694}"/>
    <cellStyle name="Normal 5 2 2 2 9 3" xfId="11069" xr:uid="{9AE9CC7F-92B2-4EBB-A816-31BE19133D08}"/>
    <cellStyle name="Normal 5 2 2 3" xfId="417" xr:uid="{00000000-0005-0000-0000-000096170000}"/>
    <cellStyle name="Normal 5 2 2 3 10" xfId="9012" xr:uid="{9FED359E-482B-4AD9-AC97-15916D96EA8D}"/>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0" xr:uid="{632FEF51-7FA6-47ED-AFF7-5535E4FB9C62}"/>
    <cellStyle name="Normal 5 2 2 3 2 2 2 2 3" xfId="11572" xr:uid="{2CDB936A-75C1-43BF-A89F-52F0A5AA191D}"/>
    <cellStyle name="Normal 5 2 2 3 2 2 2 3" xfId="5206" xr:uid="{00000000-0005-0000-0000-00009C170000}"/>
    <cellStyle name="Normal 5 2 2 3 2 2 2 3 2" xfId="13645" xr:uid="{0F947824-0492-4F01-A266-6822613F51CF}"/>
    <cellStyle name="Normal 5 2 2 3 2 2 2 4" xfId="9427" xr:uid="{6804485D-7595-4047-A192-68AA4E1905DE}"/>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3" xr:uid="{2277D8E4-555D-4735-8DB8-B93B242BB025}"/>
    <cellStyle name="Normal 5 2 2 3 2 2 3 2 3" xfId="11985" xr:uid="{CD4A97FE-B84A-40FE-A875-7E8B9A91EAD1}"/>
    <cellStyle name="Normal 5 2 2 3 2 2 3 3" xfId="5619" xr:uid="{00000000-0005-0000-0000-0000A0170000}"/>
    <cellStyle name="Normal 5 2 2 3 2 2 3 3 2" xfId="14058" xr:uid="{D102239C-DF4D-46CF-8BB2-7CF731032D28}"/>
    <cellStyle name="Normal 5 2 2 3 2 2 3 4" xfId="9840" xr:uid="{313DF0AC-9757-4E79-8CF6-104611B12D52}"/>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6" xr:uid="{015402F7-AA60-4B41-B9DF-435C5A50BB9C}"/>
    <cellStyle name="Normal 5 2 2 3 2 2 4 2 3" xfId="12398" xr:uid="{64F18529-8C6B-477D-8915-7D03EED8446A}"/>
    <cellStyle name="Normal 5 2 2 3 2 2 4 3" xfId="6032" xr:uid="{00000000-0005-0000-0000-0000A4170000}"/>
    <cellStyle name="Normal 5 2 2 3 2 2 4 3 2" xfId="14471" xr:uid="{167DFC19-E7F9-4BE0-9F25-56BAB3FAAA51}"/>
    <cellStyle name="Normal 5 2 2 3 2 2 4 4" xfId="10253" xr:uid="{2505529E-B378-43D4-BE3A-A6ECA3075FDA}"/>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29" xr:uid="{4207D36F-856A-4F0B-BB34-E74AC3CBAEB4}"/>
    <cellStyle name="Normal 5 2 2 3 2 2 5 2 3" xfId="12811" xr:uid="{BD498E1D-932B-4F9C-ABFA-CD3D0A6067D3}"/>
    <cellStyle name="Normal 5 2 2 3 2 2 5 3" xfId="6445" xr:uid="{00000000-0005-0000-0000-0000A8170000}"/>
    <cellStyle name="Normal 5 2 2 3 2 2 5 3 2" xfId="14884" xr:uid="{CB640E24-135E-45EC-830F-C204DCFFD282}"/>
    <cellStyle name="Normal 5 2 2 3 2 2 5 4" xfId="10666" xr:uid="{9525C1E6-D062-492D-9BF3-F9F43E941CC4}"/>
    <cellStyle name="Normal 5 2 2 3 2 2 6" xfId="2574" xr:uid="{00000000-0005-0000-0000-0000A9170000}"/>
    <cellStyle name="Normal 5 2 2 3 2 2 6 2" xfId="6858" xr:uid="{00000000-0005-0000-0000-0000AA170000}"/>
    <cellStyle name="Normal 5 2 2 3 2 2 6 2 2" xfId="15297" xr:uid="{2DD09B1C-5755-460C-B095-7F32426DB455}"/>
    <cellStyle name="Normal 5 2 2 3 2 2 6 3" xfId="11079" xr:uid="{E8083D82-A696-49C3-9FC3-B31F3E0F8BB4}"/>
    <cellStyle name="Normal 5 2 2 3 2 2 7" xfId="4793" xr:uid="{00000000-0005-0000-0000-0000AB170000}"/>
    <cellStyle name="Normal 5 2 2 3 2 2 7 2" xfId="13232" xr:uid="{D8B961B6-FCFA-423A-8636-97D50B56BE76}"/>
    <cellStyle name="Normal 5 2 2 3 2 2 8" xfId="9014" xr:uid="{5F386D8A-B8C7-431F-813C-DC415A59BA9E}"/>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89" xr:uid="{83E04493-9463-4EBD-B92E-263D89D9F220}"/>
    <cellStyle name="Normal 5 2 2 3 2 3 2 3" xfId="11571" xr:uid="{6CBD2263-D59B-4274-B40E-80D609DA3A9D}"/>
    <cellStyle name="Normal 5 2 2 3 2 3 3" xfId="5205" xr:uid="{00000000-0005-0000-0000-0000AF170000}"/>
    <cellStyle name="Normal 5 2 2 3 2 3 3 2" xfId="13644" xr:uid="{CF74BACE-D6C1-4552-A573-EB01A37D07DB}"/>
    <cellStyle name="Normal 5 2 2 3 2 3 4" xfId="9426" xr:uid="{7647BD21-1E6E-46AB-BBD8-F4BDC31C6548}"/>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2" xr:uid="{D0BC71C9-6860-4019-8679-A4F6C799E8A9}"/>
    <cellStyle name="Normal 5 2 2 3 2 4 2 3" xfId="11984" xr:uid="{F29C1617-95A8-4597-9964-5501628BD633}"/>
    <cellStyle name="Normal 5 2 2 3 2 4 3" xfId="5618" xr:uid="{00000000-0005-0000-0000-0000B3170000}"/>
    <cellStyle name="Normal 5 2 2 3 2 4 3 2" xfId="14057" xr:uid="{303E03C9-CF24-4278-99B7-6B3709CAD0B3}"/>
    <cellStyle name="Normal 5 2 2 3 2 4 4" xfId="9839" xr:uid="{14F84CED-A2FF-4678-B983-B7BA25A51176}"/>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5" xr:uid="{5069FDE6-16D1-4427-A185-D331A25254AA}"/>
    <cellStyle name="Normal 5 2 2 3 2 5 2 3" xfId="12397" xr:uid="{A5D07AF3-5E43-456C-A886-5261EFF7414F}"/>
    <cellStyle name="Normal 5 2 2 3 2 5 3" xfId="6031" xr:uid="{00000000-0005-0000-0000-0000B7170000}"/>
    <cellStyle name="Normal 5 2 2 3 2 5 3 2" xfId="14470" xr:uid="{3DBDA80F-BF2E-4633-9344-077305261927}"/>
    <cellStyle name="Normal 5 2 2 3 2 5 4" xfId="10252" xr:uid="{56297B9D-A40C-4E14-9AAD-8A34BA7197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28" xr:uid="{68B30BE8-E039-4CBC-A244-D17142319BD4}"/>
    <cellStyle name="Normal 5 2 2 3 2 6 2 3" xfId="12810" xr:uid="{ADB3319B-DE6B-4AD2-9417-73365DFB56F0}"/>
    <cellStyle name="Normal 5 2 2 3 2 6 3" xfId="6444" xr:uid="{00000000-0005-0000-0000-0000BB170000}"/>
    <cellStyle name="Normal 5 2 2 3 2 6 3 2" xfId="14883" xr:uid="{5D85AD3D-E929-4D3C-BA6E-055DCFA833BD}"/>
    <cellStyle name="Normal 5 2 2 3 2 6 4" xfId="10665" xr:uid="{9E615015-7991-4ED8-ACE9-B70836F42FEF}"/>
    <cellStyle name="Normal 5 2 2 3 2 7" xfId="2573" xr:uid="{00000000-0005-0000-0000-0000BC170000}"/>
    <cellStyle name="Normal 5 2 2 3 2 7 2" xfId="6857" xr:uid="{00000000-0005-0000-0000-0000BD170000}"/>
    <cellStyle name="Normal 5 2 2 3 2 7 2 2" xfId="15296" xr:uid="{C9EA9761-0242-4857-BB7D-2EDD78E0128D}"/>
    <cellStyle name="Normal 5 2 2 3 2 7 3" xfId="11078" xr:uid="{8866D638-DE6C-466B-9EC7-F26FDA00203D}"/>
    <cellStyle name="Normal 5 2 2 3 2 8" xfId="4792" xr:uid="{00000000-0005-0000-0000-0000BE170000}"/>
    <cellStyle name="Normal 5 2 2 3 2 8 2" xfId="13231" xr:uid="{3337D639-3A7E-4804-B173-D0FDC5A82612}"/>
    <cellStyle name="Normal 5 2 2 3 2 9" xfId="9013" xr:uid="{15DE9AC1-52F1-4A21-81B1-CF0C4FA71022}"/>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1" xr:uid="{6A1D6644-F38F-4C72-91A8-0972ACD05F67}"/>
    <cellStyle name="Normal 5 2 2 3 3 2 2 3" xfId="11573" xr:uid="{A0E28D35-6246-4FC7-BC1D-1829D3219376}"/>
    <cellStyle name="Normal 5 2 2 3 3 2 3" xfId="5207" xr:uid="{00000000-0005-0000-0000-0000C3170000}"/>
    <cellStyle name="Normal 5 2 2 3 3 2 3 2" xfId="13646" xr:uid="{163EC763-A6D0-4A69-AA99-846515DFC840}"/>
    <cellStyle name="Normal 5 2 2 3 3 2 4" xfId="9428" xr:uid="{C9FA6BF6-172A-4964-87E2-8523AB291A93}"/>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4" xr:uid="{33CF5A01-F4E9-48FA-88B1-524A0019A321}"/>
    <cellStyle name="Normal 5 2 2 3 3 3 2 3" xfId="11986" xr:uid="{4C23CB13-D8E0-452D-BB2D-C9CAC6614127}"/>
    <cellStyle name="Normal 5 2 2 3 3 3 3" xfId="5620" xr:uid="{00000000-0005-0000-0000-0000C7170000}"/>
    <cellStyle name="Normal 5 2 2 3 3 3 3 2" xfId="14059" xr:uid="{0523C8EA-C3B6-49B9-82C6-23ECFD503D61}"/>
    <cellStyle name="Normal 5 2 2 3 3 3 4" xfId="9841" xr:uid="{041783EB-7DD9-4656-AE6D-50E60290DD3A}"/>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17" xr:uid="{77693D0F-90A2-43B6-9CB7-AD78F6855AAE}"/>
    <cellStyle name="Normal 5 2 2 3 3 4 2 3" xfId="12399" xr:uid="{E4187634-D3FB-47DF-B895-5098C1538FC1}"/>
    <cellStyle name="Normal 5 2 2 3 3 4 3" xfId="6033" xr:uid="{00000000-0005-0000-0000-0000CB170000}"/>
    <cellStyle name="Normal 5 2 2 3 3 4 3 2" xfId="14472" xr:uid="{7219F477-7A41-47A2-98DE-2A84B03AAD50}"/>
    <cellStyle name="Normal 5 2 2 3 3 4 4" xfId="10254" xr:uid="{ADC4B036-C8A7-4044-A1FC-D557DB309ABB}"/>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0" xr:uid="{A271149C-2580-47E7-83E0-4AA2747D5DE2}"/>
    <cellStyle name="Normal 5 2 2 3 3 5 2 3" xfId="12812" xr:uid="{DBBF153B-5BEF-4740-85B6-23E75C83D8FF}"/>
    <cellStyle name="Normal 5 2 2 3 3 5 3" xfId="6446" xr:uid="{00000000-0005-0000-0000-0000CF170000}"/>
    <cellStyle name="Normal 5 2 2 3 3 5 3 2" xfId="14885" xr:uid="{9B1BCA66-B56C-45A7-BF2F-E7946818EA5E}"/>
    <cellStyle name="Normal 5 2 2 3 3 5 4" xfId="10667" xr:uid="{EA49DC29-5FFA-4A75-9C81-32E6B6F6B6F6}"/>
    <cellStyle name="Normal 5 2 2 3 3 6" xfId="2575" xr:uid="{00000000-0005-0000-0000-0000D0170000}"/>
    <cellStyle name="Normal 5 2 2 3 3 6 2" xfId="6859" xr:uid="{00000000-0005-0000-0000-0000D1170000}"/>
    <cellStyle name="Normal 5 2 2 3 3 6 2 2" xfId="15298" xr:uid="{3A7B9953-1A5A-4A31-A078-32C049595640}"/>
    <cellStyle name="Normal 5 2 2 3 3 6 3" xfId="11080" xr:uid="{0F5D03E2-C4D9-4F39-805C-8002495A616B}"/>
    <cellStyle name="Normal 5 2 2 3 3 7" xfId="4794" xr:uid="{00000000-0005-0000-0000-0000D2170000}"/>
    <cellStyle name="Normal 5 2 2 3 3 7 2" xfId="13233" xr:uid="{ECB9F096-1941-449F-9B1A-A857C53CE884}"/>
    <cellStyle name="Normal 5 2 2 3 3 8" xfId="9015" xr:uid="{C120D016-7BFA-4FA1-8EBF-22CDA8722DC4}"/>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88" xr:uid="{F803A03E-CAF5-4258-B84F-71AE09A867ED}"/>
    <cellStyle name="Normal 5 2 2 3 4 2 3" xfId="11570" xr:uid="{F1D7F64E-BD3E-404B-8EA7-36751CB13B76}"/>
    <cellStyle name="Normal 5 2 2 3 4 3" xfId="5204" xr:uid="{00000000-0005-0000-0000-0000D6170000}"/>
    <cellStyle name="Normal 5 2 2 3 4 3 2" xfId="13643" xr:uid="{95CA2A51-FC37-42B3-997F-047396855C59}"/>
    <cellStyle name="Normal 5 2 2 3 4 4" xfId="9425" xr:uid="{5473EB2D-9755-4E4B-914D-654A452E7C89}"/>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1" xr:uid="{E0137EDF-8E60-4D56-BA02-B511429AE2D2}"/>
    <cellStyle name="Normal 5 2 2 3 5 2 3" xfId="11983" xr:uid="{DE23E95B-9006-4A90-8161-5D7D59A4B3EB}"/>
    <cellStyle name="Normal 5 2 2 3 5 3" xfId="5617" xr:uid="{00000000-0005-0000-0000-0000DA170000}"/>
    <cellStyle name="Normal 5 2 2 3 5 3 2" xfId="14056" xr:uid="{B117EC6C-5C0C-4B14-B95B-C731E0CAB67A}"/>
    <cellStyle name="Normal 5 2 2 3 5 4" xfId="9838" xr:uid="{0CAD911F-A45E-479A-B9BF-13DDC3ED7403}"/>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4" xr:uid="{BEB2AA04-60B9-43A7-97AE-3A1575EB9AB4}"/>
    <cellStyle name="Normal 5 2 2 3 6 2 3" xfId="12396" xr:uid="{3190A818-F7C8-4A44-839A-E18D5EEC5901}"/>
    <cellStyle name="Normal 5 2 2 3 6 3" xfId="6030" xr:uid="{00000000-0005-0000-0000-0000DE170000}"/>
    <cellStyle name="Normal 5 2 2 3 6 3 2" xfId="14469" xr:uid="{0D49BF82-F6F3-4075-87DE-596787497A77}"/>
    <cellStyle name="Normal 5 2 2 3 6 4" xfId="10251" xr:uid="{1C001070-4F97-4FEF-87BE-10600FF11F43}"/>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27" xr:uid="{597FFC60-3602-4AC5-AA52-170B2B29E30F}"/>
    <cellStyle name="Normal 5 2 2 3 7 2 3" xfId="12809" xr:uid="{28316616-9197-4904-B398-313DE9D9138B}"/>
    <cellStyle name="Normal 5 2 2 3 7 3" xfId="6443" xr:uid="{00000000-0005-0000-0000-0000E2170000}"/>
    <cellStyle name="Normal 5 2 2 3 7 3 2" xfId="14882" xr:uid="{A799A5FF-080E-4CC7-87D9-123A4CFCC7D2}"/>
    <cellStyle name="Normal 5 2 2 3 7 4" xfId="10664" xr:uid="{7B3CD573-C6CA-4D2F-93DD-8AA02774E21E}"/>
    <cellStyle name="Normal 5 2 2 3 8" xfId="2572" xr:uid="{00000000-0005-0000-0000-0000E3170000}"/>
    <cellStyle name="Normal 5 2 2 3 8 2" xfId="6856" xr:uid="{00000000-0005-0000-0000-0000E4170000}"/>
    <cellStyle name="Normal 5 2 2 3 8 2 2" xfId="15295" xr:uid="{0B30A282-4527-44CC-AB8D-6D4C3A8F8532}"/>
    <cellStyle name="Normal 5 2 2 3 8 3" xfId="11077" xr:uid="{D55FB42E-0B49-43E0-BCFE-B3127E6B23E3}"/>
    <cellStyle name="Normal 5 2 2 3 9" xfId="4791" xr:uid="{00000000-0005-0000-0000-0000E5170000}"/>
    <cellStyle name="Normal 5 2 2 3 9 2" xfId="13230" xr:uid="{B626E0A4-3E53-4F9C-8685-268B0C575515}"/>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3" xr:uid="{F0C99460-7A71-4AE4-A6EB-389C501D0652}"/>
    <cellStyle name="Normal 5 2 2 4 2 2 2 3" xfId="11575" xr:uid="{5EC5AC30-30E9-4182-B626-E15BBE1335C8}"/>
    <cellStyle name="Normal 5 2 2 4 2 2 3" xfId="5209" xr:uid="{00000000-0005-0000-0000-0000EB170000}"/>
    <cellStyle name="Normal 5 2 2 4 2 2 3 2" xfId="13648" xr:uid="{B18F9454-E21E-4D1E-AFD2-BE7FFF50F1E7}"/>
    <cellStyle name="Normal 5 2 2 4 2 2 4" xfId="9430" xr:uid="{EB86545F-E472-46F2-9402-165A0A81A63F}"/>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6" xr:uid="{BDCEA8A2-71A6-4049-A411-C082718E711C}"/>
    <cellStyle name="Normal 5 2 2 4 2 3 2 3" xfId="11988" xr:uid="{0C31F8BE-9F69-4EAA-8F78-C13E1FC153ED}"/>
    <cellStyle name="Normal 5 2 2 4 2 3 3" xfId="5622" xr:uid="{00000000-0005-0000-0000-0000EF170000}"/>
    <cellStyle name="Normal 5 2 2 4 2 3 3 2" xfId="14061" xr:uid="{A277F036-E600-43AF-A3BE-9C3D27B96019}"/>
    <cellStyle name="Normal 5 2 2 4 2 3 4" xfId="9843" xr:uid="{8DAD70AB-B5AB-481C-A870-485CCDB0F781}"/>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19" xr:uid="{F8DC90BF-D86D-44C2-8F22-2B4A4E201FDA}"/>
    <cellStyle name="Normal 5 2 2 4 2 4 2 3" xfId="12401" xr:uid="{595207F2-A453-419E-B228-CC8AB32CEB3C}"/>
    <cellStyle name="Normal 5 2 2 4 2 4 3" xfId="6035" xr:uid="{00000000-0005-0000-0000-0000F3170000}"/>
    <cellStyle name="Normal 5 2 2 4 2 4 3 2" xfId="14474" xr:uid="{702ED958-0DDC-4241-83FD-D7814017F67D}"/>
    <cellStyle name="Normal 5 2 2 4 2 4 4" xfId="10256" xr:uid="{9D617688-6D90-4AB0-867E-7DB6C8FA71C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2" xr:uid="{58BAC976-42CB-4DDC-BF0F-B44088DBB38B}"/>
    <cellStyle name="Normal 5 2 2 4 2 5 2 3" xfId="12814" xr:uid="{BF15AB27-FC4F-4215-B7E8-C68644FDBD60}"/>
    <cellStyle name="Normal 5 2 2 4 2 5 3" xfId="6448" xr:uid="{00000000-0005-0000-0000-0000F7170000}"/>
    <cellStyle name="Normal 5 2 2 4 2 5 3 2" xfId="14887" xr:uid="{285DE6D2-0844-45E5-AB29-E3ECC527660D}"/>
    <cellStyle name="Normal 5 2 2 4 2 5 4" xfId="10669" xr:uid="{3C7722D4-A329-4931-87EF-6B5CC74A5DE9}"/>
    <cellStyle name="Normal 5 2 2 4 2 6" xfId="2577" xr:uid="{00000000-0005-0000-0000-0000F8170000}"/>
    <cellStyle name="Normal 5 2 2 4 2 6 2" xfId="6861" xr:uid="{00000000-0005-0000-0000-0000F9170000}"/>
    <cellStyle name="Normal 5 2 2 4 2 6 2 2" xfId="15300" xr:uid="{13C544CC-0661-4831-A87B-BDE74F907C9E}"/>
    <cellStyle name="Normal 5 2 2 4 2 6 3" xfId="11082" xr:uid="{BA2EBC31-22E5-46DD-BE53-0663A83E2492}"/>
    <cellStyle name="Normal 5 2 2 4 2 7" xfId="4796" xr:uid="{00000000-0005-0000-0000-0000FA170000}"/>
    <cellStyle name="Normal 5 2 2 4 2 7 2" xfId="13235" xr:uid="{939AFE1B-35F8-4462-88C9-B6355FC55EF8}"/>
    <cellStyle name="Normal 5 2 2 4 2 8" xfId="9017" xr:uid="{728C54A3-C883-4522-9B47-E93B1E9BDE42}"/>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2" xr:uid="{F7668DEE-D866-466F-A4B1-5BB0DCFEC0DD}"/>
    <cellStyle name="Normal 5 2 2 4 3 2 3" xfId="11574" xr:uid="{7E83F534-C5DF-4D41-BC19-B12324690BE5}"/>
    <cellStyle name="Normal 5 2 2 4 3 3" xfId="5208" xr:uid="{00000000-0005-0000-0000-0000FE170000}"/>
    <cellStyle name="Normal 5 2 2 4 3 3 2" xfId="13647" xr:uid="{92FC5493-C9FA-4B6A-ACCE-B0A9BB657BB3}"/>
    <cellStyle name="Normal 5 2 2 4 3 4" xfId="9429" xr:uid="{B71744C2-C0B0-400A-8013-A39BD0587529}"/>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5" xr:uid="{5739813A-967E-4182-B93E-491A696C7575}"/>
    <cellStyle name="Normal 5 2 2 4 4 2 3" xfId="11987" xr:uid="{21E6C241-771B-4A10-997E-CCDAF6F87DBB}"/>
    <cellStyle name="Normal 5 2 2 4 4 3" xfId="5621" xr:uid="{00000000-0005-0000-0000-000002180000}"/>
    <cellStyle name="Normal 5 2 2 4 4 3 2" xfId="14060" xr:uid="{52111457-EE86-4B89-A8ED-0A410C810259}"/>
    <cellStyle name="Normal 5 2 2 4 4 4" xfId="9842" xr:uid="{6819F8EE-8EE5-46B5-AF4B-3DA3DD4E65FE}"/>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18" xr:uid="{67661A0C-557A-40F7-920A-3DB83846E0E7}"/>
    <cellStyle name="Normal 5 2 2 4 5 2 3" xfId="12400" xr:uid="{AD1CED0C-F8AA-43FC-9383-9866BCFD78F3}"/>
    <cellStyle name="Normal 5 2 2 4 5 3" xfId="6034" xr:uid="{00000000-0005-0000-0000-000006180000}"/>
    <cellStyle name="Normal 5 2 2 4 5 3 2" xfId="14473" xr:uid="{E9F4BD0F-00D9-4A82-9B76-7B05F7345104}"/>
    <cellStyle name="Normal 5 2 2 4 5 4" xfId="10255" xr:uid="{0E2B1A3E-6138-4FFE-9DC5-DB5F0B91187C}"/>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1" xr:uid="{0915291F-FFB5-4585-9690-8AFEFDA86C83}"/>
    <cellStyle name="Normal 5 2 2 4 6 2 3" xfId="12813" xr:uid="{BB91EEDC-DDE8-4042-8CBD-BBE9A04E00E0}"/>
    <cellStyle name="Normal 5 2 2 4 6 3" xfId="6447" xr:uid="{00000000-0005-0000-0000-00000A180000}"/>
    <cellStyle name="Normal 5 2 2 4 6 3 2" xfId="14886" xr:uid="{5122686F-E871-436A-A4E7-A864E706856E}"/>
    <cellStyle name="Normal 5 2 2 4 6 4" xfId="10668" xr:uid="{D8EE09C4-9752-42EC-8F3C-07D901601472}"/>
    <cellStyle name="Normal 5 2 2 4 7" xfId="2576" xr:uid="{00000000-0005-0000-0000-00000B180000}"/>
    <cellStyle name="Normal 5 2 2 4 7 2" xfId="6860" xr:uid="{00000000-0005-0000-0000-00000C180000}"/>
    <cellStyle name="Normal 5 2 2 4 7 2 2" xfId="15299" xr:uid="{ECBD79B3-73D8-42F4-8D48-A415D76056A6}"/>
    <cellStyle name="Normal 5 2 2 4 7 3" xfId="11081" xr:uid="{BCE0E7CA-8C4C-4429-A148-14D388F51900}"/>
    <cellStyle name="Normal 5 2 2 4 8" xfId="4795" xr:uid="{00000000-0005-0000-0000-00000D180000}"/>
    <cellStyle name="Normal 5 2 2 4 8 2" xfId="13234" xr:uid="{6F5BF1ED-B167-4F42-A21B-9F679E4AA3FE}"/>
    <cellStyle name="Normal 5 2 2 4 9" xfId="9016" xr:uid="{8194A4FF-9AD9-4362-9285-613456C27E3D}"/>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4" xr:uid="{C71F2823-1370-4AE5-A11E-256D6BFC4BED}"/>
    <cellStyle name="Normal 5 2 2 5 2 2 3" xfId="11576" xr:uid="{5CFD60E0-2AE2-41EB-9A6C-254E4792056A}"/>
    <cellStyle name="Normal 5 2 2 5 2 3" xfId="5210" xr:uid="{00000000-0005-0000-0000-000012180000}"/>
    <cellStyle name="Normal 5 2 2 5 2 3 2" xfId="13649" xr:uid="{A35E81D6-9750-43FD-9C8E-CE8FF63AF04B}"/>
    <cellStyle name="Normal 5 2 2 5 2 4" xfId="9431" xr:uid="{52EED679-2FE5-4F6B-9E71-C92FDDFD75B7}"/>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07" xr:uid="{6B596D73-9679-41E5-8367-E6216A67249D}"/>
    <cellStyle name="Normal 5 2 2 5 3 2 3" xfId="11989" xr:uid="{67219DD4-13AF-4860-9E24-F16FE699C35F}"/>
    <cellStyle name="Normal 5 2 2 5 3 3" xfId="5623" xr:uid="{00000000-0005-0000-0000-000016180000}"/>
    <cellStyle name="Normal 5 2 2 5 3 3 2" xfId="14062" xr:uid="{850A7022-CE8E-4165-934A-D6E1AF856004}"/>
    <cellStyle name="Normal 5 2 2 5 3 4" xfId="9844" xr:uid="{98DDE69E-D609-4DFF-9D33-067880122338}"/>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0" xr:uid="{5B0C9907-3DF9-4A1A-8E65-F3D2AC00751F}"/>
    <cellStyle name="Normal 5 2 2 5 4 2 3" xfId="12402" xr:uid="{5CFC3F86-B017-4D65-85C3-93C3ECC81B33}"/>
    <cellStyle name="Normal 5 2 2 5 4 3" xfId="6036" xr:uid="{00000000-0005-0000-0000-00001A180000}"/>
    <cellStyle name="Normal 5 2 2 5 4 3 2" xfId="14475" xr:uid="{82B87B36-ED90-4D8A-B9BD-3EE62E8BFA42}"/>
    <cellStyle name="Normal 5 2 2 5 4 4" xfId="10257" xr:uid="{35CE7DAD-CCF5-409A-B4C5-431BB2CDE7A3}"/>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3" xr:uid="{D8336812-50A5-42DD-8124-0E392FAF29D5}"/>
    <cellStyle name="Normal 5 2 2 5 5 2 3" xfId="12815" xr:uid="{62002EC1-96AD-47DF-847D-83559C1E3A5B}"/>
    <cellStyle name="Normal 5 2 2 5 5 3" xfId="6449" xr:uid="{00000000-0005-0000-0000-00001E180000}"/>
    <cellStyle name="Normal 5 2 2 5 5 3 2" xfId="14888" xr:uid="{2E59C7EB-73AA-46C0-992E-EBCCD5FBF104}"/>
    <cellStyle name="Normal 5 2 2 5 5 4" xfId="10670" xr:uid="{2C496A55-F297-4BC7-A237-C5FDFB0C8455}"/>
    <cellStyle name="Normal 5 2 2 5 6" xfId="2578" xr:uid="{00000000-0005-0000-0000-00001F180000}"/>
    <cellStyle name="Normal 5 2 2 5 6 2" xfId="6862" xr:uid="{00000000-0005-0000-0000-000020180000}"/>
    <cellStyle name="Normal 5 2 2 5 6 2 2" xfId="15301" xr:uid="{EB772242-F5E1-4209-B557-9F4DFF9AF13F}"/>
    <cellStyle name="Normal 5 2 2 5 6 3" xfId="11083" xr:uid="{C42999B9-625D-402F-B987-EF2CB9ABBCC2}"/>
    <cellStyle name="Normal 5 2 2 5 7" xfId="4797" xr:uid="{00000000-0005-0000-0000-000021180000}"/>
    <cellStyle name="Normal 5 2 2 5 7 2" xfId="13236" xr:uid="{EF7A992A-D9DF-44D0-8E0D-F8DD88D2711E}"/>
    <cellStyle name="Normal 5 2 2 5 8" xfId="9018" xr:uid="{0819AD3B-CE0F-4FFC-9025-116945480676}"/>
    <cellStyle name="Normal 5 2 2 6" xfId="882" xr:uid="{00000000-0005-0000-0000-000022180000}"/>
    <cellStyle name="Normal 5 2 2 6 2" xfId="3117" xr:uid="{00000000-0005-0000-0000-000023180000}"/>
    <cellStyle name="Normal 5 2 2 6 2 2" xfId="7340" xr:uid="{00000000-0005-0000-0000-000024180000}"/>
    <cellStyle name="Normal 5 2 2 6 2 2 2" xfId="15779" xr:uid="{C9AF7DF0-083E-40BF-AEB2-D90578ADD793}"/>
    <cellStyle name="Normal 5 2 2 6 2 3" xfId="11561" xr:uid="{A120353C-F006-4D33-A3FC-FD44CC6854DF}"/>
    <cellStyle name="Normal 5 2 2 6 3" xfId="5195" xr:uid="{00000000-0005-0000-0000-000025180000}"/>
    <cellStyle name="Normal 5 2 2 6 3 2" xfId="13634" xr:uid="{29B1FC70-EFAB-4217-A749-BB449C9147F0}"/>
    <cellStyle name="Normal 5 2 2 6 4" xfId="9416" xr:uid="{102350A5-7A87-4A47-A5CC-23488D44D373}"/>
    <cellStyle name="Normal 5 2 2 7" xfId="1300" xr:uid="{00000000-0005-0000-0000-000026180000}"/>
    <cellStyle name="Normal 5 2 2 7 2" xfId="3530" xr:uid="{00000000-0005-0000-0000-000027180000}"/>
    <cellStyle name="Normal 5 2 2 7 2 2" xfId="7753" xr:uid="{00000000-0005-0000-0000-000028180000}"/>
    <cellStyle name="Normal 5 2 2 7 2 2 2" xfId="16192" xr:uid="{3286F30E-FC2B-4ABF-BDC7-E080E9642975}"/>
    <cellStyle name="Normal 5 2 2 7 2 3" xfId="11974" xr:uid="{D378D0A5-AE63-4681-B68E-388DFEBA0BA0}"/>
    <cellStyle name="Normal 5 2 2 7 3" xfId="5608" xr:uid="{00000000-0005-0000-0000-000029180000}"/>
    <cellStyle name="Normal 5 2 2 7 3 2" xfId="14047" xr:uid="{6565F10B-B146-445D-84BD-265526EDE6DD}"/>
    <cellStyle name="Normal 5 2 2 7 4" xfId="9829" xr:uid="{49D73EBC-0C08-419B-B494-65D4A9B14845}"/>
    <cellStyle name="Normal 5 2 2 8" xfId="1713" xr:uid="{00000000-0005-0000-0000-00002A180000}"/>
    <cellStyle name="Normal 5 2 2 8 2" xfId="3943" xr:uid="{00000000-0005-0000-0000-00002B180000}"/>
    <cellStyle name="Normal 5 2 2 8 2 2" xfId="8166" xr:uid="{00000000-0005-0000-0000-00002C180000}"/>
    <cellStyle name="Normal 5 2 2 8 2 2 2" xfId="16605" xr:uid="{B09BFB43-6891-40FC-98A2-58457143BCAE}"/>
    <cellStyle name="Normal 5 2 2 8 2 3" xfId="12387" xr:uid="{F8FB2282-0A6F-4D67-80D2-545D3D11114C}"/>
    <cellStyle name="Normal 5 2 2 8 3" xfId="6021" xr:uid="{00000000-0005-0000-0000-00002D180000}"/>
    <cellStyle name="Normal 5 2 2 8 3 2" xfId="14460" xr:uid="{4C5237F5-A26A-4B8A-8523-BA80B617B65E}"/>
    <cellStyle name="Normal 5 2 2 8 4" xfId="10242" xr:uid="{1836E23E-7867-4782-88CD-5DDC26E4157C}"/>
    <cellStyle name="Normal 5 2 2 9" xfId="2127" xr:uid="{00000000-0005-0000-0000-00002E180000}"/>
    <cellStyle name="Normal 5 2 2 9 2" xfId="4356" xr:uid="{00000000-0005-0000-0000-00002F180000}"/>
    <cellStyle name="Normal 5 2 2 9 2 2" xfId="8579" xr:uid="{00000000-0005-0000-0000-000030180000}"/>
    <cellStyle name="Normal 5 2 2 9 2 2 2" xfId="17018" xr:uid="{CDF46F65-4D77-4E19-878F-C634D35ADC38}"/>
    <cellStyle name="Normal 5 2 2 9 2 3" xfId="12800" xr:uid="{E8D806AC-2A39-4B4D-9586-3C6A6502BB8B}"/>
    <cellStyle name="Normal 5 2 2 9 3" xfId="6434" xr:uid="{00000000-0005-0000-0000-000031180000}"/>
    <cellStyle name="Normal 5 2 2 9 3 2" xfId="14873" xr:uid="{227BD1BD-CC7D-454B-B3F3-A271C79E34F8}"/>
    <cellStyle name="Normal 5 2 2 9 4" xfId="10655" xr:uid="{16D85F6A-B58D-47B7-8750-E53233695115}"/>
    <cellStyle name="Normal 5 2 3" xfId="424" xr:uid="{00000000-0005-0000-0000-000032180000}"/>
    <cellStyle name="Normal 5 2 3 10" xfId="4798" xr:uid="{00000000-0005-0000-0000-000033180000}"/>
    <cellStyle name="Normal 5 2 3 10 2" xfId="13237" xr:uid="{643A4CF3-0CCF-4832-AC64-228217D7D6BD}"/>
    <cellStyle name="Normal 5 2 3 11" xfId="9019" xr:uid="{A14EB28A-03E7-4C62-A4BE-FF3C31A6B3AC}"/>
    <cellStyle name="Normal 5 2 3 2" xfId="425" xr:uid="{00000000-0005-0000-0000-000034180000}"/>
    <cellStyle name="Normal 5 2 3 2 10" xfId="9020" xr:uid="{4121788A-6AC2-40AB-90A6-1C1E365A113D}"/>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798" xr:uid="{57A49284-DCD6-45A1-8327-DF30E6F5A2C1}"/>
    <cellStyle name="Normal 5 2 3 2 2 2 2 2 3" xfId="11580" xr:uid="{C9042A76-30EC-4ECC-9921-84D305F776FD}"/>
    <cellStyle name="Normal 5 2 3 2 2 2 2 3" xfId="5214" xr:uid="{00000000-0005-0000-0000-00003A180000}"/>
    <cellStyle name="Normal 5 2 3 2 2 2 2 3 2" xfId="13653" xr:uid="{91E4017B-2EE1-4B96-9B0A-AA520D7FBC15}"/>
    <cellStyle name="Normal 5 2 3 2 2 2 2 4" xfId="9435" xr:uid="{447A4893-C82A-4D50-8E9E-960B66CA71EE}"/>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1" xr:uid="{D1D6F3AB-27E3-436D-A2F3-15101F418883}"/>
    <cellStyle name="Normal 5 2 3 2 2 2 3 2 3" xfId="11993" xr:uid="{2F71AA7A-EA24-45F4-9E16-CDFC00CB3721}"/>
    <cellStyle name="Normal 5 2 3 2 2 2 3 3" xfId="5627" xr:uid="{00000000-0005-0000-0000-00003E180000}"/>
    <cellStyle name="Normal 5 2 3 2 2 2 3 3 2" xfId="14066" xr:uid="{3A08BB8E-F023-4E19-8679-3C152E674DB7}"/>
    <cellStyle name="Normal 5 2 3 2 2 2 3 4" xfId="9848" xr:uid="{5E41B41E-75CA-41A6-9327-9BC590D3E33F}"/>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4" xr:uid="{E7F3D225-E6EA-4849-B588-F3AC25ACAEA3}"/>
    <cellStyle name="Normal 5 2 3 2 2 2 4 2 3" xfId="12406" xr:uid="{C94316FB-B3B6-4160-B04A-EC40C4DDFAAA}"/>
    <cellStyle name="Normal 5 2 3 2 2 2 4 3" xfId="6040" xr:uid="{00000000-0005-0000-0000-000042180000}"/>
    <cellStyle name="Normal 5 2 3 2 2 2 4 3 2" xfId="14479" xr:uid="{340BB790-7AD3-4707-A9C9-A9C9D10873FC}"/>
    <cellStyle name="Normal 5 2 3 2 2 2 4 4" xfId="10261" xr:uid="{26BEF668-9E68-42F4-A62A-B3B44A60671D}"/>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37" xr:uid="{EC220910-D012-4E53-984C-0706E1575036}"/>
    <cellStyle name="Normal 5 2 3 2 2 2 5 2 3" xfId="12819" xr:uid="{7C850D34-8262-4A19-9507-23C67764DF90}"/>
    <cellStyle name="Normal 5 2 3 2 2 2 5 3" xfId="6453" xr:uid="{00000000-0005-0000-0000-000046180000}"/>
    <cellStyle name="Normal 5 2 3 2 2 2 5 3 2" xfId="14892" xr:uid="{FC36DB00-EF0E-42A9-A1D2-6AB96D68F70C}"/>
    <cellStyle name="Normal 5 2 3 2 2 2 5 4" xfId="10674" xr:uid="{7BF412D8-F3D8-402C-8797-13B108148708}"/>
    <cellStyle name="Normal 5 2 3 2 2 2 6" xfId="2582" xr:uid="{00000000-0005-0000-0000-000047180000}"/>
    <cellStyle name="Normal 5 2 3 2 2 2 6 2" xfId="6866" xr:uid="{00000000-0005-0000-0000-000048180000}"/>
    <cellStyle name="Normal 5 2 3 2 2 2 6 2 2" xfId="15305" xr:uid="{F24B4237-2993-46D9-B949-CA1ACD2351BE}"/>
    <cellStyle name="Normal 5 2 3 2 2 2 6 3" xfId="11087" xr:uid="{55C71915-C725-442A-BC9D-200556321972}"/>
    <cellStyle name="Normal 5 2 3 2 2 2 7" xfId="4801" xr:uid="{00000000-0005-0000-0000-000049180000}"/>
    <cellStyle name="Normal 5 2 3 2 2 2 7 2" xfId="13240" xr:uid="{1D1318FC-FBDB-4C5C-8FB7-9578B3C0ECF1}"/>
    <cellStyle name="Normal 5 2 3 2 2 2 8" xfId="9022" xr:uid="{8EC7EF8C-02DB-46B0-BB9A-994AE74661E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797" xr:uid="{322465EC-7F4C-4A2B-9931-B6303C75A272}"/>
    <cellStyle name="Normal 5 2 3 2 2 3 2 3" xfId="11579" xr:uid="{5089DCE9-B970-4E8D-AB5A-694EBE28B175}"/>
    <cellStyle name="Normal 5 2 3 2 2 3 3" xfId="5213" xr:uid="{00000000-0005-0000-0000-00004D180000}"/>
    <cellStyle name="Normal 5 2 3 2 2 3 3 2" xfId="13652" xr:uid="{29A2FCF3-85D5-4218-9B0C-8F4ED8F345D3}"/>
    <cellStyle name="Normal 5 2 3 2 2 3 4" xfId="9434" xr:uid="{4AF33956-10F8-4862-8D4A-32FE8FAD1C6A}"/>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0" xr:uid="{6285B4ED-9B66-4828-868D-5E321C9CAFCA}"/>
    <cellStyle name="Normal 5 2 3 2 2 4 2 3" xfId="11992" xr:uid="{4DBB40F1-B9A4-4284-8C63-A6279B878D7C}"/>
    <cellStyle name="Normal 5 2 3 2 2 4 3" xfId="5626" xr:uid="{00000000-0005-0000-0000-000051180000}"/>
    <cellStyle name="Normal 5 2 3 2 2 4 3 2" xfId="14065" xr:uid="{45DC1D81-9ADD-470D-BF05-89581BA70A17}"/>
    <cellStyle name="Normal 5 2 3 2 2 4 4" xfId="9847" xr:uid="{6A08AB0E-35DB-40CF-8CB7-4AF0E2613EF6}"/>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3" xr:uid="{B851CFF9-35DD-48C3-BEE1-042D100ECF9E}"/>
    <cellStyle name="Normal 5 2 3 2 2 5 2 3" xfId="12405" xr:uid="{4D80393F-27A0-476A-83D6-F68133B9B2AD}"/>
    <cellStyle name="Normal 5 2 3 2 2 5 3" xfId="6039" xr:uid="{00000000-0005-0000-0000-000055180000}"/>
    <cellStyle name="Normal 5 2 3 2 2 5 3 2" xfId="14478" xr:uid="{0F01C22B-B3DD-4101-8860-27CFF6AA31CC}"/>
    <cellStyle name="Normal 5 2 3 2 2 5 4" xfId="10260" xr:uid="{3BE8FA6F-79E0-4523-BA79-167A11E7BB15}"/>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6" xr:uid="{5EEA34D5-DC8F-46AA-A44D-7CCA63972CBD}"/>
    <cellStyle name="Normal 5 2 3 2 2 6 2 3" xfId="12818" xr:uid="{D9D9C399-3AD0-47ED-80F2-B2AAA416E119}"/>
    <cellStyle name="Normal 5 2 3 2 2 6 3" xfId="6452" xr:uid="{00000000-0005-0000-0000-000059180000}"/>
    <cellStyle name="Normal 5 2 3 2 2 6 3 2" xfId="14891" xr:uid="{07AD833C-D853-4016-809E-DA0FB01DA602}"/>
    <cellStyle name="Normal 5 2 3 2 2 6 4" xfId="10673" xr:uid="{9DABBA47-FF4F-4D9D-B1B2-2B9CCD9B9DA9}"/>
    <cellStyle name="Normal 5 2 3 2 2 7" xfId="2581" xr:uid="{00000000-0005-0000-0000-00005A180000}"/>
    <cellStyle name="Normal 5 2 3 2 2 7 2" xfId="6865" xr:uid="{00000000-0005-0000-0000-00005B180000}"/>
    <cellStyle name="Normal 5 2 3 2 2 7 2 2" xfId="15304" xr:uid="{22BCA9C4-D3F4-4E39-875E-EC8BC610EB34}"/>
    <cellStyle name="Normal 5 2 3 2 2 7 3" xfId="11086" xr:uid="{8C6CFBD6-8C44-4870-9B5D-4FDFD9FEAB66}"/>
    <cellStyle name="Normal 5 2 3 2 2 8" xfId="4800" xr:uid="{00000000-0005-0000-0000-00005C180000}"/>
    <cellStyle name="Normal 5 2 3 2 2 8 2" xfId="13239" xr:uid="{0FE948AF-8E0F-4010-B776-0C71BB50BBFE}"/>
    <cellStyle name="Normal 5 2 3 2 2 9" xfId="9021" xr:uid="{C21DAB19-CADE-4ECA-A3D0-B969CDEBFC2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799" xr:uid="{CBCB0076-A633-4A3F-84E8-58B7B5EA0914}"/>
    <cellStyle name="Normal 5 2 3 2 3 2 2 3" xfId="11581" xr:uid="{4ADD2FBB-2952-4FB0-9AFE-62B78A3A4A4D}"/>
    <cellStyle name="Normal 5 2 3 2 3 2 3" xfId="5215" xr:uid="{00000000-0005-0000-0000-000061180000}"/>
    <cellStyle name="Normal 5 2 3 2 3 2 3 2" xfId="13654" xr:uid="{8ABF93FE-6C8C-4DEC-85B9-F239D2B3F555}"/>
    <cellStyle name="Normal 5 2 3 2 3 2 4" xfId="9436" xr:uid="{DCB9C90C-FCD1-45C0-BF9A-45EC78A3B9DB}"/>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2" xr:uid="{214FBFFE-0314-498B-8AD3-3BD960984D6D}"/>
    <cellStyle name="Normal 5 2 3 2 3 3 2 3" xfId="11994" xr:uid="{F9BE4F45-5056-494D-91C7-B08695974BFB}"/>
    <cellStyle name="Normal 5 2 3 2 3 3 3" xfId="5628" xr:uid="{00000000-0005-0000-0000-000065180000}"/>
    <cellStyle name="Normal 5 2 3 2 3 3 3 2" xfId="14067" xr:uid="{27B1A075-97F5-4FA3-9847-853C68A11917}"/>
    <cellStyle name="Normal 5 2 3 2 3 3 4" xfId="9849" xr:uid="{756499DE-286F-4384-8D1B-572C5F4B1DA2}"/>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5" xr:uid="{5330C642-5D56-44A3-9D6D-DD653230FE21}"/>
    <cellStyle name="Normal 5 2 3 2 3 4 2 3" xfId="12407" xr:uid="{0FD38594-3DE1-45D4-83B8-5F557F55ED4A}"/>
    <cellStyle name="Normal 5 2 3 2 3 4 3" xfId="6041" xr:uid="{00000000-0005-0000-0000-000069180000}"/>
    <cellStyle name="Normal 5 2 3 2 3 4 3 2" xfId="14480" xr:uid="{FE72BC32-A302-4FB3-80AC-4649041C9D47}"/>
    <cellStyle name="Normal 5 2 3 2 3 4 4" xfId="10262" xr:uid="{09B4E9CC-4FD6-4803-A5EE-95022CF86F49}"/>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38" xr:uid="{14922AE4-2563-44D9-9730-D480C461599B}"/>
    <cellStyle name="Normal 5 2 3 2 3 5 2 3" xfId="12820" xr:uid="{8A14BCD2-1700-4EA4-A559-AD9A6268CDA7}"/>
    <cellStyle name="Normal 5 2 3 2 3 5 3" xfId="6454" xr:uid="{00000000-0005-0000-0000-00006D180000}"/>
    <cellStyle name="Normal 5 2 3 2 3 5 3 2" xfId="14893" xr:uid="{35002308-62E3-4CB0-9188-DB6E9FC393DE}"/>
    <cellStyle name="Normal 5 2 3 2 3 5 4" xfId="10675" xr:uid="{194E1351-5B9B-4F13-AD90-0C34209188A9}"/>
    <cellStyle name="Normal 5 2 3 2 3 6" xfId="2583" xr:uid="{00000000-0005-0000-0000-00006E180000}"/>
    <cellStyle name="Normal 5 2 3 2 3 6 2" xfId="6867" xr:uid="{00000000-0005-0000-0000-00006F180000}"/>
    <cellStyle name="Normal 5 2 3 2 3 6 2 2" xfId="15306" xr:uid="{5393C199-B9D5-4642-AE67-2288804394FF}"/>
    <cellStyle name="Normal 5 2 3 2 3 6 3" xfId="11088" xr:uid="{65970974-F91D-4A79-AE1B-9C21C4B198CB}"/>
    <cellStyle name="Normal 5 2 3 2 3 7" xfId="4802" xr:uid="{00000000-0005-0000-0000-000070180000}"/>
    <cellStyle name="Normal 5 2 3 2 3 7 2" xfId="13241" xr:uid="{7155782B-B054-428E-B3A5-16993B305F82}"/>
    <cellStyle name="Normal 5 2 3 2 3 8" xfId="9023" xr:uid="{B38EC13C-E956-4FDE-9F8F-A70116886E55}"/>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6" xr:uid="{8F02E032-5A98-4AF7-8389-BF1EDD944BB7}"/>
    <cellStyle name="Normal 5 2 3 2 4 2 3" xfId="11578" xr:uid="{3BDCB27C-CEE8-477D-9C8F-95BB9DB8D96E}"/>
    <cellStyle name="Normal 5 2 3 2 4 3" xfId="5212" xr:uid="{00000000-0005-0000-0000-000074180000}"/>
    <cellStyle name="Normal 5 2 3 2 4 3 2" xfId="13651" xr:uid="{2FC37E08-C52B-4F97-85B7-862E33BEACDD}"/>
    <cellStyle name="Normal 5 2 3 2 4 4" xfId="9433" xr:uid="{0031563F-A227-4A5C-BD50-ACCBE2D8B394}"/>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09" xr:uid="{6DAE75EF-06AA-4129-A77E-DEDDC9753A4F}"/>
    <cellStyle name="Normal 5 2 3 2 5 2 3" xfId="11991" xr:uid="{F9F9F4FA-C52D-4DC5-9D26-038E07D5660F}"/>
    <cellStyle name="Normal 5 2 3 2 5 3" xfId="5625" xr:uid="{00000000-0005-0000-0000-000078180000}"/>
    <cellStyle name="Normal 5 2 3 2 5 3 2" xfId="14064" xr:uid="{8EE5D18C-2B2F-4E35-BB89-85F2BF736539}"/>
    <cellStyle name="Normal 5 2 3 2 5 4" xfId="9846" xr:uid="{0ED6C0B4-9F78-41D2-89F5-0317C33C13A7}"/>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2" xr:uid="{6486C030-7E3E-41FC-857A-51DE8886298D}"/>
    <cellStyle name="Normal 5 2 3 2 6 2 3" xfId="12404" xr:uid="{DDF4AD5D-79BA-4235-AA7C-40BBA85599A9}"/>
    <cellStyle name="Normal 5 2 3 2 6 3" xfId="6038" xr:uid="{00000000-0005-0000-0000-00007C180000}"/>
    <cellStyle name="Normal 5 2 3 2 6 3 2" xfId="14477" xr:uid="{88CA6D90-DD5F-4A25-8837-5B08AA397046}"/>
    <cellStyle name="Normal 5 2 3 2 6 4" xfId="10259" xr:uid="{975D46EE-B58A-4619-8738-92C1EF3F5208}"/>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5" xr:uid="{1EBB1EC8-7155-4513-B8E2-FBA02C6D99EF}"/>
    <cellStyle name="Normal 5 2 3 2 7 2 3" xfId="12817" xr:uid="{52C8BB1D-A1C8-456F-B463-25B4F50DE126}"/>
    <cellStyle name="Normal 5 2 3 2 7 3" xfId="6451" xr:uid="{00000000-0005-0000-0000-000080180000}"/>
    <cellStyle name="Normal 5 2 3 2 7 3 2" xfId="14890" xr:uid="{C3FD32C8-B5D2-4A2E-AE94-84836D162C0D}"/>
    <cellStyle name="Normal 5 2 3 2 7 4" xfId="10672" xr:uid="{3CC30463-F039-457E-8A5D-49CEE23A3742}"/>
    <cellStyle name="Normal 5 2 3 2 8" xfId="2580" xr:uid="{00000000-0005-0000-0000-000081180000}"/>
    <cellStyle name="Normal 5 2 3 2 8 2" xfId="6864" xr:uid="{00000000-0005-0000-0000-000082180000}"/>
    <cellStyle name="Normal 5 2 3 2 8 2 2" xfId="15303" xr:uid="{F1570299-5F8A-4897-BFDF-732E9083E723}"/>
    <cellStyle name="Normal 5 2 3 2 8 3" xfId="11085" xr:uid="{4CA7C5E3-941C-4C9A-831A-D3AE2266D5B2}"/>
    <cellStyle name="Normal 5 2 3 2 9" xfId="4799" xr:uid="{00000000-0005-0000-0000-000083180000}"/>
    <cellStyle name="Normal 5 2 3 2 9 2" xfId="13238" xr:uid="{71A0B150-05C8-474B-A900-F06EA0446803}"/>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1" xr:uid="{8D3E22ED-3A86-4AD4-97B1-55A12586BEC5}"/>
    <cellStyle name="Normal 5 2 3 3 2 2 2 3" xfId="11583" xr:uid="{F5498E9D-E3A0-4457-A838-B74FAAD8E35D}"/>
    <cellStyle name="Normal 5 2 3 3 2 2 3" xfId="5217" xr:uid="{00000000-0005-0000-0000-000089180000}"/>
    <cellStyle name="Normal 5 2 3 3 2 2 3 2" xfId="13656" xr:uid="{097545A8-26AA-4B68-98DF-55781977986F}"/>
    <cellStyle name="Normal 5 2 3 3 2 2 4" xfId="9438" xr:uid="{C499FDA9-46F2-4EFE-90F7-8BDD1D03E27F}"/>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4" xr:uid="{38CFA690-6493-414A-AAC6-C38C474E400B}"/>
    <cellStyle name="Normal 5 2 3 3 2 3 2 3" xfId="11996" xr:uid="{EFE44F87-0AF8-4A45-ACD6-4968721027A3}"/>
    <cellStyle name="Normal 5 2 3 3 2 3 3" xfId="5630" xr:uid="{00000000-0005-0000-0000-00008D180000}"/>
    <cellStyle name="Normal 5 2 3 3 2 3 3 2" xfId="14069" xr:uid="{B0D3301F-EA5A-4C3A-9578-63388F341BF0}"/>
    <cellStyle name="Normal 5 2 3 3 2 3 4" xfId="9851" xr:uid="{58F4F752-EA2E-4A5B-8627-2B95D058084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27" xr:uid="{4B317CB2-4BFB-48C8-A6D8-D305DEF1D816}"/>
    <cellStyle name="Normal 5 2 3 3 2 4 2 3" xfId="12409" xr:uid="{0456704C-1D2D-4FE8-B685-761E11A56B2C}"/>
    <cellStyle name="Normal 5 2 3 3 2 4 3" xfId="6043" xr:uid="{00000000-0005-0000-0000-000091180000}"/>
    <cellStyle name="Normal 5 2 3 3 2 4 3 2" xfId="14482" xr:uid="{F9139CB2-A2B8-4310-9383-04069E18C206}"/>
    <cellStyle name="Normal 5 2 3 3 2 4 4" xfId="10264" xr:uid="{81761949-6E09-4905-8203-39CA2230624A}"/>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0" xr:uid="{EBBE3564-45BF-440E-9968-4EB2DDA4C15E}"/>
    <cellStyle name="Normal 5 2 3 3 2 5 2 3" xfId="12822" xr:uid="{7ACDEB88-3155-4922-8815-839F50AFD58E}"/>
    <cellStyle name="Normal 5 2 3 3 2 5 3" xfId="6456" xr:uid="{00000000-0005-0000-0000-000095180000}"/>
    <cellStyle name="Normal 5 2 3 3 2 5 3 2" xfId="14895" xr:uid="{186A14DC-49D6-45F3-9281-E890E036F2F3}"/>
    <cellStyle name="Normal 5 2 3 3 2 5 4" xfId="10677" xr:uid="{4FE2E77C-29A0-41E0-B477-01A3FFDBE8A4}"/>
    <cellStyle name="Normal 5 2 3 3 2 6" xfId="2585" xr:uid="{00000000-0005-0000-0000-000096180000}"/>
    <cellStyle name="Normal 5 2 3 3 2 6 2" xfId="6869" xr:uid="{00000000-0005-0000-0000-000097180000}"/>
    <cellStyle name="Normal 5 2 3 3 2 6 2 2" xfId="15308" xr:uid="{4A556BD7-8127-4BFC-8D06-7818626370E4}"/>
    <cellStyle name="Normal 5 2 3 3 2 6 3" xfId="11090" xr:uid="{4131F8E2-F71E-4B64-A58A-5B29D5EC74E1}"/>
    <cellStyle name="Normal 5 2 3 3 2 7" xfId="4804" xr:uid="{00000000-0005-0000-0000-000098180000}"/>
    <cellStyle name="Normal 5 2 3 3 2 7 2" xfId="13243" xr:uid="{191D55B6-E0E8-4AC7-AD1D-171488508D3A}"/>
    <cellStyle name="Normal 5 2 3 3 2 8" xfId="9025" xr:uid="{54E6A1E1-E9EC-4D1F-97E6-092D42C11E07}"/>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0" xr:uid="{39F43986-CA9F-41C0-A96E-E2B0D8CF673C}"/>
    <cellStyle name="Normal 5 2 3 3 3 2 3" xfId="11582" xr:uid="{F6C790B0-C6FA-4D78-97D6-3060C7048800}"/>
    <cellStyle name="Normal 5 2 3 3 3 3" xfId="5216" xr:uid="{00000000-0005-0000-0000-00009C180000}"/>
    <cellStyle name="Normal 5 2 3 3 3 3 2" xfId="13655" xr:uid="{DE2C8A7B-9C81-431B-A1BF-29A45891EBB5}"/>
    <cellStyle name="Normal 5 2 3 3 3 4" xfId="9437" xr:uid="{4324C241-0A8F-41C7-8C60-94EA95D671B1}"/>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3" xr:uid="{D5DDD217-7CCA-4EFD-A182-0B05C1B175E5}"/>
    <cellStyle name="Normal 5 2 3 3 4 2 3" xfId="11995" xr:uid="{6C4F5A18-5D00-43CB-9363-12456385020A}"/>
    <cellStyle name="Normal 5 2 3 3 4 3" xfId="5629" xr:uid="{00000000-0005-0000-0000-0000A0180000}"/>
    <cellStyle name="Normal 5 2 3 3 4 3 2" xfId="14068" xr:uid="{E41FE177-8412-4AAF-A56C-156F87F1ADD9}"/>
    <cellStyle name="Normal 5 2 3 3 4 4" xfId="9850" xr:uid="{46A5BC50-652B-48EB-9EDD-543C49A88BA7}"/>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6" xr:uid="{2A2AECA4-A30D-4C62-8FCF-33504F622322}"/>
    <cellStyle name="Normal 5 2 3 3 5 2 3" xfId="12408" xr:uid="{399D78E5-871C-4DA4-806B-851E010726BC}"/>
    <cellStyle name="Normal 5 2 3 3 5 3" xfId="6042" xr:uid="{00000000-0005-0000-0000-0000A4180000}"/>
    <cellStyle name="Normal 5 2 3 3 5 3 2" xfId="14481" xr:uid="{8180D4FC-5A40-4B7B-ABFD-BF9674BD97B4}"/>
    <cellStyle name="Normal 5 2 3 3 5 4" xfId="10263" xr:uid="{5F1CC16A-99CF-4A41-945D-40F830903573}"/>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39" xr:uid="{65B2BABC-6ADE-486E-8B06-F39E2F014A6C}"/>
    <cellStyle name="Normal 5 2 3 3 6 2 3" xfId="12821" xr:uid="{BF063E6E-54EA-49A7-9BEA-8E755FB78555}"/>
    <cellStyle name="Normal 5 2 3 3 6 3" xfId="6455" xr:uid="{00000000-0005-0000-0000-0000A8180000}"/>
    <cellStyle name="Normal 5 2 3 3 6 3 2" xfId="14894" xr:uid="{17A47B91-99DE-4B4A-BC6F-F450F6BBDD87}"/>
    <cellStyle name="Normal 5 2 3 3 6 4" xfId="10676" xr:uid="{D128E740-327C-49F1-84D0-053E0440F726}"/>
    <cellStyle name="Normal 5 2 3 3 7" xfId="2584" xr:uid="{00000000-0005-0000-0000-0000A9180000}"/>
    <cellStyle name="Normal 5 2 3 3 7 2" xfId="6868" xr:uid="{00000000-0005-0000-0000-0000AA180000}"/>
    <cellStyle name="Normal 5 2 3 3 7 2 2" xfId="15307" xr:uid="{B2A98624-08CB-4AE8-BEC1-6DC544098407}"/>
    <cellStyle name="Normal 5 2 3 3 7 3" xfId="11089" xr:uid="{8253DC32-9AB8-4A45-BB2B-8F342AA0FA72}"/>
    <cellStyle name="Normal 5 2 3 3 8" xfId="4803" xr:uid="{00000000-0005-0000-0000-0000AB180000}"/>
    <cellStyle name="Normal 5 2 3 3 8 2" xfId="13242" xr:uid="{2E7A1690-46C6-451A-BE0F-C5844F469E62}"/>
    <cellStyle name="Normal 5 2 3 3 9" xfId="9024" xr:uid="{4B7ADE7E-9AF1-45F0-AC93-7595A8C05A66}"/>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2" xr:uid="{7A43A9F0-DCBF-4B7A-89B4-09DD7CCA3EAE}"/>
    <cellStyle name="Normal 5 2 3 4 2 2 3" xfId="11584" xr:uid="{0013C1B1-FF89-4EBE-9A84-889E0B2825E4}"/>
    <cellStyle name="Normal 5 2 3 4 2 3" xfId="5218" xr:uid="{00000000-0005-0000-0000-0000B0180000}"/>
    <cellStyle name="Normal 5 2 3 4 2 3 2" xfId="13657" xr:uid="{6EBECB7D-86C9-4663-88D1-2F420AA627D5}"/>
    <cellStyle name="Normal 5 2 3 4 2 4" xfId="9439" xr:uid="{D77A5B43-9B7F-4627-AA9E-DA7CF7943051}"/>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5" xr:uid="{057D8EC0-5F66-49E4-9A45-957003A95C1D}"/>
    <cellStyle name="Normal 5 2 3 4 3 2 3" xfId="11997" xr:uid="{4CD7537D-E627-4236-931E-E07AF2509BEC}"/>
    <cellStyle name="Normal 5 2 3 4 3 3" xfId="5631" xr:uid="{00000000-0005-0000-0000-0000B4180000}"/>
    <cellStyle name="Normal 5 2 3 4 3 3 2" xfId="14070" xr:uid="{E6EFBD5B-FCB0-4135-9842-13AB451B99BF}"/>
    <cellStyle name="Normal 5 2 3 4 3 4" xfId="9852" xr:uid="{7699DFEF-535E-45CC-B0AE-EA3325F9CFC6}"/>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28" xr:uid="{81079EB9-B574-40BC-8EEB-8DF249E5C481}"/>
    <cellStyle name="Normal 5 2 3 4 4 2 3" xfId="12410" xr:uid="{2AA66977-CB1E-4BC9-B8ED-DBC732F87CE1}"/>
    <cellStyle name="Normal 5 2 3 4 4 3" xfId="6044" xr:uid="{00000000-0005-0000-0000-0000B8180000}"/>
    <cellStyle name="Normal 5 2 3 4 4 3 2" xfId="14483" xr:uid="{845E1F66-9FCF-4C42-844E-A90AE404AEAA}"/>
    <cellStyle name="Normal 5 2 3 4 4 4" xfId="10265" xr:uid="{4C8C1598-82EC-40B7-97AF-4144295959D3}"/>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1" xr:uid="{C2F40D27-B749-4D70-90D7-BD35EEF50ADB}"/>
    <cellStyle name="Normal 5 2 3 4 5 2 3" xfId="12823" xr:uid="{F51E7DEC-7749-4CFF-BA53-B7DA3B2C600E}"/>
    <cellStyle name="Normal 5 2 3 4 5 3" xfId="6457" xr:uid="{00000000-0005-0000-0000-0000BC180000}"/>
    <cellStyle name="Normal 5 2 3 4 5 3 2" xfId="14896" xr:uid="{41CD4090-F836-4033-8878-34A8F73CC9C2}"/>
    <cellStyle name="Normal 5 2 3 4 5 4" xfId="10678" xr:uid="{64EB189D-62E0-49A2-A303-42E13DC5A229}"/>
    <cellStyle name="Normal 5 2 3 4 6" xfId="2586" xr:uid="{00000000-0005-0000-0000-0000BD180000}"/>
    <cellStyle name="Normal 5 2 3 4 6 2" xfId="6870" xr:uid="{00000000-0005-0000-0000-0000BE180000}"/>
    <cellStyle name="Normal 5 2 3 4 6 2 2" xfId="15309" xr:uid="{E825525B-30C6-4E07-A3F6-CC5EB7675A19}"/>
    <cellStyle name="Normal 5 2 3 4 6 3" xfId="11091" xr:uid="{A4768A41-0A7F-4961-843C-ADCDCF3B8FF7}"/>
    <cellStyle name="Normal 5 2 3 4 7" xfId="4805" xr:uid="{00000000-0005-0000-0000-0000BF180000}"/>
    <cellStyle name="Normal 5 2 3 4 7 2" xfId="13244" xr:uid="{DE26FFEB-B4C5-4F4D-9913-766E574B09E1}"/>
    <cellStyle name="Normal 5 2 3 4 8" xfId="9026" xr:uid="{C70F4B3E-7DF5-460C-91FB-E97C3239F824}"/>
    <cellStyle name="Normal 5 2 3 5" xfId="898" xr:uid="{00000000-0005-0000-0000-0000C0180000}"/>
    <cellStyle name="Normal 5 2 3 5 2" xfId="3133" xr:uid="{00000000-0005-0000-0000-0000C1180000}"/>
    <cellStyle name="Normal 5 2 3 5 2 2" xfId="7356" xr:uid="{00000000-0005-0000-0000-0000C2180000}"/>
    <cellStyle name="Normal 5 2 3 5 2 2 2" xfId="15795" xr:uid="{EA26888B-BB43-4699-98A1-9066EF41FDDB}"/>
    <cellStyle name="Normal 5 2 3 5 2 3" xfId="11577" xr:uid="{092B6370-0DC2-48FE-AC7B-09D746F467F4}"/>
    <cellStyle name="Normal 5 2 3 5 3" xfId="5211" xr:uid="{00000000-0005-0000-0000-0000C3180000}"/>
    <cellStyle name="Normal 5 2 3 5 3 2" xfId="13650" xr:uid="{72B6C233-658B-4DBB-AB69-2D99D26320C1}"/>
    <cellStyle name="Normal 5 2 3 5 4" xfId="9432" xr:uid="{A75C7308-FA19-4AC5-8342-68818A19B413}"/>
    <cellStyle name="Normal 5 2 3 6" xfId="1316" xr:uid="{00000000-0005-0000-0000-0000C4180000}"/>
    <cellStyle name="Normal 5 2 3 6 2" xfId="3546" xr:uid="{00000000-0005-0000-0000-0000C5180000}"/>
    <cellStyle name="Normal 5 2 3 6 2 2" xfId="7769" xr:uid="{00000000-0005-0000-0000-0000C6180000}"/>
    <cellStyle name="Normal 5 2 3 6 2 2 2" xfId="16208" xr:uid="{1AFCD8E2-4563-4BB6-9C67-3F7980761A44}"/>
    <cellStyle name="Normal 5 2 3 6 2 3" xfId="11990" xr:uid="{F64E9423-27D9-404F-8E9D-57F5E4778E9C}"/>
    <cellStyle name="Normal 5 2 3 6 3" xfId="5624" xr:uid="{00000000-0005-0000-0000-0000C7180000}"/>
    <cellStyle name="Normal 5 2 3 6 3 2" xfId="14063" xr:uid="{A22A30CE-F31D-4054-A557-36D2835A4E9C}"/>
    <cellStyle name="Normal 5 2 3 6 4" xfId="9845" xr:uid="{87BB1CC4-B2A6-4DFF-89DE-0BA82BFF5D43}"/>
    <cellStyle name="Normal 5 2 3 7" xfId="1729" xr:uid="{00000000-0005-0000-0000-0000C8180000}"/>
    <cellStyle name="Normal 5 2 3 7 2" xfId="3959" xr:uid="{00000000-0005-0000-0000-0000C9180000}"/>
    <cellStyle name="Normal 5 2 3 7 2 2" xfId="8182" xr:uid="{00000000-0005-0000-0000-0000CA180000}"/>
    <cellStyle name="Normal 5 2 3 7 2 2 2" xfId="16621" xr:uid="{FC44346D-AB85-401D-9B7D-7E1E3C14F160}"/>
    <cellStyle name="Normal 5 2 3 7 2 3" xfId="12403" xr:uid="{D6A07CA0-55F4-4EAF-B255-E2AC8098487D}"/>
    <cellStyle name="Normal 5 2 3 7 3" xfId="6037" xr:uid="{00000000-0005-0000-0000-0000CB180000}"/>
    <cellStyle name="Normal 5 2 3 7 3 2" xfId="14476" xr:uid="{B7B906D4-1AA1-4391-AD7A-470B916CF834}"/>
    <cellStyle name="Normal 5 2 3 7 4" xfId="10258" xr:uid="{67367116-3FBA-4FD8-B32F-757882BBB9F9}"/>
    <cellStyle name="Normal 5 2 3 8" xfId="2143" xr:uid="{00000000-0005-0000-0000-0000CC180000}"/>
    <cellStyle name="Normal 5 2 3 8 2" xfId="4372" xr:uid="{00000000-0005-0000-0000-0000CD180000}"/>
    <cellStyle name="Normal 5 2 3 8 2 2" xfId="8595" xr:uid="{00000000-0005-0000-0000-0000CE180000}"/>
    <cellStyle name="Normal 5 2 3 8 2 2 2" xfId="17034" xr:uid="{47A8820E-7ABB-4183-837F-67A2BEB189A9}"/>
    <cellStyle name="Normal 5 2 3 8 2 3" xfId="12816" xr:uid="{F90512FF-D769-442A-B225-E4CC7A999AF3}"/>
    <cellStyle name="Normal 5 2 3 8 3" xfId="6450" xr:uid="{00000000-0005-0000-0000-0000CF180000}"/>
    <cellStyle name="Normal 5 2 3 8 3 2" xfId="14889" xr:uid="{904D53C7-C553-45B2-B3D0-1DEDC9A986A0}"/>
    <cellStyle name="Normal 5 2 3 8 4" xfId="10671" xr:uid="{1F0E48E8-00D8-40AF-912C-88FDD8A6004D}"/>
    <cellStyle name="Normal 5 2 3 9" xfId="2579" xr:uid="{00000000-0005-0000-0000-0000D0180000}"/>
    <cellStyle name="Normal 5 2 3 9 2" xfId="6863" xr:uid="{00000000-0005-0000-0000-0000D1180000}"/>
    <cellStyle name="Normal 5 2 3 9 2 2" xfId="15302" xr:uid="{C93265DF-686B-44EC-83EA-BCB4FC4975BE}"/>
    <cellStyle name="Normal 5 2 3 9 3" xfId="11084" xr:uid="{70688546-47B1-487C-9DB1-1694438B4231}"/>
    <cellStyle name="Normal 5 2 4" xfId="432" xr:uid="{00000000-0005-0000-0000-0000D2180000}"/>
    <cellStyle name="Normal 5 2 4 10" xfId="9027" xr:uid="{B470D64A-08E2-47CE-88DA-EB26301CE55F}"/>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5" xr:uid="{F98ADD9E-293F-436F-BDEB-3FB4202889DB}"/>
    <cellStyle name="Normal 5 2 4 2 2 2 2 3" xfId="11587" xr:uid="{FC545BAC-A861-4ABC-9BC1-5BE8CA172016}"/>
    <cellStyle name="Normal 5 2 4 2 2 2 3" xfId="5221" xr:uid="{00000000-0005-0000-0000-0000D8180000}"/>
    <cellStyle name="Normal 5 2 4 2 2 2 3 2" xfId="13660" xr:uid="{1DAD2C61-6383-42F4-9888-BB51B7405D11}"/>
    <cellStyle name="Normal 5 2 4 2 2 2 4" xfId="9442" xr:uid="{27111488-DD47-4DB2-9AEF-D278A427BA6D}"/>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18" xr:uid="{325A88EE-B2F2-4CBF-8B29-32414BCFEA87}"/>
    <cellStyle name="Normal 5 2 4 2 2 3 2 3" xfId="12000" xr:uid="{A3EC85EB-1255-47FB-9A8F-B072D0DC3A1D}"/>
    <cellStyle name="Normal 5 2 4 2 2 3 3" xfId="5634" xr:uid="{00000000-0005-0000-0000-0000DC180000}"/>
    <cellStyle name="Normal 5 2 4 2 2 3 3 2" xfId="14073" xr:uid="{3C7A9C28-083C-450E-88C2-B7945FB9CB86}"/>
    <cellStyle name="Normal 5 2 4 2 2 3 4" xfId="9855" xr:uid="{26602896-0EFE-410C-ABB4-DE37A6F3219D}"/>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1" xr:uid="{671A57E1-21EA-4D52-8B26-A8D34EC88A38}"/>
    <cellStyle name="Normal 5 2 4 2 2 4 2 3" xfId="12413" xr:uid="{75609040-7D90-4595-9145-95B2C073D868}"/>
    <cellStyle name="Normal 5 2 4 2 2 4 3" xfId="6047" xr:uid="{00000000-0005-0000-0000-0000E0180000}"/>
    <cellStyle name="Normal 5 2 4 2 2 4 3 2" xfId="14486" xr:uid="{2B545D86-8D99-4DDB-823F-F62B17C7B454}"/>
    <cellStyle name="Normal 5 2 4 2 2 4 4" xfId="10268" xr:uid="{3EB4C3ED-9955-4D44-8CE5-52A43C5DA2A5}"/>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4" xr:uid="{5BEC160C-ECBA-43E1-97D4-8C0B7B9C43BD}"/>
    <cellStyle name="Normal 5 2 4 2 2 5 2 3" xfId="12826" xr:uid="{7FC9E1F8-253D-44C0-8B89-AF2D54201BF9}"/>
    <cellStyle name="Normal 5 2 4 2 2 5 3" xfId="6460" xr:uid="{00000000-0005-0000-0000-0000E4180000}"/>
    <cellStyle name="Normal 5 2 4 2 2 5 3 2" xfId="14899" xr:uid="{2FF51B4B-37FA-465D-86FE-8738AD814104}"/>
    <cellStyle name="Normal 5 2 4 2 2 5 4" xfId="10681" xr:uid="{D9DE061A-3FE1-4E86-AAC0-323AF47E825B}"/>
    <cellStyle name="Normal 5 2 4 2 2 6" xfId="2589" xr:uid="{00000000-0005-0000-0000-0000E5180000}"/>
    <cellStyle name="Normal 5 2 4 2 2 6 2" xfId="6873" xr:uid="{00000000-0005-0000-0000-0000E6180000}"/>
    <cellStyle name="Normal 5 2 4 2 2 6 2 2" xfId="15312" xr:uid="{3A2665A7-F24A-48B0-86F8-8301D4818BDB}"/>
    <cellStyle name="Normal 5 2 4 2 2 6 3" xfId="11094" xr:uid="{0175A630-B493-4B68-8CBB-6AC35A360D9B}"/>
    <cellStyle name="Normal 5 2 4 2 2 7" xfId="4808" xr:uid="{00000000-0005-0000-0000-0000E7180000}"/>
    <cellStyle name="Normal 5 2 4 2 2 7 2" xfId="13247" xr:uid="{B006EECF-1DC6-4685-9709-7EE45F9D08EC}"/>
    <cellStyle name="Normal 5 2 4 2 2 8" xfId="9029" xr:uid="{60756F61-12D5-4CD0-ACD4-38EDBD141C10}"/>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4" xr:uid="{E4C50B45-EF97-4A72-8306-9814A5A31AA1}"/>
    <cellStyle name="Normal 5 2 4 2 3 2 3" xfId="11586" xr:uid="{2873C650-F0E3-446D-BB51-116507B99BCB}"/>
    <cellStyle name="Normal 5 2 4 2 3 3" xfId="5220" xr:uid="{00000000-0005-0000-0000-0000EB180000}"/>
    <cellStyle name="Normal 5 2 4 2 3 3 2" xfId="13659" xr:uid="{03018CE4-E103-4A3E-AC85-F9D76D882037}"/>
    <cellStyle name="Normal 5 2 4 2 3 4" xfId="9441" xr:uid="{74BD8A0A-5CAB-46E3-B49E-6A7BF202DCE2}"/>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17" xr:uid="{ABECABF4-8401-4944-8A52-1D3E2600FBDB}"/>
    <cellStyle name="Normal 5 2 4 2 4 2 3" xfId="11999" xr:uid="{57FEE543-5BD1-4DAE-AF06-7256B7B37340}"/>
    <cellStyle name="Normal 5 2 4 2 4 3" xfId="5633" xr:uid="{00000000-0005-0000-0000-0000EF180000}"/>
    <cellStyle name="Normal 5 2 4 2 4 3 2" xfId="14072" xr:uid="{E394DD54-F403-4ACD-8CB4-27FD309A4AEE}"/>
    <cellStyle name="Normal 5 2 4 2 4 4" xfId="9854" xr:uid="{BB2E56EB-4DD0-4CEC-A705-0AB1134D73C1}"/>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0" xr:uid="{7F91BB97-9F1C-4C88-B9FF-376FD4FEA3E4}"/>
    <cellStyle name="Normal 5 2 4 2 5 2 3" xfId="12412" xr:uid="{B9E791A4-A070-4BE7-9EB9-2F9D4A3AE95E}"/>
    <cellStyle name="Normal 5 2 4 2 5 3" xfId="6046" xr:uid="{00000000-0005-0000-0000-0000F3180000}"/>
    <cellStyle name="Normal 5 2 4 2 5 3 2" xfId="14485" xr:uid="{DFEFB1D7-6718-4A59-9DC2-10C4D23450AE}"/>
    <cellStyle name="Normal 5 2 4 2 5 4" xfId="10267" xr:uid="{12EEBBFB-4A92-4C51-8329-B9547D26BEC8}"/>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3" xr:uid="{E6284D64-6107-45E5-ACC1-6CBC1F563A6D}"/>
    <cellStyle name="Normal 5 2 4 2 6 2 3" xfId="12825" xr:uid="{8B1A942A-3E1D-43EC-A9C6-05BB50223A8A}"/>
    <cellStyle name="Normal 5 2 4 2 6 3" xfId="6459" xr:uid="{00000000-0005-0000-0000-0000F7180000}"/>
    <cellStyle name="Normal 5 2 4 2 6 3 2" xfId="14898" xr:uid="{22700DE9-DDC9-45C2-8EAA-18DE7356F0FF}"/>
    <cellStyle name="Normal 5 2 4 2 6 4" xfId="10680" xr:uid="{98FB6669-A713-432D-8916-4752741ADE5B}"/>
    <cellStyle name="Normal 5 2 4 2 7" xfId="2588" xr:uid="{00000000-0005-0000-0000-0000F8180000}"/>
    <cellStyle name="Normal 5 2 4 2 7 2" xfId="6872" xr:uid="{00000000-0005-0000-0000-0000F9180000}"/>
    <cellStyle name="Normal 5 2 4 2 7 2 2" xfId="15311" xr:uid="{7D4828C5-670A-4235-A848-D12CE550E8DC}"/>
    <cellStyle name="Normal 5 2 4 2 7 3" xfId="11093" xr:uid="{4C2C4D1A-B6C6-418E-86DB-5B147CDAA64E}"/>
    <cellStyle name="Normal 5 2 4 2 8" xfId="4807" xr:uid="{00000000-0005-0000-0000-0000FA180000}"/>
    <cellStyle name="Normal 5 2 4 2 8 2" xfId="13246" xr:uid="{2FAEBA4A-DD4D-4D7C-9D88-2477CE26C5DF}"/>
    <cellStyle name="Normal 5 2 4 2 9" xfId="9028" xr:uid="{7035238F-700D-46A5-88CB-88AF74A148FB}"/>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6" xr:uid="{7CF003B0-B7F4-4D62-BD2B-58EBBC4AB8CC}"/>
    <cellStyle name="Normal 5 2 4 3 2 2 3" xfId="11588" xr:uid="{FF20D803-6E57-4848-9065-E91C304C293D}"/>
    <cellStyle name="Normal 5 2 4 3 2 3" xfId="5222" xr:uid="{00000000-0005-0000-0000-0000FF180000}"/>
    <cellStyle name="Normal 5 2 4 3 2 3 2" xfId="13661" xr:uid="{6EA6EA36-3020-49A5-9186-3373F54F0707}"/>
    <cellStyle name="Normal 5 2 4 3 2 4" xfId="9443" xr:uid="{A7F47DE8-0391-4034-8673-82A4D4A2983C}"/>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19" xr:uid="{7486CC25-7A87-4C6D-94F2-34C5A8516104}"/>
    <cellStyle name="Normal 5 2 4 3 3 2 3" xfId="12001" xr:uid="{C29D834C-DD71-4A01-8305-38E5191E282C}"/>
    <cellStyle name="Normal 5 2 4 3 3 3" xfId="5635" xr:uid="{00000000-0005-0000-0000-000003190000}"/>
    <cellStyle name="Normal 5 2 4 3 3 3 2" xfId="14074" xr:uid="{DA2752E2-9563-4232-AC68-3463427FBCDA}"/>
    <cellStyle name="Normal 5 2 4 3 3 4" xfId="9856" xr:uid="{709B1BDD-4AE7-41B0-8D60-C4E373728A6A}"/>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2" xr:uid="{86628107-97AF-4439-B6AB-0253314F74C0}"/>
    <cellStyle name="Normal 5 2 4 3 4 2 3" xfId="12414" xr:uid="{ADE5E084-1176-4937-8BDD-811939E14433}"/>
    <cellStyle name="Normal 5 2 4 3 4 3" xfId="6048" xr:uid="{00000000-0005-0000-0000-000007190000}"/>
    <cellStyle name="Normal 5 2 4 3 4 3 2" xfId="14487" xr:uid="{D1524C7A-FA64-4003-A65A-AD870FC6FC99}"/>
    <cellStyle name="Normal 5 2 4 3 4 4" xfId="10269" xr:uid="{51788004-B4D5-4765-9784-C9657526D864}"/>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5" xr:uid="{FCCCA553-CF9F-4C2F-ACEB-66FAF8868AD7}"/>
    <cellStyle name="Normal 5 2 4 3 5 2 3" xfId="12827" xr:uid="{92A8EB79-A3DF-4692-8CF9-61BBEF527A36}"/>
    <cellStyle name="Normal 5 2 4 3 5 3" xfId="6461" xr:uid="{00000000-0005-0000-0000-00000B190000}"/>
    <cellStyle name="Normal 5 2 4 3 5 3 2" xfId="14900" xr:uid="{715B6B18-588E-49DE-A199-6BA3847DE434}"/>
    <cellStyle name="Normal 5 2 4 3 5 4" xfId="10682" xr:uid="{9566A0F1-3E37-4322-AEC5-8505A258A7FB}"/>
    <cellStyle name="Normal 5 2 4 3 6" xfId="2590" xr:uid="{00000000-0005-0000-0000-00000C190000}"/>
    <cellStyle name="Normal 5 2 4 3 6 2" xfId="6874" xr:uid="{00000000-0005-0000-0000-00000D190000}"/>
    <cellStyle name="Normal 5 2 4 3 6 2 2" xfId="15313" xr:uid="{D59E9A9F-AC1E-47CE-A43E-F1752BFB56DB}"/>
    <cellStyle name="Normal 5 2 4 3 6 3" xfId="11095" xr:uid="{575D98D5-8D48-4F09-A739-AEBA44D69D5F}"/>
    <cellStyle name="Normal 5 2 4 3 7" xfId="4809" xr:uid="{00000000-0005-0000-0000-00000E190000}"/>
    <cellStyle name="Normal 5 2 4 3 7 2" xfId="13248" xr:uid="{98F1F0B7-FE5C-41FC-B9BC-4C10B57D83F5}"/>
    <cellStyle name="Normal 5 2 4 3 8" xfId="9030" xr:uid="{1EF3170F-BA67-4F4D-901C-37070A4C943B}"/>
    <cellStyle name="Normal 5 2 4 4" xfId="906" xr:uid="{00000000-0005-0000-0000-00000F190000}"/>
    <cellStyle name="Normal 5 2 4 4 2" xfId="3141" xr:uid="{00000000-0005-0000-0000-000010190000}"/>
    <cellStyle name="Normal 5 2 4 4 2 2" xfId="7364" xr:uid="{00000000-0005-0000-0000-000011190000}"/>
    <cellStyle name="Normal 5 2 4 4 2 2 2" xfId="15803" xr:uid="{311B11DB-8C40-478C-8705-DB8A84C26710}"/>
    <cellStyle name="Normal 5 2 4 4 2 3" xfId="11585" xr:uid="{77D9D788-1177-4762-B6D9-40BD0E0A6291}"/>
    <cellStyle name="Normal 5 2 4 4 3" xfId="5219" xr:uid="{00000000-0005-0000-0000-000012190000}"/>
    <cellStyle name="Normal 5 2 4 4 3 2" xfId="13658" xr:uid="{8796ECDB-EE8F-4B2C-917B-CC127C68D004}"/>
    <cellStyle name="Normal 5 2 4 4 4" xfId="9440" xr:uid="{D4F52AF9-80C4-4609-B63F-4E88A6143F67}"/>
    <cellStyle name="Normal 5 2 4 5" xfId="1324" xr:uid="{00000000-0005-0000-0000-000013190000}"/>
    <cellStyle name="Normal 5 2 4 5 2" xfId="3554" xr:uid="{00000000-0005-0000-0000-000014190000}"/>
    <cellStyle name="Normal 5 2 4 5 2 2" xfId="7777" xr:uid="{00000000-0005-0000-0000-000015190000}"/>
    <cellStyle name="Normal 5 2 4 5 2 2 2" xfId="16216" xr:uid="{6DBF1B37-DD18-4BB1-8A5B-3C5568024183}"/>
    <cellStyle name="Normal 5 2 4 5 2 3" xfId="11998" xr:uid="{6AE800F6-ADAE-4111-89A9-F0B2552FE361}"/>
    <cellStyle name="Normal 5 2 4 5 3" xfId="5632" xr:uid="{00000000-0005-0000-0000-000016190000}"/>
    <cellStyle name="Normal 5 2 4 5 3 2" xfId="14071" xr:uid="{331C0BFC-8935-4416-AEB8-F4E4E1D62AE2}"/>
    <cellStyle name="Normal 5 2 4 5 4" xfId="9853" xr:uid="{9D1C6625-296B-4DB6-BF95-9151258CE705}"/>
    <cellStyle name="Normal 5 2 4 6" xfId="1737" xr:uid="{00000000-0005-0000-0000-000017190000}"/>
    <cellStyle name="Normal 5 2 4 6 2" xfId="3967" xr:uid="{00000000-0005-0000-0000-000018190000}"/>
    <cellStyle name="Normal 5 2 4 6 2 2" xfId="8190" xr:uid="{00000000-0005-0000-0000-000019190000}"/>
    <cellStyle name="Normal 5 2 4 6 2 2 2" xfId="16629" xr:uid="{B9E245E6-77AC-4523-A6FF-73DD12759B50}"/>
    <cellStyle name="Normal 5 2 4 6 2 3" xfId="12411" xr:uid="{93EA200F-5AD3-4485-AFBC-1C94D7693AD1}"/>
    <cellStyle name="Normal 5 2 4 6 3" xfId="6045" xr:uid="{00000000-0005-0000-0000-00001A190000}"/>
    <cellStyle name="Normal 5 2 4 6 3 2" xfId="14484" xr:uid="{AFE0788C-2A51-4708-A1F6-2156AE91B99C}"/>
    <cellStyle name="Normal 5 2 4 6 4" xfId="10266" xr:uid="{5B0F9D5D-7C52-4115-96B4-7FEEB151F1E8}"/>
    <cellStyle name="Normal 5 2 4 7" xfId="2151" xr:uid="{00000000-0005-0000-0000-00001B190000}"/>
    <cellStyle name="Normal 5 2 4 7 2" xfId="4380" xr:uid="{00000000-0005-0000-0000-00001C190000}"/>
    <cellStyle name="Normal 5 2 4 7 2 2" xfId="8603" xr:uid="{00000000-0005-0000-0000-00001D190000}"/>
    <cellStyle name="Normal 5 2 4 7 2 2 2" xfId="17042" xr:uid="{CDAAA2C7-6A53-477A-B3C0-163027E3913E}"/>
    <cellStyle name="Normal 5 2 4 7 2 3" xfId="12824" xr:uid="{49B557C4-4D42-465A-9CEA-B967E66AF893}"/>
    <cellStyle name="Normal 5 2 4 7 3" xfId="6458" xr:uid="{00000000-0005-0000-0000-00001E190000}"/>
    <cellStyle name="Normal 5 2 4 7 3 2" xfId="14897" xr:uid="{31950433-5ADE-4987-8958-3EF2665E32AB}"/>
    <cellStyle name="Normal 5 2 4 7 4" xfId="10679" xr:uid="{0C4645E6-6647-4D0C-86BD-D4926DC6AA1D}"/>
    <cellStyle name="Normal 5 2 4 8" xfId="2587" xr:uid="{00000000-0005-0000-0000-00001F190000}"/>
    <cellStyle name="Normal 5 2 4 8 2" xfId="6871" xr:uid="{00000000-0005-0000-0000-000020190000}"/>
    <cellStyle name="Normal 5 2 4 8 2 2" xfId="15310" xr:uid="{D1E28FAC-03E9-476B-BF81-4587AF67C35D}"/>
    <cellStyle name="Normal 5 2 4 8 3" xfId="11092" xr:uid="{3807FEC7-06FE-4356-9D6A-B0F27B1BF772}"/>
    <cellStyle name="Normal 5 2 4 9" xfId="4806" xr:uid="{00000000-0005-0000-0000-000021190000}"/>
    <cellStyle name="Normal 5 2 4 9 2" xfId="13245" xr:uid="{7FF6F932-F72E-4312-9EF8-D6B72A1B11F2}"/>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08" xr:uid="{EF02B00D-F1DA-4166-B2E9-DD5BBB729DA6}"/>
    <cellStyle name="Normal 5 2 5 2 2 2 3" xfId="11590" xr:uid="{5ACA1F5D-C8B1-4C6A-A970-3A0CF402B1AE}"/>
    <cellStyle name="Normal 5 2 5 2 2 3" xfId="5224" xr:uid="{00000000-0005-0000-0000-000027190000}"/>
    <cellStyle name="Normal 5 2 5 2 2 3 2" xfId="13663" xr:uid="{673C1D10-A92B-4B0E-AB97-BA61C4AAFD59}"/>
    <cellStyle name="Normal 5 2 5 2 2 4" xfId="9445" xr:uid="{40956CDB-204E-4A94-BFE4-371933189D1C}"/>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1" xr:uid="{71E8251D-8DEC-468A-935F-D8F60F8CE109}"/>
    <cellStyle name="Normal 5 2 5 2 3 2 3" xfId="12003" xr:uid="{060C0693-8680-4704-BB59-8F53D8A610B7}"/>
    <cellStyle name="Normal 5 2 5 2 3 3" xfId="5637" xr:uid="{00000000-0005-0000-0000-00002B190000}"/>
    <cellStyle name="Normal 5 2 5 2 3 3 2" xfId="14076" xr:uid="{A3C78751-9262-4941-8614-DE97265F2F23}"/>
    <cellStyle name="Normal 5 2 5 2 3 4" xfId="9858" xr:uid="{71A56852-841B-4519-887A-29420995685C}"/>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4" xr:uid="{CBE18B42-3EFD-48BF-970F-328F8AA8DF09}"/>
    <cellStyle name="Normal 5 2 5 2 4 2 3" xfId="12416" xr:uid="{63C97E56-E7AC-439C-B1EF-22715C0A5839}"/>
    <cellStyle name="Normal 5 2 5 2 4 3" xfId="6050" xr:uid="{00000000-0005-0000-0000-00002F190000}"/>
    <cellStyle name="Normal 5 2 5 2 4 3 2" xfId="14489" xr:uid="{FDC45896-E10B-45C0-A9D6-38CB5E53400D}"/>
    <cellStyle name="Normal 5 2 5 2 4 4" xfId="10271" xr:uid="{2AFE939D-E8C7-4892-8A7D-C91AA6511237}"/>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47" xr:uid="{201FC618-A26D-4E27-A8A8-355F24FACD9D}"/>
    <cellStyle name="Normal 5 2 5 2 5 2 3" xfId="12829" xr:uid="{FE967669-62F9-41B3-9367-73EF1D0F5997}"/>
    <cellStyle name="Normal 5 2 5 2 5 3" xfId="6463" xr:uid="{00000000-0005-0000-0000-000033190000}"/>
    <cellStyle name="Normal 5 2 5 2 5 3 2" xfId="14902" xr:uid="{818C68E1-E60F-43EB-A91B-F4CA84EF5B47}"/>
    <cellStyle name="Normal 5 2 5 2 5 4" xfId="10684" xr:uid="{CCF02126-DCFC-4C0C-8AE6-ABAC470FA893}"/>
    <cellStyle name="Normal 5 2 5 2 6" xfId="2592" xr:uid="{00000000-0005-0000-0000-000034190000}"/>
    <cellStyle name="Normal 5 2 5 2 6 2" xfId="6876" xr:uid="{00000000-0005-0000-0000-000035190000}"/>
    <cellStyle name="Normal 5 2 5 2 6 2 2" xfId="15315" xr:uid="{7F3A1F5C-58B2-4D13-9F63-2128CCC18FF3}"/>
    <cellStyle name="Normal 5 2 5 2 6 3" xfId="11097" xr:uid="{5C3C743C-EF2F-454F-B830-CB28776B8678}"/>
    <cellStyle name="Normal 5 2 5 2 7" xfId="4811" xr:uid="{00000000-0005-0000-0000-000036190000}"/>
    <cellStyle name="Normal 5 2 5 2 7 2" xfId="13250" xr:uid="{B97E5A02-A7CF-40F8-AE98-927DD2B4A1E1}"/>
    <cellStyle name="Normal 5 2 5 2 8" xfId="9032" xr:uid="{39C89B55-511B-4257-A537-EDC58467149B}"/>
    <cellStyle name="Normal 5 2 5 3" xfId="910" xr:uid="{00000000-0005-0000-0000-000037190000}"/>
    <cellStyle name="Normal 5 2 5 3 2" xfId="3145" xr:uid="{00000000-0005-0000-0000-000038190000}"/>
    <cellStyle name="Normal 5 2 5 3 2 2" xfId="7368" xr:uid="{00000000-0005-0000-0000-000039190000}"/>
    <cellStyle name="Normal 5 2 5 3 2 2 2" xfId="15807" xr:uid="{79476A8C-6746-4668-A071-3EB75A78C870}"/>
    <cellStyle name="Normal 5 2 5 3 2 3" xfId="11589" xr:uid="{CEF383B0-9E20-47DA-ADF4-78632E9DC802}"/>
    <cellStyle name="Normal 5 2 5 3 3" xfId="5223" xr:uid="{00000000-0005-0000-0000-00003A190000}"/>
    <cellStyle name="Normal 5 2 5 3 3 2" xfId="13662" xr:uid="{822E2472-6861-45DC-BDF3-98C17B43A19D}"/>
    <cellStyle name="Normal 5 2 5 3 4" xfId="9444" xr:uid="{18C4B6B7-EE38-4FD0-8A4B-13DF1156BF91}"/>
    <cellStyle name="Normal 5 2 5 4" xfId="1328" xr:uid="{00000000-0005-0000-0000-00003B190000}"/>
    <cellStyle name="Normal 5 2 5 4 2" xfId="3558" xr:uid="{00000000-0005-0000-0000-00003C190000}"/>
    <cellStyle name="Normal 5 2 5 4 2 2" xfId="7781" xr:uid="{00000000-0005-0000-0000-00003D190000}"/>
    <cellStyle name="Normal 5 2 5 4 2 2 2" xfId="16220" xr:uid="{ABCB6B36-6228-412C-87AD-26B6710D9B29}"/>
    <cellStyle name="Normal 5 2 5 4 2 3" xfId="12002" xr:uid="{6CE77F4D-3122-497E-A38C-026238270375}"/>
    <cellStyle name="Normal 5 2 5 4 3" xfId="5636" xr:uid="{00000000-0005-0000-0000-00003E190000}"/>
    <cellStyle name="Normal 5 2 5 4 3 2" xfId="14075" xr:uid="{87B543FF-72DD-4F6D-922D-9701F2F9993E}"/>
    <cellStyle name="Normal 5 2 5 4 4" xfId="9857" xr:uid="{26DE1AAA-ADFE-4115-AF46-91310D5BF85F}"/>
    <cellStyle name="Normal 5 2 5 5" xfId="1741" xr:uid="{00000000-0005-0000-0000-00003F190000}"/>
    <cellStyle name="Normal 5 2 5 5 2" xfId="3971" xr:uid="{00000000-0005-0000-0000-000040190000}"/>
    <cellStyle name="Normal 5 2 5 5 2 2" xfId="8194" xr:uid="{00000000-0005-0000-0000-000041190000}"/>
    <cellStyle name="Normal 5 2 5 5 2 2 2" xfId="16633" xr:uid="{D63929F6-E7F3-477C-ACE5-C307C5585A3E}"/>
    <cellStyle name="Normal 5 2 5 5 2 3" xfId="12415" xr:uid="{19479DC8-3F08-461C-B70A-FEC8A2568657}"/>
    <cellStyle name="Normal 5 2 5 5 3" xfId="6049" xr:uid="{00000000-0005-0000-0000-000042190000}"/>
    <cellStyle name="Normal 5 2 5 5 3 2" xfId="14488" xr:uid="{B4FEAD0D-021A-4EAF-BB3F-4BD9DFE3BB9F}"/>
    <cellStyle name="Normal 5 2 5 5 4" xfId="10270" xr:uid="{CB1ED4C5-74C0-4ADB-8F04-0E179F1E2469}"/>
    <cellStyle name="Normal 5 2 5 6" xfId="2155" xr:uid="{00000000-0005-0000-0000-000043190000}"/>
    <cellStyle name="Normal 5 2 5 6 2" xfId="4384" xr:uid="{00000000-0005-0000-0000-000044190000}"/>
    <cellStyle name="Normal 5 2 5 6 2 2" xfId="8607" xr:uid="{00000000-0005-0000-0000-000045190000}"/>
    <cellStyle name="Normal 5 2 5 6 2 2 2" xfId="17046" xr:uid="{AA3EFA33-BA88-41FA-85D6-110C15A27962}"/>
    <cellStyle name="Normal 5 2 5 6 2 3" xfId="12828" xr:uid="{D514F51D-C4B7-4F1D-B75D-9059C9885449}"/>
    <cellStyle name="Normal 5 2 5 6 3" xfId="6462" xr:uid="{00000000-0005-0000-0000-000046190000}"/>
    <cellStyle name="Normal 5 2 5 6 3 2" xfId="14901" xr:uid="{4E6C85DB-463A-458A-AB21-5CAB1C0644E9}"/>
    <cellStyle name="Normal 5 2 5 6 4" xfId="10683" xr:uid="{A2A7F2B7-2ED5-4F90-90D8-6447D2967113}"/>
    <cellStyle name="Normal 5 2 5 7" xfId="2591" xr:uid="{00000000-0005-0000-0000-000047190000}"/>
    <cellStyle name="Normal 5 2 5 7 2" xfId="6875" xr:uid="{00000000-0005-0000-0000-000048190000}"/>
    <cellStyle name="Normal 5 2 5 7 2 2" xfId="15314" xr:uid="{F2C7A53B-1567-472C-B8A9-4E06FBBB415A}"/>
    <cellStyle name="Normal 5 2 5 7 3" xfId="11096" xr:uid="{14AF7B96-E682-4D66-966D-775BB33029B8}"/>
    <cellStyle name="Normal 5 2 5 8" xfId="4810" xr:uid="{00000000-0005-0000-0000-000049190000}"/>
    <cellStyle name="Normal 5 2 5 8 2" xfId="13249" xr:uid="{394281F3-03D7-4961-BCC0-50E27576464B}"/>
    <cellStyle name="Normal 5 2 5 9" xfId="9031" xr:uid="{8E31E4AA-BA6E-443D-BDE2-5536EC286822}"/>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09" xr:uid="{49D4175E-4CCF-4293-8217-C522A54FFE2D}"/>
    <cellStyle name="Normal 5 2 6 2 2 3" xfId="11591" xr:uid="{97D343DC-BF15-40DC-9DCF-3F438B81906E}"/>
    <cellStyle name="Normal 5 2 6 2 3" xfId="5225" xr:uid="{00000000-0005-0000-0000-00004E190000}"/>
    <cellStyle name="Normal 5 2 6 2 3 2" xfId="13664" xr:uid="{834E66FB-B4FC-4DDD-9BCA-488D234D72D8}"/>
    <cellStyle name="Normal 5 2 6 2 4" xfId="9446" xr:uid="{B3610B78-AC3D-4752-8E43-BB3336C921CB}"/>
    <cellStyle name="Normal 5 2 6 3" xfId="1330" xr:uid="{00000000-0005-0000-0000-00004F190000}"/>
    <cellStyle name="Normal 5 2 6 3 2" xfId="3560" xr:uid="{00000000-0005-0000-0000-000050190000}"/>
    <cellStyle name="Normal 5 2 6 3 2 2" xfId="7783" xr:uid="{00000000-0005-0000-0000-000051190000}"/>
    <cellStyle name="Normal 5 2 6 3 2 2 2" xfId="16222" xr:uid="{FBEBCB7E-0810-455C-839A-B39D80192921}"/>
    <cellStyle name="Normal 5 2 6 3 2 3" xfId="12004" xr:uid="{E886279D-EF84-42B1-8D26-B5B59FEBEE8E}"/>
    <cellStyle name="Normal 5 2 6 3 3" xfId="5638" xr:uid="{00000000-0005-0000-0000-000052190000}"/>
    <cellStyle name="Normal 5 2 6 3 3 2" xfId="14077" xr:uid="{EEDAD9DF-1897-4887-AAD5-E112DC76537D}"/>
    <cellStyle name="Normal 5 2 6 3 4" xfId="9859" xr:uid="{E7997773-FEE3-433F-8271-5E9B6A6A0A2A}"/>
    <cellStyle name="Normal 5 2 6 4" xfId="1743" xr:uid="{00000000-0005-0000-0000-000053190000}"/>
    <cellStyle name="Normal 5 2 6 4 2" xfId="3973" xr:uid="{00000000-0005-0000-0000-000054190000}"/>
    <cellStyle name="Normal 5 2 6 4 2 2" xfId="8196" xr:uid="{00000000-0005-0000-0000-000055190000}"/>
    <cellStyle name="Normal 5 2 6 4 2 2 2" xfId="16635" xr:uid="{E64A27A5-E71E-4C8E-8743-994AAB4DCBF8}"/>
    <cellStyle name="Normal 5 2 6 4 2 3" xfId="12417" xr:uid="{21E6CC71-0222-4AA0-9FA6-F36BFA9F1CC8}"/>
    <cellStyle name="Normal 5 2 6 4 3" xfId="6051" xr:uid="{00000000-0005-0000-0000-000056190000}"/>
    <cellStyle name="Normal 5 2 6 4 3 2" xfId="14490" xr:uid="{D259DD68-CCE2-48B6-B540-4C5C116FFCCD}"/>
    <cellStyle name="Normal 5 2 6 4 4" xfId="10272" xr:uid="{C940ADC0-0BB5-455C-898F-2DF734316076}"/>
    <cellStyle name="Normal 5 2 6 5" xfId="2157" xr:uid="{00000000-0005-0000-0000-000057190000}"/>
    <cellStyle name="Normal 5 2 6 5 2" xfId="4386" xr:uid="{00000000-0005-0000-0000-000058190000}"/>
    <cellStyle name="Normal 5 2 6 5 2 2" xfId="8609" xr:uid="{00000000-0005-0000-0000-000059190000}"/>
    <cellStyle name="Normal 5 2 6 5 2 2 2" xfId="17048" xr:uid="{AA181938-5E1E-419F-9B6E-7E1CCEE3895A}"/>
    <cellStyle name="Normal 5 2 6 5 2 3" xfId="12830" xr:uid="{9E3AE6DE-92BF-4C5E-87DD-FEA18EE397B9}"/>
    <cellStyle name="Normal 5 2 6 5 3" xfId="6464" xr:uid="{00000000-0005-0000-0000-00005A190000}"/>
    <cellStyle name="Normal 5 2 6 5 3 2" xfId="14903" xr:uid="{616CFAEF-8BD2-4B07-8CC0-0660E80FCE40}"/>
    <cellStyle name="Normal 5 2 6 5 4" xfId="10685" xr:uid="{170C0CDE-85AD-4B8D-BCB9-F89988B0BDD8}"/>
    <cellStyle name="Normal 5 2 6 6" xfId="2593" xr:uid="{00000000-0005-0000-0000-00005B190000}"/>
    <cellStyle name="Normal 5 2 6 6 2" xfId="6877" xr:uid="{00000000-0005-0000-0000-00005C190000}"/>
    <cellStyle name="Normal 5 2 6 6 2 2" xfId="15316" xr:uid="{5DB14984-2682-4ABA-BAD2-6EEB2384EA9B}"/>
    <cellStyle name="Normal 5 2 6 6 3" xfId="11098" xr:uid="{7A24A3A3-B79C-4BF3-9FC9-922F3DB03DF2}"/>
    <cellStyle name="Normal 5 2 6 7" xfId="4812" xr:uid="{00000000-0005-0000-0000-00005D190000}"/>
    <cellStyle name="Normal 5 2 6 7 2" xfId="13251" xr:uid="{FB651D68-8569-4F27-BCBC-BAF3596A5538}"/>
    <cellStyle name="Normal 5 2 6 8" xfId="9033" xr:uid="{E8778E9B-7EDD-432C-AEF5-090BB8928DEE}"/>
    <cellStyle name="Normal 5 2 7" xfId="881" xr:uid="{00000000-0005-0000-0000-00005E190000}"/>
    <cellStyle name="Normal 5 2 7 2" xfId="3116" xr:uid="{00000000-0005-0000-0000-00005F190000}"/>
    <cellStyle name="Normal 5 2 7 2 2" xfId="7339" xr:uid="{00000000-0005-0000-0000-000060190000}"/>
    <cellStyle name="Normal 5 2 7 2 2 2" xfId="15778" xr:uid="{24EBEA6D-89E3-40C1-8303-34D71E0B64BA}"/>
    <cellStyle name="Normal 5 2 7 2 3" xfId="11560" xr:uid="{3F666A17-60B3-4637-9D1E-B4CFF0EE794D}"/>
    <cellStyle name="Normal 5 2 7 3" xfId="5194" xr:uid="{00000000-0005-0000-0000-000061190000}"/>
    <cellStyle name="Normal 5 2 7 3 2" xfId="13633" xr:uid="{4C18F0A5-A115-4AEE-9562-8BC90C57D39C}"/>
    <cellStyle name="Normal 5 2 7 4" xfId="9415" xr:uid="{CD18FE7C-151E-471A-B17B-38DC7601D7FF}"/>
    <cellStyle name="Normal 5 2 8" xfId="1299" xr:uid="{00000000-0005-0000-0000-000062190000}"/>
    <cellStyle name="Normal 5 2 8 2" xfId="3529" xr:uid="{00000000-0005-0000-0000-000063190000}"/>
    <cellStyle name="Normal 5 2 8 2 2" xfId="7752" xr:uid="{00000000-0005-0000-0000-000064190000}"/>
    <cellStyle name="Normal 5 2 8 2 2 2" xfId="16191" xr:uid="{1A258172-75AD-4CCA-8FD2-6114F3C24431}"/>
    <cellStyle name="Normal 5 2 8 2 3" xfId="11973" xr:uid="{E62252DE-6267-405F-91B4-47E66F127156}"/>
    <cellStyle name="Normal 5 2 8 3" xfId="5607" xr:uid="{00000000-0005-0000-0000-000065190000}"/>
    <cellStyle name="Normal 5 2 8 3 2" xfId="14046" xr:uid="{60F33BDC-9C9F-4A5F-A224-DDFF377E8BFB}"/>
    <cellStyle name="Normal 5 2 8 4" xfId="9828" xr:uid="{0170100A-B011-415A-A760-2D40ED2C1F68}"/>
    <cellStyle name="Normal 5 2 9" xfId="1712" xr:uid="{00000000-0005-0000-0000-000066190000}"/>
    <cellStyle name="Normal 5 2 9 2" xfId="3942" xr:uid="{00000000-0005-0000-0000-000067190000}"/>
    <cellStyle name="Normal 5 2 9 2 2" xfId="8165" xr:uid="{00000000-0005-0000-0000-000068190000}"/>
    <cellStyle name="Normal 5 2 9 2 2 2" xfId="16604" xr:uid="{7B770D6F-DCF8-4245-A0FF-D210341E022D}"/>
    <cellStyle name="Normal 5 2 9 2 3" xfId="12386" xr:uid="{B59ADC88-CF67-4E7F-9EE0-31698466D242}"/>
    <cellStyle name="Normal 5 2 9 3" xfId="6020" xr:uid="{00000000-0005-0000-0000-000069190000}"/>
    <cellStyle name="Normal 5 2 9 3 2" xfId="14459" xr:uid="{63D5F412-FFE8-4C9D-B85A-2ED8DC0F2873}"/>
    <cellStyle name="Normal 5 2 9 4" xfId="10241" xr:uid="{18AE7F9B-1352-4569-A4F3-4BAE21E4642F}"/>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49" xr:uid="{2832B319-DA34-4BFF-AA21-5BEE30F9E680}"/>
    <cellStyle name="Normal 5 3 10 2 3" xfId="12831" xr:uid="{AF27B9DE-B7EA-467C-B22B-DC500FA421C2}"/>
    <cellStyle name="Normal 5 3 10 3" xfId="6465" xr:uid="{00000000-0005-0000-0000-00006E190000}"/>
    <cellStyle name="Normal 5 3 10 3 2" xfId="14904" xr:uid="{9B6A2FA2-117E-462A-A197-390A8E453974}"/>
    <cellStyle name="Normal 5 3 10 4" xfId="10686" xr:uid="{813F42B9-5507-4B59-9205-4EEE9CA13B5A}"/>
    <cellStyle name="Normal 5 3 11" xfId="2594" xr:uid="{00000000-0005-0000-0000-00006F190000}"/>
    <cellStyle name="Normal 5 3 11 2" xfId="6878" xr:uid="{00000000-0005-0000-0000-000070190000}"/>
    <cellStyle name="Normal 5 3 11 2 2" xfId="15317" xr:uid="{292B655F-7E1A-4487-AF8F-8F3FD5566C8F}"/>
    <cellStyle name="Normal 5 3 11 3" xfId="11099" xr:uid="{4CBB9C2B-6BE3-4DC1-935B-3A34E23B9D79}"/>
    <cellStyle name="Normal 5 3 12" xfId="4813" xr:uid="{00000000-0005-0000-0000-000071190000}"/>
    <cellStyle name="Normal 5 3 12 2" xfId="13252" xr:uid="{F998AAB4-1034-484A-9B68-EE827179F4AD}"/>
    <cellStyle name="Normal 5 3 13" xfId="9034" xr:uid="{696786D4-234B-42B9-A169-93D8C7D058DD}"/>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3" xr:uid="{44B12D40-82F8-48E7-AAB8-3A6625C3CCC8}"/>
    <cellStyle name="Normal 5 3 3 11" xfId="9035" xr:uid="{537FBA42-272D-49F9-A5D4-A2CCF5DBB790}"/>
    <cellStyle name="Normal 5 3 3 2" xfId="442" xr:uid="{00000000-0005-0000-0000-000076190000}"/>
    <cellStyle name="Normal 5 3 3 2 10" xfId="9036" xr:uid="{05718FBE-0487-4594-916D-0D4A3D327F7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4" xr:uid="{90E26D55-72CB-4A20-9669-5A56E36DBD86}"/>
    <cellStyle name="Normal 5 3 3 2 2 2 2 2 3" xfId="11596" xr:uid="{9CCEECA1-4678-447F-B217-2BBFC7E6BEE2}"/>
    <cellStyle name="Normal 5 3 3 2 2 2 2 3" xfId="5230" xr:uid="{00000000-0005-0000-0000-00007C190000}"/>
    <cellStyle name="Normal 5 3 3 2 2 2 2 3 2" xfId="13669" xr:uid="{C2B8D4B5-DF8F-4AB7-BF3F-4F206C7BA71D}"/>
    <cellStyle name="Normal 5 3 3 2 2 2 2 4" xfId="9451" xr:uid="{732A1696-964E-4613-82BC-A6D9D6BF4B09}"/>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27" xr:uid="{BB62B79E-0487-44F7-AE04-7537DE5F85BB}"/>
    <cellStyle name="Normal 5 3 3 2 2 2 3 2 3" xfId="12009" xr:uid="{D2628B1B-8276-43F5-8CCB-7CE22D241A5E}"/>
    <cellStyle name="Normal 5 3 3 2 2 2 3 3" xfId="5643" xr:uid="{00000000-0005-0000-0000-000080190000}"/>
    <cellStyle name="Normal 5 3 3 2 2 2 3 3 2" xfId="14082" xr:uid="{6FE2DD17-6D4C-4D05-9074-92270FB423FC}"/>
    <cellStyle name="Normal 5 3 3 2 2 2 3 4" xfId="9864" xr:uid="{51AF5781-2346-4483-BAAA-D24E97F0FBDD}"/>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0" xr:uid="{8C5A52AF-0595-4EB6-BE7A-DC9ED9098F9E}"/>
    <cellStyle name="Normal 5 3 3 2 2 2 4 2 3" xfId="12422" xr:uid="{F9059ED2-F34F-4CE7-B668-166478802A82}"/>
    <cellStyle name="Normal 5 3 3 2 2 2 4 3" xfId="6056" xr:uid="{00000000-0005-0000-0000-000084190000}"/>
    <cellStyle name="Normal 5 3 3 2 2 2 4 3 2" xfId="14495" xr:uid="{B9F4B222-3FDC-4D10-86E7-CCDBC0898711}"/>
    <cellStyle name="Normal 5 3 3 2 2 2 4 4" xfId="10277" xr:uid="{6318A25D-5945-4793-B137-9D03AB2F96DD}"/>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3" xr:uid="{4671F5D7-60E2-4CF0-9E9E-BF7485DC8EAC}"/>
    <cellStyle name="Normal 5 3 3 2 2 2 5 2 3" xfId="12835" xr:uid="{50A03DF5-0A64-4D08-9695-FD128BD048AD}"/>
    <cellStyle name="Normal 5 3 3 2 2 2 5 3" xfId="6469" xr:uid="{00000000-0005-0000-0000-000088190000}"/>
    <cellStyle name="Normal 5 3 3 2 2 2 5 3 2" xfId="14908" xr:uid="{8DF2362E-781B-4EDB-8C86-BF02446931CB}"/>
    <cellStyle name="Normal 5 3 3 2 2 2 5 4" xfId="10690" xr:uid="{B2674610-6C51-4A42-B1C3-F1E27F865CEE}"/>
    <cellStyle name="Normal 5 3 3 2 2 2 6" xfId="2598" xr:uid="{00000000-0005-0000-0000-000089190000}"/>
    <cellStyle name="Normal 5 3 3 2 2 2 6 2" xfId="6882" xr:uid="{00000000-0005-0000-0000-00008A190000}"/>
    <cellStyle name="Normal 5 3 3 2 2 2 6 2 2" xfId="15321" xr:uid="{4DB2DE7A-E1F2-4C7F-ABA2-22FAE4E15CBE}"/>
    <cellStyle name="Normal 5 3 3 2 2 2 6 3" xfId="11103" xr:uid="{3D120709-EDA9-4290-99E7-827D141A1A01}"/>
    <cellStyle name="Normal 5 3 3 2 2 2 7" xfId="4817" xr:uid="{00000000-0005-0000-0000-00008B190000}"/>
    <cellStyle name="Normal 5 3 3 2 2 2 7 2" xfId="13256" xr:uid="{2381EA06-B47E-4477-B9B7-6B91B11BC42E}"/>
    <cellStyle name="Normal 5 3 3 2 2 2 8" xfId="9038" xr:uid="{0C67D923-9F15-4C88-83B0-3EAF09EF1D7B}"/>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3" xr:uid="{A7B18ACD-D690-48D9-91F2-BF361BD30FAE}"/>
    <cellStyle name="Normal 5 3 3 2 2 3 2 3" xfId="11595" xr:uid="{9D5D255A-E76F-4B21-87CF-E5F950DB4C68}"/>
    <cellStyle name="Normal 5 3 3 2 2 3 3" xfId="5229" xr:uid="{00000000-0005-0000-0000-00008F190000}"/>
    <cellStyle name="Normal 5 3 3 2 2 3 3 2" xfId="13668" xr:uid="{24559A50-987D-4EAD-B79B-0129CF9BB695}"/>
    <cellStyle name="Normal 5 3 3 2 2 3 4" xfId="9450" xr:uid="{3B8CE5FB-41FF-491E-80BF-0F7FA93B40B5}"/>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6" xr:uid="{599E1873-CBD3-4F02-B688-A5E7D66C83D0}"/>
    <cellStyle name="Normal 5 3 3 2 2 4 2 3" xfId="12008" xr:uid="{555D8AC1-82F4-4BA7-ACE3-182B949D2422}"/>
    <cellStyle name="Normal 5 3 3 2 2 4 3" xfId="5642" xr:uid="{00000000-0005-0000-0000-000093190000}"/>
    <cellStyle name="Normal 5 3 3 2 2 4 3 2" xfId="14081" xr:uid="{C5850A6A-C27C-456F-B075-3C129D312C77}"/>
    <cellStyle name="Normal 5 3 3 2 2 4 4" xfId="9863" xr:uid="{6FF394D1-3309-4392-9825-13A752E555B7}"/>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39" xr:uid="{9A3298F5-062C-4928-93AE-9DE521F5DEEF}"/>
    <cellStyle name="Normal 5 3 3 2 2 5 2 3" xfId="12421" xr:uid="{5F623DE9-9702-4A4B-8F82-547D473025CC}"/>
    <cellStyle name="Normal 5 3 3 2 2 5 3" xfId="6055" xr:uid="{00000000-0005-0000-0000-000097190000}"/>
    <cellStyle name="Normal 5 3 3 2 2 5 3 2" xfId="14494" xr:uid="{C67B7613-BBA3-4145-A7CF-4C5686ACB8DE}"/>
    <cellStyle name="Normal 5 3 3 2 2 5 4" xfId="10276" xr:uid="{083FB2EB-11E9-4534-8F8A-C09AB07236D8}"/>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2" xr:uid="{149BAA87-BA23-4E41-9839-324C19FC96E6}"/>
    <cellStyle name="Normal 5 3 3 2 2 6 2 3" xfId="12834" xr:uid="{DD788FA8-2C99-4DD0-891E-3ECE56C9B08F}"/>
    <cellStyle name="Normal 5 3 3 2 2 6 3" xfId="6468" xr:uid="{00000000-0005-0000-0000-00009B190000}"/>
    <cellStyle name="Normal 5 3 3 2 2 6 3 2" xfId="14907" xr:uid="{54F42B65-7DD1-4AE9-99F5-748838F167BE}"/>
    <cellStyle name="Normal 5 3 3 2 2 6 4" xfId="10689" xr:uid="{973DDA30-FDC3-41F4-AF71-0ACBAF4FAB19}"/>
    <cellStyle name="Normal 5 3 3 2 2 7" xfId="2597" xr:uid="{00000000-0005-0000-0000-00009C190000}"/>
    <cellStyle name="Normal 5 3 3 2 2 7 2" xfId="6881" xr:uid="{00000000-0005-0000-0000-00009D190000}"/>
    <cellStyle name="Normal 5 3 3 2 2 7 2 2" xfId="15320" xr:uid="{0A9CE1A7-66FC-401F-AEB8-69872C7EB28E}"/>
    <cellStyle name="Normal 5 3 3 2 2 7 3" xfId="11102" xr:uid="{A3EA8118-3BBF-4B37-BD1B-858C80FBD85F}"/>
    <cellStyle name="Normal 5 3 3 2 2 8" xfId="4816" xr:uid="{00000000-0005-0000-0000-00009E190000}"/>
    <cellStyle name="Normal 5 3 3 2 2 8 2" xfId="13255" xr:uid="{AE2BCD9C-6FE8-42DA-93B2-9F22016CA43F}"/>
    <cellStyle name="Normal 5 3 3 2 2 9" xfId="9037" xr:uid="{0DFDB11D-9F7D-4594-B3BF-953B9D539AB8}"/>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5" xr:uid="{FC4E0665-7BB7-4C31-9C74-7D83B4D31E88}"/>
    <cellStyle name="Normal 5 3 3 2 3 2 2 3" xfId="11597" xr:uid="{E88AF39B-14C5-4192-A25E-196B4CE7B025}"/>
    <cellStyle name="Normal 5 3 3 2 3 2 3" xfId="5231" xr:uid="{00000000-0005-0000-0000-0000A3190000}"/>
    <cellStyle name="Normal 5 3 3 2 3 2 3 2" xfId="13670" xr:uid="{F4147973-BC2D-4F9D-B34C-EA5EC1E8253E}"/>
    <cellStyle name="Normal 5 3 3 2 3 2 4" xfId="9452" xr:uid="{E174D8BC-AA90-4910-A289-24435C0EE529}"/>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28" xr:uid="{909FBDE1-A3FF-4B86-A1CD-E3DDA8A768A6}"/>
    <cellStyle name="Normal 5 3 3 2 3 3 2 3" xfId="12010" xr:uid="{0E8662F3-4A77-4787-95C3-41023443913A}"/>
    <cellStyle name="Normal 5 3 3 2 3 3 3" xfId="5644" xr:uid="{00000000-0005-0000-0000-0000A7190000}"/>
    <cellStyle name="Normal 5 3 3 2 3 3 3 2" xfId="14083" xr:uid="{9E5CBE86-47B6-416E-83E4-CF389D04FD8E}"/>
    <cellStyle name="Normal 5 3 3 2 3 3 4" xfId="9865" xr:uid="{A890B0BE-C279-4229-A35D-D791798FBFBC}"/>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1" xr:uid="{A6E7802D-941A-433F-8AA0-7F3C371C91A2}"/>
    <cellStyle name="Normal 5 3 3 2 3 4 2 3" xfId="12423" xr:uid="{615D5A26-ABFD-42CE-860F-68FCEAD22826}"/>
    <cellStyle name="Normal 5 3 3 2 3 4 3" xfId="6057" xr:uid="{00000000-0005-0000-0000-0000AB190000}"/>
    <cellStyle name="Normal 5 3 3 2 3 4 3 2" xfId="14496" xr:uid="{62C4EEB4-CCAB-47A4-9FC7-62E62A8215DA}"/>
    <cellStyle name="Normal 5 3 3 2 3 4 4" xfId="10278" xr:uid="{3590A41A-09D9-4795-80DF-E14260CB4F39}"/>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4" xr:uid="{9EBAEB21-FF86-4585-A9C6-1C1B856603B1}"/>
    <cellStyle name="Normal 5 3 3 2 3 5 2 3" xfId="12836" xr:uid="{B3C4B12F-1E90-4530-8675-1F1E43B68513}"/>
    <cellStyle name="Normal 5 3 3 2 3 5 3" xfId="6470" xr:uid="{00000000-0005-0000-0000-0000AF190000}"/>
    <cellStyle name="Normal 5 3 3 2 3 5 3 2" xfId="14909" xr:uid="{D50AB48A-258C-41E2-9F04-6BD6FE5E8444}"/>
    <cellStyle name="Normal 5 3 3 2 3 5 4" xfId="10691" xr:uid="{E831E683-DA59-430C-B10E-E7699F74E146}"/>
    <cellStyle name="Normal 5 3 3 2 3 6" xfId="2599" xr:uid="{00000000-0005-0000-0000-0000B0190000}"/>
    <cellStyle name="Normal 5 3 3 2 3 6 2" xfId="6883" xr:uid="{00000000-0005-0000-0000-0000B1190000}"/>
    <cellStyle name="Normal 5 3 3 2 3 6 2 2" xfId="15322" xr:uid="{40975AE4-BEBD-49C7-947E-C8C3D239735D}"/>
    <cellStyle name="Normal 5 3 3 2 3 6 3" xfId="11104" xr:uid="{2F2C2715-76A1-4F1E-89C4-B837008FC824}"/>
    <cellStyle name="Normal 5 3 3 2 3 7" xfId="4818" xr:uid="{00000000-0005-0000-0000-0000B2190000}"/>
    <cellStyle name="Normal 5 3 3 2 3 7 2" xfId="13257" xr:uid="{FF07E1B9-681E-45B6-8AD2-FB6C4EEC7E2F}"/>
    <cellStyle name="Normal 5 3 3 2 3 8" xfId="9039" xr:uid="{7DFD6D61-B9A6-4175-912F-91C70EC817F0}"/>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2" xr:uid="{741B885C-3230-4ED7-9E7C-9508C7E9B486}"/>
    <cellStyle name="Normal 5 3 3 2 4 2 3" xfId="11594" xr:uid="{D8EF837E-7AB8-42FA-9DD9-2767837EB47A}"/>
    <cellStyle name="Normal 5 3 3 2 4 3" xfId="5228" xr:uid="{00000000-0005-0000-0000-0000B6190000}"/>
    <cellStyle name="Normal 5 3 3 2 4 3 2" xfId="13667" xr:uid="{4B19170D-7E57-4D9C-907F-0115909A1460}"/>
    <cellStyle name="Normal 5 3 3 2 4 4" xfId="9449" xr:uid="{8B07D887-AC3F-4398-A11B-AA7278CFA8AB}"/>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5" xr:uid="{C0A1CCE2-06B0-4660-81AD-1D7CE811927F}"/>
    <cellStyle name="Normal 5 3 3 2 5 2 3" xfId="12007" xr:uid="{EBE69D6C-A2DE-4FD8-80A5-FFF1A136FA23}"/>
    <cellStyle name="Normal 5 3 3 2 5 3" xfId="5641" xr:uid="{00000000-0005-0000-0000-0000BA190000}"/>
    <cellStyle name="Normal 5 3 3 2 5 3 2" xfId="14080" xr:uid="{60A4818A-6AFD-4252-8838-AB33743051BB}"/>
    <cellStyle name="Normal 5 3 3 2 5 4" xfId="9862" xr:uid="{A7630CC5-A13B-42F7-B367-3F1C28B42B68}"/>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38" xr:uid="{B2A25455-29B7-45BF-A97E-D6E5D2EE3AC7}"/>
    <cellStyle name="Normal 5 3 3 2 6 2 3" xfId="12420" xr:uid="{024EDC05-16DC-4E58-9D00-81BA18C76949}"/>
    <cellStyle name="Normal 5 3 3 2 6 3" xfId="6054" xr:uid="{00000000-0005-0000-0000-0000BE190000}"/>
    <cellStyle name="Normal 5 3 3 2 6 3 2" xfId="14493" xr:uid="{8B49B8DC-9D98-4C90-8B79-219915620C06}"/>
    <cellStyle name="Normal 5 3 3 2 6 4" xfId="10275" xr:uid="{BE30FEC2-5870-4984-999A-ADE74279900B}"/>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1" xr:uid="{6810330C-1BAA-4747-945D-DE6FFF8C80B9}"/>
    <cellStyle name="Normal 5 3 3 2 7 2 3" xfId="12833" xr:uid="{062B90AE-EA2B-4BB6-A680-A8E7FE537F22}"/>
    <cellStyle name="Normal 5 3 3 2 7 3" xfId="6467" xr:uid="{00000000-0005-0000-0000-0000C2190000}"/>
    <cellStyle name="Normal 5 3 3 2 7 3 2" xfId="14906" xr:uid="{E64C8845-B374-428A-8877-1DD459585A52}"/>
    <cellStyle name="Normal 5 3 3 2 7 4" xfId="10688" xr:uid="{EFECB3E0-9D50-4224-B023-E7DBB801602A}"/>
    <cellStyle name="Normal 5 3 3 2 8" xfId="2596" xr:uid="{00000000-0005-0000-0000-0000C3190000}"/>
    <cellStyle name="Normal 5 3 3 2 8 2" xfId="6880" xr:uid="{00000000-0005-0000-0000-0000C4190000}"/>
    <cellStyle name="Normal 5 3 3 2 8 2 2" xfId="15319" xr:uid="{9221B6A9-7879-4ACB-8D40-52ADD0FC5A17}"/>
    <cellStyle name="Normal 5 3 3 2 8 3" xfId="11101" xr:uid="{724D52B4-4E9C-4EBC-B439-4172B35F0973}"/>
    <cellStyle name="Normal 5 3 3 2 9" xfId="4815" xr:uid="{00000000-0005-0000-0000-0000C5190000}"/>
    <cellStyle name="Normal 5 3 3 2 9 2" xfId="13254" xr:uid="{84677671-8E18-4B2B-9B94-C7AA01F1546D}"/>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17" xr:uid="{66F708A9-ED8F-4628-9ADF-BA4F062B4212}"/>
    <cellStyle name="Normal 5 3 3 3 2 2 2 3" xfId="11599" xr:uid="{71DBEBEC-E678-42BE-AA84-C16E96BEA901}"/>
    <cellStyle name="Normal 5 3 3 3 2 2 3" xfId="5233" xr:uid="{00000000-0005-0000-0000-0000CB190000}"/>
    <cellStyle name="Normal 5 3 3 3 2 2 3 2" xfId="13672" xr:uid="{F6AC390A-601E-42B1-B5F3-9C321E4D4486}"/>
    <cellStyle name="Normal 5 3 3 3 2 2 4" xfId="9454" xr:uid="{9E2C32C0-F72F-4E26-ABB3-CB817EF8B5DE}"/>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0" xr:uid="{E5257ABB-4B44-45F9-AF99-0090C64B6034}"/>
    <cellStyle name="Normal 5 3 3 3 2 3 2 3" xfId="12012" xr:uid="{6B789A3C-8CEA-4A71-8198-67A1616E9DBA}"/>
    <cellStyle name="Normal 5 3 3 3 2 3 3" xfId="5646" xr:uid="{00000000-0005-0000-0000-0000CF190000}"/>
    <cellStyle name="Normal 5 3 3 3 2 3 3 2" xfId="14085" xr:uid="{11F0159F-C389-432F-9C34-3F47BFDF9656}"/>
    <cellStyle name="Normal 5 3 3 3 2 3 4" xfId="9867" xr:uid="{9E9777A9-73FA-4906-A15C-6B3B247D099B}"/>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3" xr:uid="{2E675980-6BC4-4880-B25C-BEA14015F757}"/>
    <cellStyle name="Normal 5 3 3 3 2 4 2 3" xfId="12425" xr:uid="{809C713C-CD34-4699-A60C-EE260F89DF57}"/>
    <cellStyle name="Normal 5 3 3 3 2 4 3" xfId="6059" xr:uid="{00000000-0005-0000-0000-0000D3190000}"/>
    <cellStyle name="Normal 5 3 3 3 2 4 3 2" xfId="14498" xr:uid="{477E7CD9-B401-41BB-B19D-A5381356942B}"/>
    <cellStyle name="Normal 5 3 3 3 2 4 4" xfId="10280" xr:uid="{084A7C9E-DED2-47F5-8E6E-90C6D6DC6C87}"/>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6" xr:uid="{4276348C-1A6D-4DBB-B23A-B46FBF9732DE}"/>
    <cellStyle name="Normal 5 3 3 3 2 5 2 3" xfId="12838" xr:uid="{C12825F2-2EA2-46CD-B5D7-2390CBC661A4}"/>
    <cellStyle name="Normal 5 3 3 3 2 5 3" xfId="6472" xr:uid="{00000000-0005-0000-0000-0000D7190000}"/>
    <cellStyle name="Normal 5 3 3 3 2 5 3 2" xfId="14911" xr:uid="{30AA3155-0A5A-431E-9311-24FEB0DCA9B6}"/>
    <cellStyle name="Normal 5 3 3 3 2 5 4" xfId="10693" xr:uid="{C87B1034-0C31-4D56-8EBC-C4ADADD81FAE}"/>
    <cellStyle name="Normal 5 3 3 3 2 6" xfId="2601" xr:uid="{00000000-0005-0000-0000-0000D8190000}"/>
    <cellStyle name="Normal 5 3 3 3 2 6 2" xfId="6885" xr:uid="{00000000-0005-0000-0000-0000D9190000}"/>
    <cellStyle name="Normal 5 3 3 3 2 6 2 2" xfId="15324" xr:uid="{671459E6-4FB9-43A5-9F5B-1A900B58C562}"/>
    <cellStyle name="Normal 5 3 3 3 2 6 3" xfId="11106" xr:uid="{009D3B44-D415-482A-8FE8-6ADCF1A5444E}"/>
    <cellStyle name="Normal 5 3 3 3 2 7" xfId="4820" xr:uid="{00000000-0005-0000-0000-0000DA190000}"/>
    <cellStyle name="Normal 5 3 3 3 2 7 2" xfId="13259" xr:uid="{44B43AEE-9A15-48E3-A116-1FDFECAAF575}"/>
    <cellStyle name="Normal 5 3 3 3 2 8" xfId="9041" xr:uid="{0484FD87-8CF8-49D5-B77C-537021BE0E7E}"/>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6" xr:uid="{C9FCB8BC-1B53-410C-A4BB-0B222EF38C26}"/>
    <cellStyle name="Normal 5 3 3 3 3 2 3" xfId="11598" xr:uid="{924FDE06-D8B9-4BDE-925D-0E809A7BDD81}"/>
    <cellStyle name="Normal 5 3 3 3 3 3" xfId="5232" xr:uid="{00000000-0005-0000-0000-0000DE190000}"/>
    <cellStyle name="Normal 5 3 3 3 3 3 2" xfId="13671" xr:uid="{910FBDAB-42E0-4BF7-8368-61C176EA941D}"/>
    <cellStyle name="Normal 5 3 3 3 3 4" xfId="9453" xr:uid="{DD5096C8-9F2D-4D33-809A-723E89FDFD0A}"/>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29" xr:uid="{D8AE908C-7AB3-4D5E-A942-0C70DEE6E1F8}"/>
    <cellStyle name="Normal 5 3 3 3 4 2 3" xfId="12011" xr:uid="{706B08F9-746B-42FB-B291-C434B3AA3479}"/>
    <cellStyle name="Normal 5 3 3 3 4 3" xfId="5645" xr:uid="{00000000-0005-0000-0000-0000E2190000}"/>
    <cellStyle name="Normal 5 3 3 3 4 3 2" xfId="14084" xr:uid="{EF0DAEFB-F8FD-4C22-901D-593FE6AF149C}"/>
    <cellStyle name="Normal 5 3 3 3 4 4" xfId="9866" xr:uid="{8A9B25CC-D626-4DE8-99E6-76E6F6B20ECA}"/>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2" xr:uid="{DD23FF5C-4F87-40D1-8758-B307B2BBBD57}"/>
    <cellStyle name="Normal 5 3 3 3 5 2 3" xfId="12424" xr:uid="{4E698873-C424-466F-803A-DD24719DDBDB}"/>
    <cellStyle name="Normal 5 3 3 3 5 3" xfId="6058" xr:uid="{00000000-0005-0000-0000-0000E6190000}"/>
    <cellStyle name="Normal 5 3 3 3 5 3 2" xfId="14497" xr:uid="{AF964110-3326-4C78-8477-CBA7DC5031D0}"/>
    <cellStyle name="Normal 5 3 3 3 5 4" xfId="10279" xr:uid="{C28F8B81-767F-4763-ACEC-EA722248DFCD}"/>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5" xr:uid="{C227CCE9-3290-4CC8-8079-1B5035F107C5}"/>
    <cellStyle name="Normal 5 3 3 3 6 2 3" xfId="12837" xr:uid="{9FA87A84-D23B-47EF-9C4D-88E74336C493}"/>
    <cellStyle name="Normal 5 3 3 3 6 3" xfId="6471" xr:uid="{00000000-0005-0000-0000-0000EA190000}"/>
    <cellStyle name="Normal 5 3 3 3 6 3 2" xfId="14910" xr:uid="{FDE82636-5B80-42D8-BA54-729BEFBBBC1D}"/>
    <cellStyle name="Normal 5 3 3 3 6 4" xfId="10692" xr:uid="{95476958-56C3-48EF-AEB2-5BCFE48C6BD0}"/>
    <cellStyle name="Normal 5 3 3 3 7" xfId="2600" xr:uid="{00000000-0005-0000-0000-0000EB190000}"/>
    <cellStyle name="Normal 5 3 3 3 7 2" xfId="6884" xr:uid="{00000000-0005-0000-0000-0000EC190000}"/>
    <cellStyle name="Normal 5 3 3 3 7 2 2" xfId="15323" xr:uid="{F8918BF6-068C-47D7-8877-38C992C666F3}"/>
    <cellStyle name="Normal 5 3 3 3 7 3" xfId="11105" xr:uid="{FA2D0E81-E684-4039-BBCB-2DB67DD32184}"/>
    <cellStyle name="Normal 5 3 3 3 8" xfId="4819" xr:uid="{00000000-0005-0000-0000-0000ED190000}"/>
    <cellStyle name="Normal 5 3 3 3 8 2" xfId="13258" xr:uid="{CD13E70B-EC1A-4F7D-A1F6-AEFEE236F6ED}"/>
    <cellStyle name="Normal 5 3 3 3 9" xfId="9040" xr:uid="{F2D5F033-DE30-43C2-83E7-44A7A93C4A12}"/>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18" xr:uid="{3EC1C491-76C8-4F7F-8DFC-091C7CB91333}"/>
    <cellStyle name="Normal 5 3 3 4 2 2 3" xfId="11600" xr:uid="{69F9D73C-EA88-48C0-9377-C98332E27917}"/>
    <cellStyle name="Normal 5 3 3 4 2 3" xfId="5234" xr:uid="{00000000-0005-0000-0000-0000F2190000}"/>
    <cellStyle name="Normal 5 3 3 4 2 3 2" xfId="13673" xr:uid="{DB3DD07B-C5DB-4430-B05C-3B4184399B65}"/>
    <cellStyle name="Normal 5 3 3 4 2 4" xfId="9455" xr:uid="{2F09A2FC-7918-47E9-AB01-C5309BBCA87D}"/>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1" xr:uid="{15AC0E27-3289-43D3-941F-A439047B826B}"/>
    <cellStyle name="Normal 5 3 3 4 3 2 3" xfId="12013" xr:uid="{6230D13A-A4B3-4554-A639-0A337116B715}"/>
    <cellStyle name="Normal 5 3 3 4 3 3" xfId="5647" xr:uid="{00000000-0005-0000-0000-0000F6190000}"/>
    <cellStyle name="Normal 5 3 3 4 3 3 2" xfId="14086" xr:uid="{D96EDFB7-429A-4AAB-ABFC-E2E6EE74E827}"/>
    <cellStyle name="Normal 5 3 3 4 3 4" xfId="9868" xr:uid="{BB4B2725-76FE-4932-8442-E050EFF82B65}"/>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4" xr:uid="{49F1B621-FD9D-47DB-81B5-8E4EB1CC9B74}"/>
    <cellStyle name="Normal 5 3 3 4 4 2 3" xfId="12426" xr:uid="{20990A24-4E92-4B3B-ADEA-0CB460F30C4C}"/>
    <cellStyle name="Normal 5 3 3 4 4 3" xfId="6060" xr:uid="{00000000-0005-0000-0000-0000FA190000}"/>
    <cellStyle name="Normal 5 3 3 4 4 3 2" xfId="14499" xr:uid="{A6660950-A1D3-4234-81E5-6F57E617D839}"/>
    <cellStyle name="Normal 5 3 3 4 4 4" xfId="10281" xr:uid="{0D2DB03F-5214-4D9D-8085-A0AE3E45FCCF}"/>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57" xr:uid="{4A59404A-297B-499F-9007-EEC2182BBB32}"/>
    <cellStyle name="Normal 5 3 3 4 5 2 3" xfId="12839" xr:uid="{6BB5EAB3-A5CB-4F74-A604-E57BCF9A17D3}"/>
    <cellStyle name="Normal 5 3 3 4 5 3" xfId="6473" xr:uid="{00000000-0005-0000-0000-0000FE190000}"/>
    <cellStyle name="Normal 5 3 3 4 5 3 2" xfId="14912" xr:uid="{17241F9F-8D74-4A06-BE78-306D609D08B5}"/>
    <cellStyle name="Normal 5 3 3 4 5 4" xfId="10694" xr:uid="{166752A4-839A-4703-A624-C3112C69F8FE}"/>
    <cellStyle name="Normal 5 3 3 4 6" xfId="2602" xr:uid="{00000000-0005-0000-0000-0000FF190000}"/>
    <cellStyle name="Normal 5 3 3 4 6 2" xfId="6886" xr:uid="{00000000-0005-0000-0000-0000001A0000}"/>
    <cellStyle name="Normal 5 3 3 4 6 2 2" xfId="15325" xr:uid="{422C1A53-4465-4623-B9C4-437C5C14F723}"/>
    <cellStyle name="Normal 5 3 3 4 6 3" xfId="11107" xr:uid="{C79CD77C-D2E1-4944-BE84-A7269A882CE0}"/>
    <cellStyle name="Normal 5 3 3 4 7" xfId="4821" xr:uid="{00000000-0005-0000-0000-0000011A0000}"/>
    <cellStyle name="Normal 5 3 3 4 7 2" xfId="13260" xr:uid="{5C6A339D-C882-46D2-AA06-D6C63A78BC50}"/>
    <cellStyle name="Normal 5 3 3 4 8" xfId="9042" xr:uid="{A8D647B2-6006-4E54-9ACB-D10BA3508478}"/>
    <cellStyle name="Normal 5 3 3 5" xfId="915" xr:uid="{00000000-0005-0000-0000-0000021A0000}"/>
    <cellStyle name="Normal 5 3 3 5 2" xfId="3149" xr:uid="{00000000-0005-0000-0000-0000031A0000}"/>
    <cellStyle name="Normal 5 3 3 5 2 2" xfId="7372" xr:uid="{00000000-0005-0000-0000-0000041A0000}"/>
    <cellStyle name="Normal 5 3 3 5 2 2 2" xfId="15811" xr:uid="{F2B90CC8-6702-4D5C-B13A-F407BCF5D429}"/>
    <cellStyle name="Normal 5 3 3 5 2 3" xfId="11593" xr:uid="{C2892BAA-4CA4-466D-804F-1847311BA39C}"/>
    <cellStyle name="Normal 5 3 3 5 3" xfId="5227" xr:uid="{00000000-0005-0000-0000-0000051A0000}"/>
    <cellStyle name="Normal 5 3 3 5 3 2" xfId="13666" xr:uid="{088370ED-BB5D-4F92-9497-4C0272C73D88}"/>
    <cellStyle name="Normal 5 3 3 5 4" xfId="9448" xr:uid="{29E9EA39-CB4E-4777-BC34-F3EB3DE3CC94}"/>
    <cellStyle name="Normal 5 3 3 6" xfId="1332" xr:uid="{00000000-0005-0000-0000-0000061A0000}"/>
    <cellStyle name="Normal 5 3 3 6 2" xfId="3562" xr:uid="{00000000-0005-0000-0000-0000071A0000}"/>
    <cellStyle name="Normal 5 3 3 6 2 2" xfId="7785" xr:uid="{00000000-0005-0000-0000-0000081A0000}"/>
    <cellStyle name="Normal 5 3 3 6 2 2 2" xfId="16224" xr:uid="{D84DD9C4-662D-445F-B012-B082A4D7346D}"/>
    <cellStyle name="Normal 5 3 3 6 2 3" xfId="12006" xr:uid="{013CC461-4ECD-4E74-8DEF-AB2FA3170653}"/>
    <cellStyle name="Normal 5 3 3 6 3" xfId="5640" xr:uid="{00000000-0005-0000-0000-0000091A0000}"/>
    <cellStyle name="Normal 5 3 3 6 3 2" xfId="14079" xr:uid="{869F3CB8-D527-4BB2-A686-2AA93D6F5F58}"/>
    <cellStyle name="Normal 5 3 3 6 4" xfId="9861" xr:uid="{EF2DB5AC-2EB9-43E5-A018-D4F76167620D}"/>
    <cellStyle name="Normal 5 3 3 7" xfId="1745" xr:uid="{00000000-0005-0000-0000-00000A1A0000}"/>
    <cellStyle name="Normal 5 3 3 7 2" xfId="3975" xr:uid="{00000000-0005-0000-0000-00000B1A0000}"/>
    <cellStyle name="Normal 5 3 3 7 2 2" xfId="8198" xr:uid="{00000000-0005-0000-0000-00000C1A0000}"/>
    <cellStyle name="Normal 5 3 3 7 2 2 2" xfId="16637" xr:uid="{D3C34373-3244-4310-8B26-09B522E5D92D}"/>
    <cellStyle name="Normal 5 3 3 7 2 3" xfId="12419" xr:uid="{3162A663-EDC5-4525-9808-DAFE9F643BEB}"/>
    <cellStyle name="Normal 5 3 3 7 3" xfId="6053" xr:uid="{00000000-0005-0000-0000-00000D1A0000}"/>
    <cellStyle name="Normal 5 3 3 7 3 2" xfId="14492" xr:uid="{5610A80B-CBCF-416E-BB55-28FBE1A12286}"/>
    <cellStyle name="Normal 5 3 3 7 4" xfId="10274" xr:uid="{3455AEAF-FCEA-4577-ACB2-FCD44E73F16E}"/>
    <cellStyle name="Normal 5 3 3 8" xfId="2159" xr:uid="{00000000-0005-0000-0000-00000E1A0000}"/>
    <cellStyle name="Normal 5 3 3 8 2" xfId="4388" xr:uid="{00000000-0005-0000-0000-00000F1A0000}"/>
    <cellStyle name="Normal 5 3 3 8 2 2" xfId="8611" xr:uid="{00000000-0005-0000-0000-0000101A0000}"/>
    <cellStyle name="Normal 5 3 3 8 2 2 2" xfId="17050" xr:uid="{72BB762F-F3C2-455E-B05B-392AF8BD2D3C}"/>
    <cellStyle name="Normal 5 3 3 8 2 3" xfId="12832" xr:uid="{8E99DFCE-7E24-4DD9-8FE8-194C8C3DD341}"/>
    <cellStyle name="Normal 5 3 3 8 3" xfId="6466" xr:uid="{00000000-0005-0000-0000-0000111A0000}"/>
    <cellStyle name="Normal 5 3 3 8 3 2" xfId="14905" xr:uid="{220A0676-61F6-49D3-9634-948AEA6C3A41}"/>
    <cellStyle name="Normal 5 3 3 8 4" xfId="10687" xr:uid="{935DED4F-643B-4A9A-9FA6-66826DA14416}"/>
    <cellStyle name="Normal 5 3 3 9" xfId="2595" xr:uid="{00000000-0005-0000-0000-0000121A0000}"/>
    <cellStyle name="Normal 5 3 3 9 2" xfId="6879" xr:uid="{00000000-0005-0000-0000-0000131A0000}"/>
    <cellStyle name="Normal 5 3 3 9 2 2" xfId="15318" xr:uid="{7A374A77-66B8-4237-BFD2-1B40FCFEB9CE}"/>
    <cellStyle name="Normal 5 3 3 9 3" xfId="11100" xr:uid="{B7DDFFE4-8B81-4929-8EB0-7517F8ABE5B8}"/>
    <cellStyle name="Normal 5 3 4" xfId="449" xr:uid="{00000000-0005-0000-0000-0000141A0000}"/>
    <cellStyle name="Normal 5 3 4 10" xfId="9043" xr:uid="{BE569FA2-284C-432F-BAC2-2EE7750D37E6}"/>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1" xr:uid="{9C9EED9A-A182-4855-A3F3-3A5FE23763FB}"/>
    <cellStyle name="Normal 5 3 4 2 2 2 2 3" xfId="11603" xr:uid="{325CF013-B138-452B-B8B1-3FA0CCD71A1A}"/>
    <cellStyle name="Normal 5 3 4 2 2 2 3" xfId="5237" xr:uid="{00000000-0005-0000-0000-00001A1A0000}"/>
    <cellStyle name="Normal 5 3 4 2 2 2 3 2" xfId="13676" xr:uid="{74EAE8A2-A4DC-4C70-8907-1B746D430423}"/>
    <cellStyle name="Normal 5 3 4 2 2 2 4" xfId="9458" xr:uid="{95063AA8-5636-46A3-A956-20CA2EEDE2FE}"/>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4" xr:uid="{BF3ADB9B-BE28-41C6-8912-AD661ED9F674}"/>
    <cellStyle name="Normal 5 3 4 2 2 3 2 3" xfId="12016" xr:uid="{F4C79987-1EC0-49C6-838A-D92ED558AA5C}"/>
    <cellStyle name="Normal 5 3 4 2 2 3 3" xfId="5650" xr:uid="{00000000-0005-0000-0000-00001E1A0000}"/>
    <cellStyle name="Normal 5 3 4 2 2 3 3 2" xfId="14089" xr:uid="{0DCDBF8E-FFD2-45C3-B49B-CDD3D9683100}"/>
    <cellStyle name="Normal 5 3 4 2 2 3 4" xfId="9871" xr:uid="{DE8EB429-4CAC-459C-8EAF-6344188C9362}"/>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47" xr:uid="{D6BFB698-800A-4041-A53C-1FBA2AA71ED4}"/>
    <cellStyle name="Normal 5 3 4 2 2 4 2 3" xfId="12429" xr:uid="{3CE1FBB9-107F-43E0-BA46-FF35C83FB94E}"/>
    <cellStyle name="Normal 5 3 4 2 2 4 3" xfId="6063" xr:uid="{00000000-0005-0000-0000-0000221A0000}"/>
    <cellStyle name="Normal 5 3 4 2 2 4 3 2" xfId="14502" xr:uid="{05654E67-6268-4BA5-AC31-60AF7AF1E1D2}"/>
    <cellStyle name="Normal 5 3 4 2 2 4 4" xfId="10284" xr:uid="{A88E2C18-B519-4899-A438-6DCB4F1B13E1}"/>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0" xr:uid="{43D70CC3-65D7-400E-9CBF-CF8A27BC4BBE}"/>
    <cellStyle name="Normal 5 3 4 2 2 5 2 3" xfId="12842" xr:uid="{CF75BBFF-2B26-4890-96C9-2BADE75CB8EF}"/>
    <cellStyle name="Normal 5 3 4 2 2 5 3" xfId="6476" xr:uid="{00000000-0005-0000-0000-0000261A0000}"/>
    <cellStyle name="Normal 5 3 4 2 2 5 3 2" xfId="14915" xr:uid="{47FA145D-EC3D-49BB-BD62-BD82975CDFBE}"/>
    <cellStyle name="Normal 5 3 4 2 2 5 4" xfId="10697" xr:uid="{2A7A0EF1-4C2D-433B-9237-9A35E69981CA}"/>
    <cellStyle name="Normal 5 3 4 2 2 6" xfId="2605" xr:uid="{00000000-0005-0000-0000-0000271A0000}"/>
    <cellStyle name="Normal 5 3 4 2 2 6 2" xfId="6889" xr:uid="{00000000-0005-0000-0000-0000281A0000}"/>
    <cellStyle name="Normal 5 3 4 2 2 6 2 2" xfId="15328" xr:uid="{80559748-DBED-4601-A0D4-D3899BF9BDB9}"/>
    <cellStyle name="Normal 5 3 4 2 2 6 3" xfId="11110" xr:uid="{C5BA877E-9920-4651-A87C-2D0F9616AFF9}"/>
    <cellStyle name="Normal 5 3 4 2 2 7" xfId="4824" xr:uid="{00000000-0005-0000-0000-0000291A0000}"/>
    <cellStyle name="Normal 5 3 4 2 2 7 2" xfId="13263" xr:uid="{E8372391-D609-4278-9844-4CE7A1F41510}"/>
    <cellStyle name="Normal 5 3 4 2 2 8" xfId="9045" xr:uid="{2C1BE160-FC28-4198-BCCE-243F73F5E7B2}"/>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0" xr:uid="{BB876EAA-A7A8-47E0-BA6C-E2C17E22056C}"/>
    <cellStyle name="Normal 5 3 4 2 3 2 3" xfId="11602" xr:uid="{DBA37FAC-C119-4FE1-9915-40365C37134C}"/>
    <cellStyle name="Normal 5 3 4 2 3 3" xfId="5236" xr:uid="{00000000-0005-0000-0000-00002D1A0000}"/>
    <cellStyle name="Normal 5 3 4 2 3 3 2" xfId="13675" xr:uid="{0C40AAEB-6FD7-4911-8328-A8D4FBDB37D1}"/>
    <cellStyle name="Normal 5 3 4 2 3 4" xfId="9457" xr:uid="{14A9A962-59E3-467E-8FA4-6966211B6433}"/>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3" xr:uid="{8DB3A933-395F-4DEB-B77D-6EC5C540F816}"/>
    <cellStyle name="Normal 5 3 4 2 4 2 3" xfId="12015" xr:uid="{0587B93E-B73A-43FE-A958-9EF7718955B4}"/>
    <cellStyle name="Normal 5 3 4 2 4 3" xfId="5649" xr:uid="{00000000-0005-0000-0000-0000311A0000}"/>
    <cellStyle name="Normal 5 3 4 2 4 3 2" xfId="14088" xr:uid="{94C6E130-A138-4D7E-8B91-194B20DEB282}"/>
    <cellStyle name="Normal 5 3 4 2 4 4" xfId="9870" xr:uid="{4D055777-D2FB-4DCF-855C-43C4660D8DD0}"/>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6" xr:uid="{553491BC-DB96-4A60-ABD8-07DECD4D5010}"/>
    <cellStyle name="Normal 5 3 4 2 5 2 3" xfId="12428" xr:uid="{E751B1CF-1326-43C4-AEE9-3D122A58CAC3}"/>
    <cellStyle name="Normal 5 3 4 2 5 3" xfId="6062" xr:uid="{00000000-0005-0000-0000-0000351A0000}"/>
    <cellStyle name="Normal 5 3 4 2 5 3 2" xfId="14501" xr:uid="{2597E010-AF0D-4A03-83DE-3574400C88D7}"/>
    <cellStyle name="Normal 5 3 4 2 5 4" xfId="10283" xr:uid="{62DBA8CA-39C1-4751-B132-752215ADB8D0}"/>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59" xr:uid="{2DF1A1BC-3257-4AD0-BD01-A17A9DDCE5AF}"/>
    <cellStyle name="Normal 5 3 4 2 6 2 3" xfId="12841" xr:uid="{B54310E4-D4AF-491A-B493-13ED493BE9AB}"/>
    <cellStyle name="Normal 5 3 4 2 6 3" xfId="6475" xr:uid="{00000000-0005-0000-0000-0000391A0000}"/>
    <cellStyle name="Normal 5 3 4 2 6 3 2" xfId="14914" xr:uid="{EB2470E5-3F6E-429F-BDEF-5EF60B192B2C}"/>
    <cellStyle name="Normal 5 3 4 2 6 4" xfId="10696" xr:uid="{04D5B1A7-A279-4DB3-B025-84029560F62B}"/>
    <cellStyle name="Normal 5 3 4 2 7" xfId="2604" xr:uid="{00000000-0005-0000-0000-00003A1A0000}"/>
    <cellStyle name="Normal 5 3 4 2 7 2" xfId="6888" xr:uid="{00000000-0005-0000-0000-00003B1A0000}"/>
    <cellStyle name="Normal 5 3 4 2 7 2 2" xfId="15327" xr:uid="{084CAB9E-85DE-4F55-8866-94DBC27481A5}"/>
    <cellStyle name="Normal 5 3 4 2 7 3" xfId="11109" xr:uid="{8210DD28-BC06-4D87-9142-307F0D2C5557}"/>
    <cellStyle name="Normal 5 3 4 2 8" xfId="4823" xr:uid="{00000000-0005-0000-0000-00003C1A0000}"/>
    <cellStyle name="Normal 5 3 4 2 8 2" xfId="13262" xr:uid="{49394275-84FE-4EA5-BBEF-D3917EE21764}"/>
    <cellStyle name="Normal 5 3 4 2 9" xfId="9044" xr:uid="{CB6357E5-A854-4666-8B05-FBFDC7DFD474}"/>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2" xr:uid="{D10B356E-7101-443C-A0D2-BAB4B806CA16}"/>
    <cellStyle name="Normal 5 3 4 3 2 2 3" xfId="11604" xr:uid="{1EB66446-4CCF-465A-A2B3-0AF63C61E89B}"/>
    <cellStyle name="Normal 5 3 4 3 2 3" xfId="5238" xr:uid="{00000000-0005-0000-0000-0000411A0000}"/>
    <cellStyle name="Normal 5 3 4 3 2 3 2" xfId="13677" xr:uid="{E588DE7B-6E8A-4A9A-A420-6E3F203BBD8E}"/>
    <cellStyle name="Normal 5 3 4 3 2 4" xfId="9459" xr:uid="{511B6584-41F9-45FD-B98D-B0FB0D64A8DB}"/>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5" xr:uid="{E038BDA0-C4FF-4C2F-AE0C-B55A1EC633C3}"/>
    <cellStyle name="Normal 5 3 4 3 3 2 3" xfId="12017" xr:uid="{ADA36C0A-9D9A-4908-A8A0-568A6AA089E9}"/>
    <cellStyle name="Normal 5 3 4 3 3 3" xfId="5651" xr:uid="{00000000-0005-0000-0000-0000451A0000}"/>
    <cellStyle name="Normal 5 3 4 3 3 3 2" xfId="14090" xr:uid="{11649BDC-A38F-4F48-B5C4-3D0CEC9CCFE4}"/>
    <cellStyle name="Normal 5 3 4 3 3 4" xfId="9872" xr:uid="{F6020751-975E-41E7-ACA3-2052A5C32104}"/>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48" xr:uid="{C96EBCCB-320E-443A-B926-E5218A49BBC9}"/>
    <cellStyle name="Normal 5 3 4 3 4 2 3" xfId="12430" xr:uid="{059B264D-59AE-4559-96B6-3A0DE8AC6000}"/>
    <cellStyle name="Normal 5 3 4 3 4 3" xfId="6064" xr:uid="{00000000-0005-0000-0000-0000491A0000}"/>
    <cellStyle name="Normal 5 3 4 3 4 3 2" xfId="14503" xr:uid="{D6CF806A-0316-44C7-9F70-49DA2B8EBD89}"/>
    <cellStyle name="Normal 5 3 4 3 4 4" xfId="10285" xr:uid="{0D3271F5-0967-4FDB-8D47-2D74C57115FC}"/>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1" xr:uid="{0F518149-C326-4D65-97E2-DFF0E52704A6}"/>
    <cellStyle name="Normal 5 3 4 3 5 2 3" xfId="12843" xr:uid="{487BFD84-3822-4DE1-88EB-DD1A41A5F995}"/>
    <cellStyle name="Normal 5 3 4 3 5 3" xfId="6477" xr:uid="{00000000-0005-0000-0000-00004D1A0000}"/>
    <cellStyle name="Normal 5 3 4 3 5 3 2" xfId="14916" xr:uid="{BB256F79-305E-4999-9714-D8687A1033CE}"/>
    <cellStyle name="Normal 5 3 4 3 5 4" xfId="10698" xr:uid="{25A0F296-2620-4912-B4F8-804B7CAEBF6D}"/>
    <cellStyle name="Normal 5 3 4 3 6" xfId="2606" xr:uid="{00000000-0005-0000-0000-00004E1A0000}"/>
    <cellStyle name="Normal 5 3 4 3 6 2" xfId="6890" xr:uid="{00000000-0005-0000-0000-00004F1A0000}"/>
    <cellStyle name="Normal 5 3 4 3 6 2 2" xfId="15329" xr:uid="{475C1E4B-C7E2-49CA-A28D-978BF5C7BDC6}"/>
    <cellStyle name="Normal 5 3 4 3 6 3" xfId="11111" xr:uid="{BD3445E3-D637-42DC-B5D7-96705705E03E}"/>
    <cellStyle name="Normal 5 3 4 3 7" xfId="4825" xr:uid="{00000000-0005-0000-0000-0000501A0000}"/>
    <cellStyle name="Normal 5 3 4 3 7 2" xfId="13264" xr:uid="{BDBF3FC9-7D94-441E-9D66-36BFEAB1D964}"/>
    <cellStyle name="Normal 5 3 4 3 8" xfId="9046" xr:uid="{FC07545E-BC39-4B5D-9FDD-70E422D3AD60}"/>
    <cellStyle name="Normal 5 3 4 4" xfId="923" xr:uid="{00000000-0005-0000-0000-0000511A0000}"/>
    <cellStyle name="Normal 5 3 4 4 2" xfId="3157" xr:uid="{00000000-0005-0000-0000-0000521A0000}"/>
    <cellStyle name="Normal 5 3 4 4 2 2" xfId="7380" xr:uid="{00000000-0005-0000-0000-0000531A0000}"/>
    <cellStyle name="Normal 5 3 4 4 2 2 2" xfId="15819" xr:uid="{46247FF2-1214-47C8-9347-573C491396A5}"/>
    <cellStyle name="Normal 5 3 4 4 2 3" xfId="11601" xr:uid="{430ABF20-BB25-4850-96DE-15E3839B7E98}"/>
    <cellStyle name="Normal 5 3 4 4 3" xfId="5235" xr:uid="{00000000-0005-0000-0000-0000541A0000}"/>
    <cellStyle name="Normal 5 3 4 4 3 2" xfId="13674" xr:uid="{3A4186CC-1435-4C97-B7BB-D067136EE30D}"/>
    <cellStyle name="Normal 5 3 4 4 4" xfId="9456" xr:uid="{D72459AE-3C65-4AF6-9BBB-786DA5D09BC8}"/>
    <cellStyle name="Normal 5 3 4 5" xfId="1340" xr:uid="{00000000-0005-0000-0000-0000551A0000}"/>
    <cellStyle name="Normal 5 3 4 5 2" xfId="3570" xr:uid="{00000000-0005-0000-0000-0000561A0000}"/>
    <cellStyle name="Normal 5 3 4 5 2 2" xfId="7793" xr:uid="{00000000-0005-0000-0000-0000571A0000}"/>
    <cellStyle name="Normal 5 3 4 5 2 2 2" xfId="16232" xr:uid="{97CDA998-1D11-4046-9579-E91EA243DFDC}"/>
    <cellStyle name="Normal 5 3 4 5 2 3" xfId="12014" xr:uid="{8D4859E7-B3AC-4707-927A-3BCAE217DDE1}"/>
    <cellStyle name="Normal 5 3 4 5 3" xfId="5648" xr:uid="{00000000-0005-0000-0000-0000581A0000}"/>
    <cellStyle name="Normal 5 3 4 5 3 2" xfId="14087" xr:uid="{E9331562-7494-4F9B-8F0B-F6CB8D7E8CD9}"/>
    <cellStyle name="Normal 5 3 4 5 4" xfId="9869" xr:uid="{A4E1DB0E-3675-4962-8C37-C94AA3C4BC53}"/>
    <cellStyle name="Normal 5 3 4 6" xfId="1753" xr:uid="{00000000-0005-0000-0000-0000591A0000}"/>
    <cellStyle name="Normal 5 3 4 6 2" xfId="3983" xr:uid="{00000000-0005-0000-0000-00005A1A0000}"/>
    <cellStyle name="Normal 5 3 4 6 2 2" xfId="8206" xr:uid="{00000000-0005-0000-0000-00005B1A0000}"/>
    <cellStyle name="Normal 5 3 4 6 2 2 2" xfId="16645" xr:uid="{06743357-EF75-427C-BAA5-344442090771}"/>
    <cellStyle name="Normal 5 3 4 6 2 3" xfId="12427" xr:uid="{96F0B29D-8A18-44C8-82CB-402794C831FE}"/>
    <cellStyle name="Normal 5 3 4 6 3" xfId="6061" xr:uid="{00000000-0005-0000-0000-00005C1A0000}"/>
    <cellStyle name="Normal 5 3 4 6 3 2" xfId="14500" xr:uid="{6723CAD5-52E3-4B16-85FF-3D68AD29859F}"/>
    <cellStyle name="Normal 5 3 4 6 4" xfId="10282" xr:uid="{B18A71F7-B780-4E0E-A8E8-D813090833DC}"/>
    <cellStyle name="Normal 5 3 4 7" xfId="2167" xr:uid="{00000000-0005-0000-0000-00005D1A0000}"/>
    <cellStyle name="Normal 5 3 4 7 2" xfId="4396" xr:uid="{00000000-0005-0000-0000-00005E1A0000}"/>
    <cellStyle name="Normal 5 3 4 7 2 2" xfId="8619" xr:uid="{00000000-0005-0000-0000-00005F1A0000}"/>
    <cellStyle name="Normal 5 3 4 7 2 2 2" xfId="17058" xr:uid="{FEFEE541-367A-4B85-BBC5-BAAC28853E0E}"/>
    <cellStyle name="Normal 5 3 4 7 2 3" xfId="12840" xr:uid="{4C8E7761-6909-466C-85D7-B10B638151BA}"/>
    <cellStyle name="Normal 5 3 4 7 3" xfId="6474" xr:uid="{00000000-0005-0000-0000-0000601A0000}"/>
    <cellStyle name="Normal 5 3 4 7 3 2" xfId="14913" xr:uid="{278FA312-2AC7-4207-871B-55C256C51905}"/>
    <cellStyle name="Normal 5 3 4 7 4" xfId="10695" xr:uid="{4E24032C-E9A2-45C2-B796-50D669230555}"/>
    <cellStyle name="Normal 5 3 4 8" xfId="2603" xr:uid="{00000000-0005-0000-0000-0000611A0000}"/>
    <cellStyle name="Normal 5 3 4 8 2" xfId="6887" xr:uid="{00000000-0005-0000-0000-0000621A0000}"/>
    <cellStyle name="Normal 5 3 4 8 2 2" xfId="15326" xr:uid="{CEDBFC94-5963-4570-9D7A-9D7E9BE05E1D}"/>
    <cellStyle name="Normal 5 3 4 8 3" xfId="11108" xr:uid="{A58BD778-0549-43F3-A590-E8C4EBFD11E3}"/>
    <cellStyle name="Normal 5 3 4 9" xfId="4822" xr:uid="{00000000-0005-0000-0000-0000631A0000}"/>
    <cellStyle name="Normal 5 3 4 9 2" xfId="13261" xr:uid="{9C5B68F8-2923-4D3D-AA78-11825A277843}"/>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4" xr:uid="{DCF8E716-A0DA-4C1C-ABA1-9CD6E4AED499}"/>
    <cellStyle name="Normal 5 3 5 2 2 2 3" xfId="11606" xr:uid="{CE2CD99B-60DF-41CA-A19D-3E0AD8ECD600}"/>
    <cellStyle name="Normal 5 3 5 2 2 3" xfId="5240" xr:uid="{00000000-0005-0000-0000-0000691A0000}"/>
    <cellStyle name="Normal 5 3 5 2 2 3 2" xfId="13679" xr:uid="{CA0C39A2-F9D7-4FAD-A281-653749254B0E}"/>
    <cellStyle name="Normal 5 3 5 2 2 4" xfId="9461" xr:uid="{B257C274-770D-449B-8D04-B998949F78C8}"/>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37" xr:uid="{BC79E769-4CE3-4370-BFE6-CC5030A10B5F}"/>
    <cellStyle name="Normal 5 3 5 2 3 2 3" xfId="12019" xr:uid="{F6690E4B-A395-454D-B655-6F46D7F9ABDB}"/>
    <cellStyle name="Normal 5 3 5 2 3 3" xfId="5653" xr:uid="{00000000-0005-0000-0000-00006D1A0000}"/>
    <cellStyle name="Normal 5 3 5 2 3 3 2" xfId="14092" xr:uid="{4A2C190B-ADC5-4F2E-9A25-2450588B7A7D}"/>
    <cellStyle name="Normal 5 3 5 2 3 4" xfId="9874" xr:uid="{5FA88678-3BD0-4C06-9669-E328BB52EE62}"/>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0" xr:uid="{4085A3AB-D33C-4C59-9EF3-EFA3E405F6D4}"/>
    <cellStyle name="Normal 5 3 5 2 4 2 3" xfId="12432" xr:uid="{4113B40A-0A97-446D-8CA5-5A021F2D6EDA}"/>
    <cellStyle name="Normal 5 3 5 2 4 3" xfId="6066" xr:uid="{00000000-0005-0000-0000-0000711A0000}"/>
    <cellStyle name="Normal 5 3 5 2 4 3 2" xfId="14505" xr:uid="{6E32543D-26EB-42DA-B9D9-717EF1B66A3D}"/>
    <cellStyle name="Normal 5 3 5 2 4 4" xfId="10287" xr:uid="{8C394677-A60D-4777-B864-8ACAFA5F7A2A}"/>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3" xr:uid="{40584902-BC7B-43C3-A3CE-46458A86FB11}"/>
    <cellStyle name="Normal 5 3 5 2 5 2 3" xfId="12845" xr:uid="{229C4F76-8C3C-4DAF-891F-B55268174E98}"/>
    <cellStyle name="Normal 5 3 5 2 5 3" xfId="6479" xr:uid="{00000000-0005-0000-0000-0000751A0000}"/>
    <cellStyle name="Normal 5 3 5 2 5 3 2" xfId="14918" xr:uid="{793BA4AD-8E0C-41AF-AD41-C82A48E51B81}"/>
    <cellStyle name="Normal 5 3 5 2 5 4" xfId="10700" xr:uid="{CAE4EEA9-8AA8-4319-BFAF-8C1D87BB3755}"/>
    <cellStyle name="Normal 5 3 5 2 6" xfId="2608" xr:uid="{00000000-0005-0000-0000-0000761A0000}"/>
    <cellStyle name="Normal 5 3 5 2 6 2" xfId="6892" xr:uid="{00000000-0005-0000-0000-0000771A0000}"/>
    <cellStyle name="Normal 5 3 5 2 6 2 2" xfId="15331" xr:uid="{76DA52DC-0864-4D4D-86BD-6E7188D97AC5}"/>
    <cellStyle name="Normal 5 3 5 2 6 3" xfId="11113" xr:uid="{D27BD64D-9D5A-411A-90CA-BE01E656FA77}"/>
    <cellStyle name="Normal 5 3 5 2 7" xfId="4827" xr:uid="{00000000-0005-0000-0000-0000781A0000}"/>
    <cellStyle name="Normal 5 3 5 2 7 2" xfId="13266" xr:uid="{28B773A1-F2A0-4A41-B350-50C5C5D67674}"/>
    <cellStyle name="Normal 5 3 5 2 8" xfId="9048" xr:uid="{C5B7BC9F-E303-4ADE-A48E-2260371350FD}"/>
    <cellStyle name="Normal 5 3 5 3" xfId="927" xr:uid="{00000000-0005-0000-0000-0000791A0000}"/>
    <cellStyle name="Normal 5 3 5 3 2" xfId="3161" xr:uid="{00000000-0005-0000-0000-00007A1A0000}"/>
    <cellStyle name="Normal 5 3 5 3 2 2" xfId="7384" xr:uid="{00000000-0005-0000-0000-00007B1A0000}"/>
    <cellStyle name="Normal 5 3 5 3 2 2 2" xfId="15823" xr:uid="{16E73B49-DC78-4328-B923-1F042CD7B8C2}"/>
    <cellStyle name="Normal 5 3 5 3 2 3" xfId="11605" xr:uid="{EC7B7F36-7CDB-4852-AF63-BCC24070E102}"/>
    <cellStyle name="Normal 5 3 5 3 3" xfId="5239" xr:uid="{00000000-0005-0000-0000-00007C1A0000}"/>
    <cellStyle name="Normal 5 3 5 3 3 2" xfId="13678" xr:uid="{B4D56053-CBA2-4F6E-B2D3-532E2CF307F9}"/>
    <cellStyle name="Normal 5 3 5 3 4" xfId="9460" xr:uid="{3B41C6A0-796B-4070-AD35-BDC653FC7526}"/>
    <cellStyle name="Normal 5 3 5 4" xfId="1344" xr:uid="{00000000-0005-0000-0000-00007D1A0000}"/>
    <cellStyle name="Normal 5 3 5 4 2" xfId="3574" xr:uid="{00000000-0005-0000-0000-00007E1A0000}"/>
    <cellStyle name="Normal 5 3 5 4 2 2" xfId="7797" xr:uid="{00000000-0005-0000-0000-00007F1A0000}"/>
    <cellStyle name="Normal 5 3 5 4 2 2 2" xfId="16236" xr:uid="{6919CAD8-D53E-407E-9E61-415D4011F52C}"/>
    <cellStyle name="Normal 5 3 5 4 2 3" xfId="12018" xr:uid="{B8B9888E-253B-4081-9135-C764FADF59CD}"/>
    <cellStyle name="Normal 5 3 5 4 3" xfId="5652" xr:uid="{00000000-0005-0000-0000-0000801A0000}"/>
    <cellStyle name="Normal 5 3 5 4 3 2" xfId="14091" xr:uid="{3CDE5EF3-4E3B-49D5-86FD-4196F68AA247}"/>
    <cellStyle name="Normal 5 3 5 4 4" xfId="9873" xr:uid="{1F58BC5E-047A-49A3-878F-B2C9C1204F00}"/>
    <cellStyle name="Normal 5 3 5 5" xfId="1757" xr:uid="{00000000-0005-0000-0000-0000811A0000}"/>
    <cellStyle name="Normal 5 3 5 5 2" xfId="3987" xr:uid="{00000000-0005-0000-0000-0000821A0000}"/>
    <cellStyle name="Normal 5 3 5 5 2 2" xfId="8210" xr:uid="{00000000-0005-0000-0000-0000831A0000}"/>
    <cellStyle name="Normal 5 3 5 5 2 2 2" xfId="16649" xr:uid="{DB2F64F2-EF6F-4E75-88A7-D4694AFB74A5}"/>
    <cellStyle name="Normal 5 3 5 5 2 3" xfId="12431" xr:uid="{6506C55F-4F57-4815-B508-E0B6C87944E8}"/>
    <cellStyle name="Normal 5 3 5 5 3" xfId="6065" xr:uid="{00000000-0005-0000-0000-0000841A0000}"/>
    <cellStyle name="Normal 5 3 5 5 3 2" xfId="14504" xr:uid="{D0D14A87-39CC-40EF-AE38-C3565A3AEDAD}"/>
    <cellStyle name="Normal 5 3 5 5 4" xfId="10286" xr:uid="{46C88776-D479-47C9-9497-1A7A4856ED33}"/>
    <cellStyle name="Normal 5 3 5 6" xfId="2171" xr:uid="{00000000-0005-0000-0000-0000851A0000}"/>
    <cellStyle name="Normal 5 3 5 6 2" xfId="4400" xr:uid="{00000000-0005-0000-0000-0000861A0000}"/>
    <cellStyle name="Normal 5 3 5 6 2 2" xfId="8623" xr:uid="{00000000-0005-0000-0000-0000871A0000}"/>
    <cellStyle name="Normal 5 3 5 6 2 2 2" xfId="17062" xr:uid="{A4970AF1-8DD1-470F-B240-F50F63358247}"/>
    <cellStyle name="Normal 5 3 5 6 2 3" xfId="12844" xr:uid="{C5C2B8AD-249E-49D2-AF48-B73214CBA16F}"/>
    <cellStyle name="Normal 5 3 5 6 3" xfId="6478" xr:uid="{00000000-0005-0000-0000-0000881A0000}"/>
    <cellStyle name="Normal 5 3 5 6 3 2" xfId="14917" xr:uid="{F62E59C8-73D5-4E49-B279-FC160288226A}"/>
    <cellStyle name="Normal 5 3 5 6 4" xfId="10699" xr:uid="{5106C634-0991-4B95-BC14-714E43F4754C}"/>
    <cellStyle name="Normal 5 3 5 7" xfId="2607" xr:uid="{00000000-0005-0000-0000-0000891A0000}"/>
    <cellStyle name="Normal 5 3 5 7 2" xfId="6891" xr:uid="{00000000-0005-0000-0000-00008A1A0000}"/>
    <cellStyle name="Normal 5 3 5 7 2 2" xfId="15330" xr:uid="{005EADA3-0B11-473D-A5CD-1C1C9B602D24}"/>
    <cellStyle name="Normal 5 3 5 7 3" xfId="11112" xr:uid="{21D776BB-5CA8-4D1E-851F-487F207A57C2}"/>
    <cellStyle name="Normal 5 3 5 8" xfId="4826" xr:uid="{00000000-0005-0000-0000-00008B1A0000}"/>
    <cellStyle name="Normal 5 3 5 8 2" xfId="13265" xr:uid="{04A8AEAD-367E-4A8B-AB7D-BCBE8BFC9FA2}"/>
    <cellStyle name="Normal 5 3 5 9" xfId="9047" xr:uid="{B5326BA6-B909-456F-B450-B267720144CF}"/>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5" xr:uid="{D73C3DB8-37DA-4E4F-8853-F973D7ECDD80}"/>
    <cellStyle name="Normal 5 3 6 2 2 3" xfId="11607" xr:uid="{19F60071-354C-446F-A56D-0BE9A74147DD}"/>
    <cellStyle name="Normal 5 3 6 2 3" xfId="5241" xr:uid="{00000000-0005-0000-0000-0000901A0000}"/>
    <cellStyle name="Normal 5 3 6 2 3 2" xfId="13680" xr:uid="{ADE9BFB4-4908-4386-AB3C-D07F039A77C9}"/>
    <cellStyle name="Normal 5 3 6 2 4" xfId="9462" xr:uid="{13DC918E-F141-41F9-893C-900E0CED3674}"/>
    <cellStyle name="Normal 5 3 6 3" xfId="1346" xr:uid="{00000000-0005-0000-0000-0000911A0000}"/>
    <cellStyle name="Normal 5 3 6 3 2" xfId="3576" xr:uid="{00000000-0005-0000-0000-0000921A0000}"/>
    <cellStyle name="Normal 5 3 6 3 2 2" xfId="7799" xr:uid="{00000000-0005-0000-0000-0000931A0000}"/>
    <cellStyle name="Normal 5 3 6 3 2 2 2" xfId="16238" xr:uid="{84A4FF80-0488-4BD2-9C42-50F5494488E3}"/>
    <cellStyle name="Normal 5 3 6 3 2 3" xfId="12020" xr:uid="{980D3938-D655-42EC-9BF0-97606238E6BF}"/>
    <cellStyle name="Normal 5 3 6 3 3" xfId="5654" xr:uid="{00000000-0005-0000-0000-0000941A0000}"/>
    <cellStyle name="Normal 5 3 6 3 3 2" xfId="14093" xr:uid="{501A398D-04C6-479B-9B5C-151974E2F52E}"/>
    <cellStyle name="Normal 5 3 6 3 4" xfId="9875" xr:uid="{8777F99F-E1DC-4B51-840F-A45AAAD43F4C}"/>
    <cellStyle name="Normal 5 3 6 4" xfId="1759" xr:uid="{00000000-0005-0000-0000-0000951A0000}"/>
    <cellStyle name="Normal 5 3 6 4 2" xfId="3989" xr:uid="{00000000-0005-0000-0000-0000961A0000}"/>
    <cellStyle name="Normal 5 3 6 4 2 2" xfId="8212" xr:uid="{00000000-0005-0000-0000-0000971A0000}"/>
    <cellStyle name="Normal 5 3 6 4 2 2 2" xfId="16651" xr:uid="{58C8CD52-2D22-44BC-97B4-8DC61223E67A}"/>
    <cellStyle name="Normal 5 3 6 4 2 3" xfId="12433" xr:uid="{E870EE08-74AD-4D57-AF8E-618E566DF6A5}"/>
    <cellStyle name="Normal 5 3 6 4 3" xfId="6067" xr:uid="{00000000-0005-0000-0000-0000981A0000}"/>
    <cellStyle name="Normal 5 3 6 4 3 2" xfId="14506" xr:uid="{F8294C57-6AF0-4305-A0AE-251872A92A14}"/>
    <cellStyle name="Normal 5 3 6 4 4" xfId="10288" xr:uid="{837BB468-94C8-4D26-986B-486B503F4750}"/>
    <cellStyle name="Normal 5 3 6 5" xfId="2173" xr:uid="{00000000-0005-0000-0000-0000991A0000}"/>
    <cellStyle name="Normal 5 3 6 5 2" xfId="4402" xr:uid="{00000000-0005-0000-0000-00009A1A0000}"/>
    <cellStyle name="Normal 5 3 6 5 2 2" xfId="8625" xr:uid="{00000000-0005-0000-0000-00009B1A0000}"/>
    <cellStyle name="Normal 5 3 6 5 2 2 2" xfId="17064" xr:uid="{4423BCA0-F471-4F6E-9D60-C3CA185C6495}"/>
    <cellStyle name="Normal 5 3 6 5 2 3" xfId="12846" xr:uid="{D8497F38-FA1F-434C-B2CF-44D5556787A4}"/>
    <cellStyle name="Normal 5 3 6 5 3" xfId="6480" xr:uid="{00000000-0005-0000-0000-00009C1A0000}"/>
    <cellStyle name="Normal 5 3 6 5 3 2" xfId="14919" xr:uid="{621382F7-38D1-479B-AA50-8822D7CBF938}"/>
    <cellStyle name="Normal 5 3 6 5 4" xfId="10701" xr:uid="{444288B7-8475-4310-87CF-18C848FC853C}"/>
    <cellStyle name="Normal 5 3 6 6" xfId="2609" xr:uid="{00000000-0005-0000-0000-00009D1A0000}"/>
    <cellStyle name="Normal 5 3 6 6 2" xfId="6893" xr:uid="{00000000-0005-0000-0000-00009E1A0000}"/>
    <cellStyle name="Normal 5 3 6 6 2 2" xfId="15332" xr:uid="{7E783F9F-3A00-439A-A0C5-EA462A086BF8}"/>
    <cellStyle name="Normal 5 3 6 6 3" xfId="11114" xr:uid="{57727205-EEC7-424A-938D-B433D00D8CBE}"/>
    <cellStyle name="Normal 5 3 6 7" xfId="4828" xr:uid="{00000000-0005-0000-0000-00009F1A0000}"/>
    <cellStyle name="Normal 5 3 6 7 2" xfId="13267" xr:uid="{933DAD10-5A8D-424B-BBBB-FF1FFB287069}"/>
    <cellStyle name="Normal 5 3 6 8" xfId="9049" xr:uid="{37441D7E-1271-41EA-A84B-E1904E5FA2EA}"/>
    <cellStyle name="Normal 5 3 7" xfId="913" xr:uid="{00000000-0005-0000-0000-0000A01A0000}"/>
    <cellStyle name="Normal 5 3 7 2" xfId="3148" xr:uid="{00000000-0005-0000-0000-0000A11A0000}"/>
    <cellStyle name="Normal 5 3 7 2 2" xfId="7371" xr:uid="{00000000-0005-0000-0000-0000A21A0000}"/>
    <cellStyle name="Normal 5 3 7 2 2 2" xfId="15810" xr:uid="{F24BF75E-0090-4B40-93C0-8330296B058C}"/>
    <cellStyle name="Normal 5 3 7 2 3" xfId="11592" xr:uid="{24A5EF7E-6BF4-420B-AB55-3356B0EF8122}"/>
    <cellStyle name="Normal 5 3 7 3" xfId="5226" xr:uid="{00000000-0005-0000-0000-0000A31A0000}"/>
    <cellStyle name="Normal 5 3 7 3 2" xfId="13665" xr:uid="{EC88E7DF-9B3A-4991-8359-D2B2C09FC509}"/>
    <cellStyle name="Normal 5 3 7 4" xfId="9447" xr:uid="{B4343FA6-33E2-4478-A734-3EB78163E78F}"/>
    <cellStyle name="Normal 5 3 8" xfId="1331" xr:uid="{00000000-0005-0000-0000-0000A41A0000}"/>
    <cellStyle name="Normal 5 3 8 2" xfId="3561" xr:uid="{00000000-0005-0000-0000-0000A51A0000}"/>
    <cellStyle name="Normal 5 3 8 2 2" xfId="7784" xr:uid="{00000000-0005-0000-0000-0000A61A0000}"/>
    <cellStyle name="Normal 5 3 8 2 2 2" xfId="16223" xr:uid="{22517B66-92F5-4C18-A64A-78AD53497C67}"/>
    <cellStyle name="Normal 5 3 8 2 3" xfId="12005" xr:uid="{CF3D1B8F-E116-4F34-B8DD-FCD57202114F}"/>
    <cellStyle name="Normal 5 3 8 3" xfId="5639" xr:uid="{00000000-0005-0000-0000-0000A71A0000}"/>
    <cellStyle name="Normal 5 3 8 3 2" xfId="14078" xr:uid="{5C0F389A-4ECC-4BCE-9E40-C08D330CDB34}"/>
    <cellStyle name="Normal 5 3 8 4" xfId="9860" xr:uid="{994023FB-06BE-4902-8881-FEF71DDB1F24}"/>
    <cellStyle name="Normal 5 3 9" xfId="1744" xr:uid="{00000000-0005-0000-0000-0000A81A0000}"/>
    <cellStyle name="Normal 5 3 9 2" xfId="3974" xr:uid="{00000000-0005-0000-0000-0000A91A0000}"/>
    <cellStyle name="Normal 5 3 9 2 2" xfId="8197" xr:uid="{00000000-0005-0000-0000-0000AA1A0000}"/>
    <cellStyle name="Normal 5 3 9 2 2 2" xfId="16636" xr:uid="{B59476BA-78BB-4CE1-BD6C-EC69A9D3CEC2}"/>
    <cellStyle name="Normal 5 3 9 2 3" xfId="12418" xr:uid="{E6FD7981-7EA2-4BD0-AC8C-1988E31DD85C}"/>
    <cellStyle name="Normal 5 3 9 3" xfId="6052" xr:uid="{00000000-0005-0000-0000-0000AB1A0000}"/>
    <cellStyle name="Normal 5 3 9 3 2" xfId="14491" xr:uid="{79DF29EB-8B3E-4DFA-9630-37EDA1BE2070}"/>
    <cellStyle name="Normal 5 3 9 4" xfId="10273" xr:uid="{51BD6B3B-F26C-4604-AB3D-46C7D4E80E80}"/>
    <cellStyle name="Normal 5 4" xfId="456" xr:uid="{00000000-0005-0000-0000-0000AC1A0000}"/>
    <cellStyle name="Normal 5 4 10" xfId="4829" xr:uid="{00000000-0005-0000-0000-0000AD1A0000}"/>
    <cellStyle name="Normal 5 4 10 2" xfId="13268" xr:uid="{DB905EE2-F473-44E6-A441-56E680AC28F2}"/>
    <cellStyle name="Normal 5 4 11" xfId="9050" xr:uid="{7F303FAD-E2F2-4CA6-9566-E0324C7D70F1}"/>
    <cellStyle name="Normal 5 4 2" xfId="457" xr:uid="{00000000-0005-0000-0000-0000AE1A0000}"/>
    <cellStyle name="Normal 5 4 2 10" xfId="9051" xr:uid="{32DFB66B-3B95-42D8-A3CC-4B72803CBB9D}"/>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29" xr:uid="{3CF9E349-61DA-4C7D-BD27-199034351AFF}"/>
    <cellStyle name="Normal 5 4 2 2 2 2 2 3" xfId="11611" xr:uid="{2DA7D9AE-4419-4207-92C1-007C4DA76C73}"/>
    <cellStyle name="Normal 5 4 2 2 2 2 3" xfId="5245" xr:uid="{00000000-0005-0000-0000-0000B41A0000}"/>
    <cellStyle name="Normal 5 4 2 2 2 2 3 2" xfId="13684" xr:uid="{31A1012D-D5EF-46FD-8BB0-24A38336289C}"/>
    <cellStyle name="Normal 5 4 2 2 2 2 4" xfId="9466" xr:uid="{923947B6-8705-4249-9F5E-1989DD5D5C45}"/>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2" xr:uid="{965D2A20-577C-4F24-9E7C-37CA8D16BB50}"/>
    <cellStyle name="Normal 5 4 2 2 2 3 2 3" xfId="12024" xr:uid="{2690EF44-9258-4E62-99EC-A5A9C73F4391}"/>
    <cellStyle name="Normal 5 4 2 2 2 3 3" xfId="5658" xr:uid="{00000000-0005-0000-0000-0000B81A0000}"/>
    <cellStyle name="Normal 5 4 2 2 2 3 3 2" xfId="14097" xr:uid="{36A5BAC8-4FD9-4A34-85A1-937010AE5B9A}"/>
    <cellStyle name="Normal 5 4 2 2 2 3 4" xfId="9879" xr:uid="{D7ED855B-EFFC-4F11-835F-1BEDE58D73B8}"/>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5" xr:uid="{BE2266DA-EE48-4F2C-B177-11E96C34B020}"/>
    <cellStyle name="Normal 5 4 2 2 2 4 2 3" xfId="12437" xr:uid="{18DA8472-9B8C-4318-A73D-4E4D09A939E3}"/>
    <cellStyle name="Normal 5 4 2 2 2 4 3" xfId="6071" xr:uid="{00000000-0005-0000-0000-0000BC1A0000}"/>
    <cellStyle name="Normal 5 4 2 2 2 4 3 2" xfId="14510" xr:uid="{BBA697EC-D0A3-431C-915B-0238E01CABCF}"/>
    <cellStyle name="Normal 5 4 2 2 2 4 4" xfId="10292" xr:uid="{F52A4091-2907-4834-9BCC-01EB66DD1B21}"/>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68" xr:uid="{5369CCCC-531B-4DAD-BF54-06D7E666907F}"/>
    <cellStyle name="Normal 5 4 2 2 2 5 2 3" xfId="12850" xr:uid="{4B1371F2-5E52-4B38-8031-E6FCACA6A7B7}"/>
    <cellStyle name="Normal 5 4 2 2 2 5 3" xfId="6484" xr:uid="{00000000-0005-0000-0000-0000C01A0000}"/>
    <cellStyle name="Normal 5 4 2 2 2 5 3 2" xfId="14923" xr:uid="{4A3D2394-0CD8-4347-A1F4-673E76AD27C6}"/>
    <cellStyle name="Normal 5 4 2 2 2 5 4" xfId="10705" xr:uid="{D977DDD9-A3AB-43E6-BB5F-E5E0BFC58761}"/>
    <cellStyle name="Normal 5 4 2 2 2 6" xfId="2613" xr:uid="{00000000-0005-0000-0000-0000C11A0000}"/>
    <cellStyle name="Normal 5 4 2 2 2 6 2" xfId="6897" xr:uid="{00000000-0005-0000-0000-0000C21A0000}"/>
    <cellStyle name="Normal 5 4 2 2 2 6 2 2" xfId="15336" xr:uid="{424BC1A7-BACE-414F-98B9-92C65F7B860C}"/>
    <cellStyle name="Normal 5 4 2 2 2 6 3" xfId="11118" xr:uid="{22D9D2A4-D96D-48F2-B83F-FCEB4D8B816E}"/>
    <cellStyle name="Normal 5 4 2 2 2 7" xfId="4832" xr:uid="{00000000-0005-0000-0000-0000C31A0000}"/>
    <cellStyle name="Normal 5 4 2 2 2 7 2" xfId="13271" xr:uid="{8624E0ED-49D8-4317-92B8-AED260529F87}"/>
    <cellStyle name="Normal 5 4 2 2 2 8" xfId="9053" xr:uid="{B15C05E9-C6CB-4974-84A0-BD236ED08363}"/>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28" xr:uid="{753E510A-C499-4F00-862F-819DF448FB2C}"/>
    <cellStyle name="Normal 5 4 2 2 3 2 3" xfId="11610" xr:uid="{A2BBEA64-1914-4683-AD44-AB575840B9EB}"/>
    <cellStyle name="Normal 5 4 2 2 3 3" xfId="5244" xr:uid="{00000000-0005-0000-0000-0000C71A0000}"/>
    <cellStyle name="Normal 5 4 2 2 3 3 2" xfId="13683" xr:uid="{35645AA1-B1DD-4F89-8C2C-824A2EE6BCD8}"/>
    <cellStyle name="Normal 5 4 2 2 3 4" xfId="9465" xr:uid="{3588991E-F62A-4DF4-897B-9013DE3BD2AC}"/>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1" xr:uid="{B0F79FA9-D467-4309-8580-A68C973CC320}"/>
    <cellStyle name="Normal 5 4 2 2 4 2 3" xfId="12023" xr:uid="{47809288-398B-4841-9EB5-1A029AD5F100}"/>
    <cellStyle name="Normal 5 4 2 2 4 3" xfId="5657" xr:uid="{00000000-0005-0000-0000-0000CB1A0000}"/>
    <cellStyle name="Normal 5 4 2 2 4 3 2" xfId="14096" xr:uid="{63E4303D-117E-4144-89C3-0D38E926B433}"/>
    <cellStyle name="Normal 5 4 2 2 4 4" xfId="9878" xr:uid="{BB6E3866-B1D5-4A1B-ABC8-04788216D66D}"/>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4" xr:uid="{AB4ADDBC-8D0B-4729-B422-B563C98D5EA1}"/>
    <cellStyle name="Normal 5 4 2 2 5 2 3" xfId="12436" xr:uid="{20181E42-FA95-44A5-83D0-9CED9EF1F4E8}"/>
    <cellStyle name="Normal 5 4 2 2 5 3" xfId="6070" xr:uid="{00000000-0005-0000-0000-0000CF1A0000}"/>
    <cellStyle name="Normal 5 4 2 2 5 3 2" xfId="14509" xr:uid="{1C1C3038-5EB2-4683-887E-48F1D0897A7B}"/>
    <cellStyle name="Normal 5 4 2 2 5 4" xfId="10291" xr:uid="{3A59393A-947E-4BB3-BB54-11555B301190}"/>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67" xr:uid="{E9B21143-C456-4F40-86B7-779B27FD1D8B}"/>
    <cellStyle name="Normal 5 4 2 2 6 2 3" xfId="12849" xr:uid="{D12190A2-6D93-4DB8-9F3C-CBF4B0AFCC84}"/>
    <cellStyle name="Normal 5 4 2 2 6 3" xfId="6483" xr:uid="{00000000-0005-0000-0000-0000D31A0000}"/>
    <cellStyle name="Normal 5 4 2 2 6 3 2" xfId="14922" xr:uid="{01103ABE-FC1D-45F9-B234-13B131412B5A}"/>
    <cellStyle name="Normal 5 4 2 2 6 4" xfId="10704" xr:uid="{880FE5CA-25D3-4984-ADAD-83056BB2FC6E}"/>
    <cellStyle name="Normal 5 4 2 2 7" xfId="2612" xr:uid="{00000000-0005-0000-0000-0000D41A0000}"/>
    <cellStyle name="Normal 5 4 2 2 7 2" xfId="6896" xr:uid="{00000000-0005-0000-0000-0000D51A0000}"/>
    <cellStyle name="Normal 5 4 2 2 7 2 2" xfId="15335" xr:uid="{6DF79D37-23E9-4B14-BBD0-C9ACD31AA871}"/>
    <cellStyle name="Normal 5 4 2 2 7 3" xfId="11117" xr:uid="{FB4AF0E8-F4DD-46E2-9380-D1E100377187}"/>
    <cellStyle name="Normal 5 4 2 2 8" xfId="4831" xr:uid="{00000000-0005-0000-0000-0000D61A0000}"/>
    <cellStyle name="Normal 5 4 2 2 8 2" xfId="13270" xr:uid="{72AB5879-31C2-44DE-91D5-E1C257414C81}"/>
    <cellStyle name="Normal 5 4 2 2 9" xfId="9052" xr:uid="{7E943066-4B4B-48CA-9A12-EA121DD64C0D}"/>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0" xr:uid="{51132710-8C9F-4218-B604-9B8E02EB0953}"/>
    <cellStyle name="Normal 5 4 2 3 2 2 3" xfId="11612" xr:uid="{B14E4139-A706-482E-ADB0-8EA000EDA070}"/>
    <cellStyle name="Normal 5 4 2 3 2 3" xfId="5246" xr:uid="{00000000-0005-0000-0000-0000DB1A0000}"/>
    <cellStyle name="Normal 5 4 2 3 2 3 2" xfId="13685" xr:uid="{69DFC7D6-797C-4D55-9DF3-E463A000289D}"/>
    <cellStyle name="Normal 5 4 2 3 2 4" xfId="9467" xr:uid="{D8B1A6D2-9E5B-4A44-AE77-E9E1DDA85690}"/>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3" xr:uid="{EFD4CC31-E471-4CC6-9808-5F4F9A843103}"/>
    <cellStyle name="Normal 5 4 2 3 3 2 3" xfId="12025" xr:uid="{A3B7AD05-FD6E-45E8-917A-27F51208734B}"/>
    <cellStyle name="Normal 5 4 2 3 3 3" xfId="5659" xr:uid="{00000000-0005-0000-0000-0000DF1A0000}"/>
    <cellStyle name="Normal 5 4 2 3 3 3 2" xfId="14098" xr:uid="{31CD7DD1-270A-4974-B749-9A011F73430D}"/>
    <cellStyle name="Normal 5 4 2 3 3 4" xfId="9880" xr:uid="{870D0F1B-988D-4284-834F-86FF9C91370A}"/>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6" xr:uid="{F1EA50D1-AE7B-4CFC-953B-72367830C7EC}"/>
    <cellStyle name="Normal 5 4 2 3 4 2 3" xfId="12438" xr:uid="{42825DF6-F6B7-4807-BFF1-C12B788CDFFC}"/>
    <cellStyle name="Normal 5 4 2 3 4 3" xfId="6072" xr:uid="{00000000-0005-0000-0000-0000E31A0000}"/>
    <cellStyle name="Normal 5 4 2 3 4 3 2" xfId="14511" xr:uid="{D1278C4A-A622-4365-B3AA-519771DAFDED}"/>
    <cellStyle name="Normal 5 4 2 3 4 4" xfId="10293" xr:uid="{BF4ACCBA-4D3C-4707-9B98-44F5D821065E}"/>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69" xr:uid="{02E3B78F-0C9B-4E92-B58F-50D6DD019139}"/>
    <cellStyle name="Normal 5 4 2 3 5 2 3" xfId="12851" xr:uid="{DD858429-4C73-45B3-BFFE-B6999FDF608F}"/>
    <cellStyle name="Normal 5 4 2 3 5 3" xfId="6485" xr:uid="{00000000-0005-0000-0000-0000E71A0000}"/>
    <cellStyle name="Normal 5 4 2 3 5 3 2" xfId="14924" xr:uid="{9F7B3AD2-A739-4458-99FF-C9656797FE0B}"/>
    <cellStyle name="Normal 5 4 2 3 5 4" xfId="10706" xr:uid="{276A3D94-275A-4DD7-8DEF-245182AC9181}"/>
    <cellStyle name="Normal 5 4 2 3 6" xfId="2614" xr:uid="{00000000-0005-0000-0000-0000E81A0000}"/>
    <cellStyle name="Normal 5 4 2 3 6 2" xfId="6898" xr:uid="{00000000-0005-0000-0000-0000E91A0000}"/>
    <cellStyle name="Normal 5 4 2 3 6 2 2" xfId="15337" xr:uid="{A87D74C8-5A6A-43C6-BA3B-0761BCB54D5C}"/>
    <cellStyle name="Normal 5 4 2 3 6 3" xfId="11119" xr:uid="{D6B6BE8E-43B6-48AE-96D5-A54CB94B826F}"/>
    <cellStyle name="Normal 5 4 2 3 7" xfId="4833" xr:uid="{00000000-0005-0000-0000-0000EA1A0000}"/>
    <cellStyle name="Normal 5 4 2 3 7 2" xfId="13272" xr:uid="{F43E8AD0-CE5B-44F8-BC63-4A0BEEB658C8}"/>
    <cellStyle name="Normal 5 4 2 3 8" xfId="9054" xr:uid="{80A1FA33-4E8D-41F1-8C28-FA19DA2E2145}"/>
    <cellStyle name="Normal 5 4 2 4" xfId="931" xr:uid="{00000000-0005-0000-0000-0000EB1A0000}"/>
    <cellStyle name="Normal 5 4 2 4 2" xfId="3165" xr:uid="{00000000-0005-0000-0000-0000EC1A0000}"/>
    <cellStyle name="Normal 5 4 2 4 2 2" xfId="7388" xr:uid="{00000000-0005-0000-0000-0000ED1A0000}"/>
    <cellStyle name="Normal 5 4 2 4 2 2 2" xfId="15827" xr:uid="{DA09CBC8-2E41-4536-8879-4498ABB5FE4B}"/>
    <cellStyle name="Normal 5 4 2 4 2 3" xfId="11609" xr:uid="{0FEA6017-F288-423C-B698-E55FB05784AA}"/>
    <cellStyle name="Normal 5 4 2 4 3" xfId="5243" xr:uid="{00000000-0005-0000-0000-0000EE1A0000}"/>
    <cellStyle name="Normal 5 4 2 4 3 2" xfId="13682" xr:uid="{8310BE42-9E3B-458D-A008-A537D2426E24}"/>
    <cellStyle name="Normal 5 4 2 4 4" xfId="9464" xr:uid="{82000F34-DD54-452F-8D57-C829F884D308}"/>
    <cellStyle name="Normal 5 4 2 5" xfId="1348" xr:uid="{00000000-0005-0000-0000-0000EF1A0000}"/>
    <cellStyle name="Normal 5 4 2 5 2" xfId="3578" xr:uid="{00000000-0005-0000-0000-0000F01A0000}"/>
    <cellStyle name="Normal 5 4 2 5 2 2" xfId="7801" xr:uid="{00000000-0005-0000-0000-0000F11A0000}"/>
    <cellStyle name="Normal 5 4 2 5 2 2 2" xfId="16240" xr:uid="{15B875FD-242B-4721-9691-BDDDEB8E725A}"/>
    <cellStyle name="Normal 5 4 2 5 2 3" xfId="12022" xr:uid="{29D3599E-F965-4498-ADDF-FD2A5351B8B9}"/>
    <cellStyle name="Normal 5 4 2 5 3" xfId="5656" xr:uid="{00000000-0005-0000-0000-0000F21A0000}"/>
    <cellStyle name="Normal 5 4 2 5 3 2" xfId="14095" xr:uid="{0E9B2CBB-04BE-4B9C-9722-1F27756EC975}"/>
    <cellStyle name="Normal 5 4 2 5 4" xfId="9877" xr:uid="{9DD03B78-8CBF-4DE9-AD77-8B537BF029C1}"/>
    <cellStyle name="Normal 5 4 2 6" xfId="1761" xr:uid="{00000000-0005-0000-0000-0000F31A0000}"/>
    <cellStyle name="Normal 5 4 2 6 2" xfId="3991" xr:uid="{00000000-0005-0000-0000-0000F41A0000}"/>
    <cellStyle name="Normal 5 4 2 6 2 2" xfId="8214" xr:uid="{00000000-0005-0000-0000-0000F51A0000}"/>
    <cellStyle name="Normal 5 4 2 6 2 2 2" xfId="16653" xr:uid="{48C84974-CDA7-4500-A66D-A4F051B3F550}"/>
    <cellStyle name="Normal 5 4 2 6 2 3" xfId="12435" xr:uid="{E85793FA-7F53-4AFA-8B83-238E05826DAA}"/>
    <cellStyle name="Normal 5 4 2 6 3" xfId="6069" xr:uid="{00000000-0005-0000-0000-0000F61A0000}"/>
    <cellStyle name="Normal 5 4 2 6 3 2" xfId="14508" xr:uid="{EC33DFDE-DF5F-4CC6-BD41-128D0AD93638}"/>
    <cellStyle name="Normal 5 4 2 6 4" xfId="10290" xr:uid="{445369CD-CBB9-4029-A38B-1C489ED0E8ED}"/>
    <cellStyle name="Normal 5 4 2 7" xfId="2175" xr:uid="{00000000-0005-0000-0000-0000F71A0000}"/>
    <cellStyle name="Normal 5 4 2 7 2" xfId="4404" xr:uid="{00000000-0005-0000-0000-0000F81A0000}"/>
    <cellStyle name="Normal 5 4 2 7 2 2" xfId="8627" xr:uid="{00000000-0005-0000-0000-0000F91A0000}"/>
    <cellStyle name="Normal 5 4 2 7 2 2 2" xfId="17066" xr:uid="{D26D6D7C-77A8-43C1-BC59-792F631DA01A}"/>
    <cellStyle name="Normal 5 4 2 7 2 3" xfId="12848" xr:uid="{1D46EA3B-FE6E-4331-94D4-FDFDF0892473}"/>
    <cellStyle name="Normal 5 4 2 7 3" xfId="6482" xr:uid="{00000000-0005-0000-0000-0000FA1A0000}"/>
    <cellStyle name="Normal 5 4 2 7 3 2" xfId="14921" xr:uid="{ED943CB1-1390-46E8-9BD0-67AC454ECA52}"/>
    <cellStyle name="Normal 5 4 2 7 4" xfId="10703" xr:uid="{9B274288-63D2-44ED-8A75-9FA7C9D3535E}"/>
    <cellStyle name="Normal 5 4 2 8" xfId="2611" xr:uid="{00000000-0005-0000-0000-0000FB1A0000}"/>
    <cellStyle name="Normal 5 4 2 8 2" xfId="6895" xr:uid="{00000000-0005-0000-0000-0000FC1A0000}"/>
    <cellStyle name="Normal 5 4 2 8 2 2" xfId="15334" xr:uid="{EF9E2663-E3A3-4218-B20D-1A47F512FDFF}"/>
    <cellStyle name="Normal 5 4 2 8 3" xfId="11116" xr:uid="{3F5A528A-FC71-44C7-93AD-087A8A4E5B7A}"/>
    <cellStyle name="Normal 5 4 2 9" xfId="4830" xr:uid="{00000000-0005-0000-0000-0000FD1A0000}"/>
    <cellStyle name="Normal 5 4 2 9 2" xfId="13269" xr:uid="{B03A7313-DAE9-4C09-813F-F401704BB0B7}"/>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2" xr:uid="{E5DCEF8A-6BC1-4575-B27A-AAF54F3A81F7}"/>
    <cellStyle name="Normal 5 4 3 2 2 2 3" xfId="11614" xr:uid="{FCCCF373-2091-4452-88BB-40D99CE45988}"/>
    <cellStyle name="Normal 5 4 3 2 2 3" xfId="5248" xr:uid="{00000000-0005-0000-0000-0000031B0000}"/>
    <cellStyle name="Normal 5 4 3 2 2 3 2" xfId="13687" xr:uid="{2B579C1D-A5A5-4E73-A776-4BBA1AEDD8DA}"/>
    <cellStyle name="Normal 5 4 3 2 2 4" xfId="9469" xr:uid="{732D141A-E98C-4D12-B0A2-C73EF864DD7B}"/>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5" xr:uid="{B6049800-3EA7-49CE-A45F-6C1CA9382323}"/>
    <cellStyle name="Normal 5 4 3 2 3 2 3" xfId="12027" xr:uid="{4B88F4EF-AA8F-47CF-B8C3-EE134634492A}"/>
    <cellStyle name="Normal 5 4 3 2 3 3" xfId="5661" xr:uid="{00000000-0005-0000-0000-0000071B0000}"/>
    <cellStyle name="Normal 5 4 3 2 3 3 2" xfId="14100" xr:uid="{91EDC405-2258-435B-8B99-887EB254F6CA}"/>
    <cellStyle name="Normal 5 4 3 2 3 4" xfId="9882" xr:uid="{0BDAEB87-200F-4954-BBAE-E1EE421C78FF}"/>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58" xr:uid="{D9F4BAD3-F7A0-4FFC-A416-7EA1E610CB14}"/>
    <cellStyle name="Normal 5 4 3 2 4 2 3" xfId="12440" xr:uid="{5B240D7A-90C7-4153-A868-001600560208}"/>
    <cellStyle name="Normal 5 4 3 2 4 3" xfId="6074" xr:uid="{00000000-0005-0000-0000-00000B1B0000}"/>
    <cellStyle name="Normal 5 4 3 2 4 3 2" xfId="14513" xr:uid="{11E44727-6D01-4567-8CC6-644BE6FC081C}"/>
    <cellStyle name="Normal 5 4 3 2 4 4" xfId="10295" xr:uid="{B21E7070-6054-44B9-ACE7-B76AC5D37A55}"/>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1" xr:uid="{C47BA584-EF45-4722-A18C-F58679E43027}"/>
    <cellStyle name="Normal 5 4 3 2 5 2 3" xfId="12853" xr:uid="{BC8CD0A7-238C-4D73-BF27-1CD5DAE0990D}"/>
    <cellStyle name="Normal 5 4 3 2 5 3" xfId="6487" xr:uid="{00000000-0005-0000-0000-00000F1B0000}"/>
    <cellStyle name="Normal 5 4 3 2 5 3 2" xfId="14926" xr:uid="{7B3BD095-AB71-449E-8A7B-1396EB4207C0}"/>
    <cellStyle name="Normal 5 4 3 2 5 4" xfId="10708" xr:uid="{D10E5EBC-BAE6-469D-9798-8B67227CA240}"/>
    <cellStyle name="Normal 5 4 3 2 6" xfId="2616" xr:uid="{00000000-0005-0000-0000-0000101B0000}"/>
    <cellStyle name="Normal 5 4 3 2 6 2" xfId="6900" xr:uid="{00000000-0005-0000-0000-0000111B0000}"/>
    <cellStyle name="Normal 5 4 3 2 6 2 2" xfId="15339" xr:uid="{65D0C1B0-8433-46F3-A0E7-F7985138E7F3}"/>
    <cellStyle name="Normal 5 4 3 2 6 3" xfId="11121" xr:uid="{69379A04-5AE1-47B8-8AED-09F00FF40318}"/>
    <cellStyle name="Normal 5 4 3 2 7" xfId="4835" xr:uid="{00000000-0005-0000-0000-0000121B0000}"/>
    <cellStyle name="Normal 5 4 3 2 7 2" xfId="13274" xr:uid="{58355A68-1AD8-4796-9900-52EECC8A4C08}"/>
    <cellStyle name="Normal 5 4 3 2 8" xfId="9056" xr:uid="{F0F09429-245C-4381-A531-4CB1A37FD12A}"/>
    <cellStyle name="Normal 5 4 3 3" xfId="935" xr:uid="{00000000-0005-0000-0000-0000131B0000}"/>
    <cellStyle name="Normal 5 4 3 3 2" xfId="3169" xr:uid="{00000000-0005-0000-0000-0000141B0000}"/>
    <cellStyle name="Normal 5 4 3 3 2 2" xfId="7392" xr:uid="{00000000-0005-0000-0000-0000151B0000}"/>
    <cellStyle name="Normal 5 4 3 3 2 2 2" xfId="15831" xr:uid="{07E45A0E-E45E-45F9-9A72-CF9D0A1DC449}"/>
    <cellStyle name="Normal 5 4 3 3 2 3" xfId="11613" xr:uid="{0454594A-89C5-420E-B0C6-EEAC5987ED4C}"/>
    <cellStyle name="Normal 5 4 3 3 3" xfId="5247" xr:uid="{00000000-0005-0000-0000-0000161B0000}"/>
    <cellStyle name="Normal 5 4 3 3 3 2" xfId="13686" xr:uid="{378162EE-B813-4AA9-AE3A-9E4E2D5DC5D1}"/>
    <cellStyle name="Normal 5 4 3 3 4" xfId="9468" xr:uid="{1A47AC95-9460-45A7-80D8-F80302863B5D}"/>
    <cellStyle name="Normal 5 4 3 4" xfId="1352" xr:uid="{00000000-0005-0000-0000-0000171B0000}"/>
    <cellStyle name="Normal 5 4 3 4 2" xfId="3582" xr:uid="{00000000-0005-0000-0000-0000181B0000}"/>
    <cellStyle name="Normal 5 4 3 4 2 2" xfId="7805" xr:uid="{00000000-0005-0000-0000-0000191B0000}"/>
    <cellStyle name="Normal 5 4 3 4 2 2 2" xfId="16244" xr:uid="{A18EAE6F-3C41-412F-AEBB-7BF9990EE7F2}"/>
    <cellStyle name="Normal 5 4 3 4 2 3" xfId="12026" xr:uid="{91EDA884-FAFC-4C78-BD77-315244426E2C}"/>
    <cellStyle name="Normal 5 4 3 4 3" xfId="5660" xr:uid="{00000000-0005-0000-0000-00001A1B0000}"/>
    <cellStyle name="Normal 5 4 3 4 3 2" xfId="14099" xr:uid="{E87EF986-9AED-45B5-953A-CD873096B9BE}"/>
    <cellStyle name="Normal 5 4 3 4 4" xfId="9881" xr:uid="{0E64CE22-F668-4971-9D4A-6A4A1F3D576F}"/>
    <cellStyle name="Normal 5 4 3 5" xfId="1765" xr:uid="{00000000-0005-0000-0000-00001B1B0000}"/>
    <cellStyle name="Normal 5 4 3 5 2" xfId="3995" xr:uid="{00000000-0005-0000-0000-00001C1B0000}"/>
    <cellStyle name="Normal 5 4 3 5 2 2" xfId="8218" xr:uid="{00000000-0005-0000-0000-00001D1B0000}"/>
    <cellStyle name="Normal 5 4 3 5 2 2 2" xfId="16657" xr:uid="{DFCA64C5-4851-403F-81F8-893CA177921B}"/>
    <cellStyle name="Normal 5 4 3 5 2 3" xfId="12439" xr:uid="{CEC3C416-BB53-48EB-ABA9-6386F115401F}"/>
    <cellStyle name="Normal 5 4 3 5 3" xfId="6073" xr:uid="{00000000-0005-0000-0000-00001E1B0000}"/>
    <cellStyle name="Normal 5 4 3 5 3 2" xfId="14512" xr:uid="{9F54D3B4-D624-469E-9459-EDC594A5E0E0}"/>
    <cellStyle name="Normal 5 4 3 5 4" xfId="10294" xr:uid="{1ED77F90-3A37-4FE7-80A6-E67B7F3E3A59}"/>
    <cellStyle name="Normal 5 4 3 6" xfId="2179" xr:uid="{00000000-0005-0000-0000-00001F1B0000}"/>
    <cellStyle name="Normal 5 4 3 6 2" xfId="4408" xr:uid="{00000000-0005-0000-0000-0000201B0000}"/>
    <cellStyle name="Normal 5 4 3 6 2 2" xfId="8631" xr:uid="{00000000-0005-0000-0000-0000211B0000}"/>
    <cellStyle name="Normal 5 4 3 6 2 2 2" xfId="17070" xr:uid="{EE408EF1-43E5-4EE1-A512-55D3841F0292}"/>
    <cellStyle name="Normal 5 4 3 6 2 3" xfId="12852" xr:uid="{48D061A5-95C9-4794-A0B5-5EFFA173068D}"/>
    <cellStyle name="Normal 5 4 3 6 3" xfId="6486" xr:uid="{00000000-0005-0000-0000-0000221B0000}"/>
    <cellStyle name="Normal 5 4 3 6 3 2" xfId="14925" xr:uid="{F36C345A-A39D-43FF-8A02-3BE34209C2F7}"/>
    <cellStyle name="Normal 5 4 3 6 4" xfId="10707" xr:uid="{F6BAEAFE-DF11-4DA2-9DDD-81D7E87AAE40}"/>
    <cellStyle name="Normal 5 4 3 7" xfId="2615" xr:uid="{00000000-0005-0000-0000-0000231B0000}"/>
    <cellStyle name="Normal 5 4 3 7 2" xfId="6899" xr:uid="{00000000-0005-0000-0000-0000241B0000}"/>
    <cellStyle name="Normal 5 4 3 7 2 2" xfId="15338" xr:uid="{F26CE770-F02C-4F4B-A9DF-78735B258F8B}"/>
    <cellStyle name="Normal 5 4 3 7 3" xfId="11120" xr:uid="{F4858114-9D48-43CB-AA32-107DBAAA1D4A}"/>
    <cellStyle name="Normal 5 4 3 8" xfId="4834" xr:uid="{00000000-0005-0000-0000-0000251B0000}"/>
    <cellStyle name="Normal 5 4 3 8 2" xfId="13273" xr:uid="{E8722602-188B-431C-AF71-4FEE61FF51AA}"/>
    <cellStyle name="Normal 5 4 3 9" xfId="9055" xr:uid="{6DDAE3A9-78F0-4796-8841-404D7F462E9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3" xr:uid="{48782673-7C21-4FB2-84E3-1890C8C0D920}"/>
    <cellStyle name="Normal 5 4 4 2 2 3" xfId="11615" xr:uid="{FBE72936-7513-4950-B9DB-BEB23BE6691A}"/>
    <cellStyle name="Normal 5 4 4 2 3" xfId="5249" xr:uid="{00000000-0005-0000-0000-00002A1B0000}"/>
    <cellStyle name="Normal 5 4 4 2 3 2" xfId="13688" xr:uid="{F998F10F-1501-4F6C-BE11-F312F131122C}"/>
    <cellStyle name="Normal 5 4 4 2 4" xfId="9470" xr:uid="{8F429477-B7FB-484C-9666-C5E9C0637E2C}"/>
    <cellStyle name="Normal 5 4 4 3" xfId="1354" xr:uid="{00000000-0005-0000-0000-00002B1B0000}"/>
    <cellStyle name="Normal 5 4 4 3 2" xfId="3584" xr:uid="{00000000-0005-0000-0000-00002C1B0000}"/>
    <cellStyle name="Normal 5 4 4 3 2 2" xfId="7807" xr:uid="{00000000-0005-0000-0000-00002D1B0000}"/>
    <cellStyle name="Normal 5 4 4 3 2 2 2" xfId="16246" xr:uid="{D3E8A701-9293-48BE-BED3-BABF9D9849FA}"/>
    <cellStyle name="Normal 5 4 4 3 2 3" xfId="12028" xr:uid="{B84187FE-43A1-4A53-A942-D1DC33A5B4C5}"/>
    <cellStyle name="Normal 5 4 4 3 3" xfId="5662" xr:uid="{00000000-0005-0000-0000-00002E1B0000}"/>
    <cellStyle name="Normal 5 4 4 3 3 2" xfId="14101" xr:uid="{C2106AA7-ACC8-4872-8C65-3E6FAEE2B152}"/>
    <cellStyle name="Normal 5 4 4 3 4" xfId="9883" xr:uid="{8085A198-E27F-4A4B-8F81-46936699E927}"/>
    <cellStyle name="Normal 5 4 4 4" xfId="1767" xr:uid="{00000000-0005-0000-0000-00002F1B0000}"/>
    <cellStyle name="Normal 5 4 4 4 2" xfId="3997" xr:uid="{00000000-0005-0000-0000-0000301B0000}"/>
    <cellStyle name="Normal 5 4 4 4 2 2" xfId="8220" xr:uid="{00000000-0005-0000-0000-0000311B0000}"/>
    <cellStyle name="Normal 5 4 4 4 2 2 2" xfId="16659" xr:uid="{4883E3EC-156F-4708-B56C-FEA0B85C6502}"/>
    <cellStyle name="Normal 5 4 4 4 2 3" xfId="12441" xr:uid="{22A1F5B0-63B1-4865-BD54-D7832F766A11}"/>
    <cellStyle name="Normal 5 4 4 4 3" xfId="6075" xr:uid="{00000000-0005-0000-0000-0000321B0000}"/>
    <cellStyle name="Normal 5 4 4 4 3 2" xfId="14514" xr:uid="{3E4B0582-0523-44D2-B326-163D489EBF1E}"/>
    <cellStyle name="Normal 5 4 4 4 4" xfId="10296" xr:uid="{9704DA73-CF29-4163-8DCD-42BCB2CDC084}"/>
    <cellStyle name="Normal 5 4 4 5" xfId="2181" xr:uid="{00000000-0005-0000-0000-0000331B0000}"/>
    <cellStyle name="Normal 5 4 4 5 2" xfId="4410" xr:uid="{00000000-0005-0000-0000-0000341B0000}"/>
    <cellStyle name="Normal 5 4 4 5 2 2" xfId="8633" xr:uid="{00000000-0005-0000-0000-0000351B0000}"/>
    <cellStyle name="Normal 5 4 4 5 2 2 2" xfId="17072" xr:uid="{78553015-47F7-498A-9C59-09FE7EBBACC4}"/>
    <cellStyle name="Normal 5 4 4 5 2 3" xfId="12854" xr:uid="{85B4A929-E54E-46AA-A970-DC55F0C4681F}"/>
    <cellStyle name="Normal 5 4 4 5 3" xfId="6488" xr:uid="{00000000-0005-0000-0000-0000361B0000}"/>
    <cellStyle name="Normal 5 4 4 5 3 2" xfId="14927" xr:uid="{9AD91ACD-E08F-4111-A67D-1638782C9E55}"/>
    <cellStyle name="Normal 5 4 4 5 4" xfId="10709" xr:uid="{C34FA4D8-B70B-4C8C-BBC4-0B4A910BE1E7}"/>
    <cellStyle name="Normal 5 4 4 6" xfId="2617" xr:uid="{00000000-0005-0000-0000-0000371B0000}"/>
    <cellStyle name="Normal 5 4 4 6 2" xfId="6901" xr:uid="{00000000-0005-0000-0000-0000381B0000}"/>
    <cellStyle name="Normal 5 4 4 6 2 2" xfId="15340" xr:uid="{8AA71186-D9BC-4D52-A05A-FB9DF396892A}"/>
    <cellStyle name="Normal 5 4 4 6 3" xfId="11122" xr:uid="{46011AA9-9220-42E9-90DD-E0C63AC2CD4F}"/>
    <cellStyle name="Normal 5 4 4 7" xfId="4836" xr:uid="{00000000-0005-0000-0000-0000391B0000}"/>
    <cellStyle name="Normal 5 4 4 7 2" xfId="13275" xr:uid="{AD450E91-3B6A-46D2-9EBA-A9D835960864}"/>
    <cellStyle name="Normal 5 4 4 8" xfId="9057" xr:uid="{5856D972-EC50-488F-BC70-CF3DE7F4A88D}"/>
    <cellStyle name="Normal 5 4 5" xfId="930" xr:uid="{00000000-0005-0000-0000-00003A1B0000}"/>
    <cellStyle name="Normal 5 4 5 2" xfId="3164" xr:uid="{00000000-0005-0000-0000-00003B1B0000}"/>
    <cellStyle name="Normal 5 4 5 2 2" xfId="7387" xr:uid="{00000000-0005-0000-0000-00003C1B0000}"/>
    <cellStyle name="Normal 5 4 5 2 2 2" xfId="15826" xr:uid="{9BC1E721-FB55-4240-AA21-AC9884C51162}"/>
    <cellStyle name="Normal 5 4 5 2 3" xfId="11608" xr:uid="{7FF16D3E-A643-4288-93BB-7ED76B01070F}"/>
    <cellStyle name="Normal 5 4 5 3" xfId="5242" xr:uid="{00000000-0005-0000-0000-00003D1B0000}"/>
    <cellStyle name="Normal 5 4 5 3 2" xfId="13681" xr:uid="{1400D14D-FB9D-4044-980B-3B67D61B8AED}"/>
    <cellStyle name="Normal 5 4 5 4" xfId="9463" xr:uid="{D26250D4-CCAD-4CD2-9FBF-C367A6D8B3F1}"/>
    <cellStyle name="Normal 5 4 6" xfId="1347" xr:uid="{00000000-0005-0000-0000-00003E1B0000}"/>
    <cellStyle name="Normal 5 4 6 2" xfId="3577" xr:uid="{00000000-0005-0000-0000-00003F1B0000}"/>
    <cellStyle name="Normal 5 4 6 2 2" xfId="7800" xr:uid="{00000000-0005-0000-0000-0000401B0000}"/>
    <cellStyle name="Normal 5 4 6 2 2 2" xfId="16239" xr:uid="{67EE6F95-3E16-4EE8-B72D-152081AFAFB0}"/>
    <cellStyle name="Normal 5 4 6 2 3" xfId="12021" xr:uid="{03895724-415B-463A-82C2-6EAC38A991F3}"/>
    <cellStyle name="Normal 5 4 6 3" xfId="5655" xr:uid="{00000000-0005-0000-0000-0000411B0000}"/>
    <cellStyle name="Normal 5 4 6 3 2" xfId="14094" xr:uid="{06C52BF7-5A7C-4669-87D5-D09881570782}"/>
    <cellStyle name="Normal 5 4 6 4" xfId="9876" xr:uid="{8D103861-263D-4113-8F64-6DE790F23C27}"/>
    <cellStyle name="Normal 5 4 7" xfId="1760" xr:uid="{00000000-0005-0000-0000-0000421B0000}"/>
    <cellStyle name="Normal 5 4 7 2" xfId="3990" xr:uid="{00000000-0005-0000-0000-0000431B0000}"/>
    <cellStyle name="Normal 5 4 7 2 2" xfId="8213" xr:uid="{00000000-0005-0000-0000-0000441B0000}"/>
    <cellStyle name="Normal 5 4 7 2 2 2" xfId="16652" xr:uid="{A2558F7A-597B-4349-9783-14EFB818BAD3}"/>
    <cellStyle name="Normal 5 4 7 2 3" xfId="12434" xr:uid="{9831ABFE-02C9-4F8C-A7E5-41FC6AC9026C}"/>
    <cellStyle name="Normal 5 4 7 3" xfId="6068" xr:uid="{00000000-0005-0000-0000-0000451B0000}"/>
    <cellStyle name="Normal 5 4 7 3 2" xfId="14507" xr:uid="{552A2F5A-187F-45D8-9E66-933736A86CAC}"/>
    <cellStyle name="Normal 5 4 7 4" xfId="10289" xr:uid="{7B388BDE-F62B-4036-8AC3-BB0EA9620C6A}"/>
    <cellStyle name="Normal 5 4 8" xfId="2174" xr:uid="{00000000-0005-0000-0000-0000461B0000}"/>
    <cellStyle name="Normal 5 4 8 2" xfId="4403" xr:uid="{00000000-0005-0000-0000-0000471B0000}"/>
    <cellStyle name="Normal 5 4 8 2 2" xfId="8626" xr:uid="{00000000-0005-0000-0000-0000481B0000}"/>
    <cellStyle name="Normal 5 4 8 2 2 2" xfId="17065" xr:uid="{E2A6365C-F966-4980-9E03-D5AC40A6A201}"/>
    <cellStyle name="Normal 5 4 8 2 3" xfId="12847" xr:uid="{3E1E93C8-CBA6-4E5A-B8F2-9537DF0B2268}"/>
    <cellStyle name="Normal 5 4 8 3" xfId="6481" xr:uid="{00000000-0005-0000-0000-0000491B0000}"/>
    <cellStyle name="Normal 5 4 8 3 2" xfId="14920" xr:uid="{44EF96AE-2777-4E74-9720-F7C65C2B3998}"/>
    <cellStyle name="Normal 5 4 8 4" xfId="10702" xr:uid="{E225F2C2-F30E-4466-B3C1-A26C3A0B256A}"/>
    <cellStyle name="Normal 5 4 9" xfId="2610" xr:uid="{00000000-0005-0000-0000-00004A1B0000}"/>
    <cellStyle name="Normal 5 4 9 2" xfId="6894" xr:uid="{00000000-0005-0000-0000-00004B1B0000}"/>
    <cellStyle name="Normal 5 4 9 2 2" xfId="15333" xr:uid="{D0B13BD1-3729-4F60-9399-8421F11B1265}"/>
    <cellStyle name="Normal 5 4 9 3" xfId="11115" xr:uid="{3ABDFFC6-4F27-4C05-B5EB-3770D6946D38}"/>
    <cellStyle name="Normal 5 5" xfId="464" xr:uid="{00000000-0005-0000-0000-00004C1B0000}"/>
    <cellStyle name="Normal 5 5 10" xfId="9058" xr:uid="{6A32C3D7-01DA-45D6-97D8-D4C876245F69}"/>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6" xr:uid="{ACA23BA8-52DB-4D2D-87EA-850343B2A113}"/>
    <cellStyle name="Normal 5 5 2 2 2 2 3" xfId="11618" xr:uid="{D9F96365-C679-4CD5-AB2F-134FFD077F96}"/>
    <cellStyle name="Normal 5 5 2 2 2 3" xfId="5252" xr:uid="{00000000-0005-0000-0000-0000521B0000}"/>
    <cellStyle name="Normal 5 5 2 2 2 3 2" xfId="13691" xr:uid="{324BDCBD-F83D-430F-B976-DB34E0F4C64B}"/>
    <cellStyle name="Normal 5 5 2 2 2 4" xfId="9473" xr:uid="{43B0364D-048C-408C-8593-DA8565359A77}"/>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49" xr:uid="{89702B02-CA67-4108-94A9-B095D80C51AF}"/>
    <cellStyle name="Normal 5 5 2 2 3 2 3" xfId="12031" xr:uid="{0E9111A2-EF7D-43F1-A567-DE6DEFFB29CA}"/>
    <cellStyle name="Normal 5 5 2 2 3 3" xfId="5665" xr:uid="{00000000-0005-0000-0000-0000561B0000}"/>
    <cellStyle name="Normal 5 5 2 2 3 3 2" xfId="14104" xr:uid="{28B4FF5F-B3C1-468D-A81C-C79D43AB6BD4}"/>
    <cellStyle name="Normal 5 5 2 2 3 4" xfId="9886" xr:uid="{DCE6BE7B-A1B0-4AD2-8DEF-9A4212BCF62F}"/>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2" xr:uid="{728DDC40-58A9-4495-832D-B4F62B7F50C8}"/>
    <cellStyle name="Normal 5 5 2 2 4 2 3" xfId="12444" xr:uid="{E646A0F5-10EC-487F-B10E-9CDA3C95E900}"/>
    <cellStyle name="Normal 5 5 2 2 4 3" xfId="6078" xr:uid="{00000000-0005-0000-0000-00005A1B0000}"/>
    <cellStyle name="Normal 5 5 2 2 4 3 2" xfId="14517" xr:uid="{D5494874-59CF-4325-B6BF-D21A5A77A06F}"/>
    <cellStyle name="Normal 5 5 2 2 4 4" xfId="10299" xr:uid="{489760BA-0645-4521-90E7-B43275841D98}"/>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5" xr:uid="{1BA9E3C9-9C84-433D-B7D8-19379E7A4305}"/>
    <cellStyle name="Normal 5 5 2 2 5 2 3" xfId="12857" xr:uid="{B023781B-AE5A-4BEF-AFB1-201DD46BF52F}"/>
    <cellStyle name="Normal 5 5 2 2 5 3" xfId="6491" xr:uid="{00000000-0005-0000-0000-00005E1B0000}"/>
    <cellStyle name="Normal 5 5 2 2 5 3 2" xfId="14930" xr:uid="{FBC4D10A-F984-47CB-8102-37BB65FCAFF2}"/>
    <cellStyle name="Normal 5 5 2 2 5 4" xfId="10712" xr:uid="{E6C346A9-5757-47DC-A6AF-1CE46DCD63B1}"/>
    <cellStyle name="Normal 5 5 2 2 6" xfId="2620" xr:uid="{00000000-0005-0000-0000-00005F1B0000}"/>
    <cellStyle name="Normal 5 5 2 2 6 2" xfId="6904" xr:uid="{00000000-0005-0000-0000-0000601B0000}"/>
    <cellStyle name="Normal 5 5 2 2 6 2 2" xfId="15343" xr:uid="{A64434CC-C438-4890-94D5-4036E1397C5B}"/>
    <cellStyle name="Normal 5 5 2 2 6 3" xfId="11125" xr:uid="{B0216F39-455A-41BA-B009-F344B673DA95}"/>
    <cellStyle name="Normal 5 5 2 2 7" xfId="4839" xr:uid="{00000000-0005-0000-0000-0000611B0000}"/>
    <cellStyle name="Normal 5 5 2 2 7 2" xfId="13278" xr:uid="{CD94F5A8-1640-4572-A360-B92E681C2020}"/>
    <cellStyle name="Normal 5 5 2 2 8" xfId="9060" xr:uid="{96FE79FF-963D-4089-8979-969251108D55}"/>
    <cellStyle name="Normal 5 5 2 3" xfId="939" xr:uid="{00000000-0005-0000-0000-0000621B0000}"/>
    <cellStyle name="Normal 5 5 2 3 2" xfId="3173" xr:uid="{00000000-0005-0000-0000-0000631B0000}"/>
    <cellStyle name="Normal 5 5 2 3 2 2" xfId="7396" xr:uid="{00000000-0005-0000-0000-0000641B0000}"/>
    <cellStyle name="Normal 5 5 2 3 2 2 2" xfId="15835" xr:uid="{26F097B6-43DA-42D7-B062-63F05789BC73}"/>
    <cellStyle name="Normal 5 5 2 3 2 3" xfId="11617" xr:uid="{32E32B90-DCCD-4122-AC58-446CA39C5F6B}"/>
    <cellStyle name="Normal 5 5 2 3 3" xfId="5251" xr:uid="{00000000-0005-0000-0000-0000651B0000}"/>
    <cellStyle name="Normal 5 5 2 3 3 2" xfId="13690" xr:uid="{279E414C-F35E-4034-B8E5-F22CBD8A0EA7}"/>
    <cellStyle name="Normal 5 5 2 3 4" xfId="9472" xr:uid="{8F3021C9-EA22-4329-A654-E77ABD9B233B}"/>
    <cellStyle name="Normal 5 5 2 4" xfId="1356" xr:uid="{00000000-0005-0000-0000-0000661B0000}"/>
    <cellStyle name="Normal 5 5 2 4 2" xfId="3586" xr:uid="{00000000-0005-0000-0000-0000671B0000}"/>
    <cellStyle name="Normal 5 5 2 4 2 2" xfId="7809" xr:uid="{00000000-0005-0000-0000-0000681B0000}"/>
    <cellStyle name="Normal 5 5 2 4 2 2 2" xfId="16248" xr:uid="{8A3B7FAC-5953-4DE3-84EC-2F8318204708}"/>
    <cellStyle name="Normal 5 5 2 4 2 3" xfId="12030" xr:uid="{BB86773A-00DA-42A5-A897-450DEF7D70C8}"/>
    <cellStyle name="Normal 5 5 2 4 3" xfId="5664" xr:uid="{00000000-0005-0000-0000-0000691B0000}"/>
    <cellStyle name="Normal 5 5 2 4 3 2" xfId="14103" xr:uid="{2CB24A03-761F-4114-AFC8-F9CDEE5E7C96}"/>
    <cellStyle name="Normal 5 5 2 4 4" xfId="9885" xr:uid="{5657586A-AF14-4A43-961C-98F999F92F30}"/>
    <cellStyle name="Normal 5 5 2 5" xfId="1769" xr:uid="{00000000-0005-0000-0000-00006A1B0000}"/>
    <cellStyle name="Normal 5 5 2 5 2" xfId="3999" xr:uid="{00000000-0005-0000-0000-00006B1B0000}"/>
    <cellStyle name="Normal 5 5 2 5 2 2" xfId="8222" xr:uid="{00000000-0005-0000-0000-00006C1B0000}"/>
    <cellStyle name="Normal 5 5 2 5 2 2 2" xfId="16661" xr:uid="{7D6754D7-97E7-4B14-8A5E-65EFF3E67BB5}"/>
    <cellStyle name="Normal 5 5 2 5 2 3" xfId="12443" xr:uid="{D72D399A-5BDD-48E8-B7A2-EF616B4E0E8E}"/>
    <cellStyle name="Normal 5 5 2 5 3" xfId="6077" xr:uid="{00000000-0005-0000-0000-00006D1B0000}"/>
    <cellStyle name="Normal 5 5 2 5 3 2" xfId="14516" xr:uid="{9ADBBE00-09F8-40DA-9EDB-74BBE43AD8C9}"/>
    <cellStyle name="Normal 5 5 2 5 4" xfId="10298" xr:uid="{FEFDCF4F-877C-419E-8B5F-9B12EBC3EE65}"/>
    <cellStyle name="Normal 5 5 2 6" xfId="2183" xr:uid="{00000000-0005-0000-0000-00006E1B0000}"/>
    <cellStyle name="Normal 5 5 2 6 2" xfId="4412" xr:uid="{00000000-0005-0000-0000-00006F1B0000}"/>
    <cellStyle name="Normal 5 5 2 6 2 2" xfId="8635" xr:uid="{00000000-0005-0000-0000-0000701B0000}"/>
    <cellStyle name="Normal 5 5 2 6 2 2 2" xfId="17074" xr:uid="{25FD5736-8D0C-49DD-B1CF-E56030B292E9}"/>
    <cellStyle name="Normal 5 5 2 6 2 3" xfId="12856" xr:uid="{8750290E-CB66-4862-87A8-58D36F1C5754}"/>
    <cellStyle name="Normal 5 5 2 6 3" xfId="6490" xr:uid="{00000000-0005-0000-0000-0000711B0000}"/>
    <cellStyle name="Normal 5 5 2 6 3 2" xfId="14929" xr:uid="{127EC743-8BC7-4910-AAED-53A853ADD17E}"/>
    <cellStyle name="Normal 5 5 2 6 4" xfId="10711" xr:uid="{D1BDF396-1A96-4172-9793-0CC84625895D}"/>
    <cellStyle name="Normal 5 5 2 7" xfId="2619" xr:uid="{00000000-0005-0000-0000-0000721B0000}"/>
    <cellStyle name="Normal 5 5 2 7 2" xfId="6903" xr:uid="{00000000-0005-0000-0000-0000731B0000}"/>
    <cellStyle name="Normal 5 5 2 7 2 2" xfId="15342" xr:uid="{518D9BDE-E8D6-4729-962E-A6ED75C1B8BD}"/>
    <cellStyle name="Normal 5 5 2 7 3" xfId="11124" xr:uid="{4B235A70-0556-4C33-91C9-7EC5BB3978FB}"/>
    <cellStyle name="Normal 5 5 2 8" xfId="4838" xr:uid="{00000000-0005-0000-0000-0000741B0000}"/>
    <cellStyle name="Normal 5 5 2 8 2" xfId="13277" xr:uid="{1CEEC5F9-F51B-4213-A584-23FADB1FD485}"/>
    <cellStyle name="Normal 5 5 2 9" xfId="9059" xr:uid="{F5DC011C-73D3-4660-B50C-8C0F52EA7CF1}"/>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37" xr:uid="{A68D0140-F068-441C-8BE3-CB878A806B16}"/>
    <cellStyle name="Normal 5 5 3 2 2 3" xfId="11619" xr:uid="{3D387464-0F5F-427A-8092-BDFC43618C27}"/>
    <cellStyle name="Normal 5 5 3 2 3" xfId="5253" xr:uid="{00000000-0005-0000-0000-0000791B0000}"/>
    <cellStyle name="Normal 5 5 3 2 3 2" xfId="13692" xr:uid="{DE401CEC-805C-4F44-BC0A-E975676EAF68}"/>
    <cellStyle name="Normal 5 5 3 2 4" xfId="9474" xr:uid="{75E321A8-F71E-4F47-BCC4-0A9A8C9AB40F}"/>
    <cellStyle name="Normal 5 5 3 3" xfId="1358" xr:uid="{00000000-0005-0000-0000-00007A1B0000}"/>
    <cellStyle name="Normal 5 5 3 3 2" xfId="3588" xr:uid="{00000000-0005-0000-0000-00007B1B0000}"/>
    <cellStyle name="Normal 5 5 3 3 2 2" xfId="7811" xr:uid="{00000000-0005-0000-0000-00007C1B0000}"/>
    <cellStyle name="Normal 5 5 3 3 2 2 2" xfId="16250" xr:uid="{4B00A67D-AE80-4E6D-AD33-22F57927F057}"/>
    <cellStyle name="Normal 5 5 3 3 2 3" xfId="12032" xr:uid="{6016BF9D-52A4-4D82-9F14-9C056BCDC480}"/>
    <cellStyle name="Normal 5 5 3 3 3" xfId="5666" xr:uid="{00000000-0005-0000-0000-00007D1B0000}"/>
    <cellStyle name="Normal 5 5 3 3 3 2" xfId="14105" xr:uid="{AEB83CC8-E087-4AF2-8A8A-BCAF9660E571}"/>
    <cellStyle name="Normal 5 5 3 3 4" xfId="9887" xr:uid="{74FD7CF6-C1AA-4CA7-9087-BB3C71B99D59}"/>
    <cellStyle name="Normal 5 5 3 4" xfId="1771" xr:uid="{00000000-0005-0000-0000-00007E1B0000}"/>
    <cellStyle name="Normal 5 5 3 4 2" xfId="4001" xr:uid="{00000000-0005-0000-0000-00007F1B0000}"/>
    <cellStyle name="Normal 5 5 3 4 2 2" xfId="8224" xr:uid="{00000000-0005-0000-0000-0000801B0000}"/>
    <cellStyle name="Normal 5 5 3 4 2 2 2" xfId="16663" xr:uid="{A4C46374-7E0F-4C6F-9887-F4AF460B1448}"/>
    <cellStyle name="Normal 5 5 3 4 2 3" xfId="12445" xr:uid="{41F85666-23BF-40BA-8A71-B74DE93CA097}"/>
    <cellStyle name="Normal 5 5 3 4 3" xfId="6079" xr:uid="{00000000-0005-0000-0000-0000811B0000}"/>
    <cellStyle name="Normal 5 5 3 4 3 2" xfId="14518" xr:uid="{E1FDEFDB-8D45-4DC8-A5DC-FDE27B68FF50}"/>
    <cellStyle name="Normal 5 5 3 4 4" xfId="10300" xr:uid="{5F2E42EA-5648-49C1-ADD5-B676082CB69A}"/>
    <cellStyle name="Normal 5 5 3 5" xfId="2185" xr:uid="{00000000-0005-0000-0000-0000821B0000}"/>
    <cellStyle name="Normal 5 5 3 5 2" xfId="4414" xr:uid="{00000000-0005-0000-0000-0000831B0000}"/>
    <cellStyle name="Normal 5 5 3 5 2 2" xfId="8637" xr:uid="{00000000-0005-0000-0000-0000841B0000}"/>
    <cellStyle name="Normal 5 5 3 5 2 2 2" xfId="17076" xr:uid="{E17CDEA3-717F-41F4-BA2B-3161F0BE69F0}"/>
    <cellStyle name="Normal 5 5 3 5 2 3" xfId="12858" xr:uid="{992D81DA-3F7D-4E5C-96CC-84F85035B001}"/>
    <cellStyle name="Normal 5 5 3 5 3" xfId="6492" xr:uid="{00000000-0005-0000-0000-0000851B0000}"/>
    <cellStyle name="Normal 5 5 3 5 3 2" xfId="14931" xr:uid="{0EFDEB77-2F49-4141-89BC-3095789135C6}"/>
    <cellStyle name="Normal 5 5 3 5 4" xfId="10713" xr:uid="{F781952C-EEE3-4E7E-BC9A-1551DBC3E11C}"/>
    <cellStyle name="Normal 5 5 3 6" xfId="2621" xr:uid="{00000000-0005-0000-0000-0000861B0000}"/>
    <cellStyle name="Normal 5 5 3 6 2" xfId="6905" xr:uid="{00000000-0005-0000-0000-0000871B0000}"/>
    <cellStyle name="Normal 5 5 3 6 2 2" xfId="15344" xr:uid="{3304089D-56A6-4CF9-94E8-5F4FF56FC0FF}"/>
    <cellStyle name="Normal 5 5 3 6 3" xfId="11126" xr:uid="{B3BB176B-FECC-408B-AB99-D2EB773CC159}"/>
    <cellStyle name="Normal 5 5 3 7" xfId="4840" xr:uid="{00000000-0005-0000-0000-0000881B0000}"/>
    <cellStyle name="Normal 5 5 3 7 2" xfId="13279" xr:uid="{4C47C4A3-E0A2-4BD4-8F82-85C7D3887149}"/>
    <cellStyle name="Normal 5 5 3 8" xfId="9061" xr:uid="{63049140-CFB3-4AC7-951A-A8AF76100BF0}"/>
    <cellStyle name="Normal 5 5 4" xfId="938" xr:uid="{00000000-0005-0000-0000-0000891B0000}"/>
    <cellStyle name="Normal 5 5 4 2" xfId="3172" xr:uid="{00000000-0005-0000-0000-00008A1B0000}"/>
    <cellStyle name="Normal 5 5 4 2 2" xfId="7395" xr:uid="{00000000-0005-0000-0000-00008B1B0000}"/>
    <cellStyle name="Normal 5 5 4 2 2 2" xfId="15834" xr:uid="{81CB6570-5D02-4EB1-A85B-5A53483D4A31}"/>
    <cellStyle name="Normal 5 5 4 2 3" xfId="11616" xr:uid="{7C944D0F-E1D0-4105-B0E6-D34A799A39AC}"/>
    <cellStyle name="Normal 5 5 4 3" xfId="5250" xr:uid="{00000000-0005-0000-0000-00008C1B0000}"/>
    <cellStyle name="Normal 5 5 4 3 2" xfId="13689" xr:uid="{8FF91C48-B196-440C-ADE1-4AA3F5430F64}"/>
    <cellStyle name="Normal 5 5 4 4" xfId="9471" xr:uid="{8F59D5B9-16C3-4FEF-9377-9D306BDD4C7D}"/>
    <cellStyle name="Normal 5 5 5" xfId="1355" xr:uid="{00000000-0005-0000-0000-00008D1B0000}"/>
    <cellStyle name="Normal 5 5 5 2" xfId="3585" xr:uid="{00000000-0005-0000-0000-00008E1B0000}"/>
    <cellStyle name="Normal 5 5 5 2 2" xfId="7808" xr:uid="{00000000-0005-0000-0000-00008F1B0000}"/>
    <cellStyle name="Normal 5 5 5 2 2 2" xfId="16247" xr:uid="{A49A044B-5769-48B0-B9E0-C289DE3D699F}"/>
    <cellStyle name="Normal 5 5 5 2 3" xfId="12029" xr:uid="{4CE2713A-33F2-48EA-9EEA-E6321E9C7004}"/>
    <cellStyle name="Normal 5 5 5 3" xfId="5663" xr:uid="{00000000-0005-0000-0000-0000901B0000}"/>
    <cellStyle name="Normal 5 5 5 3 2" xfId="14102" xr:uid="{3A58AD92-7A2D-4F06-B1B8-246CC3AB56B9}"/>
    <cellStyle name="Normal 5 5 5 4" xfId="9884" xr:uid="{61522D19-94FB-4EC5-9231-0434DBF09CAD}"/>
    <cellStyle name="Normal 5 5 6" xfId="1768" xr:uid="{00000000-0005-0000-0000-0000911B0000}"/>
    <cellStyle name="Normal 5 5 6 2" xfId="3998" xr:uid="{00000000-0005-0000-0000-0000921B0000}"/>
    <cellStyle name="Normal 5 5 6 2 2" xfId="8221" xr:uid="{00000000-0005-0000-0000-0000931B0000}"/>
    <cellStyle name="Normal 5 5 6 2 2 2" xfId="16660" xr:uid="{FB256872-8E32-4D63-8712-4D1705B0804A}"/>
    <cellStyle name="Normal 5 5 6 2 3" xfId="12442" xr:uid="{26142B02-E5C1-4BC3-8C85-F202AF633BB4}"/>
    <cellStyle name="Normal 5 5 6 3" xfId="6076" xr:uid="{00000000-0005-0000-0000-0000941B0000}"/>
    <cellStyle name="Normal 5 5 6 3 2" xfId="14515" xr:uid="{24E17DCB-95ED-4145-BB0B-A0ED4F3F83CD}"/>
    <cellStyle name="Normal 5 5 6 4" xfId="10297" xr:uid="{70A3D39C-55BB-4290-A697-118EB8268DA9}"/>
    <cellStyle name="Normal 5 5 7" xfId="2182" xr:uid="{00000000-0005-0000-0000-0000951B0000}"/>
    <cellStyle name="Normal 5 5 7 2" xfId="4411" xr:uid="{00000000-0005-0000-0000-0000961B0000}"/>
    <cellStyle name="Normal 5 5 7 2 2" xfId="8634" xr:uid="{00000000-0005-0000-0000-0000971B0000}"/>
    <cellStyle name="Normal 5 5 7 2 2 2" xfId="17073" xr:uid="{D194FC9D-4D8B-4047-95E9-74D350ABF243}"/>
    <cellStyle name="Normal 5 5 7 2 3" xfId="12855" xr:uid="{6F69AE0A-3F5A-483A-A4C9-52B9542D9FE6}"/>
    <cellStyle name="Normal 5 5 7 3" xfId="6489" xr:uid="{00000000-0005-0000-0000-0000981B0000}"/>
    <cellStyle name="Normal 5 5 7 3 2" xfId="14928" xr:uid="{982C0680-393E-49C1-9C67-14B58CE22791}"/>
    <cellStyle name="Normal 5 5 7 4" xfId="10710" xr:uid="{0FE4F161-AE5A-40D4-8C09-D6B4271B2698}"/>
    <cellStyle name="Normal 5 5 8" xfId="2618" xr:uid="{00000000-0005-0000-0000-0000991B0000}"/>
    <cellStyle name="Normal 5 5 8 2" xfId="6902" xr:uid="{00000000-0005-0000-0000-00009A1B0000}"/>
    <cellStyle name="Normal 5 5 8 2 2" xfId="15341" xr:uid="{BF2347BB-9474-432E-9C46-23826E0DF1F7}"/>
    <cellStyle name="Normal 5 5 8 3" xfId="11123" xr:uid="{121FF4B2-9594-4AA9-9355-67C7C1596784}"/>
    <cellStyle name="Normal 5 5 9" xfId="4837" xr:uid="{00000000-0005-0000-0000-00009B1B0000}"/>
    <cellStyle name="Normal 5 5 9 2" xfId="13276" xr:uid="{37A88F7E-EB20-401A-AEF8-CAC19DEC2F71}"/>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39" xr:uid="{396C0543-D7C9-4804-91A9-4C61BB5F4540}"/>
    <cellStyle name="Normal 5 6 2 2 2 3" xfId="11621" xr:uid="{06E5EFCF-8AA0-4C3D-B1ED-6770B8EB8309}"/>
    <cellStyle name="Normal 5 6 2 2 3" xfId="5255" xr:uid="{00000000-0005-0000-0000-0000A11B0000}"/>
    <cellStyle name="Normal 5 6 2 2 3 2" xfId="13694" xr:uid="{DF2DA6C1-81EE-40A0-BBA7-4064ECEBFCEB}"/>
    <cellStyle name="Normal 5 6 2 2 4" xfId="9476" xr:uid="{4C50DED7-FF3F-4B7D-BCA1-0B0C4C71FF8E}"/>
    <cellStyle name="Normal 5 6 2 3" xfId="1360" xr:uid="{00000000-0005-0000-0000-0000A21B0000}"/>
    <cellStyle name="Normal 5 6 2 3 2" xfId="3590" xr:uid="{00000000-0005-0000-0000-0000A31B0000}"/>
    <cellStyle name="Normal 5 6 2 3 2 2" xfId="7813" xr:uid="{00000000-0005-0000-0000-0000A41B0000}"/>
    <cellStyle name="Normal 5 6 2 3 2 2 2" xfId="16252" xr:uid="{A92C6C2D-73D5-4E8B-8A3A-1847C7D75555}"/>
    <cellStyle name="Normal 5 6 2 3 2 3" xfId="12034" xr:uid="{17142C9B-0872-4C7D-9DB3-F77B751DC37B}"/>
    <cellStyle name="Normal 5 6 2 3 3" xfId="5668" xr:uid="{00000000-0005-0000-0000-0000A51B0000}"/>
    <cellStyle name="Normal 5 6 2 3 3 2" xfId="14107" xr:uid="{C21A62D8-001B-45C2-B2A9-2B0B39E1564B}"/>
    <cellStyle name="Normal 5 6 2 3 4" xfId="9889" xr:uid="{7284D360-471F-4B72-A8EB-73FD9CE194FE}"/>
    <cellStyle name="Normal 5 6 2 4" xfId="1773" xr:uid="{00000000-0005-0000-0000-0000A61B0000}"/>
    <cellStyle name="Normal 5 6 2 4 2" xfId="4003" xr:uid="{00000000-0005-0000-0000-0000A71B0000}"/>
    <cellStyle name="Normal 5 6 2 4 2 2" xfId="8226" xr:uid="{00000000-0005-0000-0000-0000A81B0000}"/>
    <cellStyle name="Normal 5 6 2 4 2 2 2" xfId="16665" xr:uid="{677DB15E-D64B-4F89-8FA3-BF4080AAB32A}"/>
    <cellStyle name="Normal 5 6 2 4 2 3" xfId="12447" xr:uid="{95AE017F-9E83-47C4-BAF0-D2780CBCFEDC}"/>
    <cellStyle name="Normal 5 6 2 4 3" xfId="6081" xr:uid="{00000000-0005-0000-0000-0000A91B0000}"/>
    <cellStyle name="Normal 5 6 2 4 3 2" xfId="14520" xr:uid="{1809EA8B-E2D1-423E-A086-148DCCAA95A5}"/>
    <cellStyle name="Normal 5 6 2 4 4" xfId="10302" xr:uid="{0AA7BF61-999D-41C4-8BF7-D46432C90749}"/>
    <cellStyle name="Normal 5 6 2 5" xfId="2187" xr:uid="{00000000-0005-0000-0000-0000AA1B0000}"/>
    <cellStyle name="Normal 5 6 2 5 2" xfId="4416" xr:uid="{00000000-0005-0000-0000-0000AB1B0000}"/>
    <cellStyle name="Normal 5 6 2 5 2 2" xfId="8639" xr:uid="{00000000-0005-0000-0000-0000AC1B0000}"/>
    <cellStyle name="Normal 5 6 2 5 2 2 2" xfId="17078" xr:uid="{00BD7727-4ACB-4E0C-8A7F-C82060CD7EEB}"/>
    <cellStyle name="Normal 5 6 2 5 2 3" xfId="12860" xr:uid="{5C7FDC44-E36A-41BC-ABA7-57D47443F266}"/>
    <cellStyle name="Normal 5 6 2 5 3" xfId="6494" xr:uid="{00000000-0005-0000-0000-0000AD1B0000}"/>
    <cellStyle name="Normal 5 6 2 5 3 2" xfId="14933" xr:uid="{B119A568-90E4-499C-9C69-9186149EF28B}"/>
    <cellStyle name="Normal 5 6 2 5 4" xfId="10715" xr:uid="{AFF353C8-4CB3-4C04-A7FA-EFA6B75ABD6E}"/>
    <cellStyle name="Normal 5 6 2 6" xfId="2623" xr:uid="{00000000-0005-0000-0000-0000AE1B0000}"/>
    <cellStyle name="Normal 5 6 2 6 2" xfId="6907" xr:uid="{00000000-0005-0000-0000-0000AF1B0000}"/>
    <cellStyle name="Normal 5 6 2 6 2 2" xfId="15346" xr:uid="{C89DFC95-DDA2-4FFA-A895-225BA9EA0019}"/>
    <cellStyle name="Normal 5 6 2 6 3" xfId="11128" xr:uid="{F53DECAD-DECE-496B-9745-9D0F62BC165C}"/>
    <cellStyle name="Normal 5 6 2 7" xfId="4842" xr:uid="{00000000-0005-0000-0000-0000B01B0000}"/>
    <cellStyle name="Normal 5 6 2 7 2" xfId="13281" xr:uid="{F0E3E4BC-19B5-4B39-8A21-F4FCCC01F936}"/>
    <cellStyle name="Normal 5 6 2 8" xfId="9063" xr:uid="{83CE63D9-CFF2-4FC5-9AE7-75333E398574}"/>
    <cellStyle name="Normal 5 6 3" xfId="942" xr:uid="{00000000-0005-0000-0000-0000B11B0000}"/>
    <cellStyle name="Normal 5 6 3 2" xfId="3176" xr:uid="{00000000-0005-0000-0000-0000B21B0000}"/>
    <cellStyle name="Normal 5 6 3 2 2" xfId="7399" xr:uid="{00000000-0005-0000-0000-0000B31B0000}"/>
    <cellStyle name="Normal 5 6 3 2 2 2" xfId="15838" xr:uid="{F1EA8C75-1CDA-4E09-B583-2B1735D64253}"/>
    <cellStyle name="Normal 5 6 3 2 3" xfId="11620" xr:uid="{0992B895-5813-4DC2-9B19-9A1CD6A71B86}"/>
    <cellStyle name="Normal 5 6 3 3" xfId="5254" xr:uid="{00000000-0005-0000-0000-0000B41B0000}"/>
    <cellStyle name="Normal 5 6 3 3 2" xfId="13693" xr:uid="{6996BA85-A76D-4694-B07C-F845244DDA31}"/>
    <cellStyle name="Normal 5 6 3 4" xfId="9475" xr:uid="{5EF30E08-474B-4E9F-9F86-2B0D07BA8641}"/>
    <cellStyle name="Normal 5 6 4" xfId="1359" xr:uid="{00000000-0005-0000-0000-0000B51B0000}"/>
    <cellStyle name="Normal 5 6 4 2" xfId="3589" xr:uid="{00000000-0005-0000-0000-0000B61B0000}"/>
    <cellStyle name="Normal 5 6 4 2 2" xfId="7812" xr:uid="{00000000-0005-0000-0000-0000B71B0000}"/>
    <cellStyle name="Normal 5 6 4 2 2 2" xfId="16251" xr:uid="{6005F520-F934-4417-B4A8-03266E2193EE}"/>
    <cellStyle name="Normal 5 6 4 2 3" xfId="12033" xr:uid="{B33854A9-F187-4453-806F-6AFCDA67B534}"/>
    <cellStyle name="Normal 5 6 4 3" xfId="5667" xr:uid="{00000000-0005-0000-0000-0000B81B0000}"/>
    <cellStyle name="Normal 5 6 4 3 2" xfId="14106" xr:uid="{B351275F-C561-4C59-BE2E-41D479D6E41B}"/>
    <cellStyle name="Normal 5 6 4 4" xfId="9888" xr:uid="{C72FF191-E553-49DE-877A-04D62BEF8BEA}"/>
    <cellStyle name="Normal 5 6 5" xfId="1772" xr:uid="{00000000-0005-0000-0000-0000B91B0000}"/>
    <cellStyle name="Normal 5 6 5 2" xfId="4002" xr:uid="{00000000-0005-0000-0000-0000BA1B0000}"/>
    <cellStyle name="Normal 5 6 5 2 2" xfId="8225" xr:uid="{00000000-0005-0000-0000-0000BB1B0000}"/>
    <cellStyle name="Normal 5 6 5 2 2 2" xfId="16664" xr:uid="{8F251541-A7C4-4D38-8D53-6CBFC5064846}"/>
    <cellStyle name="Normal 5 6 5 2 3" xfId="12446" xr:uid="{F51762C5-72E2-4148-A650-806CC2964E4B}"/>
    <cellStyle name="Normal 5 6 5 3" xfId="6080" xr:uid="{00000000-0005-0000-0000-0000BC1B0000}"/>
    <cellStyle name="Normal 5 6 5 3 2" xfId="14519" xr:uid="{FC7177DE-447C-42D1-9DAB-FA51E0560B81}"/>
    <cellStyle name="Normal 5 6 5 4" xfId="10301" xr:uid="{37613F13-B95D-48F9-A57F-EE50BB04B351}"/>
    <cellStyle name="Normal 5 6 6" xfId="2186" xr:uid="{00000000-0005-0000-0000-0000BD1B0000}"/>
    <cellStyle name="Normal 5 6 6 2" xfId="4415" xr:uid="{00000000-0005-0000-0000-0000BE1B0000}"/>
    <cellStyle name="Normal 5 6 6 2 2" xfId="8638" xr:uid="{00000000-0005-0000-0000-0000BF1B0000}"/>
    <cellStyle name="Normal 5 6 6 2 2 2" xfId="17077" xr:uid="{ED40F8AE-8B2E-4823-A7C7-CEA09F47D195}"/>
    <cellStyle name="Normal 5 6 6 2 3" xfId="12859" xr:uid="{7B185EBC-E0A0-48AB-89A7-75DBDDBDABF2}"/>
    <cellStyle name="Normal 5 6 6 3" xfId="6493" xr:uid="{00000000-0005-0000-0000-0000C01B0000}"/>
    <cellStyle name="Normal 5 6 6 3 2" xfId="14932" xr:uid="{5904588E-B1B0-4CD5-BD01-F0AC884C5392}"/>
    <cellStyle name="Normal 5 6 6 4" xfId="10714" xr:uid="{1B3A252C-2604-4F54-B684-A09E6925D6D2}"/>
    <cellStyle name="Normal 5 6 7" xfId="2622" xr:uid="{00000000-0005-0000-0000-0000C11B0000}"/>
    <cellStyle name="Normal 5 6 7 2" xfId="6906" xr:uid="{00000000-0005-0000-0000-0000C21B0000}"/>
    <cellStyle name="Normal 5 6 7 2 2" xfId="15345" xr:uid="{34A04B5B-8804-490B-B428-7D47081A5FD5}"/>
    <cellStyle name="Normal 5 6 7 3" xfId="11127" xr:uid="{AA327ED0-E97B-4AEE-B1E2-E0AB2A040555}"/>
    <cellStyle name="Normal 5 6 8" xfId="4841" xr:uid="{00000000-0005-0000-0000-0000C31B0000}"/>
    <cellStyle name="Normal 5 6 8 2" xfId="13280" xr:uid="{4BAEE618-15C4-4708-9792-D4BE1DDC59C0}"/>
    <cellStyle name="Normal 5 6 9" xfId="9062" xr:uid="{F6F4CF2E-6D45-446B-9FA1-98618CC294C1}"/>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0" xr:uid="{A49210F0-C3ED-4A2D-8DD1-87E563D1C88D}"/>
    <cellStyle name="Normal 5 7 2 2 3" xfId="11622" xr:uid="{B3CA6BE2-2DA5-4359-8B9E-8AED74678523}"/>
    <cellStyle name="Normal 5 7 2 3" xfId="5256" xr:uid="{00000000-0005-0000-0000-0000C81B0000}"/>
    <cellStyle name="Normal 5 7 2 3 2" xfId="13695" xr:uid="{AC21B3B6-7A2F-4BD6-AC21-1A701A28C339}"/>
    <cellStyle name="Normal 5 7 2 4" xfId="9477" xr:uid="{89C11D59-31E9-4A79-B77E-6E8A731BC00F}"/>
    <cellStyle name="Normal 5 7 3" xfId="1361" xr:uid="{00000000-0005-0000-0000-0000C91B0000}"/>
    <cellStyle name="Normal 5 7 3 2" xfId="3591" xr:uid="{00000000-0005-0000-0000-0000CA1B0000}"/>
    <cellStyle name="Normal 5 7 3 2 2" xfId="7814" xr:uid="{00000000-0005-0000-0000-0000CB1B0000}"/>
    <cellStyle name="Normal 5 7 3 2 2 2" xfId="16253" xr:uid="{983773BB-1D54-447C-8362-E3D3B4811812}"/>
    <cellStyle name="Normal 5 7 3 2 3" xfId="12035" xr:uid="{B739A879-85FF-45D2-A488-55757D624285}"/>
    <cellStyle name="Normal 5 7 3 3" xfId="5669" xr:uid="{00000000-0005-0000-0000-0000CC1B0000}"/>
    <cellStyle name="Normal 5 7 3 3 2" xfId="14108" xr:uid="{A9E5F98A-8EA4-4F5C-8878-671FE5FB8025}"/>
    <cellStyle name="Normal 5 7 3 4" xfId="9890" xr:uid="{9A397839-F020-44C9-BCB2-C55E2D134CF6}"/>
    <cellStyle name="Normal 5 7 4" xfId="1774" xr:uid="{00000000-0005-0000-0000-0000CD1B0000}"/>
    <cellStyle name="Normal 5 7 4 2" xfId="4004" xr:uid="{00000000-0005-0000-0000-0000CE1B0000}"/>
    <cellStyle name="Normal 5 7 4 2 2" xfId="8227" xr:uid="{00000000-0005-0000-0000-0000CF1B0000}"/>
    <cellStyle name="Normal 5 7 4 2 2 2" xfId="16666" xr:uid="{060AAF05-A8FB-46B2-B9C1-9B3E4B2C1E6B}"/>
    <cellStyle name="Normal 5 7 4 2 3" xfId="12448" xr:uid="{F8B59FE8-0408-465B-9F50-40D8FEDE72BE}"/>
    <cellStyle name="Normal 5 7 4 3" xfId="6082" xr:uid="{00000000-0005-0000-0000-0000D01B0000}"/>
    <cellStyle name="Normal 5 7 4 3 2" xfId="14521" xr:uid="{67A34351-8428-415D-887F-CF9537D272AF}"/>
    <cellStyle name="Normal 5 7 4 4" xfId="10303" xr:uid="{829133A5-4D25-41CA-B47B-62E21D273FDA}"/>
    <cellStyle name="Normal 5 7 5" xfId="2188" xr:uid="{00000000-0005-0000-0000-0000D11B0000}"/>
    <cellStyle name="Normal 5 7 5 2" xfId="4417" xr:uid="{00000000-0005-0000-0000-0000D21B0000}"/>
    <cellStyle name="Normal 5 7 5 2 2" xfId="8640" xr:uid="{00000000-0005-0000-0000-0000D31B0000}"/>
    <cellStyle name="Normal 5 7 5 2 2 2" xfId="17079" xr:uid="{DB503CAE-E208-4F4D-A1C3-D79D02893F21}"/>
    <cellStyle name="Normal 5 7 5 2 3" xfId="12861" xr:uid="{11310C35-FC2A-48DA-B1FA-BB743EB622EE}"/>
    <cellStyle name="Normal 5 7 5 3" xfId="6495" xr:uid="{00000000-0005-0000-0000-0000D41B0000}"/>
    <cellStyle name="Normal 5 7 5 3 2" xfId="14934" xr:uid="{BAAFC91E-545A-481A-85E6-05B1E4A36F8E}"/>
    <cellStyle name="Normal 5 7 5 4" xfId="10716" xr:uid="{217969FA-89E3-4529-BA73-2D204EEFF204}"/>
    <cellStyle name="Normal 5 7 6" xfId="2624" xr:uid="{00000000-0005-0000-0000-0000D51B0000}"/>
    <cellStyle name="Normal 5 7 6 2" xfId="6908" xr:uid="{00000000-0005-0000-0000-0000D61B0000}"/>
    <cellStyle name="Normal 5 7 6 2 2" xfId="15347" xr:uid="{5F5AFA6E-C4E1-4FE2-A64B-058FEC48108F}"/>
    <cellStyle name="Normal 5 7 6 3" xfId="11129" xr:uid="{76EF1699-13A4-4F30-B805-12F729426A1F}"/>
    <cellStyle name="Normal 5 7 7" xfId="4843" xr:uid="{00000000-0005-0000-0000-0000D71B0000}"/>
    <cellStyle name="Normal 5 7 7 2" xfId="13282" xr:uid="{70C3D0A6-1F38-4BC7-8F20-4D1E4865C6AC}"/>
    <cellStyle name="Normal 5 7 8" xfId="9064" xr:uid="{18DD4892-E888-426D-AC3D-B2BAC9FB69E4}"/>
    <cellStyle name="Normal 5 8" xfId="880" xr:uid="{00000000-0005-0000-0000-0000D81B0000}"/>
    <cellStyle name="Normal 5 8 2" xfId="3115" xr:uid="{00000000-0005-0000-0000-0000D91B0000}"/>
    <cellStyle name="Normal 5 8 2 2" xfId="7338" xr:uid="{00000000-0005-0000-0000-0000DA1B0000}"/>
    <cellStyle name="Normal 5 8 2 2 2" xfId="15777" xr:uid="{523F5613-2C70-49C2-8F18-BF2F8D6488C9}"/>
    <cellStyle name="Normal 5 8 2 3" xfId="11559" xr:uid="{93D263C3-AF73-43FA-9B9E-78E81A765761}"/>
    <cellStyle name="Normal 5 8 3" xfId="5193" xr:uid="{00000000-0005-0000-0000-0000DB1B0000}"/>
    <cellStyle name="Normal 5 8 3 2" xfId="13632" xr:uid="{54011D02-5BBB-4F7A-B13C-88B2CE952F2F}"/>
    <cellStyle name="Normal 5 8 4" xfId="9414" xr:uid="{E7B7127F-E099-40B8-B22C-2824AE8484A7}"/>
    <cellStyle name="Normal 5 9" xfId="1298" xr:uid="{00000000-0005-0000-0000-0000DC1B0000}"/>
    <cellStyle name="Normal 5 9 2" xfId="3528" xr:uid="{00000000-0005-0000-0000-0000DD1B0000}"/>
    <cellStyle name="Normal 5 9 2 2" xfId="7751" xr:uid="{00000000-0005-0000-0000-0000DE1B0000}"/>
    <cellStyle name="Normal 5 9 2 2 2" xfId="16190" xr:uid="{5239782E-0302-4722-AE9F-C38C35A6AA96}"/>
    <cellStyle name="Normal 5 9 2 3" xfId="11972" xr:uid="{F0B0457E-A514-46DC-96E8-B41106E311AD}"/>
    <cellStyle name="Normal 5 9 3" xfId="5606" xr:uid="{00000000-0005-0000-0000-0000DF1B0000}"/>
    <cellStyle name="Normal 5 9 3 2" xfId="14045" xr:uid="{B3A729D6-EA58-4A20-8B29-67DECE8B11EE}"/>
    <cellStyle name="Normal 5 9 4" xfId="9827" xr:uid="{EF0A298F-60B1-4810-AB3E-BC519FDD3BBF}"/>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0" xr:uid="{D08D0603-E21C-4837-943C-BB5EA9909B17}"/>
    <cellStyle name="Normal 8 10 2 3" xfId="12862" xr:uid="{26A5C8DB-C04D-4A44-89BF-80D262FD768A}"/>
    <cellStyle name="Normal 8 10 3" xfId="6496" xr:uid="{00000000-0005-0000-0000-0000EB1B0000}"/>
    <cellStyle name="Normal 8 10 3 2" xfId="14935" xr:uid="{BB8B4010-F977-4F05-9DFB-BD9F6A29166C}"/>
    <cellStyle name="Normal 8 10 4" xfId="10717" xr:uid="{162971BD-6B5F-444D-AC30-B73ECF82DB4B}"/>
    <cellStyle name="Normal 8 11" xfId="2625" xr:uid="{00000000-0005-0000-0000-0000EC1B0000}"/>
    <cellStyle name="Normal 8 11 2" xfId="6909" xr:uid="{00000000-0005-0000-0000-0000ED1B0000}"/>
    <cellStyle name="Normal 8 11 2 2" xfId="15348" xr:uid="{B6467BC3-0DD5-45CD-802D-FC8492001F88}"/>
    <cellStyle name="Normal 8 11 3" xfId="11130" xr:uid="{7C3C0CFB-A5AC-42BB-9297-7AD78D5F6BC6}"/>
    <cellStyle name="Normal 8 12" xfId="4844" xr:uid="{00000000-0005-0000-0000-0000EE1B0000}"/>
    <cellStyle name="Normal 8 12 2" xfId="13283" xr:uid="{305145A5-E1D7-4F30-9FAC-64C1558BA149}"/>
    <cellStyle name="Normal 8 13" xfId="9065" xr:uid="{4E4421F2-D7DB-4CCA-B2DB-07647442AD3B}"/>
    <cellStyle name="Normal 8 2" xfId="479" xr:uid="{00000000-0005-0000-0000-0000EF1B0000}"/>
    <cellStyle name="Normal 8 2 10" xfId="2626" xr:uid="{00000000-0005-0000-0000-0000F01B0000}"/>
    <cellStyle name="Normal 8 2 10 2" xfId="6910" xr:uid="{00000000-0005-0000-0000-0000F11B0000}"/>
    <cellStyle name="Normal 8 2 10 2 2" xfId="15349" xr:uid="{CE806E24-FE14-4177-8D94-1E465451F206}"/>
    <cellStyle name="Normal 8 2 10 3" xfId="11131" xr:uid="{D12718C3-4D4F-4F23-8B9F-A4A38A7B0AD5}"/>
    <cellStyle name="Normal 8 2 11" xfId="4845" xr:uid="{00000000-0005-0000-0000-0000F21B0000}"/>
    <cellStyle name="Normal 8 2 11 2" xfId="13284" xr:uid="{FB06B669-5044-43EA-8266-D2F419C24023}"/>
    <cellStyle name="Normal 8 2 12" xfId="9066" xr:uid="{0003B2B7-9E78-4ABC-8D96-01E770EA1EED}"/>
    <cellStyle name="Normal 8 2 2" xfId="480" xr:uid="{00000000-0005-0000-0000-0000F31B0000}"/>
    <cellStyle name="Normal 8 2 2 10" xfId="4846" xr:uid="{00000000-0005-0000-0000-0000F41B0000}"/>
    <cellStyle name="Normal 8 2 2 10 2" xfId="13285" xr:uid="{F3C47468-B740-46CB-9C58-38A485035478}"/>
    <cellStyle name="Normal 8 2 2 11" xfId="9067" xr:uid="{5850DDC3-6791-4CAE-8A31-B3327E2B1D9A}"/>
    <cellStyle name="Normal 8 2 2 2" xfId="481" xr:uid="{00000000-0005-0000-0000-0000F51B0000}"/>
    <cellStyle name="Normal 8 2 2 2 10" xfId="9068" xr:uid="{B832DA6F-63B6-4100-A91B-2DBBD3293575}"/>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6" xr:uid="{5D431D4C-CF14-41E6-AB70-A56340A8A35D}"/>
    <cellStyle name="Normal 8 2 2 2 2 2 2 2 3" xfId="11628" xr:uid="{D32F7D30-F454-4160-8477-61D08F54FD6E}"/>
    <cellStyle name="Normal 8 2 2 2 2 2 2 3" xfId="5262" xr:uid="{00000000-0005-0000-0000-0000FB1B0000}"/>
    <cellStyle name="Normal 8 2 2 2 2 2 2 3 2" xfId="13701" xr:uid="{A049D0C1-4792-4B09-9237-CC08956404F5}"/>
    <cellStyle name="Normal 8 2 2 2 2 2 2 4" xfId="9483" xr:uid="{277AB7EA-E4D1-4A90-843B-CC12E1888B7D}"/>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59" xr:uid="{554588CB-5328-4F4B-94B4-D05B91935550}"/>
    <cellStyle name="Normal 8 2 2 2 2 2 3 2 3" xfId="12041" xr:uid="{3BE9EA28-BE0E-4933-A12B-21965840AECF}"/>
    <cellStyle name="Normal 8 2 2 2 2 2 3 3" xfId="5675" xr:uid="{00000000-0005-0000-0000-0000FF1B0000}"/>
    <cellStyle name="Normal 8 2 2 2 2 2 3 3 2" xfId="14114" xr:uid="{1BB1522A-25F7-48A7-8E21-473149D95981}"/>
    <cellStyle name="Normal 8 2 2 2 2 2 3 4" xfId="9896" xr:uid="{D2011544-2B9A-4D86-9972-20BCA52CF915}"/>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2" xr:uid="{2670429E-DBEC-4F7D-AFC0-C1F93286723E}"/>
    <cellStyle name="Normal 8 2 2 2 2 2 4 2 3" xfId="12454" xr:uid="{3519132D-96F4-4C42-ABFE-B2C298A1F7CF}"/>
    <cellStyle name="Normal 8 2 2 2 2 2 4 3" xfId="6088" xr:uid="{00000000-0005-0000-0000-0000031C0000}"/>
    <cellStyle name="Normal 8 2 2 2 2 2 4 3 2" xfId="14527" xr:uid="{2EA5AD36-0A11-42AC-9391-E1D6D377C752}"/>
    <cellStyle name="Normal 8 2 2 2 2 2 4 4" xfId="10309" xr:uid="{18015AE5-5D8C-4882-82F1-6146E66C63C6}"/>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5" xr:uid="{B363001C-B132-465B-99B3-25D1EBDCBCD6}"/>
    <cellStyle name="Normal 8 2 2 2 2 2 5 2 3" xfId="12867" xr:uid="{2FF7D694-728F-406F-9B02-FE6E0157FA29}"/>
    <cellStyle name="Normal 8 2 2 2 2 2 5 3" xfId="6501" xr:uid="{00000000-0005-0000-0000-0000071C0000}"/>
    <cellStyle name="Normal 8 2 2 2 2 2 5 3 2" xfId="14940" xr:uid="{ED245E42-B90B-423D-BE50-73727D8CEBD1}"/>
    <cellStyle name="Normal 8 2 2 2 2 2 5 4" xfId="10722" xr:uid="{5B2FAEF8-8C7A-43B0-A3E4-23A0DC159091}"/>
    <cellStyle name="Normal 8 2 2 2 2 2 6" xfId="2630" xr:uid="{00000000-0005-0000-0000-0000081C0000}"/>
    <cellStyle name="Normal 8 2 2 2 2 2 6 2" xfId="6914" xr:uid="{00000000-0005-0000-0000-0000091C0000}"/>
    <cellStyle name="Normal 8 2 2 2 2 2 6 2 2" xfId="15353" xr:uid="{6D21F248-2B13-4F82-ACB1-1352048F4D9B}"/>
    <cellStyle name="Normal 8 2 2 2 2 2 6 3" xfId="11135" xr:uid="{D897ED59-C25F-443E-92AA-63CDF9D35B94}"/>
    <cellStyle name="Normal 8 2 2 2 2 2 7" xfId="4849" xr:uid="{00000000-0005-0000-0000-00000A1C0000}"/>
    <cellStyle name="Normal 8 2 2 2 2 2 7 2" xfId="13288" xr:uid="{E919ED9B-7A97-4624-A9B6-9F000B472921}"/>
    <cellStyle name="Normal 8 2 2 2 2 2 8" xfId="9070" xr:uid="{112A8CA9-3850-4A23-9117-1E8FC886A823}"/>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5" xr:uid="{EA90E725-84F4-4405-9A3A-B06F00C562D5}"/>
    <cellStyle name="Normal 8 2 2 2 2 3 2 3" xfId="11627" xr:uid="{12F5AB6A-53C7-42CB-938A-2959E237E626}"/>
    <cellStyle name="Normal 8 2 2 2 2 3 3" xfId="5261" xr:uid="{00000000-0005-0000-0000-00000E1C0000}"/>
    <cellStyle name="Normal 8 2 2 2 2 3 3 2" xfId="13700" xr:uid="{22BCD451-3442-4C53-9F2B-A2384BA83A09}"/>
    <cellStyle name="Normal 8 2 2 2 2 3 4" xfId="9482" xr:uid="{6C68EA63-9483-494F-B913-F94F9A243803}"/>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58" xr:uid="{2016EB95-2A88-4F96-935A-FCE2D7D3F322}"/>
    <cellStyle name="Normal 8 2 2 2 2 4 2 3" xfId="12040" xr:uid="{5BAACEBC-75BA-4330-8CB9-FD37AE7468CF}"/>
    <cellStyle name="Normal 8 2 2 2 2 4 3" xfId="5674" xr:uid="{00000000-0005-0000-0000-0000121C0000}"/>
    <cellStyle name="Normal 8 2 2 2 2 4 3 2" xfId="14113" xr:uid="{B515821A-F842-499D-9BA1-7C06499BC27A}"/>
    <cellStyle name="Normal 8 2 2 2 2 4 4" xfId="9895" xr:uid="{5338562B-6C6E-4F25-AA9C-E3EB805F7918}"/>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1" xr:uid="{84C8D751-107F-4CDE-A71E-91C6D822E646}"/>
    <cellStyle name="Normal 8 2 2 2 2 5 2 3" xfId="12453" xr:uid="{0AEE9661-A55A-4CB5-A668-CAD03C2970BA}"/>
    <cellStyle name="Normal 8 2 2 2 2 5 3" xfId="6087" xr:uid="{00000000-0005-0000-0000-0000161C0000}"/>
    <cellStyle name="Normal 8 2 2 2 2 5 3 2" xfId="14526" xr:uid="{FFD17643-CCE7-41BB-BB37-FE6D51B328C2}"/>
    <cellStyle name="Normal 8 2 2 2 2 5 4" xfId="10308" xr:uid="{CDAD2FAC-2124-4091-9775-4EAE85E245F2}"/>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4" xr:uid="{99C30DA0-81A2-45F6-BF59-8FC537A29C02}"/>
    <cellStyle name="Normal 8 2 2 2 2 6 2 3" xfId="12866" xr:uid="{1B54E6F6-371D-4171-AC6E-F5FB4F24B56B}"/>
    <cellStyle name="Normal 8 2 2 2 2 6 3" xfId="6500" xr:uid="{00000000-0005-0000-0000-00001A1C0000}"/>
    <cellStyle name="Normal 8 2 2 2 2 6 3 2" xfId="14939" xr:uid="{C6829F3B-4886-4527-A538-CDBBE00017CE}"/>
    <cellStyle name="Normal 8 2 2 2 2 6 4" xfId="10721" xr:uid="{E200FEEA-B572-45E2-983D-62E0D04A7B3D}"/>
    <cellStyle name="Normal 8 2 2 2 2 7" xfId="2629" xr:uid="{00000000-0005-0000-0000-00001B1C0000}"/>
    <cellStyle name="Normal 8 2 2 2 2 7 2" xfId="6913" xr:uid="{00000000-0005-0000-0000-00001C1C0000}"/>
    <cellStyle name="Normal 8 2 2 2 2 7 2 2" xfId="15352" xr:uid="{56BD6C3D-486D-4A59-B5E6-4B5FD3597D87}"/>
    <cellStyle name="Normal 8 2 2 2 2 7 3" xfId="11134" xr:uid="{238958B6-B57F-478A-80CB-5521E7DDBD25}"/>
    <cellStyle name="Normal 8 2 2 2 2 8" xfId="4848" xr:uid="{00000000-0005-0000-0000-00001D1C0000}"/>
    <cellStyle name="Normal 8 2 2 2 2 8 2" xfId="13287" xr:uid="{941EB2CC-31FA-4FA5-A8A6-FAC4BE264B95}"/>
    <cellStyle name="Normal 8 2 2 2 2 9" xfId="9069" xr:uid="{194830C2-33ED-4DBE-99B3-5F78947B65F2}"/>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47" xr:uid="{B32FA1FA-9FF0-4EF5-94F8-007A458854AD}"/>
    <cellStyle name="Normal 8 2 2 2 3 2 2 3" xfId="11629" xr:uid="{7AA606AE-C619-4B1A-9F52-71E209ABDACD}"/>
    <cellStyle name="Normal 8 2 2 2 3 2 3" xfId="5263" xr:uid="{00000000-0005-0000-0000-0000221C0000}"/>
    <cellStyle name="Normal 8 2 2 2 3 2 3 2" xfId="13702" xr:uid="{10707228-389A-4994-90E7-92BF3A82EE35}"/>
    <cellStyle name="Normal 8 2 2 2 3 2 4" xfId="9484" xr:uid="{A34878CC-6F3C-4DD0-A6EB-059A43336A7E}"/>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0" xr:uid="{14A7C475-5F19-4E52-B2A3-E727F9562882}"/>
    <cellStyle name="Normal 8 2 2 2 3 3 2 3" xfId="12042" xr:uid="{D27695CC-B5A3-4023-95CA-B1E6CC85C670}"/>
    <cellStyle name="Normal 8 2 2 2 3 3 3" xfId="5676" xr:uid="{00000000-0005-0000-0000-0000261C0000}"/>
    <cellStyle name="Normal 8 2 2 2 3 3 3 2" xfId="14115" xr:uid="{F9A09CB2-0665-473D-AA5E-81B13F4DBE86}"/>
    <cellStyle name="Normal 8 2 2 2 3 3 4" xfId="9897" xr:uid="{E3995DA9-87F6-4044-8DD1-D389159BEFC1}"/>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3" xr:uid="{B5422571-6990-4FEF-BAB7-F2E4F5FEB9A9}"/>
    <cellStyle name="Normal 8 2 2 2 3 4 2 3" xfId="12455" xr:uid="{F69FE618-C70F-4BB8-8679-2AC6AE30E605}"/>
    <cellStyle name="Normal 8 2 2 2 3 4 3" xfId="6089" xr:uid="{00000000-0005-0000-0000-00002A1C0000}"/>
    <cellStyle name="Normal 8 2 2 2 3 4 3 2" xfId="14528" xr:uid="{9E5114CB-8310-43CE-B67D-C306C2C65AAF}"/>
    <cellStyle name="Normal 8 2 2 2 3 4 4" xfId="10310" xr:uid="{8F48FC43-069B-441E-8D4E-D1A88C6547FE}"/>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6" xr:uid="{5704A4AD-CB45-4C41-BD9E-13FA6AEDE4B5}"/>
    <cellStyle name="Normal 8 2 2 2 3 5 2 3" xfId="12868" xr:uid="{61E97378-ACC1-4786-9BBD-00D1C847C110}"/>
    <cellStyle name="Normal 8 2 2 2 3 5 3" xfId="6502" xr:uid="{00000000-0005-0000-0000-00002E1C0000}"/>
    <cellStyle name="Normal 8 2 2 2 3 5 3 2" xfId="14941" xr:uid="{89035100-B705-40C0-9FB5-F6AA825674A5}"/>
    <cellStyle name="Normal 8 2 2 2 3 5 4" xfId="10723" xr:uid="{D4FDEADA-15C6-498A-ACBE-9B2ACCDD4ED8}"/>
    <cellStyle name="Normal 8 2 2 2 3 6" xfId="2631" xr:uid="{00000000-0005-0000-0000-00002F1C0000}"/>
    <cellStyle name="Normal 8 2 2 2 3 6 2" xfId="6915" xr:uid="{00000000-0005-0000-0000-0000301C0000}"/>
    <cellStyle name="Normal 8 2 2 2 3 6 2 2" xfId="15354" xr:uid="{970D3D88-D237-4976-8924-267E6A480C6E}"/>
    <cellStyle name="Normal 8 2 2 2 3 6 3" xfId="11136" xr:uid="{8BEEF01E-4264-4867-89E6-1875464ED17F}"/>
    <cellStyle name="Normal 8 2 2 2 3 7" xfId="4850" xr:uid="{00000000-0005-0000-0000-0000311C0000}"/>
    <cellStyle name="Normal 8 2 2 2 3 7 2" xfId="13289" xr:uid="{0CA11348-37D8-4A0C-AE51-FB80E5468D9D}"/>
    <cellStyle name="Normal 8 2 2 2 3 8" xfId="9071" xr:uid="{A50917D6-78DC-4003-9ADE-F9EE12217ECA}"/>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4" xr:uid="{112DDFEF-AE8E-4938-8788-A9482C171E97}"/>
    <cellStyle name="Normal 8 2 2 2 4 2 3" xfId="11626" xr:uid="{D1E81BC9-A204-475D-9693-345CB259D916}"/>
    <cellStyle name="Normal 8 2 2 2 4 3" xfId="5260" xr:uid="{00000000-0005-0000-0000-0000351C0000}"/>
    <cellStyle name="Normal 8 2 2 2 4 3 2" xfId="13699" xr:uid="{4AB7E6EA-C7D3-48E9-9435-34B2183F96B7}"/>
    <cellStyle name="Normal 8 2 2 2 4 4" xfId="9481" xr:uid="{2A66B19B-1C39-4F05-9A88-763996F7DE16}"/>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57" xr:uid="{47D4E193-EA17-4664-92D9-E7F0AE6C5C3A}"/>
    <cellStyle name="Normal 8 2 2 2 5 2 3" xfId="12039" xr:uid="{31937573-9786-451E-B3F0-2189C5CD567E}"/>
    <cellStyle name="Normal 8 2 2 2 5 3" xfId="5673" xr:uid="{00000000-0005-0000-0000-0000391C0000}"/>
    <cellStyle name="Normal 8 2 2 2 5 3 2" xfId="14112" xr:uid="{B37AB684-6CE5-404A-9F23-E6B1024FCB72}"/>
    <cellStyle name="Normal 8 2 2 2 5 4" xfId="9894" xr:uid="{C29123CF-96A7-4ECF-A519-E828D42273E4}"/>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0" xr:uid="{58EF1669-E487-47E9-B7FE-A441BB80EE90}"/>
    <cellStyle name="Normal 8 2 2 2 6 2 3" xfId="12452" xr:uid="{5F2848D8-9D56-4559-9BAD-CE715F0267A5}"/>
    <cellStyle name="Normal 8 2 2 2 6 3" xfId="6086" xr:uid="{00000000-0005-0000-0000-00003D1C0000}"/>
    <cellStyle name="Normal 8 2 2 2 6 3 2" xfId="14525" xr:uid="{8620745A-29C6-44F0-9CE3-0B70FAD46B34}"/>
    <cellStyle name="Normal 8 2 2 2 6 4" xfId="10307" xr:uid="{270DD4A0-59EC-4E08-9CDA-2F255A7C1F5E}"/>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3" xr:uid="{C8D31B2C-493B-465E-9960-FE039DD8F065}"/>
    <cellStyle name="Normal 8 2 2 2 7 2 3" xfId="12865" xr:uid="{899B7829-5744-431F-BCFE-A310660283F2}"/>
    <cellStyle name="Normal 8 2 2 2 7 3" xfId="6499" xr:uid="{00000000-0005-0000-0000-0000411C0000}"/>
    <cellStyle name="Normal 8 2 2 2 7 3 2" xfId="14938" xr:uid="{4BB4D58A-B241-40A8-899C-FF7E1F1B5703}"/>
    <cellStyle name="Normal 8 2 2 2 7 4" xfId="10720" xr:uid="{49E0935A-FD4F-4B48-AC06-7C0FB42FA72C}"/>
    <cellStyle name="Normal 8 2 2 2 8" xfId="2628" xr:uid="{00000000-0005-0000-0000-0000421C0000}"/>
    <cellStyle name="Normal 8 2 2 2 8 2" xfId="6912" xr:uid="{00000000-0005-0000-0000-0000431C0000}"/>
    <cellStyle name="Normal 8 2 2 2 8 2 2" xfId="15351" xr:uid="{30ED48DB-F07E-4A2B-B100-ECC2A2FEF7B8}"/>
    <cellStyle name="Normal 8 2 2 2 8 3" xfId="11133" xr:uid="{964A1EE6-DDB3-4EC2-B4A4-198077FDB118}"/>
    <cellStyle name="Normal 8 2 2 2 9" xfId="4847" xr:uid="{00000000-0005-0000-0000-0000441C0000}"/>
    <cellStyle name="Normal 8 2 2 2 9 2" xfId="13286" xr:uid="{26C69FC7-4579-4716-B32B-2F81559B6F73}"/>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49" xr:uid="{568DD543-423B-43B3-9B94-F50CAACC00B4}"/>
    <cellStyle name="Normal 8 2 2 3 2 2 2 3" xfId="11631" xr:uid="{9207B8A5-24A8-4326-A6CA-C6A0DECC5D18}"/>
    <cellStyle name="Normal 8 2 2 3 2 2 3" xfId="5265" xr:uid="{00000000-0005-0000-0000-00004A1C0000}"/>
    <cellStyle name="Normal 8 2 2 3 2 2 3 2" xfId="13704" xr:uid="{141602A5-62D4-4A84-A5A8-C6385DC7EE2A}"/>
    <cellStyle name="Normal 8 2 2 3 2 2 4" xfId="9486" xr:uid="{D80AC597-F462-4365-BE8C-42537A09932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2" xr:uid="{C440CD3D-FBF4-404A-8890-110590DF5ECB}"/>
    <cellStyle name="Normal 8 2 2 3 2 3 2 3" xfId="12044" xr:uid="{D10A1444-E2BB-4445-BB44-AA74F009C493}"/>
    <cellStyle name="Normal 8 2 2 3 2 3 3" xfId="5678" xr:uid="{00000000-0005-0000-0000-00004E1C0000}"/>
    <cellStyle name="Normal 8 2 2 3 2 3 3 2" xfId="14117" xr:uid="{9F624589-08C7-46DC-AA6F-334E509206CB}"/>
    <cellStyle name="Normal 8 2 2 3 2 3 4" xfId="9899" xr:uid="{2A940529-B687-4FFE-A7BB-CC20FFAD662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5" xr:uid="{453A4586-FE64-4E45-9020-6C1D09769903}"/>
    <cellStyle name="Normal 8 2 2 3 2 4 2 3" xfId="12457" xr:uid="{6C53D659-D9F9-4101-BF11-1244F8DEB915}"/>
    <cellStyle name="Normal 8 2 2 3 2 4 3" xfId="6091" xr:uid="{00000000-0005-0000-0000-0000521C0000}"/>
    <cellStyle name="Normal 8 2 2 3 2 4 3 2" xfId="14530" xr:uid="{21D8614E-34A3-4EBE-8628-01E57B38ABB4}"/>
    <cellStyle name="Normal 8 2 2 3 2 4 4" xfId="10312" xr:uid="{72CC4D63-3FB6-419C-8129-32E09F625F53}"/>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88" xr:uid="{C189243C-B84D-4903-908C-E544B9EBAE3E}"/>
    <cellStyle name="Normal 8 2 2 3 2 5 2 3" xfId="12870" xr:uid="{DF327E28-F969-4FCF-811F-886946E8C6D2}"/>
    <cellStyle name="Normal 8 2 2 3 2 5 3" xfId="6504" xr:uid="{00000000-0005-0000-0000-0000561C0000}"/>
    <cellStyle name="Normal 8 2 2 3 2 5 3 2" xfId="14943" xr:uid="{EDE13F6D-0B89-41C2-AAAD-D01DB71DB991}"/>
    <cellStyle name="Normal 8 2 2 3 2 5 4" xfId="10725" xr:uid="{11AEF7D2-06A8-4717-8265-839EF8DA5EC2}"/>
    <cellStyle name="Normal 8 2 2 3 2 6" xfId="2633" xr:uid="{00000000-0005-0000-0000-0000571C0000}"/>
    <cellStyle name="Normal 8 2 2 3 2 6 2" xfId="6917" xr:uid="{00000000-0005-0000-0000-0000581C0000}"/>
    <cellStyle name="Normal 8 2 2 3 2 6 2 2" xfId="15356" xr:uid="{A5948C3C-91B6-401F-8C19-ACE5664CD54E}"/>
    <cellStyle name="Normal 8 2 2 3 2 6 3" xfId="11138" xr:uid="{A84D496C-E373-4F2A-BB84-37516F02A3E4}"/>
    <cellStyle name="Normal 8 2 2 3 2 7" xfId="4852" xr:uid="{00000000-0005-0000-0000-0000591C0000}"/>
    <cellStyle name="Normal 8 2 2 3 2 7 2" xfId="13291" xr:uid="{69CFDFC3-A511-41C7-AFFB-AB930A743727}"/>
    <cellStyle name="Normal 8 2 2 3 2 8" xfId="9073" xr:uid="{775EA69F-4DCE-4417-B18F-D7CDD76692A9}"/>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48" xr:uid="{7F246A0B-597B-4C9F-9E4F-C5BD4BDD8EEC}"/>
    <cellStyle name="Normal 8 2 2 3 3 2 3" xfId="11630" xr:uid="{5BCB381F-5761-4E4D-A7E7-C1926E363A7F}"/>
    <cellStyle name="Normal 8 2 2 3 3 3" xfId="5264" xr:uid="{00000000-0005-0000-0000-00005D1C0000}"/>
    <cellStyle name="Normal 8 2 2 3 3 3 2" xfId="13703" xr:uid="{4FCB0787-370F-4266-A863-90362256D455}"/>
    <cellStyle name="Normal 8 2 2 3 3 4" xfId="9485" xr:uid="{E845E4E3-6576-40FC-ACB0-367D76EF0E11}"/>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1" xr:uid="{D1B44857-61EB-4F9B-8A72-2778D6A18976}"/>
    <cellStyle name="Normal 8 2 2 3 4 2 3" xfId="12043" xr:uid="{ABE8CECE-E1DF-4F64-9FEC-8155B3A51550}"/>
    <cellStyle name="Normal 8 2 2 3 4 3" xfId="5677" xr:uid="{00000000-0005-0000-0000-0000611C0000}"/>
    <cellStyle name="Normal 8 2 2 3 4 3 2" xfId="14116" xr:uid="{506CF357-5D76-4B69-B2B1-5BCA8D1FC549}"/>
    <cellStyle name="Normal 8 2 2 3 4 4" xfId="9898" xr:uid="{52DCE697-93D4-4765-9C94-499040E4D3B3}"/>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4" xr:uid="{29AE459B-CC3B-4383-BC21-1CEFBD614334}"/>
    <cellStyle name="Normal 8 2 2 3 5 2 3" xfId="12456" xr:uid="{A57258DB-6839-477C-BC2A-918027313DAD}"/>
    <cellStyle name="Normal 8 2 2 3 5 3" xfId="6090" xr:uid="{00000000-0005-0000-0000-0000651C0000}"/>
    <cellStyle name="Normal 8 2 2 3 5 3 2" xfId="14529" xr:uid="{12A3D750-7247-4C19-A59F-F633FCA73F96}"/>
    <cellStyle name="Normal 8 2 2 3 5 4" xfId="10311" xr:uid="{BF16E0DD-7420-4CC6-BDDF-5EE2FB1F5026}"/>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87" xr:uid="{BA676E82-7556-4745-AD28-088E6FBAA3F3}"/>
    <cellStyle name="Normal 8 2 2 3 6 2 3" xfId="12869" xr:uid="{D1D8598A-0ECE-437A-BC5A-44622556C941}"/>
    <cellStyle name="Normal 8 2 2 3 6 3" xfId="6503" xr:uid="{00000000-0005-0000-0000-0000691C0000}"/>
    <cellStyle name="Normal 8 2 2 3 6 3 2" xfId="14942" xr:uid="{FEC496ED-85C8-45C6-B300-81D4C8DD372E}"/>
    <cellStyle name="Normal 8 2 2 3 6 4" xfId="10724" xr:uid="{7E751A80-3F37-4EAF-A80A-1811FC65C711}"/>
    <cellStyle name="Normal 8 2 2 3 7" xfId="2632" xr:uid="{00000000-0005-0000-0000-00006A1C0000}"/>
    <cellStyle name="Normal 8 2 2 3 7 2" xfId="6916" xr:uid="{00000000-0005-0000-0000-00006B1C0000}"/>
    <cellStyle name="Normal 8 2 2 3 7 2 2" xfId="15355" xr:uid="{A2199D42-6FDF-4341-BB18-4B152E12BBDF}"/>
    <cellStyle name="Normal 8 2 2 3 7 3" xfId="11137" xr:uid="{E849E62B-5D2A-4AD7-AD01-D2BC161A0616}"/>
    <cellStyle name="Normal 8 2 2 3 8" xfId="4851" xr:uid="{00000000-0005-0000-0000-00006C1C0000}"/>
    <cellStyle name="Normal 8 2 2 3 8 2" xfId="13290" xr:uid="{81874DEC-E9D8-4CF2-AF7A-1BA9A630C84F}"/>
    <cellStyle name="Normal 8 2 2 3 9" xfId="9072" xr:uid="{C6EBA943-EE3F-4C47-A999-49F4F8F20B54}"/>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0" xr:uid="{6DDD83FF-8F6C-4342-B0BE-4F857C2C7CAA}"/>
    <cellStyle name="Normal 8 2 2 4 2 2 3" xfId="11632" xr:uid="{3723E09C-C61F-4CC7-A7A4-FFC841289E12}"/>
    <cellStyle name="Normal 8 2 2 4 2 3" xfId="5266" xr:uid="{00000000-0005-0000-0000-0000711C0000}"/>
    <cellStyle name="Normal 8 2 2 4 2 3 2" xfId="13705" xr:uid="{69ADB90E-1173-4A42-862C-FAB9BEDC7F3C}"/>
    <cellStyle name="Normal 8 2 2 4 2 4" xfId="9487" xr:uid="{8DA99DD0-C949-4A2F-BE04-7DA4111D3034}"/>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3" xr:uid="{F636AD96-8544-4EB4-9CC9-AB3209366247}"/>
    <cellStyle name="Normal 8 2 2 4 3 2 3" xfId="12045" xr:uid="{3DC0AB24-DAF5-48AB-964A-115C1A9052F3}"/>
    <cellStyle name="Normal 8 2 2 4 3 3" xfId="5679" xr:uid="{00000000-0005-0000-0000-0000751C0000}"/>
    <cellStyle name="Normal 8 2 2 4 3 3 2" xfId="14118" xr:uid="{0D7EC74C-5AD0-4C49-8B80-FCEE8C31F77F}"/>
    <cellStyle name="Normal 8 2 2 4 3 4" xfId="9900" xr:uid="{EDDA2EBA-2FB5-4082-BE8F-FF943DA5F3FD}"/>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6" xr:uid="{E03714A4-0D81-4413-BF1A-DDA39A35622D}"/>
    <cellStyle name="Normal 8 2 2 4 4 2 3" xfId="12458" xr:uid="{FECD92CD-D1E4-4CF9-910E-7AFE212B53A8}"/>
    <cellStyle name="Normal 8 2 2 4 4 3" xfId="6092" xr:uid="{00000000-0005-0000-0000-0000791C0000}"/>
    <cellStyle name="Normal 8 2 2 4 4 3 2" xfId="14531" xr:uid="{F3DBD709-C1E2-4CBB-B823-370AAEC20A47}"/>
    <cellStyle name="Normal 8 2 2 4 4 4" xfId="10313" xr:uid="{F58548D1-A2BE-48AD-A99C-E30C251038A5}"/>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89" xr:uid="{F137D37D-5AFC-44AC-B8CB-42B729D22CF6}"/>
    <cellStyle name="Normal 8 2 2 4 5 2 3" xfId="12871" xr:uid="{8AA573F3-893F-412D-86B7-735AFEBB5942}"/>
    <cellStyle name="Normal 8 2 2 4 5 3" xfId="6505" xr:uid="{00000000-0005-0000-0000-00007D1C0000}"/>
    <cellStyle name="Normal 8 2 2 4 5 3 2" xfId="14944" xr:uid="{CF79896D-4C95-4480-8CE5-CBA7B45B13BB}"/>
    <cellStyle name="Normal 8 2 2 4 5 4" xfId="10726" xr:uid="{9564348B-5459-4CC4-B35D-42DA0E5DBC61}"/>
    <cellStyle name="Normal 8 2 2 4 6" xfId="2634" xr:uid="{00000000-0005-0000-0000-00007E1C0000}"/>
    <cellStyle name="Normal 8 2 2 4 6 2" xfId="6918" xr:uid="{00000000-0005-0000-0000-00007F1C0000}"/>
    <cellStyle name="Normal 8 2 2 4 6 2 2" xfId="15357" xr:uid="{BC8A75EC-6542-4801-A4BD-9183E5FA8E6B}"/>
    <cellStyle name="Normal 8 2 2 4 6 3" xfId="11139" xr:uid="{A8B9673C-DDBD-4119-A145-DCF5DD835A8C}"/>
    <cellStyle name="Normal 8 2 2 4 7" xfId="4853" xr:uid="{00000000-0005-0000-0000-0000801C0000}"/>
    <cellStyle name="Normal 8 2 2 4 7 2" xfId="13292" xr:uid="{96317445-3AEB-4273-9515-379A40EC4B60}"/>
    <cellStyle name="Normal 8 2 2 4 8" xfId="9074" xr:uid="{E920643A-C955-4A9F-8D6A-1192E6D6BE57}"/>
    <cellStyle name="Normal 8 2 2 5" xfId="947" xr:uid="{00000000-0005-0000-0000-0000811C0000}"/>
    <cellStyle name="Normal 8 2 2 5 2" xfId="3181" xr:uid="{00000000-0005-0000-0000-0000821C0000}"/>
    <cellStyle name="Normal 8 2 2 5 2 2" xfId="7404" xr:uid="{00000000-0005-0000-0000-0000831C0000}"/>
    <cellStyle name="Normal 8 2 2 5 2 2 2" xfId="15843" xr:uid="{9655F343-06CD-4C17-9A95-9A181CD8B0A7}"/>
    <cellStyle name="Normal 8 2 2 5 2 3" xfId="11625" xr:uid="{8BB82B14-B035-42CE-A376-338F094F4E94}"/>
    <cellStyle name="Normal 8 2 2 5 3" xfId="5259" xr:uid="{00000000-0005-0000-0000-0000841C0000}"/>
    <cellStyle name="Normal 8 2 2 5 3 2" xfId="13698" xr:uid="{B3102B6F-4F73-4BF5-BB4D-C1D79164EA12}"/>
    <cellStyle name="Normal 8 2 2 5 4" xfId="9480" xr:uid="{598A493A-C692-41DE-A2D2-D35ADC8EBEEA}"/>
    <cellStyle name="Normal 8 2 2 6" xfId="1364" xr:uid="{00000000-0005-0000-0000-0000851C0000}"/>
    <cellStyle name="Normal 8 2 2 6 2" xfId="3594" xr:uid="{00000000-0005-0000-0000-0000861C0000}"/>
    <cellStyle name="Normal 8 2 2 6 2 2" xfId="7817" xr:uid="{00000000-0005-0000-0000-0000871C0000}"/>
    <cellStyle name="Normal 8 2 2 6 2 2 2" xfId="16256" xr:uid="{E3583ED3-0C56-4EFA-9725-40F4BC9AD7D8}"/>
    <cellStyle name="Normal 8 2 2 6 2 3" xfId="12038" xr:uid="{C1AF4BCF-BF98-4EFA-9BED-960D62FF72F1}"/>
    <cellStyle name="Normal 8 2 2 6 3" xfId="5672" xr:uid="{00000000-0005-0000-0000-0000881C0000}"/>
    <cellStyle name="Normal 8 2 2 6 3 2" xfId="14111" xr:uid="{7A04907E-7DB5-4705-83FC-6DBD2C7201B8}"/>
    <cellStyle name="Normal 8 2 2 6 4" xfId="9893" xr:uid="{CAF3BC6F-C793-4692-B110-30224766919B}"/>
    <cellStyle name="Normal 8 2 2 7" xfId="1777" xr:uid="{00000000-0005-0000-0000-0000891C0000}"/>
    <cellStyle name="Normal 8 2 2 7 2" xfId="4007" xr:uid="{00000000-0005-0000-0000-00008A1C0000}"/>
    <cellStyle name="Normal 8 2 2 7 2 2" xfId="8230" xr:uid="{00000000-0005-0000-0000-00008B1C0000}"/>
    <cellStyle name="Normal 8 2 2 7 2 2 2" xfId="16669" xr:uid="{39859C9A-5FEE-4E85-AC3A-8F564E0AC61F}"/>
    <cellStyle name="Normal 8 2 2 7 2 3" xfId="12451" xr:uid="{410635C9-8E9C-4834-9663-756E6A849E4B}"/>
    <cellStyle name="Normal 8 2 2 7 3" xfId="6085" xr:uid="{00000000-0005-0000-0000-00008C1C0000}"/>
    <cellStyle name="Normal 8 2 2 7 3 2" xfId="14524" xr:uid="{1696D0F9-331B-4D4B-AB20-FE43C3239AA7}"/>
    <cellStyle name="Normal 8 2 2 7 4" xfId="10306" xr:uid="{3D2F045F-AD4D-46FB-AB49-97D8DD795B01}"/>
    <cellStyle name="Normal 8 2 2 8" xfId="2191" xr:uid="{00000000-0005-0000-0000-00008D1C0000}"/>
    <cellStyle name="Normal 8 2 2 8 2" xfId="4420" xr:uid="{00000000-0005-0000-0000-00008E1C0000}"/>
    <cellStyle name="Normal 8 2 2 8 2 2" xfId="8643" xr:uid="{00000000-0005-0000-0000-00008F1C0000}"/>
    <cellStyle name="Normal 8 2 2 8 2 2 2" xfId="17082" xr:uid="{ED64059F-60C5-44C4-8B19-0BDA3DC78F85}"/>
    <cellStyle name="Normal 8 2 2 8 2 3" xfId="12864" xr:uid="{898CD5CC-E703-424C-B3F5-4C1AA10B6A19}"/>
    <cellStyle name="Normal 8 2 2 8 3" xfId="6498" xr:uid="{00000000-0005-0000-0000-0000901C0000}"/>
    <cellStyle name="Normal 8 2 2 8 3 2" xfId="14937" xr:uid="{C2E9507A-B429-4B53-BF9D-1A85DF8D0C68}"/>
    <cellStyle name="Normal 8 2 2 8 4" xfId="10719" xr:uid="{1EFA3BC5-A100-4D07-AD76-481069FCC670}"/>
    <cellStyle name="Normal 8 2 2 9" xfId="2627" xr:uid="{00000000-0005-0000-0000-0000911C0000}"/>
    <cellStyle name="Normal 8 2 2 9 2" xfId="6911" xr:uid="{00000000-0005-0000-0000-0000921C0000}"/>
    <cellStyle name="Normal 8 2 2 9 2 2" xfId="15350" xr:uid="{A9AF7C67-7DF6-4F6F-B7FF-46F9C160D35B}"/>
    <cellStyle name="Normal 8 2 2 9 3" xfId="11132" xr:uid="{BE541AAD-296C-49F2-AC29-86D5DD84C2C3}"/>
    <cellStyle name="Normal 8 2 3" xfId="488" xr:uid="{00000000-0005-0000-0000-0000931C0000}"/>
    <cellStyle name="Normal 8 2 3 10" xfId="9075" xr:uid="{D3A8CE18-2826-4A9C-956D-9D7275537CCC}"/>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3" xr:uid="{B6159AD3-71EE-40EC-AB8E-D34C142CC0E1}"/>
    <cellStyle name="Normal 8 2 3 2 2 2 2 3" xfId="11635" xr:uid="{CFF84F77-8131-4921-9004-9E6101143690}"/>
    <cellStyle name="Normal 8 2 3 2 2 2 3" xfId="5269" xr:uid="{00000000-0005-0000-0000-0000991C0000}"/>
    <cellStyle name="Normal 8 2 3 2 2 2 3 2" xfId="13708" xr:uid="{56CC7039-9380-4830-AE45-9FF77B74A247}"/>
    <cellStyle name="Normal 8 2 3 2 2 2 4" xfId="9490" xr:uid="{7F9221C1-173F-4993-AE2B-2E4D73C472CB}"/>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6" xr:uid="{AF77B7A3-0032-491E-A965-3C1947D0BAE9}"/>
    <cellStyle name="Normal 8 2 3 2 2 3 2 3" xfId="12048" xr:uid="{06E23BC7-4786-4CD2-ADDA-596CDA97AA58}"/>
    <cellStyle name="Normal 8 2 3 2 2 3 3" xfId="5682" xr:uid="{00000000-0005-0000-0000-00009D1C0000}"/>
    <cellStyle name="Normal 8 2 3 2 2 3 3 2" xfId="14121" xr:uid="{6FE67689-6458-43F2-B605-25DF80BE3691}"/>
    <cellStyle name="Normal 8 2 3 2 2 3 4" xfId="9903" xr:uid="{DE9F9F02-18C2-4ACB-B4CF-C599C315AA63}"/>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79" xr:uid="{B23406FE-8CF2-418E-A94E-D4120AAC51BC}"/>
    <cellStyle name="Normal 8 2 3 2 2 4 2 3" xfId="12461" xr:uid="{8411E5DB-6801-48D3-98C6-C1E1746AED0E}"/>
    <cellStyle name="Normal 8 2 3 2 2 4 3" xfId="6095" xr:uid="{00000000-0005-0000-0000-0000A11C0000}"/>
    <cellStyle name="Normal 8 2 3 2 2 4 3 2" xfId="14534" xr:uid="{9C1C0C2B-7901-4F12-B2F3-D9843F8F8799}"/>
    <cellStyle name="Normal 8 2 3 2 2 4 4" xfId="10316" xr:uid="{73E51E93-DD8E-4436-BD4B-9D33CD53A88A}"/>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2" xr:uid="{899DBCD7-F6BC-4366-81EF-D912F3B43A4E}"/>
    <cellStyle name="Normal 8 2 3 2 2 5 2 3" xfId="12874" xr:uid="{763E629C-1109-4DB0-8D86-34F564100E4B}"/>
    <cellStyle name="Normal 8 2 3 2 2 5 3" xfId="6508" xr:uid="{00000000-0005-0000-0000-0000A51C0000}"/>
    <cellStyle name="Normal 8 2 3 2 2 5 3 2" xfId="14947" xr:uid="{CC068FA4-5B65-4817-95C8-3AD5F8B851DA}"/>
    <cellStyle name="Normal 8 2 3 2 2 5 4" xfId="10729" xr:uid="{993D217A-3D8D-4EE2-9ED8-E0FF1065DE7C}"/>
    <cellStyle name="Normal 8 2 3 2 2 6" xfId="2637" xr:uid="{00000000-0005-0000-0000-0000A61C0000}"/>
    <cellStyle name="Normal 8 2 3 2 2 6 2" xfId="6921" xr:uid="{00000000-0005-0000-0000-0000A71C0000}"/>
    <cellStyle name="Normal 8 2 3 2 2 6 2 2" xfId="15360" xr:uid="{5CD76C52-A0B8-4D38-ADD9-B4AAFCC1FD5C}"/>
    <cellStyle name="Normal 8 2 3 2 2 6 3" xfId="11142" xr:uid="{F2A58544-FF2F-4823-A266-9D555164A755}"/>
    <cellStyle name="Normal 8 2 3 2 2 7" xfId="4856" xr:uid="{00000000-0005-0000-0000-0000A81C0000}"/>
    <cellStyle name="Normal 8 2 3 2 2 7 2" xfId="13295" xr:uid="{88003019-EFA3-47FE-8D16-E693E0A1F723}"/>
    <cellStyle name="Normal 8 2 3 2 2 8" xfId="9077" xr:uid="{CD8E25E3-F951-4B82-B44E-EFF94E587C86}"/>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2" xr:uid="{9684AD59-0DEE-4CA8-A5CC-D61B3EF6FF26}"/>
    <cellStyle name="Normal 8 2 3 2 3 2 3" xfId="11634" xr:uid="{89C59112-BFA0-4AA7-B512-BAD9AFB4E495}"/>
    <cellStyle name="Normal 8 2 3 2 3 3" xfId="5268" xr:uid="{00000000-0005-0000-0000-0000AC1C0000}"/>
    <cellStyle name="Normal 8 2 3 2 3 3 2" xfId="13707" xr:uid="{EC9D2FE8-71BC-4C34-B7FC-EE29BAAE01DC}"/>
    <cellStyle name="Normal 8 2 3 2 3 4" xfId="9489" xr:uid="{2EF32D7F-F432-48E2-A3BF-C80A1AAF1248}"/>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5" xr:uid="{4FDD93AA-2FDB-4785-B157-4FA25C224256}"/>
    <cellStyle name="Normal 8 2 3 2 4 2 3" xfId="12047" xr:uid="{7AC7E65E-8BFF-48D5-9BF0-2BA6CC1D36E5}"/>
    <cellStyle name="Normal 8 2 3 2 4 3" xfId="5681" xr:uid="{00000000-0005-0000-0000-0000B01C0000}"/>
    <cellStyle name="Normal 8 2 3 2 4 3 2" xfId="14120" xr:uid="{ABEC8974-5E89-4BA4-AA61-EAF18A850244}"/>
    <cellStyle name="Normal 8 2 3 2 4 4" xfId="9902" xr:uid="{E84C57CE-694C-47C7-A0D2-F2A82A650D47}"/>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78" xr:uid="{3D928E14-B47F-48AF-99AB-611FFE0D60C2}"/>
    <cellStyle name="Normal 8 2 3 2 5 2 3" xfId="12460" xr:uid="{38FB009A-DCF5-4F90-AEE7-8496CA0B1E67}"/>
    <cellStyle name="Normal 8 2 3 2 5 3" xfId="6094" xr:uid="{00000000-0005-0000-0000-0000B41C0000}"/>
    <cellStyle name="Normal 8 2 3 2 5 3 2" xfId="14533" xr:uid="{CA2E01B6-9B95-4514-931E-8DAB6781834B}"/>
    <cellStyle name="Normal 8 2 3 2 5 4" xfId="10315" xr:uid="{2B85AB8E-EB4C-471F-B1F5-63BB561D64AF}"/>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1" xr:uid="{4E68D4B0-60E1-49CF-BE78-306D3B461267}"/>
    <cellStyle name="Normal 8 2 3 2 6 2 3" xfId="12873" xr:uid="{7A7D6B5A-ED4B-4581-ADB7-2CB64C1AEDFA}"/>
    <cellStyle name="Normal 8 2 3 2 6 3" xfId="6507" xr:uid="{00000000-0005-0000-0000-0000B81C0000}"/>
    <cellStyle name="Normal 8 2 3 2 6 3 2" xfId="14946" xr:uid="{7CA172C0-F4CC-4FFE-A5E7-0F44F3BF0B9B}"/>
    <cellStyle name="Normal 8 2 3 2 6 4" xfId="10728" xr:uid="{2CFB9342-4712-4B93-B9FC-93F89370F895}"/>
    <cellStyle name="Normal 8 2 3 2 7" xfId="2636" xr:uid="{00000000-0005-0000-0000-0000B91C0000}"/>
    <cellStyle name="Normal 8 2 3 2 7 2" xfId="6920" xr:uid="{00000000-0005-0000-0000-0000BA1C0000}"/>
    <cellStyle name="Normal 8 2 3 2 7 2 2" xfId="15359" xr:uid="{0B89A2CC-CD34-4B80-AAB5-AF7D56AB1132}"/>
    <cellStyle name="Normal 8 2 3 2 7 3" xfId="11141" xr:uid="{B9CBC56E-8F8E-4FD9-9050-9B68F310BCF4}"/>
    <cellStyle name="Normal 8 2 3 2 8" xfId="4855" xr:uid="{00000000-0005-0000-0000-0000BB1C0000}"/>
    <cellStyle name="Normal 8 2 3 2 8 2" xfId="13294" xr:uid="{7E9CF489-B0C8-441C-A94E-D5DB88997C90}"/>
    <cellStyle name="Normal 8 2 3 2 9" xfId="9076" xr:uid="{3D417099-20FB-4C40-BC8C-CF337E63E353}"/>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4" xr:uid="{4207D9A7-6D7E-48A7-B941-C9EA31376BB9}"/>
    <cellStyle name="Normal 8 2 3 3 2 2 3" xfId="11636" xr:uid="{D2989764-E845-4C84-B2BF-E1BE462B8A70}"/>
    <cellStyle name="Normal 8 2 3 3 2 3" xfId="5270" xr:uid="{00000000-0005-0000-0000-0000C01C0000}"/>
    <cellStyle name="Normal 8 2 3 3 2 3 2" xfId="13709" xr:uid="{07B03BBD-5419-4D1A-9DE6-347077E89BB6}"/>
    <cellStyle name="Normal 8 2 3 3 2 4" xfId="9491" xr:uid="{9DC1D1F3-ED80-4EA2-8D44-E92C8F8DA2C0}"/>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67" xr:uid="{EF1525A3-FB6D-4FA4-8563-15D6D47570EC}"/>
    <cellStyle name="Normal 8 2 3 3 3 2 3" xfId="12049" xr:uid="{00D60411-0D46-484D-932A-093980ABD324}"/>
    <cellStyle name="Normal 8 2 3 3 3 3" xfId="5683" xr:uid="{00000000-0005-0000-0000-0000C41C0000}"/>
    <cellStyle name="Normal 8 2 3 3 3 3 2" xfId="14122" xr:uid="{DDB2832D-2C1B-4AFB-AD2E-1D9CF35AB0F8}"/>
    <cellStyle name="Normal 8 2 3 3 3 4" xfId="9904" xr:uid="{06899EEB-6CCE-46ED-86D8-28AC5CB91711}"/>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0" xr:uid="{B0709766-B571-4556-9FF2-622686286216}"/>
    <cellStyle name="Normal 8 2 3 3 4 2 3" xfId="12462" xr:uid="{B89FCEC6-C47F-453D-9713-AFACEA2CD66E}"/>
    <cellStyle name="Normal 8 2 3 3 4 3" xfId="6096" xr:uid="{00000000-0005-0000-0000-0000C81C0000}"/>
    <cellStyle name="Normal 8 2 3 3 4 3 2" xfId="14535" xr:uid="{B401A9BE-FB11-426F-B0F0-1924B229B976}"/>
    <cellStyle name="Normal 8 2 3 3 4 4" xfId="10317" xr:uid="{44BE136F-E166-4558-89DD-1A0175338840}"/>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3" xr:uid="{7A5DC2E5-3D5E-4F06-ABEF-1A3546B77B9F}"/>
    <cellStyle name="Normal 8 2 3 3 5 2 3" xfId="12875" xr:uid="{BCED06F8-1749-4962-AA8F-FDA3E5E49EEB}"/>
    <cellStyle name="Normal 8 2 3 3 5 3" xfId="6509" xr:uid="{00000000-0005-0000-0000-0000CC1C0000}"/>
    <cellStyle name="Normal 8 2 3 3 5 3 2" xfId="14948" xr:uid="{0B4A9ED1-CF3E-4255-9275-D939FCFF3E81}"/>
    <cellStyle name="Normal 8 2 3 3 5 4" xfId="10730" xr:uid="{DC816762-E389-46D7-9BBB-F445FA13F196}"/>
    <cellStyle name="Normal 8 2 3 3 6" xfId="2638" xr:uid="{00000000-0005-0000-0000-0000CD1C0000}"/>
    <cellStyle name="Normal 8 2 3 3 6 2" xfId="6922" xr:uid="{00000000-0005-0000-0000-0000CE1C0000}"/>
    <cellStyle name="Normal 8 2 3 3 6 2 2" xfId="15361" xr:uid="{48980219-317A-4966-A420-8B5F7144ED7C}"/>
    <cellStyle name="Normal 8 2 3 3 6 3" xfId="11143" xr:uid="{55872EF9-8A88-41FC-A648-CA9A2B2C76CC}"/>
    <cellStyle name="Normal 8 2 3 3 7" xfId="4857" xr:uid="{00000000-0005-0000-0000-0000CF1C0000}"/>
    <cellStyle name="Normal 8 2 3 3 7 2" xfId="13296" xr:uid="{BD0E63D2-566F-44E4-8240-825F791180C0}"/>
    <cellStyle name="Normal 8 2 3 3 8" xfId="9078" xr:uid="{F06EDD5F-7252-42EC-A5BA-C4D004AD0BFD}"/>
    <cellStyle name="Normal 8 2 3 4" xfId="955" xr:uid="{00000000-0005-0000-0000-0000D01C0000}"/>
    <cellStyle name="Normal 8 2 3 4 2" xfId="3189" xr:uid="{00000000-0005-0000-0000-0000D11C0000}"/>
    <cellStyle name="Normal 8 2 3 4 2 2" xfId="7412" xr:uid="{00000000-0005-0000-0000-0000D21C0000}"/>
    <cellStyle name="Normal 8 2 3 4 2 2 2" xfId="15851" xr:uid="{5A4C22DA-ED62-4833-8165-14B048400C02}"/>
    <cellStyle name="Normal 8 2 3 4 2 3" xfId="11633" xr:uid="{C9812266-DDFE-4D9D-915B-F4C6AE70AAFB}"/>
    <cellStyle name="Normal 8 2 3 4 3" xfId="5267" xr:uid="{00000000-0005-0000-0000-0000D31C0000}"/>
    <cellStyle name="Normal 8 2 3 4 3 2" xfId="13706" xr:uid="{A6C5C361-DEE7-46E0-A942-83755D08BB1F}"/>
    <cellStyle name="Normal 8 2 3 4 4" xfId="9488" xr:uid="{5E9B1688-098D-4C88-AC83-626039E2504C}"/>
    <cellStyle name="Normal 8 2 3 5" xfId="1372" xr:uid="{00000000-0005-0000-0000-0000D41C0000}"/>
    <cellStyle name="Normal 8 2 3 5 2" xfId="3602" xr:uid="{00000000-0005-0000-0000-0000D51C0000}"/>
    <cellStyle name="Normal 8 2 3 5 2 2" xfId="7825" xr:uid="{00000000-0005-0000-0000-0000D61C0000}"/>
    <cellStyle name="Normal 8 2 3 5 2 2 2" xfId="16264" xr:uid="{6601C42C-18F7-4BFA-B241-09ED36DD3D75}"/>
    <cellStyle name="Normal 8 2 3 5 2 3" xfId="12046" xr:uid="{B1B1217B-A5F5-4128-A66B-1BBF8DE4098E}"/>
    <cellStyle name="Normal 8 2 3 5 3" xfId="5680" xr:uid="{00000000-0005-0000-0000-0000D71C0000}"/>
    <cellStyle name="Normal 8 2 3 5 3 2" xfId="14119" xr:uid="{DE29118A-65FE-4EE2-9209-3CC0C6313158}"/>
    <cellStyle name="Normal 8 2 3 5 4" xfId="9901" xr:uid="{8AEACB33-B1C2-42D2-968D-4833CF433E2B}"/>
    <cellStyle name="Normal 8 2 3 6" xfId="1785" xr:uid="{00000000-0005-0000-0000-0000D81C0000}"/>
    <cellStyle name="Normal 8 2 3 6 2" xfId="4015" xr:uid="{00000000-0005-0000-0000-0000D91C0000}"/>
    <cellStyle name="Normal 8 2 3 6 2 2" xfId="8238" xr:uid="{00000000-0005-0000-0000-0000DA1C0000}"/>
    <cellStyle name="Normal 8 2 3 6 2 2 2" xfId="16677" xr:uid="{AC50D46B-548F-46A8-8623-F222D7FC6F24}"/>
    <cellStyle name="Normal 8 2 3 6 2 3" xfId="12459" xr:uid="{87D74B95-5DFB-4DAC-96A2-47A7D9841210}"/>
    <cellStyle name="Normal 8 2 3 6 3" xfId="6093" xr:uid="{00000000-0005-0000-0000-0000DB1C0000}"/>
    <cellStyle name="Normal 8 2 3 6 3 2" xfId="14532" xr:uid="{42E17455-364A-4799-A84E-F0C198D59631}"/>
    <cellStyle name="Normal 8 2 3 6 4" xfId="10314" xr:uid="{93A2EBBD-7E05-444B-B1E9-B73A6F4E8145}"/>
    <cellStyle name="Normal 8 2 3 7" xfId="2199" xr:uid="{00000000-0005-0000-0000-0000DC1C0000}"/>
    <cellStyle name="Normal 8 2 3 7 2" xfId="4428" xr:uid="{00000000-0005-0000-0000-0000DD1C0000}"/>
    <cellStyle name="Normal 8 2 3 7 2 2" xfId="8651" xr:uid="{00000000-0005-0000-0000-0000DE1C0000}"/>
    <cellStyle name="Normal 8 2 3 7 2 2 2" xfId="17090" xr:uid="{5CCE5672-9540-4D92-B1B2-717830DAD5B1}"/>
    <cellStyle name="Normal 8 2 3 7 2 3" xfId="12872" xr:uid="{748793B0-CEA1-4BD7-957E-5932F91716D9}"/>
    <cellStyle name="Normal 8 2 3 7 3" xfId="6506" xr:uid="{00000000-0005-0000-0000-0000DF1C0000}"/>
    <cellStyle name="Normal 8 2 3 7 3 2" xfId="14945" xr:uid="{22884E51-5558-4BFD-9267-A6994B8CA112}"/>
    <cellStyle name="Normal 8 2 3 7 4" xfId="10727" xr:uid="{6CB1B618-4C9A-434E-90A9-25E8A0A21F70}"/>
    <cellStyle name="Normal 8 2 3 8" xfId="2635" xr:uid="{00000000-0005-0000-0000-0000E01C0000}"/>
    <cellStyle name="Normal 8 2 3 8 2" xfId="6919" xr:uid="{00000000-0005-0000-0000-0000E11C0000}"/>
    <cellStyle name="Normal 8 2 3 8 2 2" xfId="15358" xr:uid="{993A1D4E-8EAA-40F6-9CEF-1D361A9B0330}"/>
    <cellStyle name="Normal 8 2 3 8 3" xfId="11140" xr:uid="{FB5334C1-7490-4E38-BFBE-B4C4C5AAFDF1}"/>
    <cellStyle name="Normal 8 2 3 9" xfId="4854" xr:uid="{00000000-0005-0000-0000-0000E21C0000}"/>
    <cellStyle name="Normal 8 2 3 9 2" xfId="13293" xr:uid="{7B1FD606-C99C-4D9D-B8B9-7D8C892F0CFE}"/>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6" xr:uid="{3ED6B473-3289-4A8E-A793-EA68480A3733}"/>
    <cellStyle name="Normal 8 2 4 2 2 2 3" xfId="11638" xr:uid="{B90BBAE3-9576-4CF2-9719-7F4A15B8EA11}"/>
    <cellStyle name="Normal 8 2 4 2 2 3" xfId="5272" xr:uid="{00000000-0005-0000-0000-0000E81C0000}"/>
    <cellStyle name="Normal 8 2 4 2 2 3 2" xfId="13711" xr:uid="{5169A753-93BE-4998-9B28-C42035F583BF}"/>
    <cellStyle name="Normal 8 2 4 2 2 4" xfId="9493" xr:uid="{6400FF65-1D67-4DF4-BA64-76CEB7B0D077}"/>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69" xr:uid="{560F24CA-E4C9-4454-A8AE-2B59C79B010D}"/>
    <cellStyle name="Normal 8 2 4 2 3 2 3" xfId="12051" xr:uid="{2A350783-F797-45B1-A126-93DC3C21AA8B}"/>
    <cellStyle name="Normal 8 2 4 2 3 3" xfId="5685" xr:uid="{00000000-0005-0000-0000-0000EC1C0000}"/>
    <cellStyle name="Normal 8 2 4 2 3 3 2" xfId="14124" xr:uid="{18D7568E-F331-40CC-8434-575092A136D9}"/>
    <cellStyle name="Normal 8 2 4 2 3 4" xfId="9906" xr:uid="{2F020B93-3D66-40AB-94B8-27DABB16EC59}"/>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2" xr:uid="{0AAEB1CF-4264-46B3-B9DC-DE579BABEFFD}"/>
    <cellStyle name="Normal 8 2 4 2 4 2 3" xfId="12464" xr:uid="{08216F3A-F8F8-493E-838B-AB999ABAEEA6}"/>
    <cellStyle name="Normal 8 2 4 2 4 3" xfId="6098" xr:uid="{00000000-0005-0000-0000-0000F01C0000}"/>
    <cellStyle name="Normal 8 2 4 2 4 3 2" xfId="14537" xr:uid="{9968B8CF-CAE6-4D05-8334-37ABD7CDD503}"/>
    <cellStyle name="Normal 8 2 4 2 4 4" xfId="10319" xr:uid="{29B69CD6-8205-4A82-97E9-374FF01F1F46}"/>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5" xr:uid="{B25BBAAC-23B2-49F8-A80D-9F82DA3307D2}"/>
    <cellStyle name="Normal 8 2 4 2 5 2 3" xfId="12877" xr:uid="{59B81ECA-F559-441C-ABB1-BF531C402244}"/>
    <cellStyle name="Normal 8 2 4 2 5 3" xfId="6511" xr:uid="{00000000-0005-0000-0000-0000F41C0000}"/>
    <cellStyle name="Normal 8 2 4 2 5 3 2" xfId="14950" xr:uid="{1C3AF101-B800-4B04-824A-C87259A23CD9}"/>
    <cellStyle name="Normal 8 2 4 2 5 4" xfId="10732" xr:uid="{1C839501-EBE0-496A-88FC-EDF1843D060E}"/>
    <cellStyle name="Normal 8 2 4 2 6" xfId="2640" xr:uid="{00000000-0005-0000-0000-0000F51C0000}"/>
    <cellStyle name="Normal 8 2 4 2 6 2" xfId="6924" xr:uid="{00000000-0005-0000-0000-0000F61C0000}"/>
    <cellStyle name="Normal 8 2 4 2 6 2 2" xfId="15363" xr:uid="{D499E2AE-63AC-4FFB-98E8-BBA22DF9F466}"/>
    <cellStyle name="Normal 8 2 4 2 6 3" xfId="11145" xr:uid="{40DF6039-1C37-468F-8270-CE18D7E94659}"/>
    <cellStyle name="Normal 8 2 4 2 7" xfId="4859" xr:uid="{00000000-0005-0000-0000-0000F71C0000}"/>
    <cellStyle name="Normal 8 2 4 2 7 2" xfId="13298" xr:uid="{A6DEA3D6-E09F-46BA-AAC9-95261F7C63D3}"/>
    <cellStyle name="Normal 8 2 4 2 8" xfId="9080" xr:uid="{9A58BEEA-4515-4C51-B4C6-5D676053A5C1}"/>
    <cellStyle name="Normal 8 2 4 3" xfId="959" xr:uid="{00000000-0005-0000-0000-0000F81C0000}"/>
    <cellStyle name="Normal 8 2 4 3 2" xfId="3193" xr:uid="{00000000-0005-0000-0000-0000F91C0000}"/>
    <cellStyle name="Normal 8 2 4 3 2 2" xfId="7416" xr:uid="{00000000-0005-0000-0000-0000FA1C0000}"/>
    <cellStyle name="Normal 8 2 4 3 2 2 2" xfId="15855" xr:uid="{7F7D27F4-033C-4C57-841D-6B61ABCDDCFC}"/>
    <cellStyle name="Normal 8 2 4 3 2 3" xfId="11637" xr:uid="{8BC52D1C-20D3-416A-AE70-736BB4F3CF6A}"/>
    <cellStyle name="Normal 8 2 4 3 3" xfId="5271" xr:uid="{00000000-0005-0000-0000-0000FB1C0000}"/>
    <cellStyle name="Normal 8 2 4 3 3 2" xfId="13710" xr:uid="{B237AFF9-CE44-4531-A0F3-94D7F58C142D}"/>
    <cellStyle name="Normal 8 2 4 3 4" xfId="9492" xr:uid="{2C519C6C-B0AD-46B6-91A5-DB54F72D33EE}"/>
    <cellStyle name="Normal 8 2 4 4" xfId="1376" xr:uid="{00000000-0005-0000-0000-0000FC1C0000}"/>
    <cellStyle name="Normal 8 2 4 4 2" xfId="3606" xr:uid="{00000000-0005-0000-0000-0000FD1C0000}"/>
    <cellStyle name="Normal 8 2 4 4 2 2" xfId="7829" xr:uid="{00000000-0005-0000-0000-0000FE1C0000}"/>
    <cellStyle name="Normal 8 2 4 4 2 2 2" xfId="16268" xr:uid="{0842147B-9C3E-45ED-9D83-A09B06EC2788}"/>
    <cellStyle name="Normal 8 2 4 4 2 3" xfId="12050" xr:uid="{6E8FBCCC-3A43-46CE-8426-A4D306083A37}"/>
    <cellStyle name="Normal 8 2 4 4 3" xfId="5684" xr:uid="{00000000-0005-0000-0000-0000FF1C0000}"/>
    <cellStyle name="Normal 8 2 4 4 3 2" xfId="14123" xr:uid="{FF275E0C-F370-4E7F-963E-8CF0C941CF5D}"/>
    <cellStyle name="Normal 8 2 4 4 4" xfId="9905" xr:uid="{1B9C486F-A801-40DC-A13B-34D428A8492A}"/>
    <cellStyle name="Normal 8 2 4 5" xfId="1789" xr:uid="{00000000-0005-0000-0000-0000001D0000}"/>
    <cellStyle name="Normal 8 2 4 5 2" xfId="4019" xr:uid="{00000000-0005-0000-0000-0000011D0000}"/>
    <cellStyle name="Normal 8 2 4 5 2 2" xfId="8242" xr:uid="{00000000-0005-0000-0000-0000021D0000}"/>
    <cellStyle name="Normal 8 2 4 5 2 2 2" xfId="16681" xr:uid="{163F1686-AFAF-4457-BB4E-B7A2042C7EBF}"/>
    <cellStyle name="Normal 8 2 4 5 2 3" xfId="12463" xr:uid="{52313E16-8F4B-4751-8BDC-0D6B0C09E42C}"/>
    <cellStyle name="Normal 8 2 4 5 3" xfId="6097" xr:uid="{00000000-0005-0000-0000-0000031D0000}"/>
    <cellStyle name="Normal 8 2 4 5 3 2" xfId="14536" xr:uid="{83A171AA-0252-434C-B411-5AF809C8285E}"/>
    <cellStyle name="Normal 8 2 4 5 4" xfId="10318" xr:uid="{9E5731FF-B370-40FA-9B0B-C61767878C97}"/>
    <cellStyle name="Normal 8 2 4 6" xfId="2203" xr:uid="{00000000-0005-0000-0000-0000041D0000}"/>
    <cellStyle name="Normal 8 2 4 6 2" xfId="4432" xr:uid="{00000000-0005-0000-0000-0000051D0000}"/>
    <cellStyle name="Normal 8 2 4 6 2 2" xfId="8655" xr:uid="{00000000-0005-0000-0000-0000061D0000}"/>
    <cellStyle name="Normal 8 2 4 6 2 2 2" xfId="17094" xr:uid="{22FB7E5A-D190-4AF3-926C-4C10CDA24BBD}"/>
    <cellStyle name="Normal 8 2 4 6 2 3" xfId="12876" xr:uid="{7BEBC7FA-BB73-490F-A456-083878DFB4BF}"/>
    <cellStyle name="Normal 8 2 4 6 3" xfId="6510" xr:uid="{00000000-0005-0000-0000-0000071D0000}"/>
    <cellStyle name="Normal 8 2 4 6 3 2" xfId="14949" xr:uid="{2A636ED6-A18F-46CA-8548-124C2339526D}"/>
    <cellStyle name="Normal 8 2 4 6 4" xfId="10731" xr:uid="{B5B03776-0585-4C2A-A26D-437F8F459FF0}"/>
    <cellStyle name="Normal 8 2 4 7" xfId="2639" xr:uid="{00000000-0005-0000-0000-0000081D0000}"/>
    <cellStyle name="Normal 8 2 4 7 2" xfId="6923" xr:uid="{00000000-0005-0000-0000-0000091D0000}"/>
    <cellStyle name="Normal 8 2 4 7 2 2" xfId="15362" xr:uid="{091F8F8C-8531-464F-8797-DBF10626DB14}"/>
    <cellStyle name="Normal 8 2 4 7 3" xfId="11144" xr:uid="{5E2742B3-BAC0-4DF1-AC81-2DA2518898C5}"/>
    <cellStyle name="Normal 8 2 4 8" xfId="4858" xr:uid="{00000000-0005-0000-0000-00000A1D0000}"/>
    <cellStyle name="Normal 8 2 4 8 2" xfId="13297" xr:uid="{F28F4940-C790-47F9-AD73-4AB8490A98C1}"/>
    <cellStyle name="Normal 8 2 4 9" xfId="9079" xr:uid="{5C740264-DF38-4024-86AD-7FFC7429D98D}"/>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57" xr:uid="{F50ADD13-D913-4B60-8B81-123FDE576FF2}"/>
    <cellStyle name="Normal 8 2 5 2 2 3" xfId="11639" xr:uid="{DB6C2864-28D6-462C-9355-531991167534}"/>
    <cellStyle name="Normal 8 2 5 2 3" xfId="5273" xr:uid="{00000000-0005-0000-0000-00000F1D0000}"/>
    <cellStyle name="Normal 8 2 5 2 3 2" xfId="13712" xr:uid="{C88911D1-B07F-4310-97BD-0B8B6C512B55}"/>
    <cellStyle name="Normal 8 2 5 2 4" xfId="9494" xr:uid="{77C37A97-CF86-4859-9E2C-314B949A909D}"/>
    <cellStyle name="Normal 8 2 5 3" xfId="1378" xr:uid="{00000000-0005-0000-0000-0000101D0000}"/>
    <cellStyle name="Normal 8 2 5 3 2" xfId="3608" xr:uid="{00000000-0005-0000-0000-0000111D0000}"/>
    <cellStyle name="Normal 8 2 5 3 2 2" xfId="7831" xr:uid="{00000000-0005-0000-0000-0000121D0000}"/>
    <cellStyle name="Normal 8 2 5 3 2 2 2" xfId="16270" xr:uid="{9C971FFA-9386-4E83-B9BE-4B1435864B6C}"/>
    <cellStyle name="Normal 8 2 5 3 2 3" xfId="12052" xr:uid="{9F6309E8-7363-44D9-92E6-14BB4A2179A7}"/>
    <cellStyle name="Normal 8 2 5 3 3" xfId="5686" xr:uid="{00000000-0005-0000-0000-0000131D0000}"/>
    <cellStyle name="Normal 8 2 5 3 3 2" xfId="14125" xr:uid="{1DE0D3B4-FF93-46F5-97E0-71F96357BC44}"/>
    <cellStyle name="Normal 8 2 5 3 4" xfId="9907" xr:uid="{B893897D-0C7E-4754-85F9-35477CF30D40}"/>
    <cellStyle name="Normal 8 2 5 4" xfId="1791" xr:uid="{00000000-0005-0000-0000-0000141D0000}"/>
    <cellStyle name="Normal 8 2 5 4 2" xfId="4021" xr:uid="{00000000-0005-0000-0000-0000151D0000}"/>
    <cellStyle name="Normal 8 2 5 4 2 2" xfId="8244" xr:uid="{00000000-0005-0000-0000-0000161D0000}"/>
    <cellStyle name="Normal 8 2 5 4 2 2 2" xfId="16683" xr:uid="{A8E2ECEF-0FA6-452F-9F86-EF7B67AC047D}"/>
    <cellStyle name="Normal 8 2 5 4 2 3" xfId="12465" xr:uid="{3B1EAF34-A83F-4A8C-B614-664569882AB2}"/>
    <cellStyle name="Normal 8 2 5 4 3" xfId="6099" xr:uid="{00000000-0005-0000-0000-0000171D0000}"/>
    <cellStyle name="Normal 8 2 5 4 3 2" xfId="14538" xr:uid="{9D6110A9-A12B-44E2-90A6-8F618D23878F}"/>
    <cellStyle name="Normal 8 2 5 4 4" xfId="10320" xr:uid="{77F3477A-CBF2-4BAE-991C-3C581135B5F9}"/>
    <cellStyle name="Normal 8 2 5 5" xfId="2205" xr:uid="{00000000-0005-0000-0000-0000181D0000}"/>
    <cellStyle name="Normal 8 2 5 5 2" xfId="4434" xr:uid="{00000000-0005-0000-0000-0000191D0000}"/>
    <cellStyle name="Normal 8 2 5 5 2 2" xfId="8657" xr:uid="{00000000-0005-0000-0000-00001A1D0000}"/>
    <cellStyle name="Normal 8 2 5 5 2 2 2" xfId="17096" xr:uid="{347B0D66-2877-4841-B3F0-774582E11704}"/>
    <cellStyle name="Normal 8 2 5 5 2 3" xfId="12878" xr:uid="{D0CB4768-2B8F-43F9-93A7-0010FA198171}"/>
    <cellStyle name="Normal 8 2 5 5 3" xfId="6512" xr:uid="{00000000-0005-0000-0000-00001B1D0000}"/>
    <cellStyle name="Normal 8 2 5 5 3 2" xfId="14951" xr:uid="{8C6E4184-455D-422F-B863-127FFC6E2F49}"/>
    <cellStyle name="Normal 8 2 5 5 4" xfId="10733" xr:uid="{0BC90A01-66C9-4CB8-9255-00A3A4AF8D38}"/>
    <cellStyle name="Normal 8 2 5 6" xfId="2641" xr:uid="{00000000-0005-0000-0000-00001C1D0000}"/>
    <cellStyle name="Normal 8 2 5 6 2" xfId="6925" xr:uid="{00000000-0005-0000-0000-00001D1D0000}"/>
    <cellStyle name="Normal 8 2 5 6 2 2" xfId="15364" xr:uid="{409E77D1-81EF-4CAD-B854-EAB43A7622C3}"/>
    <cellStyle name="Normal 8 2 5 6 3" xfId="11146" xr:uid="{FE0F9922-FD47-4C08-8F0A-9DA62FF7E759}"/>
    <cellStyle name="Normal 8 2 5 7" xfId="4860" xr:uid="{00000000-0005-0000-0000-00001E1D0000}"/>
    <cellStyle name="Normal 8 2 5 7 2" xfId="13299" xr:uid="{B9FAE64F-3516-4B38-84A5-FDC6491B201D}"/>
    <cellStyle name="Normal 8 2 5 8" xfId="9081" xr:uid="{86E2E4E4-37F1-44AB-B5C4-B20353F12E42}"/>
    <cellStyle name="Normal 8 2 6" xfId="946" xr:uid="{00000000-0005-0000-0000-00001F1D0000}"/>
    <cellStyle name="Normal 8 2 6 2" xfId="3180" xr:uid="{00000000-0005-0000-0000-0000201D0000}"/>
    <cellStyle name="Normal 8 2 6 2 2" xfId="7403" xr:uid="{00000000-0005-0000-0000-0000211D0000}"/>
    <cellStyle name="Normal 8 2 6 2 2 2" xfId="15842" xr:uid="{1726D530-6B9D-49B2-BDAD-398415C96EE3}"/>
    <cellStyle name="Normal 8 2 6 2 3" xfId="11624" xr:uid="{7CE6F6C5-65FF-4B13-99EC-B91436D522C4}"/>
    <cellStyle name="Normal 8 2 6 3" xfId="5258" xr:uid="{00000000-0005-0000-0000-0000221D0000}"/>
    <cellStyle name="Normal 8 2 6 3 2" xfId="13697" xr:uid="{0B6BB0B9-5532-4AAA-9EE6-C852B337CFDC}"/>
    <cellStyle name="Normal 8 2 6 4" xfId="9479" xr:uid="{342FCCC6-4FE6-4742-8AB4-82D5EDEFDB60}"/>
    <cellStyle name="Normal 8 2 7" xfId="1363" xr:uid="{00000000-0005-0000-0000-0000231D0000}"/>
    <cellStyle name="Normal 8 2 7 2" xfId="3593" xr:uid="{00000000-0005-0000-0000-0000241D0000}"/>
    <cellStyle name="Normal 8 2 7 2 2" xfId="7816" xr:uid="{00000000-0005-0000-0000-0000251D0000}"/>
    <cellStyle name="Normal 8 2 7 2 2 2" xfId="16255" xr:uid="{DE0E1B3C-C91C-4B8B-839E-AEFD65331EFE}"/>
    <cellStyle name="Normal 8 2 7 2 3" xfId="12037" xr:uid="{42147BBB-B89A-4DEC-8B77-FF43B71EB4B6}"/>
    <cellStyle name="Normal 8 2 7 3" xfId="5671" xr:uid="{00000000-0005-0000-0000-0000261D0000}"/>
    <cellStyle name="Normal 8 2 7 3 2" xfId="14110" xr:uid="{4287F824-1282-4A4D-B194-19B0A72DE0AD}"/>
    <cellStyle name="Normal 8 2 7 4" xfId="9892" xr:uid="{5A731E54-2ED9-4B60-8F38-93793051950D}"/>
    <cellStyle name="Normal 8 2 8" xfId="1776" xr:uid="{00000000-0005-0000-0000-0000271D0000}"/>
    <cellStyle name="Normal 8 2 8 2" xfId="4006" xr:uid="{00000000-0005-0000-0000-0000281D0000}"/>
    <cellStyle name="Normal 8 2 8 2 2" xfId="8229" xr:uid="{00000000-0005-0000-0000-0000291D0000}"/>
    <cellStyle name="Normal 8 2 8 2 2 2" xfId="16668" xr:uid="{D6C24096-0251-4500-BD5B-9B2AC5BE16B2}"/>
    <cellStyle name="Normal 8 2 8 2 3" xfId="12450" xr:uid="{414F5291-4140-44BE-8176-0D6B556D9E8C}"/>
    <cellStyle name="Normal 8 2 8 3" xfId="6084" xr:uid="{00000000-0005-0000-0000-00002A1D0000}"/>
    <cellStyle name="Normal 8 2 8 3 2" xfId="14523" xr:uid="{0F033611-0042-4EF1-A83C-A37DBAD2C3D8}"/>
    <cellStyle name="Normal 8 2 8 4" xfId="10305" xr:uid="{B246E494-71DF-40F6-8897-5A3E6605619C}"/>
    <cellStyle name="Normal 8 2 9" xfId="2190" xr:uid="{00000000-0005-0000-0000-00002B1D0000}"/>
    <cellStyle name="Normal 8 2 9 2" xfId="4419" xr:uid="{00000000-0005-0000-0000-00002C1D0000}"/>
    <cellStyle name="Normal 8 2 9 2 2" xfId="8642" xr:uid="{00000000-0005-0000-0000-00002D1D0000}"/>
    <cellStyle name="Normal 8 2 9 2 2 2" xfId="17081" xr:uid="{3064246D-391B-446C-8F68-9D14D2E0CC51}"/>
    <cellStyle name="Normal 8 2 9 2 3" xfId="12863" xr:uid="{D9553D3F-8A4A-4C57-A45F-F1D2B12A7FDA}"/>
    <cellStyle name="Normal 8 2 9 3" xfId="6497" xr:uid="{00000000-0005-0000-0000-00002E1D0000}"/>
    <cellStyle name="Normal 8 2 9 3 2" xfId="14936" xr:uid="{BC3ED655-3C53-4104-A2D5-1FC28E099CC5}"/>
    <cellStyle name="Normal 8 2 9 4" xfId="10718" xr:uid="{49625574-172F-4E75-8127-2397757409EE}"/>
    <cellStyle name="Normal 8 3" xfId="495" xr:uid="{00000000-0005-0000-0000-00002F1D0000}"/>
    <cellStyle name="Normal 8 3 10" xfId="4861" xr:uid="{00000000-0005-0000-0000-0000301D0000}"/>
    <cellStyle name="Normal 8 3 10 2" xfId="13300" xr:uid="{85C18DCF-8B60-43DA-91CF-BB0907F0D20E}"/>
    <cellStyle name="Normal 8 3 11" xfId="9082" xr:uid="{18BE24E7-046F-45DE-886E-6D08E781985D}"/>
    <cellStyle name="Normal 8 3 2" xfId="496" xr:uid="{00000000-0005-0000-0000-0000311D0000}"/>
    <cellStyle name="Normal 8 3 2 10" xfId="9083" xr:uid="{361EB9D6-0EDD-419B-855B-FB62DCC72A44}"/>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1" xr:uid="{1F784AAE-7174-4EA1-B214-A092721F40C7}"/>
    <cellStyle name="Normal 8 3 2 2 2 2 2 3" xfId="11643" xr:uid="{FD78B980-399F-4128-A634-46E1C4E570A4}"/>
    <cellStyle name="Normal 8 3 2 2 2 2 3" xfId="5277" xr:uid="{00000000-0005-0000-0000-0000371D0000}"/>
    <cellStyle name="Normal 8 3 2 2 2 2 3 2" xfId="13716" xr:uid="{EBD1AB75-0601-4FD9-BED6-713CE5EC76CC}"/>
    <cellStyle name="Normal 8 3 2 2 2 2 4" xfId="9498" xr:uid="{66213726-7827-4BAB-9C4E-E84ADA53D62E}"/>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4" xr:uid="{3DC9E199-1445-4BB3-A419-407D25D06BE3}"/>
    <cellStyle name="Normal 8 3 2 2 2 3 2 3" xfId="12056" xr:uid="{87A16358-ED22-4001-B587-E673BA4B2DE3}"/>
    <cellStyle name="Normal 8 3 2 2 2 3 3" xfId="5690" xr:uid="{00000000-0005-0000-0000-00003B1D0000}"/>
    <cellStyle name="Normal 8 3 2 2 2 3 3 2" xfId="14129" xr:uid="{337E0CF8-931B-4D91-B2FD-06D2F2B9CBE9}"/>
    <cellStyle name="Normal 8 3 2 2 2 3 4" xfId="9911" xr:uid="{6E53BA9B-85F2-4A0A-9EF8-497E1AA84699}"/>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87" xr:uid="{4027D3CB-6FB9-445D-AC5B-2F1AB94A0FFF}"/>
    <cellStyle name="Normal 8 3 2 2 2 4 2 3" xfId="12469" xr:uid="{88E2B77D-760A-40D0-BFFB-7C9D699CBAC4}"/>
    <cellStyle name="Normal 8 3 2 2 2 4 3" xfId="6103" xr:uid="{00000000-0005-0000-0000-00003F1D0000}"/>
    <cellStyle name="Normal 8 3 2 2 2 4 3 2" xfId="14542" xr:uid="{F4AEF653-8417-46C4-8C7F-3B6F0334D9DC}"/>
    <cellStyle name="Normal 8 3 2 2 2 4 4" xfId="10324" xr:uid="{BCD8CA38-90AC-45B5-AC94-C55E4184970E}"/>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0" xr:uid="{2D51BD15-49BF-4B29-98F5-C0E8773AF810}"/>
    <cellStyle name="Normal 8 3 2 2 2 5 2 3" xfId="12882" xr:uid="{63535CF5-50DF-4371-B8B5-63FFDEC87927}"/>
    <cellStyle name="Normal 8 3 2 2 2 5 3" xfId="6516" xr:uid="{00000000-0005-0000-0000-0000431D0000}"/>
    <cellStyle name="Normal 8 3 2 2 2 5 3 2" xfId="14955" xr:uid="{7378C219-8692-4843-A2FA-AA24F582A69E}"/>
    <cellStyle name="Normal 8 3 2 2 2 5 4" xfId="10737" xr:uid="{928F97F7-796E-4F7C-BAAB-4BC4026E5453}"/>
    <cellStyle name="Normal 8 3 2 2 2 6" xfId="2645" xr:uid="{00000000-0005-0000-0000-0000441D0000}"/>
    <cellStyle name="Normal 8 3 2 2 2 6 2" xfId="6929" xr:uid="{00000000-0005-0000-0000-0000451D0000}"/>
    <cellStyle name="Normal 8 3 2 2 2 6 2 2" xfId="15368" xr:uid="{BC31BF86-B075-4026-8DFA-908F85440171}"/>
    <cellStyle name="Normal 8 3 2 2 2 6 3" xfId="11150" xr:uid="{BC18159B-D2C8-4D0E-8353-616F5239D696}"/>
    <cellStyle name="Normal 8 3 2 2 2 7" xfId="4864" xr:uid="{00000000-0005-0000-0000-0000461D0000}"/>
    <cellStyle name="Normal 8 3 2 2 2 7 2" xfId="13303" xr:uid="{5B19FEE5-C726-4645-8A4D-C9F1FE7FF1F0}"/>
    <cellStyle name="Normal 8 3 2 2 2 8" xfId="9085" xr:uid="{6F6FD48F-F44B-4060-B43D-2C0783BBD563}"/>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0" xr:uid="{6D9721AB-6AAD-48D7-80FF-5E3445B517D0}"/>
    <cellStyle name="Normal 8 3 2 2 3 2 3" xfId="11642" xr:uid="{67693DE3-BBE9-4EBD-93CC-81103DE37D69}"/>
    <cellStyle name="Normal 8 3 2 2 3 3" xfId="5276" xr:uid="{00000000-0005-0000-0000-00004A1D0000}"/>
    <cellStyle name="Normal 8 3 2 2 3 3 2" xfId="13715" xr:uid="{2C42056A-596E-4FA4-9F14-733AA1CB89C7}"/>
    <cellStyle name="Normal 8 3 2 2 3 4" xfId="9497" xr:uid="{59C4447D-CD83-4499-9DF6-59F91DBC32B8}"/>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3" xr:uid="{2D8F1BE1-0F79-4444-8695-B32B6EBEA27F}"/>
    <cellStyle name="Normal 8 3 2 2 4 2 3" xfId="12055" xr:uid="{5E2DEEB7-B56E-4622-ACC0-01F00AA179FA}"/>
    <cellStyle name="Normal 8 3 2 2 4 3" xfId="5689" xr:uid="{00000000-0005-0000-0000-00004E1D0000}"/>
    <cellStyle name="Normal 8 3 2 2 4 3 2" xfId="14128" xr:uid="{CD81BC7D-04A8-4186-988A-D9BB51B00CAA}"/>
    <cellStyle name="Normal 8 3 2 2 4 4" xfId="9910" xr:uid="{1816BA04-178A-4BF9-8722-D8F7A6A1FB7A}"/>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6" xr:uid="{2A1C99E7-2FA0-44FD-ADE2-01B5650614DD}"/>
    <cellStyle name="Normal 8 3 2 2 5 2 3" xfId="12468" xr:uid="{DBADA399-15FA-4543-B42C-6AB2AE8C0386}"/>
    <cellStyle name="Normal 8 3 2 2 5 3" xfId="6102" xr:uid="{00000000-0005-0000-0000-0000521D0000}"/>
    <cellStyle name="Normal 8 3 2 2 5 3 2" xfId="14541" xr:uid="{FF5DB9AD-7806-4012-B84F-81452F6F22B4}"/>
    <cellStyle name="Normal 8 3 2 2 5 4" xfId="10323" xr:uid="{E91A47EF-0B04-4E59-BFD5-3E47E3252196}"/>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099" xr:uid="{AED12C1D-7F03-43CD-928A-F09D2077F9B4}"/>
    <cellStyle name="Normal 8 3 2 2 6 2 3" xfId="12881" xr:uid="{3E2AE4C2-AA1B-486C-9497-B1B58E8BCA49}"/>
    <cellStyle name="Normal 8 3 2 2 6 3" xfId="6515" xr:uid="{00000000-0005-0000-0000-0000561D0000}"/>
    <cellStyle name="Normal 8 3 2 2 6 3 2" xfId="14954" xr:uid="{7392201E-4154-4A9E-AE28-B0DA72D098B5}"/>
    <cellStyle name="Normal 8 3 2 2 6 4" xfId="10736" xr:uid="{8BC5CB35-D2B0-4008-A128-4F535DEDC3B3}"/>
    <cellStyle name="Normal 8 3 2 2 7" xfId="2644" xr:uid="{00000000-0005-0000-0000-0000571D0000}"/>
    <cellStyle name="Normal 8 3 2 2 7 2" xfId="6928" xr:uid="{00000000-0005-0000-0000-0000581D0000}"/>
    <cellStyle name="Normal 8 3 2 2 7 2 2" xfId="15367" xr:uid="{D1A1C2F2-3794-48E0-B609-EC65A99D87A5}"/>
    <cellStyle name="Normal 8 3 2 2 7 3" xfId="11149" xr:uid="{78C6157B-3519-4DAD-8535-31ACAE00F7EA}"/>
    <cellStyle name="Normal 8 3 2 2 8" xfId="4863" xr:uid="{00000000-0005-0000-0000-0000591D0000}"/>
    <cellStyle name="Normal 8 3 2 2 8 2" xfId="13302" xr:uid="{B7D3803B-FF4B-44CE-B1DE-A19B8FE22C58}"/>
    <cellStyle name="Normal 8 3 2 2 9" xfId="9084" xr:uid="{1D35ED87-F5E7-4139-B219-47C29F443AB3}"/>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2" xr:uid="{40065B26-0C1D-47DE-99F6-543B6E81AF43}"/>
    <cellStyle name="Normal 8 3 2 3 2 2 3" xfId="11644" xr:uid="{D979C272-7854-4A63-BCC3-CF5459F06107}"/>
    <cellStyle name="Normal 8 3 2 3 2 3" xfId="5278" xr:uid="{00000000-0005-0000-0000-00005E1D0000}"/>
    <cellStyle name="Normal 8 3 2 3 2 3 2" xfId="13717" xr:uid="{4EB14FFD-0112-4C09-B10D-726E17B18671}"/>
    <cellStyle name="Normal 8 3 2 3 2 4" xfId="9499" xr:uid="{A4622F0D-D3E3-453A-A72B-B96D1C2D583B}"/>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5" xr:uid="{DF766407-E319-41D8-A4DC-C9B6EDB01B1B}"/>
    <cellStyle name="Normal 8 3 2 3 3 2 3" xfId="12057" xr:uid="{95D63A07-0534-4CF1-947B-50116122BFF4}"/>
    <cellStyle name="Normal 8 3 2 3 3 3" xfId="5691" xr:uid="{00000000-0005-0000-0000-0000621D0000}"/>
    <cellStyle name="Normal 8 3 2 3 3 3 2" xfId="14130" xr:uid="{ABBDF5CC-38E5-4DDE-81E1-4CA94DC0D43E}"/>
    <cellStyle name="Normal 8 3 2 3 3 4" xfId="9912" xr:uid="{6E7C241C-8245-48E8-99C8-C85C5C4F808C}"/>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88" xr:uid="{60944FB1-1F16-41D6-9CE2-C9D8B0B0C9D5}"/>
    <cellStyle name="Normal 8 3 2 3 4 2 3" xfId="12470" xr:uid="{E1930F26-E696-4BC1-88D7-4881B13E4638}"/>
    <cellStyle name="Normal 8 3 2 3 4 3" xfId="6104" xr:uid="{00000000-0005-0000-0000-0000661D0000}"/>
    <cellStyle name="Normal 8 3 2 3 4 3 2" xfId="14543" xr:uid="{54CCAFAA-26D0-4CC9-90A6-D612521FF55E}"/>
    <cellStyle name="Normal 8 3 2 3 4 4" xfId="10325" xr:uid="{F63FEFE9-8190-458F-A531-6E7365D07C52}"/>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1" xr:uid="{2B7ABB53-9F46-4083-AD2C-53FA45B599EB}"/>
    <cellStyle name="Normal 8 3 2 3 5 2 3" xfId="12883" xr:uid="{6484AD33-4A1D-4ECB-8C87-97057AD23A5C}"/>
    <cellStyle name="Normal 8 3 2 3 5 3" xfId="6517" xr:uid="{00000000-0005-0000-0000-00006A1D0000}"/>
    <cellStyle name="Normal 8 3 2 3 5 3 2" xfId="14956" xr:uid="{D1327A31-C737-49ED-B37D-638D3ACA24DF}"/>
    <cellStyle name="Normal 8 3 2 3 5 4" xfId="10738" xr:uid="{BA4E21A7-F6E3-4AC3-AE90-A04416D9B8A1}"/>
    <cellStyle name="Normal 8 3 2 3 6" xfId="2646" xr:uid="{00000000-0005-0000-0000-00006B1D0000}"/>
    <cellStyle name="Normal 8 3 2 3 6 2" xfId="6930" xr:uid="{00000000-0005-0000-0000-00006C1D0000}"/>
    <cellStyle name="Normal 8 3 2 3 6 2 2" xfId="15369" xr:uid="{93063E86-0E5C-4C77-A5BC-7AEEC384E5F9}"/>
    <cellStyle name="Normal 8 3 2 3 6 3" xfId="11151" xr:uid="{F9587550-6480-4665-80DA-1B372C244E0A}"/>
    <cellStyle name="Normal 8 3 2 3 7" xfId="4865" xr:uid="{00000000-0005-0000-0000-00006D1D0000}"/>
    <cellStyle name="Normal 8 3 2 3 7 2" xfId="13304" xr:uid="{E4FEB175-0218-4BD6-9789-7225047AEB42}"/>
    <cellStyle name="Normal 8 3 2 3 8" xfId="9086" xr:uid="{6FD533EC-D1D6-4A07-8ECB-327280422B0F}"/>
    <cellStyle name="Normal 8 3 2 4" xfId="963" xr:uid="{00000000-0005-0000-0000-00006E1D0000}"/>
    <cellStyle name="Normal 8 3 2 4 2" xfId="3197" xr:uid="{00000000-0005-0000-0000-00006F1D0000}"/>
    <cellStyle name="Normal 8 3 2 4 2 2" xfId="7420" xr:uid="{00000000-0005-0000-0000-0000701D0000}"/>
    <cellStyle name="Normal 8 3 2 4 2 2 2" xfId="15859" xr:uid="{81788618-BE76-49D5-96AB-60964FE619AD}"/>
    <cellStyle name="Normal 8 3 2 4 2 3" xfId="11641" xr:uid="{EAB7BB99-96E5-4044-93BD-D335DFBA4C70}"/>
    <cellStyle name="Normal 8 3 2 4 3" xfId="5275" xr:uid="{00000000-0005-0000-0000-0000711D0000}"/>
    <cellStyle name="Normal 8 3 2 4 3 2" xfId="13714" xr:uid="{13489C2F-CCE0-443D-B9BD-7294119B25EB}"/>
    <cellStyle name="Normal 8 3 2 4 4" xfId="9496" xr:uid="{A15EB4A5-2ECD-4D1A-9EC9-A2748FF7629A}"/>
    <cellStyle name="Normal 8 3 2 5" xfId="1380" xr:uid="{00000000-0005-0000-0000-0000721D0000}"/>
    <cellStyle name="Normal 8 3 2 5 2" xfId="3610" xr:uid="{00000000-0005-0000-0000-0000731D0000}"/>
    <cellStyle name="Normal 8 3 2 5 2 2" xfId="7833" xr:uid="{00000000-0005-0000-0000-0000741D0000}"/>
    <cellStyle name="Normal 8 3 2 5 2 2 2" xfId="16272" xr:uid="{D88F1ECE-B038-4006-8EA9-115F98A3091A}"/>
    <cellStyle name="Normal 8 3 2 5 2 3" xfId="12054" xr:uid="{41DD01FC-3A6E-48D6-BC50-6ECB6A61EFD6}"/>
    <cellStyle name="Normal 8 3 2 5 3" xfId="5688" xr:uid="{00000000-0005-0000-0000-0000751D0000}"/>
    <cellStyle name="Normal 8 3 2 5 3 2" xfId="14127" xr:uid="{794AF432-3AB4-410E-A4E4-847970EC0CA9}"/>
    <cellStyle name="Normal 8 3 2 5 4" xfId="9909" xr:uid="{1243718A-E8DD-4886-9C48-3DB72ACBFA71}"/>
    <cellStyle name="Normal 8 3 2 6" xfId="1793" xr:uid="{00000000-0005-0000-0000-0000761D0000}"/>
    <cellStyle name="Normal 8 3 2 6 2" xfId="4023" xr:uid="{00000000-0005-0000-0000-0000771D0000}"/>
    <cellStyle name="Normal 8 3 2 6 2 2" xfId="8246" xr:uid="{00000000-0005-0000-0000-0000781D0000}"/>
    <cellStyle name="Normal 8 3 2 6 2 2 2" xfId="16685" xr:uid="{F262A79A-09D7-4B5C-800E-A24E73ED0251}"/>
    <cellStyle name="Normal 8 3 2 6 2 3" xfId="12467" xr:uid="{24529D7D-6321-4B86-A8A8-F287A835CAE4}"/>
    <cellStyle name="Normal 8 3 2 6 3" xfId="6101" xr:uid="{00000000-0005-0000-0000-0000791D0000}"/>
    <cellStyle name="Normal 8 3 2 6 3 2" xfId="14540" xr:uid="{5E9272C1-6948-4CC5-AF67-0EA597F8CBC0}"/>
    <cellStyle name="Normal 8 3 2 6 4" xfId="10322" xr:uid="{F3B44D0B-EC33-4DE1-A9C1-253FD6C7221E}"/>
    <cellStyle name="Normal 8 3 2 7" xfId="2207" xr:uid="{00000000-0005-0000-0000-00007A1D0000}"/>
    <cellStyle name="Normal 8 3 2 7 2" xfId="4436" xr:uid="{00000000-0005-0000-0000-00007B1D0000}"/>
    <cellStyle name="Normal 8 3 2 7 2 2" xfId="8659" xr:uid="{00000000-0005-0000-0000-00007C1D0000}"/>
    <cellStyle name="Normal 8 3 2 7 2 2 2" xfId="17098" xr:uid="{B3F5DFFF-F3E6-47AB-8DB4-E66BDDB42D0C}"/>
    <cellStyle name="Normal 8 3 2 7 2 3" xfId="12880" xr:uid="{85A78837-8465-4C57-A4C7-B0441FA008D8}"/>
    <cellStyle name="Normal 8 3 2 7 3" xfId="6514" xr:uid="{00000000-0005-0000-0000-00007D1D0000}"/>
    <cellStyle name="Normal 8 3 2 7 3 2" xfId="14953" xr:uid="{9BCD05A3-84BC-46DB-9A2C-C88435902F3C}"/>
    <cellStyle name="Normal 8 3 2 7 4" xfId="10735" xr:uid="{5C54BC33-BE90-47C5-AF35-353F669C61A4}"/>
    <cellStyle name="Normal 8 3 2 8" xfId="2643" xr:uid="{00000000-0005-0000-0000-00007E1D0000}"/>
    <cellStyle name="Normal 8 3 2 8 2" xfId="6927" xr:uid="{00000000-0005-0000-0000-00007F1D0000}"/>
    <cellStyle name="Normal 8 3 2 8 2 2" xfId="15366" xr:uid="{0BBEEB88-3267-405E-8E7D-B17CBA585889}"/>
    <cellStyle name="Normal 8 3 2 8 3" xfId="11148" xr:uid="{91FBFCDD-30B0-4FDE-9C0F-49743268BB8F}"/>
    <cellStyle name="Normal 8 3 2 9" xfId="4862" xr:uid="{00000000-0005-0000-0000-0000801D0000}"/>
    <cellStyle name="Normal 8 3 2 9 2" xfId="13301" xr:uid="{A01CC7D0-A0C4-41F4-AEB1-BE0ACBFF9916}"/>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4" xr:uid="{06BFB8D1-A2A5-439E-906D-7FEFDB4E69E6}"/>
    <cellStyle name="Normal 8 3 3 2 2 2 3" xfId="11646" xr:uid="{CA013A2F-5D70-41F3-AC81-C976EDE14528}"/>
    <cellStyle name="Normal 8 3 3 2 2 3" xfId="5280" xr:uid="{00000000-0005-0000-0000-0000861D0000}"/>
    <cellStyle name="Normal 8 3 3 2 2 3 2" xfId="13719" xr:uid="{19305CD6-8E59-4B21-A7CA-7F95C2495BE6}"/>
    <cellStyle name="Normal 8 3 3 2 2 4" xfId="9501" xr:uid="{55495DD4-DAEA-481E-9B28-7F25C2F94AEE}"/>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77" xr:uid="{90F17B46-2D09-4BF1-A87F-0BA5BC76AC7D}"/>
    <cellStyle name="Normal 8 3 3 2 3 2 3" xfId="12059" xr:uid="{EC7FD3B9-3B85-439D-99BB-8BA2F78B28D9}"/>
    <cellStyle name="Normal 8 3 3 2 3 3" xfId="5693" xr:uid="{00000000-0005-0000-0000-00008A1D0000}"/>
    <cellStyle name="Normal 8 3 3 2 3 3 2" xfId="14132" xr:uid="{536005B3-4567-4900-8651-5DE9AD027F09}"/>
    <cellStyle name="Normal 8 3 3 2 3 4" xfId="9914" xr:uid="{BB5EEDFE-29F5-4C07-9CCE-D04DD767B9EA}"/>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0" xr:uid="{33C83716-701C-4DAD-B8C6-2604E3B38D5E}"/>
    <cellStyle name="Normal 8 3 3 2 4 2 3" xfId="12472" xr:uid="{8A97CEB2-1575-4FE8-925F-65822340EC90}"/>
    <cellStyle name="Normal 8 3 3 2 4 3" xfId="6106" xr:uid="{00000000-0005-0000-0000-00008E1D0000}"/>
    <cellStyle name="Normal 8 3 3 2 4 3 2" xfId="14545" xr:uid="{7A7B5DF8-EBBB-4566-82D7-2E01E10F742A}"/>
    <cellStyle name="Normal 8 3 3 2 4 4" xfId="10327" xr:uid="{7E53078D-9B40-4851-99C7-C52E7D536EE2}"/>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3" xr:uid="{AA68D743-05A4-4D28-A4DB-2F6BE7629F44}"/>
    <cellStyle name="Normal 8 3 3 2 5 2 3" xfId="12885" xr:uid="{2E7B0BDC-25E3-4E33-8D05-654EB64D0154}"/>
    <cellStyle name="Normal 8 3 3 2 5 3" xfId="6519" xr:uid="{00000000-0005-0000-0000-0000921D0000}"/>
    <cellStyle name="Normal 8 3 3 2 5 3 2" xfId="14958" xr:uid="{2E82D502-2704-47DE-900F-380CB7C5EBA7}"/>
    <cellStyle name="Normal 8 3 3 2 5 4" xfId="10740" xr:uid="{46F59A00-8DFC-412B-84EA-32C5E8894179}"/>
    <cellStyle name="Normal 8 3 3 2 6" xfId="2648" xr:uid="{00000000-0005-0000-0000-0000931D0000}"/>
    <cellStyle name="Normal 8 3 3 2 6 2" xfId="6932" xr:uid="{00000000-0005-0000-0000-0000941D0000}"/>
    <cellStyle name="Normal 8 3 3 2 6 2 2" xfId="15371" xr:uid="{06F104AC-984F-4BC9-914C-578F28F47E07}"/>
    <cellStyle name="Normal 8 3 3 2 6 3" xfId="11153" xr:uid="{D5C021FF-AA1A-472C-8428-4F8D6E96BE65}"/>
    <cellStyle name="Normal 8 3 3 2 7" xfId="4867" xr:uid="{00000000-0005-0000-0000-0000951D0000}"/>
    <cellStyle name="Normal 8 3 3 2 7 2" xfId="13306" xr:uid="{8003B8B3-86C2-4E37-AF1B-D95271827E44}"/>
    <cellStyle name="Normal 8 3 3 2 8" xfId="9088" xr:uid="{09B71891-8C8A-49E8-A0DB-68674C425E45}"/>
    <cellStyle name="Normal 8 3 3 3" xfId="967" xr:uid="{00000000-0005-0000-0000-0000961D0000}"/>
    <cellStyle name="Normal 8 3 3 3 2" xfId="3201" xr:uid="{00000000-0005-0000-0000-0000971D0000}"/>
    <cellStyle name="Normal 8 3 3 3 2 2" xfId="7424" xr:uid="{00000000-0005-0000-0000-0000981D0000}"/>
    <cellStyle name="Normal 8 3 3 3 2 2 2" xfId="15863" xr:uid="{B5D35784-2E6B-4AB5-984F-939FD90EB028}"/>
    <cellStyle name="Normal 8 3 3 3 2 3" xfId="11645" xr:uid="{09BA50AE-AB19-45BF-B4E9-AE0FF7509C5C}"/>
    <cellStyle name="Normal 8 3 3 3 3" xfId="5279" xr:uid="{00000000-0005-0000-0000-0000991D0000}"/>
    <cellStyle name="Normal 8 3 3 3 3 2" xfId="13718" xr:uid="{C487EB85-7D2C-42CF-9CC5-F75736AAC2E6}"/>
    <cellStyle name="Normal 8 3 3 3 4" xfId="9500" xr:uid="{CFDD261F-CAD1-46D8-8258-BF46E787DF0F}"/>
    <cellStyle name="Normal 8 3 3 4" xfId="1384" xr:uid="{00000000-0005-0000-0000-00009A1D0000}"/>
    <cellStyle name="Normal 8 3 3 4 2" xfId="3614" xr:uid="{00000000-0005-0000-0000-00009B1D0000}"/>
    <cellStyle name="Normal 8 3 3 4 2 2" xfId="7837" xr:uid="{00000000-0005-0000-0000-00009C1D0000}"/>
    <cellStyle name="Normal 8 3 3 4 2 2 2" xfId="16276" xr:uid="{2EA55F84-0E44-4C8C-A16D-42B11977F75B}"/>
    <cellStyle name="Normal 8 3 3 4 2 3" xfId="12058" xr:uid="{9D3C8D68-BA1D-481E-ACDD-0273B65929DF}"/>
    <cellStyle name="Normal 8 3 3 4 3" xfId="5692" xr:uid="{00000000-0005-0000-0000-00009D1D0000}"/>
    <cellStyle name="Normal 8 3 3 4 3 2" xfId="14131" xr:uid="{EC0F6972-747C-45D8-8E61-C51EB5CFDC3D}"/>
    <cellStyle name="Normal 8 3 3 4 4" xfId="9913" xr:uid="{43F35178-9E0A-42D9-8B66-8E0C06EB851B}"/>
    <cellStyle name="Normal 8 3 3 5" xfId="1797" xr:uid="{00000000-0005-0000-0000-00009E1D0000}"/>
    <cellStyle name="Normal 8 3 3 5 2" xfId="4027" xr:uid="{00000000-0005-0000-0000-00009F1D0000}"/>
    <cellStyle name="Normal 8 3 3 5 2 2" xfId="8250" xr:uid="{00000000-0005-0000-0000-0000A01D0000}"/>
    <cellStyle name="Normal 8 3 3 5 2 2 2" xfId="16689" xr:uid="{0A7617EC-6AE7-436D-ADD1-F136B18305B5}"/>
    <cellStyle name="Normal 8 3 3 5 2 3" xfId="12471" xr:uid="{D93FC868-09BB-480B-9F87-E68CFC53F2CB}"/>
    <cellStyle name="Normal 8 3 3 5 3" xfId="6105" xr:uid="{00000000-0005-0000-0000-0000A11D0000}"/>
    <cellStyle name="Normal 8 3 3 5 3 2" xfId="14544" xr:uid="{5072837F-C446-4C86-BECC-DBB73BA793EE}"/>
    <cellStyle name="Normal 8 3 3 5 4" xfId="10326" xr:uid="{E61AC870-C37F-4F1D-A030-53F0FBAD7545}"/>
    <cellStyle name="Normal 8 3 3 6" xfId="2211" xr:uid="{00000000-0005-0000-0000-0000A21D0000}"/>
    <cellStyle name="Normal 8 3 3 6 2" xfId="4440" xr:uid="{00000000-0005-0000-0000-0000A31D0000}"/>
    <cellStyle name="Normal 8 3 3 6 2 2" xfId="8663" xr:uid="{00000000-0005-0000-0000-0000A41D0000}"/>
    <cellStyle name="Normal 8 3 3 6 2 2 2" xfId="17102" xr:uid="{1BC6F5D9-1B09-4A0C-A204-A492621369BB}"/>
    <cellStyle name="Normal 8 3 3 6 2 3" xfId="12884" xr:uid="{ECE7CFC0-FD01-44F4-88B6-FF6177086F74}"/>
    <cellStyle name="Normal 8 3 3 6 3" xfId="6518" xr:uid="{00000000-0005-0000-0000-0000A51D0000}"/>
    <cellStyle name="Normal 8 3 3 6 3 2" xfId="14957" xr:uid="{BC8D40A2-F0EE-4DD3-97E6-F46DDCE6FE2A}"/>
    <cellStyle name="Normal 8 3 3 6 4" xfId="10739" xr:uid="{E5A4BF22-C1BC-4D5B-AE7F-7B0D08FD97AF}"/>
    <cellStyle name="Normal 8 3 3 7" xfId="2647" xr:uid="{00000000-0005-0000-0000-0000A61D0000}"/>
    <cellStyle name="Normal 8 3 3 7 2" xfId="6931" xr:uid="{00000000-0005-0000-0000-0000A71D0000}"/>
    <cellStyle name="Normal 8 3 3 7 2 2" xfId="15370" xr:uid="{4E551BF5-2127-443B-BC62-245E5A03B150}"/>
    <cellStyle name="Normal 8 3 3 7 3" xfId="11152" xr:uid="{BDFC1B98-08E1-4897-AA0F-4970B7CB035E}"/>
    <cellStyle name="Normal 8 3 3 8" xfId="4866" xr:uid="{00000000-0005-0000-0000-0000A81D0000}"/>
    <cellStyle name="Normal 8 3 3 8 2" xfId="13305" xr:uid="{8D92480D-C7EB-4C09-B9B0-A12A9D7C5889}"/>
    <cellStyle name="Normal 8 3 3 9" xfId="9087" xr:uid="{96EDD073-CC68-4B18-A12B-AC7696A6178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5" xr:uid="{635A2988-08CF-43EE-98DC-CF6A7D55D36B}"/>
    <cellStyle name="Normal 8 3 4 2 2 3" xfId="11647" xr:uid="{5471DD3A-8FE7-4672-80F2-3EEDC3C90479}"/>
    <cellStyle name="Normal 8 3 4 2 3" xfId="5281" xr:uid="{00000000-0005-0000-0000-0000AD1D0000}"/>
    <cellStyle name="Normal 8 3 4 2 3 2" xfId="13720" xr:uid="{59E3DC2D-E72A-42B5-BC1E-188EE6E8F653}"/>
    <cellStyle name="Normal 8 3 4 2 4" xfId="9502" xr:uid="{9332346A-CFF2-43F6-8624-42B1B3669B81}"/>
    <cellStyle name="Normal 8 3 4 3" xfId="1386" xr:uid="{00000000-0005-0000-0000-0000AE1D0000}"/>
    <cellStyle name="Normal 8 3 4 3 2" xfId="3616" xr:uid="{00000000-0005-0000-0000-0000AF1D0000}"/>
    <cellStyle name="Normal 8 3 4 3 2 2" xfId="7839" xr:uid="{00000000-0005-0000-0000-0000B01D0000}"/>
    <cellStyle name="Normal 8 3 4 3 2 2 2" xfId="16278" xr:uid="{29DF40B2-5B91-49E1-9F14-F9B89892048D}"/>
    <cellStyle name="Normal 8 3 4 3 2 3" xfId="12060" xr:uid="{AEA471B4-5C36-4CC4-B4F7-93669465D282}"/>
    <cellStyle name="Normal 8 3 4 3 3" xfId="5694" xr:uid="{00000000-0005-0000-0000-0000B11D0000}"/>
    <cellStyle name="Normal 8 3 4 3 3 2" xfId="14133" xr:uid="{6200AFFB-BDB5-4E1B-A2A6-D9500AC94C37}"/>
    <cellStyle name="Normal 8 3 4 3 4" xfId="9915" xr:uid="{8A3910EE-7B38-4FA0-9D1A-9B2C934A8D77}"/>
    <cellStyle name="Normal 8 3 4 4" xfId="1799" xr:uid="{00000000-0005-0000-0000-0000B21D0000}"/>
    <cellStyle name="Normal 8 3 4 4 2" xfId="4029" xr:uid="{00000000-0005-0000-0000-0000B31D0000}"/>
    <cellStyle name="Normal 8 3 4 4 2 2" xfId="8252" xr:uid="{00000000-0005-0000-0000-0000B41D0000}"/>
    <cellStyle name="Normal 8 3 4 4 2 2 2" xfId="16691" xr:uid="{7C996AE8-5187-41FD-A5C8-93FA9A40ECF5}"/>
    <cellStyle name="Normal 8 3 4 4 2 3" xfId="12473" xr:uid="{635C2421-E982-4C08-8131-8E462D19C7B8}"/>
    <cellStyle name="Normal 8 3 4 4 3" xfId="6107" xr:uid="{00000000-0005-0000-0000-0000B51D0000}"/>
    <cellStyle name="Normal 8 3 4 4 3 2" xfId="14546" xr:uid="{555EEA05-D115-452D-84CF-24DE912CD355}"/>
    <cellStyle name="Normal 8 3 4 4 4" xfId="10328" xr:uid="{7525265A-84B1-4497-A887-455A97EEBFF3}"/>
    <cellStyle name="Normal 8 3 4 5" xfId="2213" xr:uid="{00000000-0005-0000-0000-0000B61D0000}"/>
    <cellStyle name="Normal 8 3 4 5 2" xfId="4442" xr:uid="{00000000-0005-0000-0000-0000B71D0000}"/>
    <cellStyle name="Normal 8 3 4 5 2 2" xfId="8665" xr:uid="{00000000-0005-0000-0000-0000B81D0000}"/>
    <cellStyle name="Normal 8 3 4 5 2 2 2" xfId="17104" xr:uid="{1ACD931F-1B7E-45A0-8BFE-3132BA80BA8F}"/>
    <cellStyle name="Normal 8 3 4 5 2 3" xfId="12886" xr:uid="{C5D1FE5F-D002-4D0B-85F0-E10209111309}"/>
    <cellStyle name="Normal 8 3 4 5 3" xfId="6520" xr:uid="{00000000-0005-0000-0000-0000B91D0000}"/>
    <cellStyle name="Normal 8 3 4 5 3 2" xfId="14959" xr:uid="{6AAF8047-752A-412D-8266-9E7808E22628}"/>
    <cellStyle name="Normal 8 3 4 5 4" xfId="10741" xr:uid="{7C6CE04C-EE57-4A4A-BE05-FAC5104BF09B}"/>
    <cellStyle name="Normal 8 3 4 6" xfId="2649" xr:uid="{00000000-0005-0000-0000-0000BA1D0000}"/>
    <cellStyle name="Normal 8 3 4 6 2" xfId="6933" xr:uid="{00000000-0005-0000-0000-0000BB1D0000}"/>
    <cellStyle name="Normal 8 3 4 6 2 2" xfId="15372" xr:uid="{9D1B8755-EBE3-4FC6-8197-2CAAD85C9692}"/>
    <cellStyle name="Normal 8 3 4 6 3" xfId="11154" xr:uid="{0D61B4C1-171A-4C7E-ABDD-DF70AFCE097E}"/>
    <cellStyle name="Normal 8 3 4 7" xfId="4868" xr:uid="{00000000-0005-0000-0000-0000BC1D0000}"/>
    <cellStyle name="Normal 8 3 4 7 2" xfId="13307" xr:uid="{7F8B0DAF-E941-476F-9CAD-0CB92701AA09}"/>
    <cellStyle name="Normal 8 3 4 8" xfId="9089" xr:uid="{BDF90DB5-D83B-432F-9AF6-FE7BFBE29620}"/>
    <cellStyle name="Normal 8 3 5" xfId="962" xr:uid="{00000000-0005-0000-0000-0000BD1D0000}"/>
    <cellStyle name="Normal 8 3 5 2" xfId="3196" xr:uid="{00000000-0005-0000-0000-0000BE1D0000}"/>
    <cellStyle name="Normal 8 3 5 2 2" xfId="7419" xr:uid="{00000000-0005-0000-0000-0000BF1D0000}"/>
    <cellStyle name="Normal 8 3 5 2 2 2" xfId="15858" xr:uid="{5C1AC5C8-40AD-4A7E-82DE-77BCDC2D86D1}"/>
    <cellStyle name="Normal 8 3 5 2 3" xfId="11640" xr:uid="{23E3E35C-6900-4985-B0BF-3E0CCCA8892C}"/>
    <cellStyle name="Normal 8 3 5 3" xfId="5274" xr:uid="{00000000-0005-0000-0000-0000C01D0000}"/>
    <cellStyle name="Normal 8 3 5 3 2" xfId="13713" xr:uid="{D2B6DD4C-64CE-474C-8BEF-C1BF542D3603}"/>
    <cellStyle name="Normal 8 3 5 4" xfId="9495" xr:uid="{6E52D200-27C4-4CFF-BC19-1845B4280454}"/>
    <cellStyle name="Normal 8 3 6" xfId="1379" xr:uid="{00000000-0005-0000-0000-0000C11D0000}"/>
    <cellStyle name="Normal 8 3 6 2" xfId="3609" xr:uid="{00000000-0005-0000-0000-0000C21D0000}"/>
    <cellStyle name="Normal 8 3 6 2 2" xfId="7832" xr:uid="{00000000-0005-0000-0000-0000C31D0000}"/>
    <cellStyle name="Normal 8 3 6 2 2 2" xfId="16271" xr:uid="{486125F1-C1F2-4563-AE10-3D4201DE49E2}"/>
    <cellStyle name="Normal 8 3 6 2 3" xfId="12053" xr:uid="{27A32D58-5612-42EA-B2DF-9D9D13D1510C}"/>
    <cellStyle name="Normal 8 3 6 3" xfId="5687" xr:uid="{00000000-0005-0000-0000-0000C41D0000}"/>
    <cellStyle name="Normal 8 3 6 3 2" xfId="14126" xr:uid="{5342244D-F357-4E02-A6D7-A615DFF40BE0}"/>
    <cellStyle name="Normal 8 3 6 4" xfId="9908" xr:uid="{3788384A-98E2-4FFC-B387-84C75360AEEE}"/>
    <cellStyle name="Normal 8 3 7" xfId="1792" xr:uid="{00000000-0005-0000-0000-0000C51D0000}"/>
    <cellStyle name="Normal 8 3 7 2" xfId="4022" xr:uid="{00000000-0005-0000-0000-0000C61D0000}"/>
    <cellStyle name="Normal 8 3 7 2 2" xfId="8245" xr:uid="{00000000-0005-0000-0000-0000C71D0000}"/>
    <cellStyle name="Normal 8 3 7 2 2 2" xfId="16684" xr:uid="{6262F4CE-9320-4C56-8AEB-A404619FF9A5}"/>
    <cellStyle name="Normal 8 3 7 2 3" xfId="12466" xr:uid="{B439A3E8-241F-4557-9CEF-786203073C6C}"/>
    <cellStyle name="Normal 8 3 7 3" xfId="6100" xr:uid="{00000000-0005-0000-0000-0000C81D0000}"/>
    <cellStyle name="Normal 8 3 7 3 2" xfId="14539" xr:uid="{BAA46211-DFAA-4D76-8D59-49C652559A86}"/>
    <cellStyle name="Normal 8 3 7 4" xfId="10321" xr:uid="{6925FED1-47E0-4266-AADA-1966C7828149}"/>
    <cellStyle name="Normal 8 3 8" xfId="2206" xr:uid="{00000000-0005-0000-0000-0000C91D0000}"/>
    <cellStyle name="Normal 8 3 8 2" xfId="4435" xr:uid="{00000000-0005-0000-0000-0000CA1D0000}"/>
    <cellStyle name="Normal 8 3 8 2 2" xfId="8658" xr:uid="{00000000-0005-0000-0000-0000CB1D0000}"/>
    <cellStyle name="Normal 8 3 8 2 2 2" xfId="17097" xr:uid="{60D181CE-98D0-477B-BC26-A86AC88D5BE7}"/>
    <cellStyle name="Normal 8 3 8 2 3" xfId="12879" xr:uid="{02916F40-E369-4A2B-8B38-8FC976F581D7}"/>
    <cellStyle name="Normal 8 3 8 3" xfId="6513" xr:uid="{00000000-0005-0000-0000-0000CC1D0000}"/>
    <cellStyle name="Normal 8 3 8 3 2" xfId="14952" xr:uid="{30FD0843-524C-4A95-B0AA-51040901310B}"/>
    <cellStyle name="Normal 8 3 8 4" xfId="10734" xr:uid="{34FB8EAF-6D9A-4ABC-BB4C-0296D5EF84AC}"/>
    <cellStyle name="Normal 8 3 9" xfId="2642" xr:uid="{00000000-0005-0000-0000-0000CD1D0000}"/>
    <cellStyle name="Normal 8 3 9 2" xfId="6926" xr:uid="{00000000-0005-0000-0000-0000CE1D0000}"/>
    <cellStyle name="Normal 8 3 9 2 2" xfId="15365" xr:uid="{6EF73AF7-0B31-4172-8038-51F111949972}"/>
    <cellStyle name="Normal 8 3 9 3" xfId="11147" xr:uid="{B0FEA11B-D57F-4480-A87B-8AC88F55F7D9}"/>
    <cellStyle name="Normal 8 4" xfId="503" xr:uid="{00000000-0005-0000-0000-0000CF1D0000}"/>
    <cellStyle name="Normal 8 4 10" xfId="9090" xr:uid="{6C50B967-63BC-46AF-AC7A-7E5EDC6174CE}"/>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68" xr:uid="{A13FA858-83FE-40B8-AFBD-F8DFC172C952}"/>
    <cellStyle name="Normal 8 4 2 2 2 2 3" xfId="11650" xr:uid="{F68C1C8B-4CB2-4376-8796-D4A300565EA1}"/>
    <cellStyle name="Normal 8 4 2 2 2 3" xfId="5284" xr:uid="{00000000-0005-0000-0000-0000D51D0000}"/>
    <cellStyle name="Normal 8 4 2 2 2 3 2" xfId="13723" xr:uid="{AAB936D1-575A-42C5-8312-D830ED6BDD37}"/>
    <cellStyle name="Normal 8 4 2 2 2 4" xfId="9505" xr:uid="{E1EE2560-DEBD-456E-B92F-5A3EF594A55D}"/>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1" xr:uid="{5914393E-5125-43E9-9246-041757AA3072}"/>
    <cellStyle name="Normal 8 4 2 2 3 2 3" xfId="12063" xr:uid="{82B18FE3-D9E3-4055-8F82-9602AD98F2B8}"/>
    <cellStyle name="Normal 8 4 2 2 3 3" xfId="5697" xr:uid="{00000000-0005-0000-0000-0000D91D0000}"/>
    <cellStyle name="Normal 8 4 2 2 3 3 2" xfId="14136" xr:uid="{B024C83D-328A-4304-A8B4-7CA04D39006B}"/>
    <cellStyle name="Normal 8 4 2 2 3 4" xfId="9918" xr:uid="{EDE842F7-2930-49D3-9D30-3F80250CF58F}"/>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4" xr:uid="{012D6A22-66BE-4736-8627-B1F1C9306010}"/>
    <cellStyle name="Normal 8 4 2 2 4 2 3" xfId="12476" xr:uid="{C689D66B-E5B4-416B-9E0C-4B50E13340D0}"/>
    <cellStyle name="Normal 8 4 2 2 4 3" xfId="6110" xr:uid="{00000000-0005-0000-0000-0000DD1D0000}"/>
    <cellStyle name="Normal 8 4 2 2 4 3 2" xfId="14549" xr:uid="{B8CE1D8B-034C-46E1-A316-1A378BEC4223}"/>
    <cellStyle name="Normal 8 4 2 2 4 4" xfId="10331" xr:uid="{C15CF444-A31C-4EFF-9095-34A67CB6494F}"/>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07" xr:uid="{D8BC0494-2BBE-4E40-B4A6-DB7C39EDB9D7}"/>
    <cellStyle name="Normal 8 4 2 2 5 2 3" xfId="12889" xr:uid="{B8ED72A5-DC22-4DA0-95B6-F8C61460CEF1}"/>
    <cellStyle name="Normal 8 4 2 2 5 3" xfId="6523" xr:uid="{00000000-0005-0000-0000-0000E11D0000}"/>
    <cellStyle name="Normal 8 4 2 2 5 3 2" xfId="14962" xr:uid="{A5E31DEB-331B-4600-AB37-7ABEE36B252F}"/>
    <cellStyle name="Normal 8 4 2 2 5 4" xfId="10744" xr:uid="{23B43F41-0483-48A1-8F48-9000A65DD1ED}"/>
    <cellStyle name="Normal 8 4 2 2 6" xfId="2652" xr:uid="{00000000-0005-0000-0000-0000E21D0000}"/>
    <cellStyle name="Normal 8 4 2 2 6 2" xfId="6936" xr:uid="{00000000-0005-0000-0000-0000E31D0000}"/>
    <cellStyle name="Normal 8 4 2 2 6 2 2" xfId="15375" xr:uid="{E3A6B200-732D-42FC-A43A-F1EE77052845}"/>
    <cellStyle name="Normal 8 4 2 2 6 3" xfId="11157" xr:uid="{9F7D34B1-286A-4035-A2C6-13FDA73F5BDF}"/>
    <cellStyle name="Normal 8 4 2 2 7" xfId="4871" xr:uid="{00000000-0005-0000-0000-0000E41D0000}"/>
    <cellStyle name="Normal 8 4 2 2 7 2" xfId="13310" xr:uid="{AD14B853-E363-412C-B2E4-8B654DFE601E}"/>
    <cellStyle name="Normal 8 4 2 2 8" xfId="9092" xr:uid="{AFE11289-E41B-46F1-A46F-DD2E50D07278}"/>
    <cellStyle name="Normal 8 4 2 3" xfId="971" xr:uid="{00000000-0005-0000-0000-0000E51D0000}"/>
    <cellStyle name="Normal 8 4 2 3 2" xfId="3205" xr:uid="{00000000-0005-0000-0000-0000E61D0000}"/>
    <cellStyle name="Normal 8 4 2 3 2 2" xfId="7428" xr:uid="{00000000-0005-0000-0000-0000E71D0000}"/>
    <cellStyle name="Normal 8 4 2 3 2 2 2" xfId="15867" xr:uid="{659703C8-3791-448B-91E0-32A7F29F5CD8}"/>
    <cellStyle name="Normal 8 4 2 3 2 3" xfId="11649" xr:uid="{32D694DB-8AF7-4AEF-A4DA-C404496084F8}"/>
    <cellStyle name="Normal 8 4 2 3 3" xfId="5283" xr:uid="{00000000-0005-0000-0000-0000E81D0000}"/>
    <cellStyle name="Normal 8 4 2 3 3 2" xfId="13722" xr:uid="{68D68EAD-089D-407D-ABFF-658DAFFA6A7E}"/>
    <cellStyle name="Normal 8 4 2 3 4" xfId="9504" xr:uid="{F0DF26BB-38C8-4E0A-A48F-9A0DFDA7EDE5}"/>
    <cellStyle name="Normal 8 4 2 4" xfId="1388" xr:uid="{00000000-0005-0000-0000-0000E91D0000}"/>
    <cellStyle name="Normal 8 4 2 4 2" xfId="3618" xr:uid="{00000000-0005-0000-0000-0000EA1D0000}"/>
    <cellStyle name="Normal 8 4 2 4 2 2" xfId="7841" xr:uid="{00000000-0005-0000-0000-0000EB1D0000}"/>
    <cellStyle name="Normal 8 4 2 4 2 2 2" xfId="16280" xr:uid="{9C9A6576-8DE5-4B55-A295-ADE37261E6C7}"/>
    <cellStyle name="Normal 8 4 2 4 2 3" xfId="12062" xr:uid="{ED4877B9-A429-4866-AC60-0E2E0DD39693}"/>
    <cellStyle name="Normal 8 4 2 4 3" xfId="5696" xr:uid="{00000000-0005-0000-0000-0000EC1D0000}"/>
    <cellStyle name="Normal 8 4 2 4 3 2" xfId="14135" xr:uid="{FDEA5496-73C1-4278-9073-486F7C79AC20}"/>
    <cellStyle name="Normal 8 4 2 4 4" xfId="9917" xr:uid="{48DE3CE0-25A5-4CF0-BCE1-39765AC2AB8F}"/>
    <cellStyle name="Normal 8 4 2 5" xfId="1801" xr:uid="{00000000-0005-0000-0000-0000ED1D0000}"/>
    <cellStyle name="Normal 8 4 2 5 2" xfId="4031" xr:uid="{00000000-0005-0000-0000-0000EE1D0000}"/>
    <cellStyle name="Normal 8 4 2 5 2 2" xfId="8254" xr:uid="{00000000-0005-0000-0000-0000EF1D0000}"/>
    <cellStyle name="Normal 8 4 2 5 2 2 2" xfId="16693" xr:uid="{0B8520E2-F463-459E-A60F-C075EB4BBAFA}"/>
    <cellStyle name="Normal 8 4 2 5 2 3" xfId="12475" xr:uid="{47E5ACF3-201E-4908-BFB3-E477D5157717}"/>
    <cellStyle name="Normal 8 4 2 5 3" xfId="6109" xr:uid="{00000000-0005-0000-0000-0000F01D0000}"/>
    <cellStyle name="Normal 8 4 2 5 3 2" xfId="14548" xr:uid="{83D0B64D-1377-42EA-A512-04CC13245032}"/>
    <cellStyle name="Normal 8 4 2 5 4" xfId="10330" xr:uid="{F838AE86-AEDB-4DA6-98DE-C87912640DBD}"/>
    <cellStyle name="Normal 8 4 2 6" xfId="2215" xr:uid="{00000000-0005-0000-0000-0000F11D0000}"/>
    <cellStyle name="Normal 8 4 2 6 2" xfId="4444" xr:uid="{00000000-0005-0000-0000-0000F21D0000}"/>
    <cellStyle name="Normal 8 4 2 6 2 2" xfId="8667" xr:uid="{00000000-0005-0000-0000-0000F31D0000}"/>
    <cellStyle name="Normal 8 4 2 6 2 2 2" xfId="17106" xr:uid="{52EF53E6-16B8-4B66-A14F-62468DE070CE}"/>
    <cellStyle name="Normal 8 4 2 6 2 3" xfId="12888" xr:uid="{76550330-52E5-4F0E-B9FB-7C5B78B337A2}"/>
    <cellStyle name="Normal 8 4 2 6 3" xfId="6522" xr:uid="{00000000-0005-0000-0000-0000F41D0000}"/>
    <cellStyle name="Normal 8 4 2 6 3 2" xfId="14961" xr:uid="{822FA025-8AEC-4040-AAB3-6CC65EA4AE36}"/>
    <cellStyle name="Normal 8 4 2 6 4" xfId="10743" xr:uid="{D90A4588-F295-4FFB-84E3-2ED27130CBC4}"/>
    <cellStyle name="Normal 8 4 2 7" xfId="2651" xr:uid="{00000000-0005-0000-0000-0000F51D0000}"/>
    <cellStyle name="Normal 8 4 2 7 2" xfId="6935" xr:uid="{00000000-0005-0000-0000-0000F61D0000}"/>
    <cellStyle name="Normal 8 4 2 7 2 2" xfId="15374" xr:uid="{5C08BF8B-8D3F-460A-8314-B7A021C28168}"/>
    <cellStyle name="Normal 8 4 2 7 3" xfId="11156" xr:uid="{746E0F23-3EDC-4F05-B4D2-EBED7E025F5F}"/>
    <cellStyle name="Normal 8 4 2 8" xfId="4870" xr:uid="{00000000-0005-0000-0000-0000F71D0000}"/>
    <cellStyle name="Normal 8 4 2 8 2" xfId="13309" xr:uid="{C2649727-FD87-459C-97B4-491C8E1B34B4}"/>
    <cellStyle name="Normal 8 4 2 9" xfId="9091" xr:uid="{AA569E6B-A567-43E6-8F37-D84A86B8D455}"/>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69" xr:uid="{693B94BB-95B9-46E4-AABA-32E480CFB8F0}"/>
    <cellStyle name="Normal 8 4 3 2 2 3" xfId="11651" xr:uid="{537D586F-6BB4-4E6F-9D16-4FC397A38E5E}"/>
    <cellStyle name="Normal 8 4 3 2 3" xfId="5285" xr:uid="{00000000-0005-0000-0000-0000FC1D0000}"/>
    <cellStyle name="Normal 8 4 3 2 3 2" xfId="13724" xr:uid="{6A3379B4-B90C-4707-9C87-E41898C8B5A1}"/>
    <cellStyle name="Normal 8 4 3 2 4" xfId="9506" xr:uid="{88FC522D-1A6A-4D31-A748-735E23CAD134}"/>
    <cellStyle name="Normal 8 4 3 3" xfId="1390" xr:uid="{00000000-0005-0000-0000-0000FD1D0000}"/>
    <cellStyle name="Normal 8 4 3 3 2" xfId="3620" xr:uid="{00000000-0005-0000-0000-0000FE1D0000}"/>
    <cellStyle name="Normal 8 4 3 3 2 2" xfId="7843" xr:uid="{00000000-0005-0000-0000-0000FF1D0000}"/>
    <cellStyle name="Normal 8 4 3 3 2 2 2" xfId="16282" xr:uid="{8A191253-BFF7-4D86-AF9C-1CD7BB9E5757}"/>
    <cellStyle name="Normal 8 4 3 3 2 3" xfId="12064" xr:uid="{81564FDE-0BE8-4957-B8BC-994F0AD52081}"/>
    <cellStyle name="Normal 8 4 3 3 3" xfId="5698" xr:uid="{00000000-0005-0000-0000-0000001E0000}"/>
    <cellStyle name="Normal 8 4 3 3 3 2" xfId="14137" xr:uid="{393284B8-5DA6-4050-ADB0-FE249F828526}"/>
    <cellStyle name="Normal 8 4 3 3 4" xfId="9919" xr:uid="{020A4B71-659B-4F53-B944-A38C7E09BB74}"/>
    <cellStyle name="Normal 8 4 3 4" xfId="1803" xr:uid="{00000000-0005-0000-0000-0000011E0000}"/>
    <cellStyle name="Normal 8 4 3 4 2" xfId="4033" xr:uid="{00000000-0005-0000-0000-0000021E0000}"/>
    <cellStyle name="Normal 8 4 3 4 2 2" xfId="8256" xr:uid="{00000000-0005-0000-0000-0000031E0000}"/>
    <cellStyle name="Normal 8 4 3 4 2 2 2" xfId="16695" xr:uid="{6370EC57-F5EF-4DE9-B188-DB7421D1DD20}"/>
    <cellStyle name="Normal 8 4 3 4 2 3" xfId="12477" xr:uid="{3769FC2B-17CB-4040-ACE3-9D6357A068D4}"/>
    <cellStyle name="Normal 8 4 3 4 3" xfId="6111" xr:uid="{00000000-0005-0000-0000-0000041E0000}"/>
    <cellStyle name="Normal 8 4 3 4 3 2" xfId="14550" xr:uid="{48F843B2-4474-4B24-BEB1-BDD6636539AC}"/>
    <cellStyle name="Normal 8 4 3 4 4" xfId="10332" xr:uid="{90DF6D46-BBFF-4B04-BAFE-0F18E3A9B99B}"/>
    <cellStyle name="Normal 8 4 3 5" xfId="2217" xr:uid="{00000000-0005-0000-0000-0000051E0000}"/>
    <cellStyle name="Normal 8 4 3 5 2" xfId="4446" xr:uid="{00000000-0005-0000-0000-0000061E0000}"/>
    <cellStyle name="Normal 8 4 3 5 2 2" xfId="8669" xr:uid="{00000000-0005-0000-0000-0000071E0000}"/>
    <cellStyle name="Normal 8 4 3 5 2 2 2" xfId="17108" xr:uid="{E69854FE-541B-403F-B68D-6F0B1305E52E}"/>
    <cellStyle name="Normal 8 4 3 5 2 3" xfId="12890" xr:uid="{7CC88BE5-BAF7-46CC-928D-C36C945B30C7}"/>
    <cellStyle name="Normal 8 4 3 5 3" xfId="6524" xr:uid="{00000000-0005-0000-0000-0000081E0000}"/>
    <cellStyle name="Normal 8 4 3 5 3 2" xfId="14963" xr:uid="{5170049C-B17A-4C7E-8690-B99EDA8D3E22}"/>
    <cellStyle name="Normal 8 4 3 5 4" xfId="10745" xr:uid="{A775AB7F-7E86-426C-92E0-6322519C0C77}"/>
    <cellStyle name="Normal 8 4 3 6" xfId="2653" xr:uid="{00000000-0005-0000-0000-0000091E0000}"/>
    <cellStyle name="Normal 8 4 3 6 2" xfId="6937" xr:uid="{00000000-0005-0000-0000-00000A1E0000}"/>
    <cellStyle name="Normal 8 4 3 6 2 2" xfId="15376" xr:uid="{C41F77B3-D9A0-45EC-A6EF-7F20839B47CD}"/>
    <cellStyle name="Normal 8 4 3 6 3" xfId="11158" xr:uid="{EA8D9FC2-2F34-4B50-9F7C-05AB906208FF}"/>
    <cellStyle name="Normal 8 4 3 7" xfId="4872" xr:uid="{00000000-0005-0000-0000-00000B1E0000}"/>
    <cellStyle name="Normal 8 4 3 7 2" xfId="13311" xr:uid="{B5E5FCB8-D6FA-47C0-812C-4C97917A4EFF}"/>
    <cellStyle name="Normal 8 4 3 8" xfId="9093" xr:uid="{1EB82B79-5931-4D2C-AD15-084C7FFCD6AD}"/>
    <cellStyle name="Normal 8 4 4" xfId="970" xr:uid="{00000000-0005-0000-0000-00000C1E0000}"/>
    <cellStyle name="Normal 8 4 4 2" xfId="3204" xr:uid="{00000000-0005-0000-0000-00000D1E0000}"/>
    <cellStyle name="Normal 8 4 4 2 2" xfId="7427" xr:uid="{00000000-0005-0000-0000-00000E1E0000}"/>
    <cellStyle name="Normal 8 4 4 2 2 2" xfId="15866" xr:uid="{2D5B1B6B-68D6-475B-8E9E-BC52AACA9868}"/>
    <cellStyle name="Normal 8 4 4 2 3" xfId="11648" xr:uid="{9DA68611-EA82-4696-B1E6-879019ADF42B}"/>
    <cellStyle name="Normal 8 4 4 3" xfId="5282" xr:uid="{00000000-0005-0000-0000-00000F1E0000}"/>
    <cellStyle name="Normal 8 4 4 3 2" xfId="13721" xr:uid="{EE6AA11C-6869-4B95-A58B-8A079CCEE210}"/>
    <cellStyle name="Normal 8 4 4 4" xfId="9503" xr:uid="{9EC4F5E3-65AF-4554-BF64-3ECCFBB0E8CC}"/>
    <cellStyle name="Normal 8 4 5" xfId="1387" xr:uid="{00000000-0005-0000-0000-0000101E0000}"/>
    <cellStyle name="Normal 8 4 5 2" xfId="3617" xr:uid="{00000000-0005-0000-0000-0000111E0000}"/>
    <cellStyle name="Normal 8 4 5 2 2" xfId="7840" xr:uid="{00000000-0005-0000-0000-0000121E0000}"/>
    <cellStyle name="Normal 8 4 5 2 2 2" xfId="16279" xr:uid="{35CCC428-B5F1-4BC3-A179-FE48D0445D89}"/>
    <cellStyle name="Normal 8 4 5 2 3" xfId="12061" xr:uid="{52856F90-7943-41C0-B8C4-0D97F5619D95}"/>
    <cellStyle name="Normal 8 4 5 3" xfId="5695" xr:uid="{00000000-0005-0000-0000-0000131E0000}"/>
    <cellStyle name="Normal 8 4 5 3 2" xfId="14134" xr:uid="{D9632AF8-8540-4DAD-A828-86434425743B}"/>
    <cellStyle name="Normal 8 4 5 4" xfId="9916" xr:uid="{599A1065-3FAF-4595-8EE3-7992FC980A9E}"/>
    <cellStyle name="Normal 8 4 6" xfId="1800" xr:uid="{00000000-0005-0000-0000-0000141E0000}"/>
    <cellStyle name="Normal 8 4 6 2" xfId="4030" xr:uid="{00000000-0005-0000-0000-0000151E0000}"/>
    <cellStyle name="Normal 8 4 6 2 2" xfId="8253" xr:uid="{00000000-0005-0000-0000-0000161E0000}"/>
    <cellStyle name="Normal 8 4 6 2 2 2" xfId="16692" xr:uid="{B611A2A6-4694-42B9-A6BE-5A5A8BBCEBEA}"/>
    <cellStyle name="Normal 8 4 6 2 3" xfId="12474" xr:uid="{F1C4EEB2-FFCA-4BC8-8946-1B7EBF608EE8}"/>
    <cellStyle name="Normal 8 4 6 3" xfId="6108" xr:uid="{00000000-0005-0000-0000-0000171E0000}"/>
    <cellStyle name="Normal 8 4 6 3 2" xfId="14547" xr:uid="{508FF21E-9507-4C34-94CC-969E64C0924B}"/>
    <cellStyle name="Normal 8 4 6 4" xfId="10329" xr:uid="{FC088DD7-279F-46CC-B738-75B9284673E8}"/>
    <cellStyle name="Normal 8 4 7" xfId="2214" xr:uid="{00000000-0005-0000-0000-0000181E0000}"/>
    <cellStyle name="Normal 8 4 7 2" xfId="4443" xr:uid="{00000000-0005-0000-0000-0000191E0000}"/>
    <cellStyle name="Normal 8 4 7 2 2" xfId="8666" xr:uid="{00000000-0005-0000-0000-00001A1E0000}"/>
    <cellStyle name="Normal 8 4 7 2 2 2" xfId="17105" xr:uid="{EB77C906-161C-4DB6-BE2F-9D86911186E4}"/>
    <cellStyle name="Normal 8 4 7 2 3" xfId="12887" xr:uid="{84732C5F-0113-4AB1-8696-5A08C858DF19}"/>
    <cellStyle name="Normal 8 4 7 3" xfId="6521" xr:uid="{00000000-0005-0000-0000-00001B1E0000}"/>
    <cellStyle name="Normal 8 4 7 3 2" xfId="14960" xr:uid="{414E70BB-0BE6-4595-8ACF-DF75DADBEA24}"/>
    <cellStyle name="Normal 8 4 7 4" xfId="10742" xr:uid="{2C211857-CDF8-4FAA-9682-EC5D0A680FB5}"/>
    <cellStyle name="Normal 8 4 8" xfId="2650" xr:uid="{00000000-0005-0000-0000-00001C1E0000}"/>
    <cellStyle name="Normal 8 4 8 2" xfId="6934" xr:uid="{00000000-0005-0000-0000-00001D1E0000}"/>
    <cellStyle name="Normal 8 4 8 2 2" xfId="15373" xr:uid="{26BDA58D-25AF-4AC6-A50C-A81AD3D23B40}"/>
    <cellStyle name="Normal 8 4 8 3" xfId="11155" xr:uid="{14771D58-4869-4DF1-8FCA-4932AC0F5D13}"/>
    <cellStyle name="Normal 8 4 9" xfId="4869" xr:uid="{00000000-0005-0000-0000-00001E1E0000}"/>
    <cellStyle name="Normal 8 4 9 2" xfId="13308" xr:uid="{2912C8D9-8337-48FB-92D4-610223FDF6C7}"/>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1" xr:uid="{02998BB8-B858-48EF-B42D-66D7B331A0E6}"/>
    <cellStyle name="Normal 8 5 2 2 2 3" xfId="11653" xr:uid="{349E66FF-7186-47C0-A2CC-9A114E36527D}"/>
    <cellStyle name="Normal 8 5 2 2 3" xfId="5287" xr:uid="{00000000-0005-0000-0000-0000241E0000}"/>
    <cellStyle name="Normal 8 5 2 2 3 2" xfId="13726" xr:uid="{AC4AF187-6B1C-4CB2-873C-6D6F8418306D}"/>
    <cellStyle name="Normal 8 5 2 2 4" xfId="9508" xr:uid="{3652E6E9-1F55-4145-9BE8-6C2E7CF421A2}"/>
    <cellStyle name="Normal 8 5 2 3" xfId="1392" xr:uid="{00000000-0005-0000-0000-0000251E0000}"/>
    <cellStyle name="Normal 8 5 2 3 2" xfId="3622" xr:uid="{00000000-0005-0000-0000-0000261E0000}"/>
    <cellStyle name="Normal 8 5 2 3 2 2" xfId="7845" xr:uid="{00000000-0005-0000-0000-0000271E0000}"/>
    <cellStyle name="Normal 8 5 2 3 2 2 2" xfId="16284" xr:uid="{BC513B91-FA0C-4CAA-A816-FD87376918F3}"/>
    <cellStyle name="Normal 8 5 2 3 2 3" xfId="12066" xr:uid="{8A2F2AE0-61C2-4936-A1D7-B996642C076E}"/>
    <cellStyle name="Normal 8 5 2 3 3" xfId="5700" xr:uid="{00000000-0005-0000-0000-0000281E0000}"/>
    <cellStyle name="Normal 8 5 2 3 3 2" xfId="14139" xr:uid="{E05C22A9-8578-4F77-A4A1-112E13CF78A6}"/>
    <cellStyle name="Normal 8 5 2 3 4" xfId="9921" xr:uid="{B3F9C4E0-F904-43A4-BE88-A757B7D8817F}"/>
    <cellStyle name="Normal 8 5 2 4" xfId="1805" xr:uid="{00000000-0005-0000-0000-0000291E0000}"/>
    <cellStyle name="Normal 8 5 2 4 2" xfId="4035" xr:uid="{00000000-0005-0000-0000-00002A1E0000}"/>
    <cellStyle name="Normal 8 5 2 4 2 2" xfId="8258" xr:uid="{00000000-0005-0000-0000-00002B1E0000}"/>
    <cellStyle name="Normal 8 5 2 4 2 2 2" xfId="16697" xr:uid="{6B26AA66-FFB7-4C5E-8FF8-46EB0AC6E4ED}"/>
    <cellStyle name="Normal 8 5 2 4 2 3" xfId="12479" xr:uid="{C04B6B92-380D-4BBC-BD04-A3014BC2A2C7}"/>
    <cellStyle name="Normal 8 5 2 4 3" xfId="6113" xr:uid="{00000000-0005-0000-0000-00002C1E0000}"/>
    <cellStyle name="Normal 8 5 2 4 3 2" xfId="14552" xr:uid="{B96FBE08-01FA-4F0B-A907-13BFA336FE72}"/>
    <cellStyle name="Normal 8 5 2 4 4" xfId="10334" xr:uid="{5244215C-9A9F-49FB-8A68-832ED96BBB21}"/>
    <cellStyle name="Normal 8 5 2 5" xfId="2219" xr:uid="{00000000-0005-0000-0000-00002D1E0000}"/>
    <cellStyle name="Normal 8 5 2 5 2" xfId="4448" xr:uid="{00000000-0005-0000-0000-00002E1E0000}"/>
    <cellStyle name="Normal 8 5 2 5 2 2" xfId="8671" xr:uid="{00000000-0005-0000-0000-00002F1E0000}"/>
    <cellStyle name="Normal 8 5 2 5 2 2 2" xfId="17110" xr:uid="{0213E1E0-B4DD-439A-8746-CD4C6132BB47}"/>
    <cellStyle name="Normal 8 5 2 5 2 3" xfId="12892" xr:uid="{9D657A37-02D3-4D27-87FA-5D8615CA56DF}"/>
    <cellStyle name="Normal 8 5 2 5 3" xfId="6526" xr:uid="{00000000-0005-0000-0000-0000301E0000}"/>
    <cellStyle name="Normal 8 5 2 5 3 2" xfId="14965" xr:uid="{F75B517E-7C11-41A3-87E1-AFA43B0B4CEA}"/>
    <cellStyle name="Normal 8 5 2 5 4" xfId="10747" xr:uid="{FC32266A-CC31-4EEE-BEC6-8B7F77113DB8}"/>
    <cellStyle name="Normal 8 5 2 6" xfId="2655" xr:uid="{00000000-0005-0000-0000-0000311E0000}"/>
    <cellStyle name="Normal 8 5 2 6 2" xfId="6939" xr:uid="{00000000-0005-0000-0000-0000321E0000}"/>
    <cellStyle name="Normal 8 5 2 6 2 2" xfId="15378" xr:uid="{F9D4BBD0-0CDD-4CD2-9B65-AF188947FC05}"/>
    <cellStyle name="Normal 8 5 2 6 3" xfId="11160" xr:uid="{B7E3A06F-B6F1-452B-9DD0-ED4C10198EC7}"/>
    <cellStyle name="Normal 8 5 2 7" xfId="4874" xr:uid="{00000000-0005-0000-0000-0000331E0000}"/>
    <cellStyle name="Normal 8 5 2 7 2" xfId="13313" xr:uid="{11DBBF96-C395-44DB-9A9D-0D3AC1960A2F}"/>
    <cellStyle name="Normal 8 5 2 8" xfId="9095" xr:uid="{E10647E5-9523-44A8-8087-16A2A1ADFBA8}"/>
    <cellStyle name="Normal 8 5 3" xfId="974" xr:uid="{00000000-0005-0000-0000-0000341E0000}"/>
    <cellStyle name="Normal 8 5 3 2" xfId="3208" xr:uid="{00000000-0005-0000-0000-0000351E0000}"/>
    <cellStyle name="Normal 8 5 3 2 2" xfId="7431" xr:uid="{00000000-0005-0000-0000-0000361E0000}"/>
    <cellStyle name="Normal 8 5 3 2 2 2" xfId="15870" xr:uid="{199389A6-E7CD-4914-9DF2-BA88F983C8F4}"/>
    <cellStyle name="Normal 8 5 3 2 3" xfId="11652" xr:uid="{4846D72F-B258-4249-A819-32017B573684}"/>
    <cellStyle name="Normal 8 5 3 3" xfId="5286" xr:uid="{00000000-0005-0000-0000-0000371E0000}"/>
    <cellStyle name="Normal 8 5 3 3 2" xfId="13725" xr:uid="{B686A31B-2FA2-44AD-A91B-8AF3E0E0FEE2}"/>
    <cellStyle name="Normal 8 5 3 4" xfId="9507" xr:uid="{6B8F09D2-1318-4173-9CB4-56545AE9CC67}"/>
    <cellStyle name="Normal 8 5 4" xfId="1391" xr:uid="{00000000-0005-0000-0000-0000381E0000}"/>
    <cellStyle name="Normal 8 5 4 2" xfId="3621" xr:uid="{00000000-0005-0000-0000-0000391E0000}"/>
    <cellStyle name="Normal 8 5 4 2 2" xfId="7844" xr:uid="{00000000-0005-0000-0000-00003A1E0000}"/>
    <cellStyle name="Normal 8 5 4 2 2 2" xfId="16283" xr:uid="{86BE1D16-6561-402B-98BB-CDBBBF24AB88}"/>
    <cellStyle name="Normal 8 5 4 2 3" xfId="12065" xr:uid="{03AA1995-E722-421C-8D02-BF45B11A0DD4}"/>
    <cellStyle name="Normal 8 5 4 3" xfId="5699" xr:uid="{00000000-0005-0000-0000-00003B1E0000}"/>
    <cellStyle name="Normal 8 5 4 3 2" xfId="14138" xr:uid="{BE747199-5631-4CA1-90CA-EB7D608F3F66}"/>
    <cellStyle name="Normal 8 5 4 4" xfId="9920" xr:uid="{340A7C19-3411-4A08-A6DC-FAAD29564E33}"/>
    <cellStyle name="Normal 8 5 5" xfId="1804" xr:uid="{00000000-0005-0000-0000-00003C1E0000}"/>
    <cellStyle name="Normal 8 5 5 2" xfId="4034" xr:uid="{00000000-0005-0000-0000-00003D1E0000}"/>
    <cellStyle name="Normal 8 5 5 2 2" xfId="8257" xr:uid="{00000000-0005-0000-0000-00003E1E0000}"/>
    <cellStyle name="Normal 8 5 5 2 2 2" xfId="16696" xr:uid="{4A81363D-E840-48F3-82E9-6CC20AF21EEF}"/>
    <cellStyle name="Normal 8 5 5 2 3" xfId="12478" xr:uid="{E5087B2A-2BE0-4F2F-858D-3DDD41411B21}"/>
    <cellStyle name="Normal 8 5 5 3" xfId="6112" xr:uid="{00000000-0005-0000-0000-00003F1E0000}"/>
    <cellStyle name="Normal 8 5 5 3 2" xfId="14551" xr:uid="{D8C5D1A0-BB9D-4CFA-B21E-286DA0588234}"/>
    <cellStyle name="Normal 8 5 5 4" xfId="10333" xr:uid="{406064B9-B45C-4405-966E-69361464D955}"/>
    <cellStyle name="Normal 8 5 6" xfId="2218" xr:uid="{00000000-0005-0000-0000-0000401E0000}"/>
    <cellStyle name="Normal 8 5 6 2" xfId="4447" xr:uid="{00000000-0005-0000-0000-0000411E0000}"/>
    <cellStyle name="Normal 8 5 6 2 2" xfId="8670" xr:uid="{00000000-0005-0000-0000-0000421E0000}"/>
    <cellStyle name="Normal 8 5 6 2 2 2" xfId="17109" xr:uid="{DFD4E916-1CEA-4D1A-92A4-531B8B4D4BC5}"/>
    <cellStyle name="Normal 8 5 6 2 3" xfId="12891" xr:uid="{0802B1BD-AD03-4214-84FD-DDA9FE900F3B}"/>
    <cellStyle name="Normal 8 5 6 3" xfId="6525" xr:uid="{00000000-0005-0000-0000-0000431E0000}"/>
    <cellStyle name="Normal 8 5 6 3 2" xfId="14964" xr:uid="{E979580F-073E-4756-8978-845FFC451DC2}"/>
    <cellStyle name="Normal 8 5 6 4" xfId="10746" xr:uid="{89DCEFC8-18EA-439E-9B66-D24B193B30F9}"/>
    <cellStyle name="Normal 8 5 7" xfId="2654" xr:uid="{00000000-0005-0000-0000-0000441E0000}"/>
    <cellStyle name="Normal 8 5 7 2" xfId="6938" xr:uid="{00000000-0005-0000-0000-0000451E0000}"/>
    <cellStyle name="Normal 8 5 7 2 2" xfId="15377" xr:uid="{B92C47A4-F652-4C1F-A36D-42AC9CFB0AC8}"/>
    <cellStyle name="Normal 8 5 7 3" xfId="11159" xr:uid="{81F616FF-F8EE-48D4-BDA7-9C4B2E511146}"/>
    <cellStyle name="Normal 8 5 8" xfId="4873" xr:uid="{00000000-0005-0000-0000-0000461E0000}"/>
    <cellStyle name="Normal 8 5 8 2" xfId="13312" xr:uid="{CE50D9ED-5A17-4CC5-827F-9BD011547943}"/>
    <cellStyle name="Normal 8 5 9" xfId="9094" xr:uid="{71948BAD-D52A-4162-901F-61F3DF5C2528}"/>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2" xr:uid="{493819A5-250A-4676-89CD-0D665F3DE706}"/>
    <cellStyle name="Normal 8 6 2 2 3" xfId="11654" xr:uid="{7C6BB834-59C9-45B9-A894-13F0DAE42907}"/>
    <cellStyle name="Normal 8 6 2 3" xfId="5288" xr:uid="{00000000-0005-0000-0000-00004B1E0000}"/>
    <cellStyle name="Normal 8 6 2 3 2" xfId="13727" xr:uid="{98B9AC01-3DF4-430D-AE66-2BB2F974B608}"/>
    <cellStyle name="Normal 8 6 2 4" xfId="9509" xr:uid="{F7252604-7F27-47F1-A0DE-CD7DAEE548A3}"/>
    <cellStyle name="Normal 8 6 3" xfId="1393" xr:uid="{00000000-0005-0000-0000-00004C1E0000}"/>
    <cellStyle name="Normal 8 6 3 2" xfId="3623" xr:uid="{00000000-0005-0000-0000-00004D1E0000}"/>
    <cellStyle name="Normal 8 6 3 2 2" xfId="7846" xr:uid="{00000000-0005-0000-0000-00004E1E0000}"/>
    <cellStyle name="Normal 8 6 3 2 2 2" xfId="16285" xr:uid="{86ED0455-5AAA-4FB6-A077-D0107401985A}"/>
    <cellStyle name="Normal 8 6 3 2 3" xfId="12067" xr:uid="{673C0AF8-B271-46C3-B6A7-E35C60AD3AF4}"/>
    <cellStyle name="Normal 8 6 3 3" xfId="5701" xr:uid="{00000000-0005-0000-0000-00004F1E0000}"/>
    <cellStyle name="Normal 8 6 3 3 2" xfId="14140" xr:uid="{0D28AE9E-37B5-4046-90DB-2420F9F1CD58}"/>
    <cellStyle name="Normal 8 6 3 4" xfId="9922" xr:uid="{CEBBD58F-0067-448D-9279-99E540616165}"/>
    <cellStyle name="Normal 8 6 4" xfId="1806" xr:uid="{00000000-0005-0000-0000-0000501E0000}"/>
    <cellStyle name="Normal 8 6 4 2" xfId="4036" xr:uid="{00000000-0005-0000-0000-0000511E0000}"/>
    <cellStyle name="Normal 8 6 4 2 2" xfId="8259" xr:uid="{00000000-0005-0000-0000-0000521E0000}"/>
    <cellStyle name="Normal 8 6 4 2 2 2" xfId="16698" xr:uid="{053DA126-D625-460F-82C6-EA986E5F50F1}"/>
    <cellStyle name="Normal 8 6 4 2 3" xfId="12480" xr:uid="{FA8455CC-F74A-469B-A37C-3CB664AC9590}"/>
    <cellStyle name="Normal 8 6 4 3" xfId="6114" xr:uid="{00000000-0005-0000-0000-0000531E0000}"/>
    <cellStyle name="Normal 8 6 4 3 2" xfId="14553" xr:uid="{17D3238D-8BBC-4F25-AEB2-0594200F507D}"/>
    <cellStyle name="Normal 8 6 4 4" xfId="10335" xr:uid="{F084E415-CB06-45B5-92EA-FCF336A7DB92}"/>
    <cellStyle name="Normal 8 6 5" xfId="2220" xr:uid="{00000000-0005-0000-0000-0000541E0000}"/>
    <cellStyle name="Normal 8 6 5 2" xfId="4449" xr:uid="{00000000-0005-0000-0000-0000551E0000}"/>
    <cellStyle name="Normal 8 6 5 2 2" xfId="8672" xr:uid="{00000000-0005-0000-0000-0000561E0000}"/>
    <cellStyle name="Normal 8 6 5 2 2 2" xfId="17111" xr:uid="{353FF751-E8E3-4623-8595-B7ACCA0E0EC2}"/>
    <cellStyle name="Normal 8 6 5 2 3" xfId="12893" xr:uid="{ED8363D2-7332-4F0C-931F-60EEFC8C564C}"/>
    <cellStyle name="Normal 8 6 5 3" xfId="6527" xr:uid="{00000000-0005-0000-0000-0000571E0000}"/>
    <cellStyle name="Normal 8 6 5 3 2" xfId="14966" xr:uid="{D26FA30D-B4B5-4CCC-AED0-BEBB8F2379CE}"/>
    <cellStyle name="Normal 8 6 5 4" xfId="10748" xr:uid="{B9302A76-5C69-484E-B66B-F77DEBBE0EBC}"/>
    <cellStyle name="Normal 8 6 6" xfId="2656" xr:uid="{00000000-0005-0000-0000-0000581E0000}"/>
    <cellStyle name="Normal 8 6 6 2" xfId="6940" xr:uid="{00000000-0005-0000-0000-0000591E0000}"/>
    <cellStyle name="Normal 8 6 6 2 2" xfId="15379" xr:uid="{AA69F4AD-3FAA-4D9A-93A2-F4EA016231C9}"/>
    <cellStyle name="Normal 8 6 6 3" xfId="11161" xr:uid="{F01D817D-EE7B-4810-90A3-98AE3053DDE3}"/>
    <cellStyle name="Normal 8 6 7" xfId="4875" xr:uid="{00000000-0005-0000-0000-00005A1E0000}"/>
    <cellStyle name="Normal 8 6 7 2" xfId="13314" xr:uid="{6BB051DD-4B99-4C70-B798-9626A22F8EFC}"/>
    <cellStyle name="Normal 8 6 8" xfId="9096" xr:uid="{4E63F9CE-9434-4B5F-A7A3-31E7EB623D1D}"/>
    <cellStyle name="Normal 8 7" xfId="945" xr:uid="{00000000-0005-0000-0000-00005B1E0000}"/>
    <cellStyle name="Normal 8 7 2" xfId="3179" xr:uid="{00000000-0005-0000-0000-00005C1E0000}"/>
    <cellStyle name="Normal 8 7 2 2" xfId="7402" xr:uid="{00000000-0005-0000-0000-00005D1E0000}"/>
    <cellStyle name="Normal 8 7 2 2 2" xfId="15841" xr:uid="{5D3DBC00-9AF4-475F-9CF4-13A35E908E4B}"/>
    <cellStyle name="Normal 8 7 2 3" xfId="11623" xr:uid="{CAF02056-8762-47EA-B16A-D75D61DF0185}"/>
    <cellStyle name="Normal 8 7 3" xfId="5257" xr:uid="{00000000-0005-0000-0000-00005E1E0000}"/>
    <cellStyle name="Normal 8 7 3 2" xfId="13696" xr:uid="{2F54244D-9BA3-41E3-B47D-BFC4C3B2F064}"/>
    <cellStyle name="Normal 8 7 4" xfId="9478" xr:uid="{7E69B704-D2E8-42F8-9BF6-2E0E6609ADC8}"/>
    <cellStyle name="Normal 8 8" xfId="1362" xr:uid="{00000000-0005-0000-0000-00005F1E0000}"/>
    <cellStyle name="Normal 8 8 2" xfId="3592" xr:uid="{00000000-0005-0000-0000-0000601E0000}"/>
    <cellStyle name="Normal 8 8 2 2" xfId="7815" xr:uid="{00000000-0005-0000-0000-0000611E0000}"/>
    <cellStyle name="Normal 8 8 2 2 2" xfId="16254" xr:uid="{A4C73B30-393D-4245-AD12-6DB404E02B96}"/>
    <cellStyle name="Normal 8 8 2 3" xfId="12036" xr:uid="{7B86EF76-BC34-4426-B954-0572C7670183}"/>
    <cellStyle name="Normal 8 8 3" xfId="5670" xr:uid="{00000000-0005-0000-0000-0000621E0000}"/>
    <cellStyle name="Normal 8 8 3 2" xfId="14109" xr:uid="{5FB766EA-B733-4DA8-A950-B3063EC68D48}"/>
    <cellStyle name="Normal 8 8 4" xfId="9891" xr:uid="{8EB2FD39-5F3D-4BBC-BFDE-7B69D4734ACC}"/>
    <cellStyle name="Normal 8 9" xfId="1775" xr:uid="{00000000-0005-0000-0000-0000631E0000}"/>
    <cellStyle name="Normal 8 9 2" xfId="4005" xr:uid="{00000000-0005-0000-0000-0000641E0000}"/>
    <cellStyle name="Normal 8 9 2 2" xfId="8228" xr:uid="{00000000-0005-0000-0000-0000651E0000}"/>
    <cellStyle name="Normal 8 9 2 2 2" xfId="16667" xr:uid="{0DD84D8A-54A9-46A2-ADB8-9E03FA88351A}"/>
    <cellStyle name="Normal 8 9 2 3" xfId="12449" xr:uid="{8033DF1B-C78D-479F-BDC8-5E690E7BAC87}"/>
    <cellStyle name="Normal 8 9 3" xfId="6083" xr:uid="{00000000-0005-0000-0000-0000661E0000}"/>
    <cellStyle name="Normal 8 9 3 2" xfId="14522" xr:uid="{F056CA30-0CCA-4435-B303-F1258AC03578}"/>
    <cellStyle name="Normal 8 9 4" xfId="10304" xr:uid="{CDB80F26-D202-4E74-A12B-5543958E9A44}"/>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0" xr:uid="{27344BAA-F943-4271-9FC5-DF65F37B2AF2}"/>
    <cellStyle name="Normal 9 2 10 3" xfId="11162" xr:uid="{B7F673CD-C613-4014-9081-A0BA2B215EFF}"/>
    <cellStyle name="Normal 9 2 11" xfId="4876" xr:uid="{00000000-0005-0000-0000-00006B1E0000}"/>
    <cellStyle name="Normal 9 2 11 2" xfId="13315" xr:uid="{D918507D-7A3D-4E4B-AD65-F052B8A7477B}"/>
    <cellStyle name="Normal 9 2 12" xfId="9097" xr:uid="{826C30DC-B5E0-4988-89D8-9D4D52E1391C}"/>
    <cellStyle name="Normal 9 2 2" xfId="512" xr:uid="{00000000-0005-0000-0000-00006C1E0000}"/>
    <cellStyle name="Normal 9 2 2 10" xfId="4877" xr:uid="{00000000-0005-0000-0000-00006D1E0000}"/>
    <cellStyle name="Normal 9 2 2 10 2" xfId="13316" xr:uid="{A7F48F0C-D4FD-4868-B66B-42A985888D86}"/>
    <cellStyle name="Normal 9 2 2 11" xfId="9098" xr:uid="{66676062-9861-4A8A-A40E-425EADDA0C8F}"/>
    <cellStyle name="Normal 9 2 2 2" xfId="513" xr:uid="{00000000-0005-0000-0000-00006E1E0000}"/>
    <cellStyle name="Normal 9 2 2 2 10" xfId="9099" xr:uid="{3BE0E61D-38C7-4915-8B13-2790FA0B4517}"/>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77" xr:uid="{B694F891-428D-4750-9E0E-3CE03530CF13}"/>
    <cellStyle name="Normal 9 2 2 2 2 2 2 2 3" xfId="11659" xr:uid="{A7453571-4AC8-4C51-9042-29BFBEB41A22}"/>
    <cellStyle name="Normal 9 2 2 2 2 2 2 3" xfId="5293" xr:uid="{00000000-0005-0000-0000-0000741E0000}"/>
    <cellStyle name="Normal 9 2 2 2 2 2 2 3 2" xfId="13732" xr:uid="{1BA8D2C2-EED4-4955-A087-8CE4874A670A}"/>
    <cellStyle name="Normal 9 2 2 2 2 2 2 4" xfId="9514" xr:uid="{847CA730-38A1-4B68-B1FA-226637B7629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0" xr:uid="{E18E34CD-E102-46ED-B44A-535621025F91}"/>
    <cellStyle name="Normal 9 2 2 2 2 2 3 2 3" xfId="12072" xr:uid="{B8150F1F-63D2-42B6-94E3-3742AEA46CD8}"/>
    <cellStyle name="Normal 9 2 2 2 2 2 3 3" xfId="5706" xr:uid="{00000000-0005-0000-0000-0000781E0000}"/>
    <cellStyle name="Normal 9 2 2 2 2 2 3 3 2" xfId="14145" xr:uid="{BB8B9BBC-7C01-4CDA-9819-0E8C3FAD3197}"/>
    <cellStyle name="Normal 9 2 2 2 2 2 3 4" xfId="9927" xr:uid="{39CDE889-0A7E-498C-9E81-A98BE11B1B9B}"/>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3" xr:uid="{02AA8A93-7D70-41D3-A007-5A06500AAC59}"/>
    <cellStyle name="Normal 9 2 2 2 2 2 4 2 3" xfId="12485" xr:uid="{0A9D72B1-54EF-4A5A-A6E5-FEDBDD447C95}"/>
    <cellStyle name="Normal 9 2 2 2 2 2 4 3" xfId="6119" xr:uid="{00000000-0005-0000-0000-00007C1E0000}"/>
    <cellStyle name="Normal 9 2 2 2 2 2 4 3 2" xfId="14558" xr:uid="{7BF0CE15-D4E1-425A-8AA5-470842425313}"/>
    <cellStyle name="Normal 9 2 2 2 2 2 4 4" xfId="10340" xr:uid="{F685D574-64BC-4D9E-B202-0ED564E61379}"/>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6" xr:uid="{5A66BDE6-0536-4ED2-B53C-405B562466D3}"/>
    <cellStyle name="Normal 9 2 2 2 2 2 5 2 3" xfId="12898" xr:uid="{DF3F4F26-C449-4A8F-8E8C-F509A074B286}"/>
    <cellStyle name="Normal 9 2 2 2 2 2 5 3" xfId="6532" xr:uid="{00000000-0005-0000-0000-0000801E0000}"/>
    <cellStyle name="Normal 9 2 2 2 2 2 5 3 2" xfId="14971" xr:uid="{85094646-6A01-489A-A1A5-679A5CE13A9E}"/>
    <cellStyle name="Normal 9 2 2 2 2 2 5 4" xfId="10753" xr:uid="{8ED50FA9-213D-4530-B2AE-201C44C21500}"/>
    <cellStyle name="Normal 9 2 2 2 2 2 6" xfId="2661" xr:uid="{00000000-0005-0000-0000-0000811E0000}"/>
    <cellStyle name="Normal 9 2 2 2 2 2 6 2" xfId="6945" xr:uid="{00000000-0005-0000-0000-0000821E0000}"/>
    <cellStyle name="Normal 9 2 2 2 2 2 6 2 2" xfId="15384" xr:uid="{F4BA7010-186E-4EDD-8C23-8F8FC995FBD7}"/>
    <cellStyle name="Normal 9 2 2 2 2 2 6 3" xfId="11166" xr:uid="{D3E29545-009A-474C-9B72-00AADA84A2BE}"/>
    <cellStyle name="Normal 9 2 2 2 2 2 7" xfId="4880" xr:uid="{00000000-0005-0000-0000-0000831E0000}"/>
    <cellStyle name="Normal 9 2 2 2 2 2 7 2" xfId="13319" xr:uid="{ECBC5E34-294E-4EC2-BD1B-E0ED63853852}"/>
    <cellStyle name="Normal 9 2 2 2 2 2 8" xfId="9101" xr:uid="{45308A22-E2C4-4FBC-88F4-CDBE05F7F1D4}"/>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6" xr:uid="{EA59DDD4-3475-42E3-A025-581D520BD0AC}"/>
    <cellStyle name="Normal 9 2 2 2 2 3 2 3" xfId="11658" xr:uid="{B662E52C-D923-4BE8-89FB-39CF415D09A1}"/>
    <cellStyle name="Normal 9 2 2 2 2 3 3" xfId="5292" xr:uid="{00000000-0005-0000-0000-0000871E0000}"/>
    <cellStyle name="Normal 9 2 2 2 2 3 3 2" xfId="13731" xr:uid="{3634022C-D128-4171-8E7E-5A7AAAE1CD93}"/>
    <cellStyle name="Normal 9 2 2 2 2 3 4" xfId="9513" xr:uid="{6C55A78B-74F7-4242-9CC4-C4D74359C64F}"/>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89" xr:uid="{E65F84DF-3A3A-437F-A1BF-D5745E1C3842}"/>
    <cellStyle name="Normal 9 2 2 2 2 4 2 3" xfId="12071" xr:uid="{CA0EE081-E2E2-44EC-B525-14721BE42F73}"/>
    <cellStyle name="Normal 9 2 2 2 2 4 3" xfId="5705" xr:uid="{00000000-0005-0000-0000-00008B1E0000}"/>
    <cellStyle name="Normal 9 2 2 2 2 4 3 2" xfId="14144" xr:uid="{D27C241E-30B0-4F74-997D-5C29C9C60797}"/>
    <cellStyle name="Normal 9 2 2 2 2 4 4" xfId="9926" xr:uid="{48422315-9CEA-4603-BEA3-14192ED9FEA1}"/>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2" xr:uid="{429AA8B3-5B6D-46EC-A3BD-57282E1427D4}"/>
    <cellStyle name="Normal 9 2 2 2 2 5 2 3" xfId="12484" xr:uid="{8473B3EF-E0A6-4D02-87AD-31BB463EC0A4}"/>
    <cellStyle name="Normal 9 2 2 2 2 5 3" xfId="6118" xr:uid="{00000000-0005-0000-0000-00008F1E0000}"/>
    <cellStyle name="Normal 9 2 2 2 2 5 3 2" xfId="14557" xr:uid="{988A0EA1-C908-47F4-AF90-E74F9EDAF5F9}"/>
    <cellStyle name="Normal 9 2 2 2 2 5 4" xfId="10339" xr:uid="{93DE92E8-F649-452C-9C37-8405E2D732DB}"/>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5" xr:uid="{A5B97D07-B087-4791-9665-752B797FD839}"/>
    <cellStyle name="Normal 9 2 2 2 2 6 2 3" xfId="12897" xr:uid="{D97C51B2-E89A-4104-847F-C8272AF1987A}"/>
    <cellStyle name="Normal 9 2 2 2 2 6 3" xfId="6531" xr:uid="{00000000-0005-0000-0000-0000931E0000}"/>
    <cellStyle name="Normal 9 2 2 2 2 6 3 2" xfId="14970" xr:uid="{311C33E2-BD24-4567-9C02-579B22942224}"/>
    <cellStyle name="Normal 9 2 2 2 2 6 4" xfId="10752" xr:uid="{0C9134B9-EA94-42CE-9701-517AFBFFFA5B}"/>
    <cellStyle name="Normal 9 2 2 2 2 7" xfId="2660" xr:uid="{00000000-0005-0000-0000-0000941E0000}"/>
    <cellStyle name="Normal 9 2 2 2 2 7 2" xfId="6944" xr:uid="{00000000-0005-0000-0000-0000951E0000}"/>
    <cellStyle name="Normal 9 2 2 2 2 7 2 2" xfId="15383" xr:uid="{5BFB2E29-577C-4789-9587-A0F3804D9CA6}"/>
    <cellStyle name="Normal 9 2 2 2 2 7 3" xfId="11165" xr:uid="{92B4AD54-28F9-4CCC-8EE4-38E19103427E}"/>
    <cellStyle name="Normal 9 2 2 2 2 8" xfId="4879" xr:uid="{00000000-0005-0000-0000-0000961E0000}"/>
    <cellStyle name="Normal 9 2 2 2 2 8 2" xfId="13318" xr:uid="{6B10BAED-306F-4E10-800F-2AC6F0D5C5A1}"/>
    <cellStyle name="Normal 9 2 2 2 2 9" xfId="9100" xr:uid="{F472797F-C772-4C61-88C2-EC0F477BC8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78" xr:uid="{13AC18E0-72FE-45BB-9D82-6A186B09A52E}"/>
    <cellStyle name="Normal 9 2 2 2 3 2 2 3" xfId="11660" xr:uid="{32A04A1E-64E6-476D-B95E-E113EF81CE3D}"/>
    <cellStyle name="Normal 9 2 2 2 3 2 3" xfId="5294" xr:uid="{00000000-0005-0000-0000-00009B1E0000}"/>
    <cellStyle name="Normal 9 2 2 2 3 2 3 2" xfId="13733" xr:uid="{67A31B4C-E490-4B7E-B8AD-2398B9A9C0A2}"/>
    <cellStyle name="Normal 9 2 2 2 3 2 4" xfId="9515" xr:uid="{20E5FE10-94F1-4744-B42B-649A8B865EEC}"/>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1" xr:uid="{069EE0C2-BE97-48BA-AB15-4BD1F43F0A54}"/>
    <cellStyle name="Normal 9 2 2 2 3 3 2 3" xfId="12073" xr:uid="{971C9DC2-ABDB-4256-8781-FAF09215D060}"/>
    <cellStyle name="Normal 9 2 2 2 3 3 3" xfId="5707" xr:uid="{00000000-0005-0000-0000-00009F1E0000}"/>
    <cellStyle name="Normal 9 2 2 2 3 3 3 2" xfId="14146" xr:uid="{07F524B8-7B37-4663-B167-C7176CE37471}"/>
    <cellStyle name="Normal 9 2 2 2 3 3 4" xfId="9928" xr:uid="{FDAA5C48-7B6E-44EE-A26D-595E96DCB1B7}"/>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4" xr:uid="{4714487F-7805-410C-8207-F437BF95F5E4}"/>
    <cellStyle name="Normal 9 2 2 2 3 4 2 3" xfId="12486" xr:uid="{2DDD4590-13D5-4ABD-BF14-AABE870710D2}"/>
    <cellStyle name="Normal 9 2 2 2 3 4 3" xfId="6120" xr:uid="{00000000-0005-0000-0000-0000A31E0000}"/>
    <cellStyle name="Normal 9 2 2 2 3 4 3 2" xfId="14559" xr:uid="{65E517BD-C8D9-45CB-8AAD-169ECD9FBF46}"/>
    <cellStyle name="Normal 9 2 2 2 3 4 4" xfId="10341" xr:uid="{9284ABD4-C6DC-4D4B-AC29-EFCE7DE98B23}"/>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17" xr:uid="{747E0E2D-4B23-4B13-A57E-4D24559BB80E}"/>
    <cellStyle name="Normal 9 2 2 2 3 5 2 3" xfId="12899" xr:uid="{AD584119-8B95-47D2-AB02-B974E6F0A2A9}"/>
    <cellStyle name="Normal 9 2 2 2 3 5 3" xfId="6533" xr:uid="{00000000-0005-0000-0000-0000A71E0000}"/>
    <cellStyle name="Normal 9 2 2 2 3 5 3 2" xfId="14972" xr:uid="{6BDFE7B1-D5A3-434E-8D1A-D062DC332141}"/>
    <cellStyle name="Normal 9 2 2 2 3 5 4" xfId="10754" xr:uid="{28FA0080-1560-431A-9CA5-026B08AF4782}"/>
    <cellStyle name="Normal 9 2 2 2 3 6" xfId="2662" xr:uid="{00000000-0005-0000-0000-0000A81E0000}"/>
    <cellStyle name="Normal 9 2 2 2 3 6 2" xfId="6946" xr:uid="{00000000-0005-0000-0000-0000A91E0000}"/>
    <cellStyle name="Normal 9 2 2 2 3 6 2 2" xfId="15385" xr:uid="{6A4701E9-7C7E-4F1E-AA33-5FEFC3BE3D0D}"/>
    <cellStyle name="Normal 9 2 2 2 3 6 3" xfId="11167" xr:uid="{73518599-4BE8-40AF-B289-B5A659700459}"/>
    <cellStyle name="Normal 9 2 2 2 3 7" xfId="4881" xr:uid="{00000000-0005-0000-0000-0000AA1E0000}"/>
    <cellStyle name="Normal 9 2 2 2 3 7 2" xfId="13320" xr:uid="{77557705-AB4E-48E3-B620-74B247D49863}"/>
    <cellStyle name="Normal 9 2 2 2 3 8" xfId="9102" xr:uid="{EB50B8A8-C814-4303-A753-47B0CB320A51}"/>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5" xr:uid="{4E262A06-2CB6-4E74-8F83-D4DF16E35200}"/>
    <cellStyle name="Normal 9 2 2 2 4 2 3" xfId="11657" xr:uid="{B8764900-7D73-4912-A3E5-89988490498F}"/>
    <cellStyle name="Normal 9 2 2 2 4 3" xfId="5291" xr:uid="{00000000-0005-0000-0000-0000AE1E0000}"/>
    <cellStyle name="Normal 9 2 2 2 4 3 2" xfId="13730" xr:uid="{F8345E1D-6E63-4E38-A410-15532629BD03}"/>
    <cellStyle name="Normal 9 2 2 2 4 4" xfId="9512" xr:uid="{6C408494-9B00-47BA-8447-F6EC74B35DD3}"/>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88" xr:uid="{C976D4EA-E032-4B23-A2A3-73AB46FF9A59}"/>
    <cellStyle name="Normal 9 2 2 2 5 2 3" xfId="12070" xr:uid="{6B985BFB-2506-4964-91CB-725E4FF937CF}"/>
    <cellStyle name="Normal 9 2 2 2 5 3" xfId="5704" xr:uid="{00000000-0005-0000-0000-0000B21E0000}"/>
    <cellStyle name="Normal 9 2 2 2 5 3 2" xfId="14143" xr:uid="{1FBB3C20-000F-404E-BC46-4E76FFB4BC13}"/>
    <cellStyle name="Normal 9 2 2 2 5 4" xfId="9925" xr:uid="{2F1E4584-462D-471B-84F6-D0D635CFB4BC}"/>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1" xr:uid="{5FE6FCB1-B209-4A51-9C18-4F28D8B413EF}"/>
    <cellStyle name="Normal 9 2 2 2 6 2 3" xfId="12483" xr:uid="{C3EBDCC0-F42A-48E7-943F-0BC6799A5DB6}"/>
    <cellStyle name="Normal 9 2 2 2 6 3" xfId="6117" xr:uid="{00000000-0005-0000-0000-0000B61E0000}"/>
    <cellStyle name="Normal 9 2 2 2 6 3 2" xfId="14556" xr:uid="{ADD1FB27-1303-4C49-81C8-FDB96BEC14E2}"/>
    <cellStyle name="Normal 9 2 2 2 6 4" xfId="10338" xr:uid="{23C09D37-2826-4E56-912B-0C1FCE6D412E}"/>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4" xr:uid="{DED5A56F-33FA-4D0B-952C-FAF03F2440FF}"/>
    <cellStyle name="Normal 9 2 2 2 7 2 3" xfId="12896" xr:uid="{DE2496F4-1E3B-43C6-98F4-8CA8CAAF4B37}"/>
    <cellStyle name="Normal 9 2 2 2 7 3" xfId="6530" xr:uid="{00000000-0005-0000-0000-0000BA1E0000}"/>
    <cellStyle name="Normal 9 2 2 2 7 3 2" xfId="14969" xr:uid="{9D15F5A3-E195-43A7-9AA4-4177C9289919}"/>
    <cellStyle name="Normal 9 2 2 2 7 4" xfId="10751" xr:uid="{BEF13EE7-3208-47E9-ACB8-BEEE8BFEE1F6}"/>
    <cellStyle name="Normal 9 2 2 2 8" xfId="2659" xr:uid="{00000000-0005-0000-0000-0000BB1E0000}"/>
    <cellStyle name="Normal 9 2 2 2 8 2" xfId="6943" xr:uid="{00000000-0005-0000-0000-0000BC1E0000}"/>
    <cellStyle name="Normal 9 2 2 2 8 2 2" xfId="15382" xr:uid="{6B7D2853-5404-4F6C-A0A3-F79167DBEA77}"/>
    <cellStyle name="Normal 9 2 2 2 8 3" xfId="11164" xr:uid="{2C57F174-CB00-4237-8E62-F6381B944306}"/>
    <cellStyle name="Normal 9 2 2 2 9" xfId="4878" xr:uid="{00000000-0005-0000-0000-0000BD1E0000}"/>
    <cellStyle name="Normal 9 2 2 2 9 2" xfId="13317" xr:uid="{18B65654-F015-405F-956A-661BCFA4202D}"/>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0" xr:uid="{DE75A7BE-160B-4CA7-83A9-431481F850D0}"/>
    <cellStyle name="Normal 9 2 2 3 2 2 2 3" xfId="11662" xr:uid="{4EB8A578-39AE-453B-938E-8B69F52B9E1F}"/>
    <cellStyle name="Normal 9 2 2 3 2 2 3" xfId="5296" xr:uid="{00000000-0005-0000-0000-0000C31E0000}"/>
    <cellStyle name="Normal 9 2 2 3 2 2 3 2" xfId="13735" xr:uid="{0F256F2F-8FD9-4207-8B3C-5F223284BF06}"/>
    <cellStyle name="Normal 9 2 2 3 2 2 4" xfId="9517" xr:uid="{750F6FD1-1E86-4CFF-ABAA-CADD18B36873}"/>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3" xr:uid="{C1A5CABD-284E-47C0-9E90-E1E1E97EB2F7}"/>
    <cellStyle name="Normal 9 2 2 3 2 3 2 3" xfId="12075" xr:uid="{AA7834C8-F0D6-4541-96C3-6FA0DB4B0910}"/>
    <cellStyle name="Normal 9 2 2 3 2 3 3" xfId="5709" xr:uid="{00000000-0005-0000-0000-0000C71E0000}"/>
    <cellStyle name="Normal 9 2 2 3 2 3 3 2" xfId="14148" xr:uid="{30878517-46E1-41A4-AA41-0C6AAD1DDEA8}"/>
    <cellStyle name="Normal 9 2 2 3 2 3 4" xfId="9930" xr:uid="{9924F393-979C-4829-A548-CA1E8B88F8C5}"/>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6" xr:uid="{07028F1A-A91A-4122-9729-7F7754F4D622}"/>
    <cellStyle name="Normal 9 2 2 3 2 4 2 3" xfId="12488" xr:uid="{01F41434-687A-4E53-8D6D-B11580626338}"/>
    <cellStyle name="Normal 9 2 2 3 2 4 3" xfId="6122" xr:uid="{00000000-0005-0000-0000-0000CB1E0000}"/>
    <cellStyle name="Normal 9 2 2 3 2 4 3 2" xfId="14561" xr:uid="{CEF7A66E-A0BE-460E-B31C-C353C8B1B8B0}"/>
    <cellStyle name="Normal 9 2 2 3 2 4 4" xfId="10343" xr:uid="{91173CA3-98B0-49A6-835D-3FF5CA65A44E}"/>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19" xr:uid="{7D9A1B7B-9D5B-436A-93D8-A74ED6D021D2}"/>
    <cellStyle name="Normal 9 2 2 3 2 5 2 3" xfId="12901" xr:uid="{F8066B62-D820-4ADD-B18C-91424679046F}"/>
    <cellStyle name="Normal 9 2 2 3 2 5 3" xfId="6535" xr:uid="{00000000-0005-0000-0000-0000CF1E0000}"/>
    <cellStyle name="Normal 9 2 2 3 2 5 3 2" xfId="14974" xr:uid="{932FD939-0336-4A1E-AD46-BF96BC4A524E}"/>
    <cellStyle name="Normal 9 2 2 3 2 5 4" xfId="10756" xr:uid="{E80DB4A1-2D09-460F-BC74-1B4B2F848FEB}"/>
    <cellStyle name="Normal 9 2 2 3 2 6" xfId="2664" xr:uid="{00000000-0005-0000-0000-0000D01E0000}"/>
    <cellStyle name="Normal 9 2 2 3 2 6 2" xfId="6948" xr:uid="{00000000-0005-0000-0000-0000D11E0000}"/>
    <cellStyle name="Normal 9 2 2 3 2 6 2 2" xfId="15387" xr:uid="{A814CDFA-6FCC-4028-9B43-3872C74CA971}"/>
    <cellStyle name="Normal 9 2 2 3 2 6 3" xfId="11169" xr:uid="{1E69DCD5-ED04-40E2-A8E6-0A4349922CB9}"/>
    <cellStyle name="Normal 9 2 2 3 2 7" xfId="4883" xr:uid="{00000000-0005-0000-0000-0000D21E0000}"/>
    <cellStyle name="Normal 9 2 2 3 2 7 2" xfId="13322" xr:uid="{685C2D58-7F8B-4DCC-8513-D246C6181924}"/>
    <cellStyle name="Normal 9 2 2 3 2 8" xfId="9104" xr:uid="{693F62F8-CC47-49BD-AEA9-BFFB1F9AEB29}"/>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79" xr:uid="{3B2BD640-EA00-4EC0-AD0D-F35647A36D82}"/>
    <cellStyle name="Normal 9 2 2 3 3 2 3" xfId="11661" xr:uid="{486FBE18-DD92-437A-970D-1B35B48D14C4}"/>
    <cellStyle name="Normal 9 2 2 3 3 3" xfId="5295" xr:uid="{00000000-0005-0000-0000-0000D61E0000}"/>
    <cellStyle name="Normal 9 2 2 3 3 3 2" xfId="13734" xr:uid="{0C28157C-2AFA-4FC8-8205-49F1AFB044DF}"/>
    <cellStyle name="Normal 9 2 2 3 3 4" xfId="9516" xr:uid="{95CF72A3-B7BF-4FAA-A258-BD0E382E286E}"/>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2" xr:uid="{F1751B0C-5862-478E-822B-C06C2D9F2713}"/>
    <cellStyle name="Normal 9 2 2 3 4 2 3" xfId="12074" xr:uid="{22F13C8E-4A83-47B2-8D5D-F0CFB6AE8FFD}"/>
    <cellStyle name="Normal 9 2 2 3 4 3" xfId="5708" xr:uid="{00000000-0005-0000-0000-0000DA1E0000}"/>
    <cellStyle name="Normal 9 2 2 3 4 3 2" xfId="14147" xr:uid="{116EF19C-2EB5-4ACD-A099-37EB97C4CF25}"/>
    <cellStyle name="Normal 9 2 2 3 4 4" xfId="9929" xr:uid="{4F1E90B5-69E3-45D4-AE3D-ACF62E97E556}"/>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5" xr:uid="{D459F48F-EC12-49E9-86D1-A0776583CAF5}"/>
    <cellStyle name="Normal 9 2 2 3 5 2 3" xfId="12487" xr:uid="{A1DAFB85-2CFC-4906-965D-DC3560A1A333}"/>
    <cellStyle name="Normal 9 2 2 3 5 3" xfId="6121" xr:uid="{00000000-0005-0000-0000-0000DE1E0000}"/>
    <cellStyle name="Normal 9 2 2 3 5 3 2" xfId="14560" xr:uid="{11692072-842D-4E0A-873A-08A026562CE1}"/>
    <cellStyle name="Normal 9 2 2 3 5 4" xfId="10342" xr:uid="{60D20C25-F51A-4B8B-AAE8-B876D5A4467E}"/>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18" xr:uid="{1B50CA98-5C40-4EA6-A649-4BC447E4D181}"/>
    <cellStyle name="Normal 9 2 2 3 6 2 3" xfId="12900" xr:uid="{0DE81667-321B-4BB1-9A8E-291499CE6FF0}"/>
    <cellStyle name="Normal 9 2 2 3 6 3" xfId="6534" xr:uid="{00000000-0005-0000-0000-0000E21E0000}"/>
    <cellStyle name="Normal 9 2 2 3 6 3 2" xfId="14973" xr:uid="{13426A74-C3EF-48B2-9878-27152F1AD6A3}"/>
    <cellStyle name="Normal 9 2 2 3 6 4" xfId="10755" xr:uid="{832C67E6-032D-4930-8D8E-C96AEBC7D31C}"/>
    <cellStyle name="Normal 9 2 2 3 7" xfId="2663" xr:uid="{00000000-0005-0000-0000-0000E31E0000}"/>
    <cellStyle name="Normal 9 2 2 3 7 2" xfId="6947" xr:uid="{00000000-0005-0000-0000-0000E41E0000}"/>
    <cellStyle name="Normal 9 2 2 3 7 2 2" xfId="15386" xr:uid="{0B7E15FA-3BE9-4894-8F11-6BE54E88DB20}"/>
    <cellStyle name="Normal 9 2 2 3 7 3" xfId="11168" xr:uid="{7B96903F-0336-4398-9DF3-0D332C1D46AF}"/>
    <cellStyle name="Normal 9 2 2 3 8" xfId="4882" xr:uid="{00000000-0005-0000-0000-0000E51E0000}"/>
    <cellStyle name="Normal 9 2 2 3 8 2" xfId="13321" xr:uid="{D067EA54-889F-48D2-B9D9-9FB8F7A74A91}"/>
    <cellStyle name="Normal 9 2 2 3 9" xfId="9103" xr:uid="{E689A2FB-85F0-49A0-8BCE-50396FD3C941}"/>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1" xr:uid="{C4F6C906-0B92-48CB-8923-27A7919E36ED}"/>
    <cellStyle name="Normal 9 2 2 4 2 2 3" xfId="11663" xr:uid="{C3BC65F4-BFD4-4535-A731-6B10AC249D47}"/>
    <cellStyle name="Normal 9 2 2 4 2 3" xfId="5297" xr:uid="{00000000-0005-0000-0000-0000EA1E0000}"/>
    <cellStyle name="Normal 9 2 2 4 2 3 2" xfId="13736" xr:uid="{8A8530CC-B8E4-4BD0-815E-D2F2A1C7265E}"/>
    <cellStyle name="Normal 9 2 2 4 2 4" xfId="9518" xr:uid="{6EFCD429-EF44-4D47-ABC5-E217898E70FB}"/>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4" xr:uid="{EAEDD1D4-1CEC-4A24-A937-416008674D8F}"/>
    <cellStyle name="Normal 9 2 2 4 3 2 3" xfId="12076" xr:uid="{0D658CE8-6104-43F9-9328-AC89E9A63F75}"/>
    <cellStyle name="Normal 9 2 2 4 3 3" xfId="5710" xr:uid="{00000000-0005-0000-0000-0000EE1E0000}"/>
    <cellStyle name="Normal 9 2 2 4 3 3 2" xfId="14149" xr:uid="{BC424D06-74A8-4423-A91B-A13BF35F6F6C}"/>
    <cellStyle name="Normal 9 2 2 4 3 4" xfId="9931" xr:uid="{EA506860-6BFF-4673-8DD3-4E6641C598F7}"/>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07" xr:uid="{0C452153-0DBF-4530-AD47-B6E41BED3055}"/>
    <cellStyle name="Normal 9 2 2 4 4 2 3" xfId="12489" xr:uid="{B55DD697-AE4A-4CD6-8C27-2B46EE47C2D8}"/>
    <cellStyle name="Normal 9 2 2 4 4 3" xfId="6123" xr:uid="{00000000-0005-0000-0000-0000F21E0000}"/>
    <cellStyle name="Normal 9 2 2 4 4 3 2" xfId="14562" xr:uid="{79B741B3-4B8E-4D20-910C-29E701E1B2CB}"/>
    <cellStyle name="Normal 9 2 2 4 4 4" xfId="10344" xr:uid="{49063DA5-A169-42CA-A581-E5CB6C72A82B}"/>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0" xr:uid="{9398C737-46D3-4FB8-8C59-A48B8A1AF13C}"/>
    <cellStyle name="Normal 9 2 2 4 5 2 3" xfId="12902" xr:uid="{B25DE7EF-81AC-42A5-9AA4-045AD7F2590A}"/>
    <cellStyle name="Normal 9 2 2 4 5 3" xfId="6536" xr:uid="{00000000-0005-0000-0000-0000F61E0000}"/>
    <cellStyle name="Normal 9 2 2 4 5 3 2" xfId="14975" xr:uid="{7A196C87-DB20-44DF-BA50-4C4F40F5FCB6}"/>
    <cellStyle name="Normal 9 2 2 4 5 4" xfId="10757" xr:uid="{97734E63-88BD-44FD-A174-396378C0029C}"/>
    <cellStyle name="Normal 9 2 2 4 6" xfId="2665" xr:uid="{00000000-0005-0000-0000-0000F71E0000}"/>
    <cellStyle name="Normal 9 2 2 4 6 2" xfId="6949" xr:uid="{00000000-0005-0000-0000-0000F81E0000}"/>
    <cellStyle name="Normal 9 2 2 4 6 2 2" xfId="15388" xr:uid="{150C16F9-F255-4922-A950-07DD3334DE50}"/>
    <cellStyle name="Normal 9 2 2 4 6 3" xfId="11170" xr:uid="{0636D58C-AC8A-4BC1-B9CF-1BB082F0D9C4}"/>
    <cellStyle name="Normal 9 2 2 4 7" xfId="4884" xr:uid="{00000000-0005-0000-0000-0000F91E0000}"/>
    <cellStyle name="Normal 9 2 2 4 7 2" xfId="13323" xr:uid="{7D7086F5-3CE3-43CB-AEB7-BD5FAD40124C}"/>
    <cellStyle name="Normal 9 2 2 4 8" xfId="9105" xr:uid="{69C06474-C0A9-449B-9970-88C704BCEEE5}"/>
    <cellStyle name="Normal 9 2 2 5" xfId="979" xr:uid="{00000000-0005-0000-0000-0000FA1E0000}"/>
    <cellStyle name="Normal 9 2 2 5 2" xfId="3212" xr:uid="{00000000-0005-0000-0000-0000FB1E0000}"/>
    <cellStyle name="Normal 9 2 2 5 2 2" xfId="7435" xr:uid="{00000000-0005-0000-0000-0000FC1E0000}"/>
    <cellStyle name="Normal 9 2 2 5 2 2 2" xfId="15874" xr:uid="{ED60F687-8932-44BF-95FB-0AAEA0171B30}"/>
    <cellStyle name="Normal 9 2 2 5 2 3" xfId="11656" xr:uid="{698C7836-A65D-4465-ADB4-F5DE0EE1EB91}"/>
    <cellStyle name="Normal 9 2 2 5 3" xfId="5290" xr:uid="{00000000-0005-0000-0000-0000FD1E0000}"/>
    <cellStyle name="Normal 9 2 2 5 3 2" xfId="13729" xr:uid="{BF3C4735-85A8-41BB-92CA-A4E65BC2C764}"/>
    <cellStyle name="Normal 9 2 2 5 4" xfId="9511" xr:uid="{D386FEE8-ED5D-44FE-B733-F2D21959923C}"/>
    <cellStyle name="Normal 9 2 2 6" xfId="1395" xr:uid="{00000000-0005-0000-0000-0000FE1E0000}"/>
    <cellStyle name="Normal 9 2 2 6 2" xfId="3625" xr:uid="{00000000-0005-0000-0000-0000FF1E0000}"/>
    <cellStyle name="Normal 9 2 2 6 2 2" xfId="7848" xr:uid="{00000000-0005-0000-0000-0000001F0000}"/>
    <cellStyle name="Normal 9 2 2 6 2 2 2" xfId="16287" xr:uid="{09E3ED05-8A5A-4F2B-8C42-4D1801CCCB35}"/>
    <cellStyle name="Normal 9 2 2 6 2 3" xfId="12069" xr:uid="{6E0C72EE-251D-4915-B0EA-5965B52AE6EE}"/>
    <cellStyle name="Normal 9 2 2 6 3" xfId="5703" xr:uid="{00000000-0005-0000-0000-0000011F0000}"/>
    <cellStyle name="Normal 9 2 2 6 3 2" xfId="14142" xr:uid="{AD08CF5E-BDF2-4C99-82C7-9FB96D531C39}"/>
    <cellStyle name="Normal 9 2 2 6 4" xfId="9924" xr:uid="{51D69283-BCFE-48CB-97D8-64E69729426A}"/>
    <cellStyle name="Normal 9 2 2 7" xfId="1808" xr:uid="{00000000-0005-0000-0000-0000021F0000}"/>
    <cellStyle name="Normal 9 2 2 7 2" xfId="4038" xr:uid="{00000000-0005-0000-0000-0000031F0000}"/>
    <cellStyle name="Normal 9 2 2 7 2 2" xfId="8261" xr:uid="{00000000-0005-0000-0000-0000041F0000}"/>
    <cellStyle name="Normal 9 2 2 7 2 2 2" xfId="16700" xr:uid="{8D96165A-E9EF-4362-A881-5C4082C62B4D}"/>
    <cellStyle name="Normal 9 2 2 7 2 3" xfId="12482" xr:uid="{13574B1F-CA7B-46B7-9890-DC09CD7E3E08}"/>
    <cellStyle name="Normal 9 2 2 7 3" xfId="6116" xr:uid="{00000000-0005-0000-0000-0000051F0000}"/>
    <cellStyle name="Normal 9 2 2 7 3 2" xfId="14555" xr:uid="{C3E0A65F-428D-4082-9B30-881AE22C7E8E}"/>
    <cellStyle name="Normal 9 2 2 7 4" xfId="10337" xr:uid="{AA7E3713-BB28-4FE5-99BA-ADBF8169DE92}"/>
    <cellStyle name="Normal 9 2 2 8" xfId="2222" xr:uid="{00000000-0005-0000-0000-0000061F0000}"/>
    <cellStyle name="Normal 9 2 2 8 2" xfId="4451" xr:uid="{00000000-0005-0000-0000-0000071F0000}"/>
    <cellStyle name="Normal 9 2 2 8 2 2" xfId="8674" xr:uid="{00000000-0005-0000-0000-0000081F0000}"/>
    <cellStyle name="Normal 9 2 2 8 2 2 2" xfId="17113" xr:uid="{E0C62F3A-BC54-4042-A830-2D64DA387E45}"/>
    <cellStyle name="Normal 9 2 2 8 2 3" xfId="12895" xr:uid="{4DCC2AE5-4869-40E3-95CF-1404B141FE70}"/>
    <cellStyle name="Normal 9 2 2 8 3" xfId="6529" xr:uid="{00000000-0005-0000-0000-0000091F0000}"/>
    <cellStyle name="Normal 9 2 2 8 3 2" xfId="14968" xr:uid="{98E78C4D-AC28-4553-A0DC-E66912079452}"/>
    <cellStyle name="Normal 9 2 2 8 4" xfId="10750" xr:uid="{DAC25DFD-470A-4A28-BEFF-8715CB9CDB5B}"/>
    <cellStyle name="Normal 9 2 2 9" xfId="2658" xr:uid="{00000000-0005-0000-0000-00000A1F0000}"/>
    <cellStyle name="Normal 9 2 2 9 2" xfId="6942" xr:uid="{00000000-0005-0000-0000-00000B1F0000}"/>
    <cellStyle name="Normal 9 2 2 9 2 2" xfId="15381" xr:uid="{759F4F5B-FB17-41B4-983A-C6A372CDB4B8}"/>
    <cellStyle name="Normal 9 2 2 9 3" xfId="11163" xr:uid="{B39112EC-9F9F-4739-A00A-244C866786B9}"/>
    <cellStyle name="Normal 9 2 3" xfId="520" xr:uid="{00000000-0005-0000-0000-00000C1F0000}"/>
    <cellStyle name="Normal 9 2 3 10" xfId="9106" xr:uid="{4EFEA540-BD15-43A4-A916-9145268AB152}"/>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4" xr:uid="{4383014B-571E-4393-AAEE-AE5BA0337185}"/>
    <cellStyle name="Normal 9 2 3 2 2 2 2 3" xfId="11666" xr:uid="{C02AA745-162F-459A-ABBB-2CF3DB76C72A}"/>
    <cellStyle name="Normal 9 2 3 2 2 2 3" xfId="5300" xr:uid="{00000000-0005-0000-0000-0000121F0000}"/>
    <cellStyle name="Normal 9 2 3 2 2 2 3 2" xfId="13739" xr:uid="{46A0F517-1F47-4293-AE63-6D3843BCA66C}"/>
    <cellStyle name="Normal 9 2 3 2 2 2 4" xfId="9521" xr:uid="{9BE04ED0-9914-4C38-AE1F-66371AC37F6A}"/>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297" xr:uid="{D924159E-DA8A-4587-8EE5-C2A0A3E73427}"/>
    <cellStyle name="Normal 9 2 3 2 2 3 2 3" xfId="12079" xr:uid="{6DE3E63D-4117-441A-9AC4-0221F9D934B2}"/>
    <cellStyle name="Normal 9 2 3 2 2 3 3" xfId="5713" xr:uid="{00000000-0005-0000-0000-0000161F0000}"/>
    <cellStyle name="Normal 9 2 3 2 2 3 3 2" xfId="14152" xr:uid="{83B4A041-C930-4DEE-A171-CC948F90090D}"/>
    <cellStyle name="Normal 9 2 3 2 2 3 4" xfId="9934" xr:uid="{F1737319-47B1-460F-95FD-D910EC2A042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0" xr:uid="{11A9B9B9-7FCD-4EB7-94F1-6141E7527837}"/>
    <cellStyle name="Normal 9 2 3 2 2 4 2 3" xfId="12492" xr:uid="{8433D861-FEAB-4E75-8C6B-50556E9BC97A}"/>
    <cellStyle name="Normal 9 2 3 2 2 4 3" xfId="6126" xr:uid="{00000000-0005-0000-0000-00001A1F0000}"/>
    <cellStyle name="Normal 9 2 3 2 2 4 3 2" xfId="14565" xr:uid="{B63911DB-A34A-41B0-86A0-B20E611D5A27}"/>
    <cellStyle name="Normal 9 2 3 2 2 4 4" xfId="10347" xr:uid="{4EB42DDF-D3DB-4A53-A0BC-0FDBCF340F63}"/>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3" xr:uid="{2CEB9A09-DDCD-4664-95E0-20031398CDEE}"/>
    <cellStyle name="Normal 9 2 3 2 2 5 2 3" xfId="12905" xr:uid="{CAC3C1A5-E566-4EC9-BC2A-5AE890D772B7}"/>
    <cellStyle name="Normal 9 2 3 2 2 5 3" xfId="6539" xr:uid="{00000000-0005-0000-0000-00001E1F0000}"/>
    <cellStyle name="Normal 9 2 3 2 2 5 3 2" xfId="14978" xr:uid="{B9725627-C84B-4996-BD08-9B962072B150}"/>
    <cellStyle name="Normal 9 2 3 2 2 5 4" xfId="10760" xr:uid="{BF409BA3-0A42-4799-90CE-5C09F3A81117}"/>
    <cellStyle name="Normal 9 2 3 2 2 6" xfId="2668" xr:uid="{00000000-0005-0000-0000-00001F1F0000}"/>
    <cellStyle name="Normal 9 2 3 2 2 6 2" xfId="6952" xr:uid="{00000000-0005-0000-0000-0000201F0000}"/>
    <cellStyle name="Normal 9 2 3 2 2 6 2 2" xfId="15391" xr:uid="{8FF1F3D6-1996-4863-98BC-B0209C69371B}"/>
    <cellStyle name="Normal 9 2 3 2 2 6 3" xfId="11173" xr:uid="{2BF97258-5603-4712-8238-8B461BB47339}"/>
    <cellStyle name="Normal 9 2 3 2 2 7" xfId="4887" xr:uid="{00000000-0005-0000-0000-0000211F0000}"/>
    <cellStyle name="Normal 9 2 3 2 2 7 2" xfId="13326" xr:uid="{91468336-C4DD-4B91-9D69-F8449D443A41}"/>
    <cellStyle name="Normal 9 2 3 2 2 8" xfId="9108" xr:uid="{C1A6CD01-8326-4065-A35B-47C6547E2FCD}"/>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3" xr:uid="{F40A0CC1-E3DE-439C-A2AF-D2F1FEC16225}"/>
    <cellStyle name="Normal 9 2 3 2 3 2 3" xfId="11665" xr:uid="{364594EF-E4A6-4D5D-94DD-5D92DD8F52DE}"/>
    <cellStyle name="Normal 9 2 3 2 3 3" xfId="5299" xr:uid="{00000000-0005-0000-0000-0000251F0000}"/>
    <cellStyle name="Normal 9 2 3 2 3 3 2" xfId="13738" xr:uid="{D221C25C-8CF8-4C16-9CE1-11F89BEFD955}"/>
    <cellStyle name="Normal 9 2 3 2 3 4" xfId="9520" xr:uid="{ABC6D4B9-8240-47DE-B7AC-870AD2B8017C}"/>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6" xr:uid="{EB43C7BD-9710-4B56-AAF5-0204C4B1285D}"/>
    <cellStyle name="Normal 9 2 3 2 4 2 3" xfId="12078" xr:uid="{EB2F4EA7-51CA-4713-8B77-AAD68020F990}"/>
    <cellStyle name="Normal 9 2 3 2 4 3" xfId="5712" xr:uid="{00000000-0005-0000-0000-0000291F0000}"/>
    <cellStyle name="Normal 9 2 3 2 4 3 2" xfId="14151" xr:uid="{97D1ED85-495F-470C-9E43-8748800DA0A4}"/>
    <cellStyle name="Normal 9 2 3 2 4 4" xfId="9933" xr:uid="{5747614F-1137-48B7-9D22-3EEBC6A6B6C2}"/>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09" xr:uid="{8F4DA03E-2BD3-4945-A9E2-6980193F09DE}"/>
    <cellStyle name="Normal 9 2 3 2 5 2 3" xfId="12491" xr:uid="{DAA6C1CF-7272-43D5-834B-6D5D3128B7F1}"/>
    <cellStyle name="Normal 9 2 3 2 5 3" xfId="6125" xr:uid="{00000000-0005-0000-0000-00002D1F0000}"/>
    <cellStyle name="Normal 9 2 3 2 5 3 2" xfId="14564" xr:uid="{EC6C0A44-6F77-4344-8388-F0115AF34E26}"/>
    <cellStyle name="Normal 9 2 3 2 5 4" xfId="10346" xr:uid="{3CDC1947-0278-4195-A1B2-2B43479064FD}"/>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2" xr:uid="{2C997F14-B9BA-464E-9C50-701BFA8F3FCE}"/>
    <cellStyle name="Normal 9 2 3 2 6 2 3" xfId="12904" xr:uid="{6441D823-4BCE-4858-B763-AE266C975581}"/>
    <cellStyle name="Normal 9 2 3 2 6 3" xfId="6538" xr:uid="{00000000-0005-0000-0000-0000311F0000}"/>
    <cellStyle name="Normal 9 2 3 2 6 3 2" xfId="14977" xr:uid="{55AC4DF7-6690-47F0-BAF8-27C6D2462D03}"/>
    <cellStyle name="Normal 9 2 3 2 6 4" xfId="10759" xr:uid="{638D5508-3CB2-46F0-ABEC-9765F5AFFC95}"/>
    <cellStyle name="Normal 9 2 3 2 7" xfId="2667" xr:uid="{00000000-0005-0000-0000-0000321F0000}"/>
    <cellStyle name="Normal 9 2 3 2 7 2" xfId="6951" xr:uid="{00000000-0005-0000-0000-0000331F0000}"/>
    <cellStyle name="Normal 9 2 3 2 7 2 2" xfId="15390" xr:uid="{0207D796-3770-4AB7-91C5-378EFC13232D}"/>
    <cellStyle name="Normal 9 2 3 2 7 3" xfId="11172" xr:uid="{BC57FEDA-5CD7-4F17-8690-3CFDB0547D65}"/>
    <cellStyle name="Normal 9 2 3 2 8" xfId="4886" xr:uid="{00000000-0005-0000-0000-0000341F0000}"/>
    <cellStyle name="Normal 9 2 3 2 8 2" xfId="13325" xr:uid="{9C31FAEF-79AC-40F9-9ACA-A3DC86F126C7}"/>
    <cellStyle name="Normal 9 2 3 2 9" xfId="9107" xr:uid="{7CCF24EF-BFDE-4CF2-B291-2924BEFA120C}"/>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5" xr:uid="{62939C7F-4FEE-4178-856C-84003E0C4D94}"/>
    <cellStyle name="Normal 9 2 3 3 2 2 3" xfId="11667" xr:uid="{C5C057C8-00AD-469A-9B66-C73CCB1E08DE}"/>
    <cellStyle name="Normal 9 2 3 3 2 3" xfId="5301" xr:uid="{00000000-0005-0000-0000-0000391F0000}"/>
    <cellStyle name="Normal 9 2 3 3 2 3 2" xfId="13740" xr:uid="{98A6CC73-2A18-41AB-8AF0-ED7AC93F26AD}"/>
    <cellStyle name="Normal 9 2 3 3 2 4" xfId="9522" xr:uid="{01A92199-F14A-49CE-9521-35AA3CE6D29E}"/>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298" xr:uid="{B82D57BC-13EE-4004-8FDB-78F236E7BB97}"/>
    <cellStyle name="Normal 9 2 3 3 3 2 3" xfId="12080" xr:uid="{4F34B333-6768-499A-9BCA-C006B6E6BF58}"/>
    <cellStyle name="Normal 9 2 3 3 3 3" xfId="5714" xr:uid="{00000000-0005-0000-0000-00003D1F0000}"/>
    <cellStyle name="Normal 9 2 3 3 3 3 2" xfId="14153" xr:uid="{06FC4B5C-25F2-4E2E-9711-6DF1F4ECEC52}"/>
    <cellStyle name="Normal 9 2 3 3 3 4" xfId="9935" xr:uid="{0D3D9A66-F46B-4347-B494-57ED03916FE9}"/>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1" xr:uid="{830817A1-2B84-411A-8266-6E9877734ABB}"/>
    <cellStyle name="Normal 9 2 3 3 4 2 3" xfId="12493" xr:uid="{F8E42B45-AD0C-4ED5-901F-C368C68CF421}"/>
    <cellStyle name="Normal 9 2 3 3 4 3" xfId="6127" xr:uid="{00000000-0005-0000-0000-0000411F0000}"/>
    <cellStyle name="Normal 9 2 3 3 4 3 2" xfId="14566" xr:uid="{84544A6D-60AD-495B-89E1-7CBFA0DBCE03}"/>
    <cellStyle name="Normal 9 2 3 3 4 4" xfId="10348" xr:uid="{894361B5-DAD3-4975-B7D3-5F9E0C34E52F}"/>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4" xr:uid="{9AB5E1CD-4A24-4EEE-A3B8-8F84FBE2CF33}"/>
    <cellStyle name="Normal 9 2 3 3 5 2 3" xfId="12906" xr:uid="{AA053EA6-29AB-4607-B42D-423A53A81EE5}"/>
    <cellStyle name="Normal 9 2 3 3 5 3" xfId="6540" xr:uid="{00000000-0005-0000-0000-0000451F0000}"/>
    <cellStyle name="Normal 9 2 3 3 5 3 2" xfId="14979" xr:uid="{1551C4CE-5A69-48CC-900B-3AEB00AB17EA}"/>
    <cellStyle name="Normal 9 2 3 3 5 4" xfId="10761" xr:uid="{14F04C32-2B6D-4F28-BFC6-CB9CE82F1071}"/>
    <cellStyle name="Normal 9 2 3 3 6" xfId="2669" xr:uid="{00000000-0005-0000-0000-0000461F0000}"/>
    <cellStyle name="Normal 9 2 3 3 6 2" xfId="6953" xr:uid="{00000000-0005-0000-0000-0000471F0000}"/>
    <cellStyle name="Normal 9 2 3 3 6 2 2" xfId="15392" xr:uid="{93B3C4E3-DC46-4DAB-9794-C982E5607A38}"/>
    <cellStyle name="Normal 9 2 3 3 6 3" xfId="11174" xr:uid="{7C1C792A-86DE-41D2-A1D7-4EB3850EBA6F}"/>
    <cellStyle name="Normal 9 2 3 3 7" xfId="4888" xr:uid="{00000000-0005-0000-0000-0000481F0000}"/>
    <cellStyle name="Normal 9 2 3 3 7 2" xfId="13327" xr:uid="{0C5C4956-D77A-40F4-BFA5-B4298030D60A}"/>
    <cellStyle name="Normal 9 2 3 3 8" xfId="9109" xr:uid="{775D9AA2-1C6E-49D5-83F5-DCB6B59ECE88}"/>
    <cellStyle name="Normal 9 2 3 4" xfId="987" xr:uid="{00000000-0005-0000-0000-0000491F0000}"/>
    <cellStyle name="Normal 9 2 3 4 2" xfId="3220" xr:uid="{00000000-0005-0000-0000-00004A1F0000}"/>
    <cellStyle name="Normal 9 2 3 4 2 2" xfId="7443" xr:uid="{00000000-0005-0000-0000-00004B1F0000}"/>
    <cellStyle name="Normal 9 2 3 4 2 2 2" xfId="15882" xr:uid="{BF59854C-EE51-47EA-994D-8684E1EEC03D}"/>
    <cellStyle name="Normal 9 2 3 4 2 3" xfId="11664" xr:uid="{FE6ED819-0DE6-4484-B711-0F28F41BE5D5}"/>
    <cellStyle name="Normal 9 2 3 4 3" xfId="5298" xr:uid="{00000000-0005-0000-0000-00004C1F0000}"/>
    <cellStyle name="Normal 9 2 3 4 3 2" xfId="13737" xr:uid="{74C809D4-9BEE-45A3-89AA-F8417024445E}"/>
    <cellStyle name="Normal 9 2 3 4 4" xfId="9519" xr:uid="{AF45AA51-25CF-4FED-93A5-6DCAFD71A1B1}"/>
    <cellStyle name="Normal 9 2 3 5" xfId="1403" xr:uid="{00000000-0005-0000-0000-00004D1F0000}"/>
    <cellStyle name="Normal 9 2 3 5 2" xfId="3633" xr:uid="{00000000-0005-0000-0000-00004E1F0000}"/>
    <cellStyle name="Normal 9 2 3 5 2 2" xfId="7856" xr:uid="{00000000-0005-0000-0000-00004F1F0000}"/>
    <cellStyle name="Normal 9 2 3 5 2 2 2" xfId="16295" xr:uid="{267F7797-E0E3-48C6-BAE7-ED72084E06C2}"/>
    <cellStyle name="Normal 9 2 3 5 2 3" xfId="12077" xr:uid="{BB715BC9-67DA-49B0-931A-8105810A7587}"/>
    <cellStyle name="Normal 9 2 3 5 3" xfId="5711" xr:uid="{00000000-0005-0000-0000-0000501F0000}"/>
    <cellStyle name="Normal 9 2 3 5 3 2" xfId="14150" xr:uid="{9E0FA386-D3F3-479B-A2EB-1B9B6270D63F}"/>
    <cellStyle name="Normal 9 2 3 5 4" xfId="9932" xr:uid="{4BB730F6-FB85-4334-B189-16C6F08CD06D}"/>
    <cellStyle name="Normal 9 2 3 6" xfId="1816" xr:uid="{00000000-0005-0000-0000-0000511F0000}"/>
    <cellStyle name="Normal 9 2 3 6 2" xfId="4046" xr:uid="{00000000-0005-0000-0000-0000521F0000}"/>
    <cellStyle name="Normal 9 2 3 6 2 2" xfId="8269" xr:uid="{00000000-0005-0000-0000-0000531F0000}"/>
    <cellStyle name="Normal 9 2 3 6 2 2 2" xfId="16708" xr:uid="{79FB84A7-4F6C-475C-866F-5BA13FFCAAD9}"/>
    <cellStyle name="Normal 9 2 3 6 2 3" xfId="12490" xr:uid="{E51A96B8-8865-4608-9C99-0262F18609C6}"/>
    <cellStyle name="Normal 9 2 3 6 3" xfId="6124" xr:uid="{00000000-0005-0000-0000-0000541F0000}"/>
    <cellStyle name="Normal 9 2 3 6 3 2" xfId="14563" xr:uid="{6C6AC0C3-4911-48AD-AC4A-D0C67D5AA1EB}"/>
    <cellStyle name="Normal 9 2 3 6 4" xfId="10345" xr:uid="{55604A72-940C-4DCC-8614-092963B74A7C}"/>
    <cellStyle name="Normal 9 2 3 7" xfId="2230" xr:uid="{00000000-0005-0000-0000-0000551F0000}"/>
    <cellStyle name="Normal 9 2 3 7 2" xfId="4459" xr:uid="{00000000-0005-0000-0000-0000561F0000}"/>
    <cellStyle name="Normal 9 2 3 7 2 2" xfId="8682" xr:uid="{00000000-0005-0000-0000-0000571F0000}"/>
    <cellStyle name="Normal 9 2 3 7 2 2 2" xfId="17121" xr:uid="{894DE7FF-9A84-4651-868A-6EF01609BC1C}"/>
    <cellStyle name="Normal 9 2 3 7 2 3" xfId="12903" xr:uid="{3C9B38CD-78B5-4EDA-A9FB-96FE282F30A2}"/>
    <cellStyle name="Normal 9 2 3 7 3" xfId="6537" xr:uid="{00000000-0005-0000-0000-0000581F0000}"/>
    <cellStyle name="Normal 9 2 3 7 3 2" xfId="14976" xr:uid="{B63F19DA-AF1D-4B90-A4F1-185CBF738F71}"/>
    <cellStyle name="Normal 9 2 3 7 4" xfId="10758" xr:uid="{30390A43-34AE-408E-A2E4-BE6796E84B1E}"/>
    <cellStyle name="Normal 9 2 3 8" xfId="2666" xr:uid="{00000000-0005-0000-0000-0000591F0000}"/>
    <cellStyle name="Normal 9 2 3 8 2" xfId="6950" xr:uid="{00000000-0005-0000-0000-00005A1F0000}"/>
    <cellStyle name="Normal 9 2 3 8 2 2" xfId="15389" xr:uid="{0DEEA956-0646-4647-BB56-097E63D92F78}"/>
    <cellStyle name="Normal 9 2 3 8 3" xfId="11171" xr:uid="{4B81BFAC-A8F6-4DF7-AFDA-C25B5009AF5D}"/>
    <cellStyle name="Normal 9 2 3 9" xfId="4885" xr:uid="{00000000-0005-0000-0000-00005B1F0000}"/>
    <cellStyle name="Normal 9 2 3 9 2" xfId="13324" xr:uid="{DDBECCAC-4DEE-4932-BCD0-11DFA931EC5C}"/>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87" xr:uid="{F054E0E3-7018-4947-8E20-E5E9D0702CD1}"/>
    <cellStyle name="Normal 9 2 4 2 2 2 3" xfId="11669" xr:uid="{C549C235-7889-4C53-8136-AE28E1F3B29B}"/>
    <cellStyle name="Normal 9 2 4 2 2 3" xfId="5303" xr:uid="{00000000-0005-0000-0000-0000611F0000}"/>
    <cellStyle name="Normal 9 2 4 2 2 3 2" xfId="13742" xr:uid="{62797CD4-13C6-4E07-9AAD-CC1F92C83710}"/>
    <cellStyle name="Normal 9 2 4 2 2 4" xfId="9524" xr:uid="{DF2CCDFA-614B-4E4A-82BA-54F8F83D1B22}"/>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0" xr:uid="{CA51098F-D866-4103-AAB0-FBBFE4261265}"/>
    <cellStyle name="Normal 9 2 4 2 3 2 3" xfId="12082" xr:uid="{C8F2A426-E6D0-41CA-BF13-32A3422FB889}"/>
    <cellStyle name="Normal 9 2 4 2 3 3" xfId="5716" xr:uid="{00000000-0005-0000-0000-0000651F0000}"/>
    <cellStyle name="Normal 9 2 4 2 3 3 2" xfId="14155" xr:uid="{1AF48581-7A40-4161-B234-A27EACE99178}"/>
    <cellStyle name="Normal 9 2 4 2 3 4" xfId="9937" xr:uid="{ADD7EDE5-B816-4AA3-B306-770EA1C0C6F0}"/>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3" xr:uid="{8FBF961C-1393-441A-AD77-EFE42307575E}"/>
    <cellStyle name="Normal 9 2 4 2 4 2 3" xfId="12495" xr:uid="{C2104171-816A-44EC-AE0D-39BF04D3FDEE}"/>
    <cellStyle name="Normal 9 2 4 2 4 3" xfId="6129" xr:uid="{00000000-0005-0000-0000-0000691F0000}"/>
    <cellStyle name="Normal 9 2 4 2 4 3 2" xfId="14568" xr:uid="{3D7D9197-E822-4F07-A2B0-F615BF31023D}"/>
    <cellStyle name="Normal 9 2 4 2 4 4" xfId="10350" xr:uid="{CEAC68D7-6AC3-47AB-91E0-6F629D332890}"/>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6" xr:uid="{EFB48381-8681-4955-A4A2-4B8F9AC78CCF}"/>
    <cellStyle name="Normal 9 2 4 2 5 2 3" xfId="12908" xr:uid="{311E6152-F6B6-4CFB-BD9A-C9B3AE31A134}"/>
    <cellStyle name="Normal 9 2 4 2 5 3" xfId="6542" xr:uid="{00000000-0005-0000-0000-00006D1F0000}"/>
    <cellStyle name="Normal 9 2 4 2 5 3 2" xfId="14981" xr:uid="{A990641F-3E9D-4B5C-B918-C6725C247755}"/>
    <cellStyle name="Normal 9 2 4 2 5 4" xfId="10763" xr:uid="{B9A0665F-7983-4D67-BD95-53EF08053F6A}"/>
    <cellStyle name="Normal 9 2 4 2 6" xfId="2671" xr:uid="{00000000-0005-0000-0000-00006E1F0000}"/>
    <cellStyle name="Normal 9 2 4 2 6 2" xfId="6955" xr:uid="{00000000-0005-0000-0000-00006F1F0000}"/>
    <cellStyle name="Normal 9 2 4 2 6 2 2" xfId="15394" xr:uid="{B9298054-4DDD-4F98-A7D8-4C1C4A148CC6}"/>
    <cellStyle name="Normal 9 2 4 2 6 3" xfId="11176" xr:uid="{BE2C68E2-A3E1-462A-B869-2B51306AA15C}"/>
    <cellStyle name="Normal 9 2 4 2 7" xfId="4890" xr:uid="{00000000-0005-0000-0000-0000701F0000}"/>
    <cellStyle name="Normal 9 2 4 2 7 2" xfId="13329" xr:uid="{D00FDC3E-862F-4AF9-AD82-93239445A356}"/>
    <cellStyle name="Normal 9 2 4 2 8" xfId="9111" xr:uid="{BEA868C1-D83B-4425-992B-3CA4365A0489}"/>
    <cellStyle name="Normal 9 2 4 3" xfId="991" xr:uid="{00000000-0005-0000-0000-0000711F0000}"/>
    <cellStyle name="Normal 9 2 4 3 2" xfId="3224" xr:uid="{00000000-0005-0000-0000-0000721F0000}"/>
    <cellStyle name="Normal 9 2 4 3 2 2" xfId="7447" xr:uid="{00000000-0005-0000-0000-0000731F0000}"/>
    <cellStyle name="Normal 9 2 4 3 2 2 2" xfId="15886" xr:uid="{BE24CFD9-CC32-4D8B-85A1-7117E76A0B5B}"/>
    <cellStyle name="Normal 9 2 4 3 2 3" xfId="11668" xr:uid="{334183A2-2BA7-4C34-99C8-68D60CFB23F5}"/>
    <cellStyle name="Normal 9 2 4 3 3" xfId="5302" xr:uid="{00000000-0005-0000-0000-0000741F0000}"/>
    <cellStyle name="Normal 9 2 4 3 3 2" xfId="13741" xr:uid="{5C4BA12F-8681-47E9-973F-6339F9DC8EA4}"/>
    <cellStyle name="Normal 9 2 4 3 4" xfId="9523" xr:uid="{9EF69334-1721-42C0-920B-B55BDAE51B30}"/>
    <cellStyle name="Normal 9 2 4 4" xfId="1407" xr:uid="{00000000-0005-0000-0000-0000751F0000}"/>
    <cellStyle name="Normal 9 2 4 4 2" xfId="3637" xr:uid="{00000000-0005-0000-0000-0000761F0000}"/>
    <cellStyle name="Normal 9 2 4 4 2 2" xfId="7860" xr:uid="{00000000-0005-0000-0000-0000771F0000}"/>
    <cellStyle name="Normal 9 2 4 4 2 2 2" xfId="16299" xr:uid="{53EDC23B-CFA6-418D-9542-9615D5B33F0F}"/>
    <cellStyle name="Normal 9 2 4 4 2 3" xfId="12081" xr:uid="{4619CCFF-9448-4BCD-A0B1-F84A5156D10D}"/>
    <cellStyle name="Normal 9 2 4 4 3" xfId="5715" xr:uid="{00000000-0005-0000-0000-0000781F0000}"/>
    <cellStyle name="Normal 9 2 4 4 3 2" xfId="14154" xr:uid="{82976A07-4DEA-42DF-9E11-671402DDEDA4}"/>
    <cellStyle name="Normal 9 2 4 4 4" xfId="9936" xr:uid="{C0CBFE6C-6D8C-441A-BAB4-941D54887B0D}"/>
    <cellStyle name="Normal 9 2 4 5" xfId="1820" xr:uid="{00000000-0005-0000-0000-0000791F0000}"/>
    <cellStyle name="Normal 9 2 4 5 2" xfId="4050" xr:uid="{00000000-0005-0000-0000-00007A1F0000}"/>
    <cellStyle name="Normal 9 2 4 5 2 2" xfId="8273" xr:uid="{00000000-0005-0000-0000-00007B1F0000}"/>
    <cellStyle name="Normal 9 2 4 5 2 2 2" xfId="16712" xr:uid="{FDC9447B-9206-4E33-AB93-F8E4FF830538}"/>
    <cellStyle name="Normal 9 2 4 5 2 3" xfId="12494" xr:uid="{C974E004-6CB4-4402-9069-3164DF33B190}"/>
    <cellStyle name="Normal 9 2 4 5 3" xfId="6128" xr:uid="{00000000-0005-0000-0000-00007C1F0000}"/>
    <cellStyle name="Normal 9 2 4 5 3 2" xfId="14567" xr:uid="{89443A63-5C9D-4B5D-A319-3FC284995F84}"/>
    <cellStyle name="Normal 9 2 4 5 4" xfId="10349" xr:uid="{0CA183BA-5905-464D-BE0A-11534835B9FE}"/>
    <cellStyle name="Normal 9 2 4 6" xfId="2234" xr:uid="{00000000-0005-0000-0000-00007D1F0000}"/>
    <cellStyle name="Normal 9 2 4 6 2" xfId="4463" xr:uid="{00000000-0005-0000-0000-00007E1F0000}"/>
    <cellStyle name="Normal 9 2 4 6 2 2" xfId="8686" xr:uid="{00000000-0005-0000-0000-00007F1F0000}"/>
    <cellStyle name="Normal 9 2 4 6 2 2 2" xfId="17125" xr:uid="{FC5B2310-71D0-4E3A-B437-1B9D3C7AB49B}"/>
    <cellStyle name="Normal 9 2 4 6 2 3" xfId="12907" xr:uid="{A7119904-F8BD-45AD-B943-B589794D68C9}"/>
    <cellStyle name="Normal 9 2 4 6 3" xfId="6541" xr:uid="{00000000-0005-0000-0000-0000801F0000}"/>
    <cellStyle name="Normal 9 2 4 6 3 2" xfId="14980" xr:uid="{D3ADC9AE-5635-43EF-87E1-17210B850341}"/>
    <cellStyle name="Normal 9 2 4 6 4" xfId="10762" xr:uid="{6C4F00CD-3E46-49AA-82BC-4CB6326F04BA}"/>
    <cellStyle name="Normal 9 2 4 7" xfId="2670" xr:uid="{00000000-0005-0000-0000-0000811F0000}"/>
    <cellStyle name="Normal 9 2 4 7 2" xfId="6954" xr:uid="{00000000-0005-0000-0000-0000821F0000}"/>
    <cellStyle name="Normal 9 2 4 7 2 2" xfId="15393" xr:uid="{88B7C5A3-9447-4AA4-8901-2FB2EACE7462}"/>
    <cellStyle name="Normal 9 2 4 7 3" xfId="11175" xr:uid="{3D7B3F66-25BE-4220-BAF7-E4AE2B16A5C3}"/>
    <cellStyle name="Normal 9 2 4 8" xfId="4889" xr:uid="{00000000-0005-0000-0000-0000831F0000}"/>
    <cellStyle name="Normal 9 2 4 8 2" xfId="13328" xr:uid="{2FEE7CCE-9FC7-42DC-A595-02864E6C2C46}"/>
    <cellStyle name="Normal 9 2 4 9" xfId="9110" xr:uid="{C3C42A12-626D-42C1-8C08-7CF6691CDCAE}"/>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88" xr:uid="{8DD3EC41-C93C-4D1B-8B79-3933287DDA78}"/>
    <cellStyle name="Normal 9 2 5 2 2 3" xfId="11670" xr:uid="{BA5A4E2E-B4B2-40BF-8610-B93F709307D4}"/>
    <cellStyle name="Normal 9 2 5 2 3" xfId="5304" xr:uid="{00000000-0005-0000-0000-0000881F0000}"/>
    <cellStyle name="Normal 9 2 5 2 3 2" xfId="13743" xr:uid="{5155446E-B9DB-405F-8A3B-5E7C2AFA4263}"/>
    <cellStyle name="Normal 9 2 5 2 4" xfId="9525" xr:uid="{223231AE-DA2A-4D7A-BE9E-547264F4BFA6}"/>
    <cellStyle name="Normal 9 2 5 3" xfId="1409" xr:uid="{00000000-0005-0000-0000-0000891F0000}"/>
    <cellStyle name="Normal 9 2 5 3 2" xfId="3639" xr:uid="{00000000-0005-0000-0000-00008A1F0000}"/>
    <cellStyle name="Normal 9 2 5 3 2 2" xfId="7862" xr:uid="{00000000-0005-0000-0000-00008B1F0000}"/>
    <cellStyle name="Normal 9 2 5 3 2 2 2" xfId="16301" xr:uid="{C86AF21C-D03E-499D-98D3-72CF876D56B2}"/>
    <cellStyle name="Normal 9 2 5 3 2 3" xfId="12083" xr:uid="{EF095A84-1DA1-4D57-A2C3-94A5450494F9}"/>
    <cellStyle name="Normal 9 2 5 3 3" xfId="5717" xr:uid="{00000000-0005-0000-0000-00008C1F0000}"/>
    <cellStyle name="Normal 9 2 5 3 3 2" xfId="14156" xr:uid="{A3DE5DA3-0EB8-492E-BB3B-06BF5A5D44D9}"/>
    <cellStyle name="Normal 9 2 5 3 4" xfId="9938" xr:uid="{3EF304D2-D8CB-4CCD-81DD-BD08C7672070}"/>
    <cellStyle name="Normal 9 2 5 4" xfId="1822" xr:uid="{00000000-0005-0000-0000-00008D1F0000}"/>
    <cellStyle name="Normal 9 2 5 4 2" xfId="4052" xr:uid="{00000000-0005-0000-0000-00008E1F0000}"/>
    <cellStyle name="Normal 9 2 5 4 2 2" xfId="8275" xr:uid="{00000000-0005-0000-0000-00008F1F0000}"/>
    <cellStyle name="Normal 9 2 5 4 2 2 2" xfId="16714" xr:uid="{2EB5C2AD-ED86-4DF6-B3D7-31BC5E49FBC0}"/>
    <cellStyle name="Normal 9 2 5 4 2 3" xfId="12496" xr:uid="{D5D8E9DE-7F47-4B41-9A08-504CEEA0BCB2}"/>
    <cellStyle name="Normal 9 2 5 4 3" xfId="6130" xr:uid="{00000000-0005-0000-0000-0000901F0000}"/>
    <cellStyle name="Normal 9 2 5 4 3 2" xfId="14569" xr:uid="{30553E78-6689-489A-B67E-33711CB0156B}"/>
    <cellStyle name="Normal 9 2 5 4 4" xfId="10351" xr:uid="{01EF2737-17D8-4F7C-BFF8-45C35ECC291C}"/>
    <cellStyle name="Normal 9 2 5 5" xfId="2236" xr:uid="{00000000-0005-0000-0000-0000911F0000}"/>
    <cellStyle name="Normal 9 2 5 5 2" xfId="4465" xr:uid="{00000000-0005-0000-0000-0000921F0000}"/>
    <cellStyle name="Normal 9 2 5 5 2 2" xfId="8688" xr:uid="{00000000-0005-0000-0000-0000931F0000}"/>
    <cellStyle name="Normal 9 2 5 5 2 2 2" xfId="17127" xr:uid="{9CCD37C2-0E00-4675-9078-5A34CEF2B890}"/>
    <cellStyle name="Normal 9 2 5 5 2 3" xfId="12909" xr:uid="{A8FE21F3-4DD0-4819-92A1-9F8AA9E4FA75}"/>
    <cellStyle name="Normal 9 2 5 5 3" xfId="6543" xr:uid="{00000000-0005-0000-0000-0000941F0000}"/>
    <cellStyle name="Normal 9 2 5 5 3 2" xfId="14982" xr:uid="{893E1119-C266-43BE-B2E9-7EA49D35A1D8}"/>
    <cellStyle name="Normal 9 2 5 5 4" xfId="10764" xr:uid="{E2427748-F1D5-4295-A459-86B1748A1F52}"/>
    <cellStyle name="Normal 9 2 5 6" xfId="2672" xr:uid="{00000000-0005-0000-0000-0000951F0000}"/>
    <cellStyle name="Normal 9 2 5 6 2" xfId="6956" xr:uid="{00000000-0005-0000-0000-0000961F0000}"/>
    <cellStyle name="Normal 9 2 5 6 2 2" xfId="15395" xr:uid="{D92D3779-0C3B-4CEA-B6A3-720F44EDB365}"/>
    <cellStyle name="Normal 9 2 5 6 3" xfId="11177" xr:uid="{9FA72B89-8C99-4615-9053-1AC59B153815}"/>
    <cellStyle name="Normal 9 2 5 7" xfId="4891" xr:uid="{00000000-0005-0000-0000-0000971F0000}"/>
    <cellStyle name="Normal 9 2 5 7 2" xfId="13330" xr:uid="{4BCFF101-E374-47EF-BC8C-38E5DC1E3CBD}"/>
    <cellStyle name="Normal 9 2 5 8" xfId="9112" xr:uid="{F0AB31B3-8B95-4EC2-9E6D-CAF27E31DC11}"/>
    <cellStyle name="Normal 9 2 6" xfId="978" xr:uid="{00000000-0005-0000-0000-0000981F0000}"/>
    <cellStyle name="Normal 9 2 6 2" xfId="3211" xr:uid="{00000000-0005-0000-0000-0000991F0000}"/>
    <cellStyle name="Normal 9 2 6 2 2" xfId="7434" xr:uid="{00000000-0005-0000-0000-00009A1F0000}"/>
    <cellStyle name="Normal 9 2 6 2 2 2" xfId="15873" xr:uid="{DD2E1043-DA28-485C-9EAB-F64140B1A016}"/>
    <cellStyle name="Normal 9 2 6 2 3" xfId="11655" xr:uid="{426C756C-CA72-4434-BC1A-747541C478A8}"/>
    <cellStyle name="Normal 9 2 6 3" xfId="5289" xr:uid="{00000000-0005-0000-0000-00009B1F0000}"/>
    <cellStyle name="Normal 9 2 6 3 2" xfId="13728" xr:uid="{DB13E1B0-964B-4153-8F71-DC770DBEC9D0}"/>
    <cellStyle name="Normal 9 2 6 4" xfId="9510" xr:uid="{75B3F6C8-692C-4F81-AA8E-1F3A77751FEF}"/>
    <cellStyle name="Normal 9 2 7" xfId="1394" xr:uid="{00000000-0005-0000-0000-00009C1F0000}"/>
    <cellStyle name="Normal 9 2 7 2" xfId="3624" xr:uid="{00000000-0005-0000-0000-00009D1F0000}"/>
    <cellStyle name="Normal 9 2 7 2 2" xfId="7847" xr:uid="{00000000-0005-0000-0000-00009E1F0000}"/>
    <cellStyle name="Normal 9 2 7 2 2 2" xfId="16286" xr:uid="{0AA69811-DB55-4163-90AD-F3BAE7D203BD}"/>
    <cellStyle name="Normal 9 2 7 2 3" xfId="12068" xr:uid="{AF0AE3F2-6398-40F6-A4C0-A63621391FEE}"/>
    <cellStyle name="Normal 9 2 7 3" xfId="5702" xr:uid="{00000000-0005-0000-0000-00009F1F0000}"/>
    <cellStyle name="Normal 9 2 7 3 2" xfId="14141" xr:uid="{A46BD51F-4AFB-4364-9327-1FF9D2FF3F3D}"/>
    <cellStyle name="Normal 9 2 7 4" xfId="9923" xr:uid="{375C2BF7-71AD-4EBF-BD8D-4D197E73454C}"/>
    <cellStyle name="Normal 9 2 8" xfId="1807" xr:uid="{00000000-0005-0000-0000-0000A01F0000}"/>
    <cellStyle name="Normal 9 2 8 2" xfId="4037" xr:uid="{00000000-0005-0000-0000-0000A11F0000}"/>
    <cellStyle name="Normal 9 2 8 2 2" xfId="8260" xr:uid="{00000000-0005-0000-0000-0000A21F0000}"/>
    <cellStyle name="Normal 9 2 8 2 2 2" xfId="16699" xr:uid="{FA99AE0E-C322-439D-92CE-5BEF15651290}"/>
    <cellStyle name="Normal 9 2 8 2 3" xfId="12481" xr:uid="{93EEFEFF-3461-4585-B170-689646D80F2F}"/>
    <cellStyle name="Normal 9 2 8 3" xfId="6115" xr:uid="{00000000-0005-0000-0000-0000A31F0000}"/>
    <cellStyle name="Normal 9 2 8 3 2" xfId="14554" xr:uid="{BDBD4B5B-F94C-4116-AFAE-CE4423E43490}"/>
    <cellStyle name="Normal 9 2 8 4" xfId="10336" xr:uid="{3DE19CD7-4ECB-4512-B668-96263B6E27EC}"/>
    <cellStyle name="Normal 9 2 9" xfId="2221" xr:uid="{00000000-0005-0000-0000-0000A41F0000}"/>
    <cellStyle name="Normal 9 2 9 2" xfId="4450" xr:uid="{00000000-0005-0000-0000-0000A51F0000}"/>
    <cellStyle name="Normal 9 2 9 2 2" xfId="8673" xr:uid="{00000000-0005-0000-0000-0000A61F0000}"/>
    <cellStyle name="Normal 9 2 9 2 2 2" xfId="17112" xr:uid="{5357C17D-A8F4-4DFE-845F-E2C4F4B7AF4A}"/>
    <cellStyle name="Normal 9 2 9 2 3" xfId="12894" xr:uid="{B6F8B860-2B1E-4794-BC33-35432281FAB7}"/>
    <cellStyle name="Normal 9 2 9 3" xfId="6528" xr:uid="{00000000-0005-0000-0000-0000A71F0000}"/>
    <cellStyle name="Normal 9 2 9 3 2" xfId="14967" xr:uid="{FD71F863-5FB8-429D-872B-27C56A6F097D}"/>
    <cellStyle name="Normal 9 2 9 4" xfId="10749" xr:uid="{694D736E-9994-4003-9CA1-0FCD728CE92C}"/>
    <cellStyle name="Normal 9 3" xfId="527" xr:uid="{00000000-0005-0000-0000-0000A81F0000}"/>
    <cellStyle name="Normal 9 3 10" xfId="4892" xr:uid="{00000000-0005-0000-0000-0000A91F0000}"/>
    <cellStyle name="Normal 9 3 10 2" xfId="13331" xr:uid="{6C32C18C-A586-4DC6-A4D7-A7813D83575D}"/>
    <cellStyle name="Normal 9 3 11" xfId="9113" xr:uid="{91391FF2-A3EF-45DC-B3BF-A31AD1B4800A}"/>
    <cellStyle name="Normal 9 3 2" xfId="528" xr:uid="{00000000-0005-0000-0000-0000AA1F0000}"/>
    <cellStyle name="Normal 9 3 2 10" xfId="9114" xr:uid="{AEF2500A-3A59-4D05-95C8-8FEC7AD312E3}"/>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2" xr:uid="{6EE3592E-B8A5-4B66-A9D1-B4F9DEF49E38}"/>
    <cellStyle name="Normal 9 3 2 2 2 2 2 3" xfId="11674" xr:uid="{6B0C5936-5FA6-42CA-A4B7-807E9AB1F183}"/>
    <cellStyle name="Normal 9 3 2 2 2 2 3" xfId="5308" xr:uid="{00000000-0005-0000-0000-0000B01F0000}"/>
    <cellStyle name="Normal 9 3 2 2 2 2 3 2" xfId="13747" xr:uid="{1DCF4F2F-0316-41BE-A3CF-F7B7F6846440}"/>
    <cellStyle name="Normal 9 3 2 2 2 2 4" xfId="9529" xr:uid="{D426BCA9-5E1E-4776-B04C-B9B08BB9ABE5}"/>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5" xr:uid="{BEFE7C28-B258-41EE-97F1-3FD94478BD75}"/>
    <cellStyle name="Normal 9 3 2 2 2 3 2 3" xfId="12087" xr:uid="{03096C09-5A02-41AD-AAB7-8CC45F14C200}"/>
    <cellStyle name="Normal 9 3 2 2 2 3 3" xfId="5721" xr:uid="{00000000-0005-0000-0000-0000B41F0000}"/>
    <cellStyle name="Normal 9 3 2 2 2 3 3 2" xfId="14160" xr:uid="{C989D052-2CDF-4852-B045-2E7BC428DE39}"/>
    <cellStyle name="Normal 9 3 2 2 2 3 4" xfId="9942" xr:uid="{4372E20C-0BA9-4149-B3C3-A3467F81B963}"/>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18" xr:uid="{E95FA062-B709-43E7-AC06-2E62991A8165}"/>
    <cellStyle name="Normal 9 3 2 2 2 4 2 3" xfId="12500" xr:uid="{CAFEB78C-FECE-46FD-B362-A4D5AA402DB8}"/>
    <cellStyle name="Normal 9 3 2 2 2 4 3" xfId="6134" xr:uid="{00000000-0005-0000-0000-0000B81F0000}"/>
    <cellStyle name="Normal 9 3 2 2 2 4 3 2" xfId="14573" xr:uid="{AA4FFD8E-99CF-4458-993C-DEF880F6C3F8}"/>
    <cellStyle name="Normal 9 3 2 2 2 4 4" xfId="10355" xr:uid="{ABB6DF17-006F-41F5-B20C-1AA135DD806B}"/>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1" xr:uid="{2C63B268-8C71-4763-A982-1E6CECFCCF65}"/>
    <cellStyle name="Normal 9 3 2 2 2 5 2 3" xfId="12913" xr:uid="{B1852280-F982-435B-B24B-FB5DDC27DD59}"/>
    <cellStyle name="Normal 9 3 2 2 2 5 3" xfId="6547" xr:uid="{00000000-0005-0000-0000-0000BC1F0000}"/>
    <cellStyle name="Normal 9 3 2 2 2 5 3 2" xfId="14986" xr:uid="{86A022E8-704F-4953-9CF4-3DB8EE5E0F46}"/>
    <cellStyle name="Normal 9 3 2 2 2 5 4" xfId="10768" xr:uid="{8E45D312-2725-4FA2-8C9E-776AB685C804}"/>
    <cellStyle name="Normal 9 3 2 2 2 6" xfId="2676" xr:uid="{00000000-0005-0000-0000-0000BD1F0000}"/>
    <cellStyle name="Normal 9 3 2 2 2 6 2" xfId="6960" xr:uid="{00000000-0005-0000-0000-0000BE1F0000}"/>
    <cellStyle name="Normal 9 3 2 2 2 6 2 2" xfId="15399" xr:uid="{77ECD9DB-A677-413F-9DFB-BFCEA043062F}"/>
    <cellStyle name="Normal 9 3 2 2 2 6 3" xfId="11181" xr:uid="{313F04F5-7595-430F-A9D9-903AC9ED0C9C}"/>
    <cellStyle name="Normal 9 3 2 2 2 7" xfId="4895" xr:uid="{00000000-0005-0000-0000-0000BF1F0000}"/>
    <cellStyle name="Normal 9 3 2 2 2 7 2" xfId="13334" xr:uid="{B62E0F84-C8C5-4F95-8886-B10642A5D7DF}"/>
    <cellStyle name="Normal 9 3 2 2 2 8" xfId="9116" xr:uid="{774BEBA6-6228-4E20-AE03-FE6845C34D40}"/>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1" xr:uid="{5C284B82-2B1B-436C-B0A4-1769AF6C40D6}"/>
    <cellStyle name="Normal 9 3 2 2 3 2 3" xfId="11673" xr:uid="{2154FC36-3C7D-446F-B849-15FA7A9E4EDC}"/>
    <cellStyle name="Normal 9 3 2 2 3 3" xfId="5307" xr:uid="{00000000-0005-0000-0000-0000C31F0000}"/>
    <cellStyle name="Normal 9 3 2 2 3 3 2" xfId="13746" xr:uid="{8375A2C0-9E1C-48F3-AD9C-7D1517B71891}"/>
    <cellStyle name="Normal 9 3 2 2 3 4" xfId="9528" xr:uid="{75DAFC60-7183-43F1-9CFE-9513775DA621}"/>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4" xr:uid="{B51685D9-6CCA-4A34-A740-6E9BC5B3AF28}"/>
    <cellStyle name="Normal 9 3 2 2 4 2 3" xfId="12086" xr:uid="{12450A43-0794-4F1C-B337-B5D2B1FB05B2}"/>
    <cellStyle name="Normal 9 3 2 2 4 3" xfId="5720" xr:uid="{00000000-0005-0000-0000-0000C71F0000}"/>
    <cellStyle name="Normal 9 3 2 2 4 3 2" xfId="14159" xr:uid="{B1DD4973-10F8-4234-AE07-1A54E56D9E07}"/>
    <cellStyle name="Normal 9 3 2 2 4 4" xfId="9941" xr:uid="{1B9B7A49-8054-4394-A938-49A740EDD6F6}"/>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17" xr:uid="{76851E87-A83B-43DD-A47A-7BDFF9F7B7D8}"/>
    <cellStyle name="Normal 9 3 2 2 5 2 3" xfId="12499" xr:uid="{BD197196-DE59-4E2F-B2F7-98E6DFEC3F11}"/>
    <cellStyle name="Normal 9 3 2 2 5 3" xfId="6133" xr:uid="{00000000-0005-0000-0000-0000CB1F0000}"/>
    <cellStyle name="Normal 9 3 2 2 5 3 2" xfId="14572" xr:uid="{2FA5BBE5-3F1A-4E60-BA10-72A0144D0D0C}"/>
    <cellStyle name="Normal 9 3 2 2 5 4" xfId="10354" xr:uid="{A22220E0-735D-4655-B4AB-FF037FA2072C}"/>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0" xr:uid="{2E1AB8DC-FE75-40CE-B048-E0B553FFD130}"/>
    <cellStyle name="Normal 9 3 2 2 6 2 3" xfId="12912" xr:uid="{0A1A8C5D-B1C5-43A7-93C7-F3A8B93AA7A2}"/>
    <cellStyle name="Normal 9 3 2 2 6 3" xfId="6546" xr:uid="{00000000-0005-0000-0000-0000CF1F0000}"/>
    <cellStyle name="Normal 9 3 2 2 6 3 2" xfId="14985" xr:uid="{4A08CED6-787A-4BE6-A76F-DF9DA0F6B6BD}"/>
    <cellStyle name="Normal 9 3 2 2 6 4" xfId="10767" xr:uid="{0A8EABD0-FBE3-4D97-8E1E-78FC32ECE690}"/>
    <cellStyle name="Normal 9 3 2 2 7" xfId="2675" xr:uid="{00000000-0005-0000-0000-0000D01F0000}"/>
    <cellStyle name="Normal 9 3 2 2 7 2" xfId="6959" xr:uid="{00000000-0005-0000-0000-0000D11F0000}"/>
    <cellStyle name="Normal 9 3 2 2 7 2 2" xfId="15398" xr:uid="{0EFBF7F0-FA71-4857-9211-D39E9D47A833}"/>
    <cellStyle name="Normal 9 3 2 2 7 3" xfId="11180" xr:uid="{AC254FDA-B457-4FB3-BD6D-E0647311EC58}"/>
    <cellStyle name="Normal 9 3 2 2 8" xfId="4894" xr:uid="{00000000-0005-0000-0000-0000D21F0000}"/>
    <cellStyle name="Normal 9 3 2 2 8 2" xfId="13333" xr:uid="{DD90C8F6-189C-4BB7-82D7-AF2D428F0396}"/>
    <cellStyle name="Normal 9 3 2 2 9" xfId="9115" xr:uid="{7C820497-ABB4-44FB-AAC2-31FA100EBDB3}"/>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3" xr:uid="{61C0AC0D-8C4C-4B7F-9BDF-7FCCD4377BB8}"/>
    <cellStyle name="Normal 9 3 2 3 2 2 3" xfId="11675" xr:uid="{56BD0007-A8D6-4CED-84B8-79CA7C7D29DC}"/>
    <cellStyle name="Normal 9 3 2 3 2 3" xfId="5309" xr:uid="{00000000-0005-0000-0000-0000D71F0000}"/>
    <cellStyle name="Normal 9 3 2 3 2 3 2" xfId="13748" xr:uid="{3FDF989C-54E0-46CD-8582-DC05D69A9A1E}"/>
    <cellStyle name="Normal 9 3 2 3 2 4" xfId="9530" xr:uid="{E0DEA5BC-73B7-44BB-99E9-24492BF0CBBC}"/>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6" xr:uid="{6FCB3DA2-E16E-4053-AAAD-1B8D696E2942}"/>
    <cellStyle name="Normal 9 3 2 3 3 2 3" xfId="12088" xr:uid="{64F76C5E-A5A8-42D0-A9C2-45248C55B3D0}"/>
    <cellStyle name="Normal 9 3 2 3 3 3" xfId="5722" xr:uid="{00000000-0005-0000-0000-0000DB1F0000}"/>
    <cellStyle name="Normal 9 3 2 3 3 3 2" xfId="14161" xr:uid="{F64590DB-C6E9-4044-90D7-4536918152F4}"/>
    <cellStyle name="Normal 9 3 2 3 3 4" xfId="9943" xr:uid="{33B1FFEC-5674-428A-81F9-E784C3EEF79C}"/>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19" xr:uid="{0CCAD437-B1A7-4577-9F2D-41C9400DB787}"/>
    <cellStyle name="Normal 9 3 2 3 4 2 3" xfId="12501" xr:uid="{4352D8F7-0668-433E-8AFC-F387AAA414B8}"/>
    <cellStyle name="Normal 9 3 2 3 4 3" xfId="6135" xr:uid="{00000000-0005-0000-0000-0000DF1F0000}"/>
    <cellStyle name="Normal 9 3 2 3 4 3 2" xfId="14574" xr:uid="{7C8C987F-D1DD-41CF-BEBF-C373BB5F7002}"/>
    <cellStyle name="Normal 9 3 2 3 4 4" xfId="10356" xr:uid="{13BEDDCB-37EE-419D-A1B0-980144AB759E}"/>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2" xr:uid="{5BCF9697-67CA-49FC-977F-3029D9E10117}"/>
    <cellStyle name="Normal 9 3 2 3 5 2 3" xfId="12914" xr:uid="{AAA71E94-E27D-47F0-B7C7-1D43E3AF308B}"/>
    <cellStyle name="Normal 9 3 2 3 5 3" xfId="6548" xr:uid="{00000000-0005-0000-0000-0000E31F0000}"/>
    <cellStyle name="Normal 9 3 2 3 5 3 2" xfId="14987" xr:uid="{C540A67A-FD14-4C23-A56E-E48424DF80D4}"/>
    <cellStyle name="Normal 9 3 2 3 5 4" xfId="10769" xr:uid="{147AD0F7-DAAC-481D-ADB4-4C8BCBC47546}"/>
    <cellStyle name="Normal 9 3 2 3 6" xfId="2677" xr:uid="{00000000-0005-0000-0000-0000E41F0000}"/>
    <cellStyle name="Normal 9 3 2 3 6 2" xfId="6961" xr:uid="{00000000-0005-0000-0000-0000E51F0000}"/>
    <cellStyle name="Normal 9 3 2 3 6 2 2" xfId="15400" xr:uid="{69A5906D-EA3E-4C98-80C0-F221AA68A9D5}"/>
    <cellStyle name="Normal 9 3 2 3 6 3" xfId="11182" xr:uid="{D2FF5EC5-E050-4CD2-BA62-484338A57294}"/>
    <cellStyle name="Normal 9 3 2 3 7" xfId="4896" xr:uid="{00000000-0005-0000-0000-0000E61F0000}"/>
    <cellStyle name="Normal 9 3 2 3 7 2" xfId="13335" xr:uid="{7BF35E3A-095E-451A-8EF5-DC9DF78F0BDA}"/>
    <cellStyle name="Normal 9 3 2 3 8" xfId="9117" xr:uid="{8B15A4A6-DE84-415E-86A8-0A33699A97F8}"/>
    <cellStyle name="Normal 9 3 2 4" xfId="995" xr:uid="{00000000-0005-0000-0000-0000E71F0000}"/>
    <cellStyle name="Normal 9 3 2 4 2" xfId="3228" xr:uid="{00000000-0005-0000-0000-0000E81F0000}"/>
    <cellStyle name="Normal 9 3 2 4 2 2" xfId="7451" xr:uid="{00000000-0005-0000-0000-0000E91F0000}"/>
    <cellStyle name="Normal 9 3 2 4 2 2 2" xfId="15890" xr:uid="{77FD5D69-CEFE-4E46-B2FB-3004FDE7FE5B}"/>
    <cellStyle name="Normal 9 3 2 4 2 3" xfId="11672" xr:uid="{40825646-38CB-4E25-8BBC-950C004FD8CA}"/>
    <cellStyle name="Normal 9 3 2 4 3" xfId="5306" xr:uid="{00000000-0005-0000-0000-0000EA1F0000}"/>
    <cellStyle name="Normal 9 3 2 4 3 2" xfId="13745" xr:uid="{92AD927E-9203-4C4D-BA21-1203EFA7865E}"/>
    <cellStyle name="Normal 9 3 2 4 4" xfId="9527" xr:uid="{2A1B770D-7B1C-4ECC-AF2D-513285728E55}"/>
    <cellStyle name="Normal 9 3 2 5" xfId="1411" xr:uid="{00000000-0005-0000-0000-0000EB1F0000}"/>
    <cellStyle name="Normal 9 3 2 5 2" xfId="3641" xr:uid="{00000000-0005-0000-0000-0000EC1F0000}"/>
    <cellStyle name="Normal 9 3 2 5 2 2" xfId="7864" xr:uid="{00000000-0005-0000-0000-0000ED1F0000}"/>
    <cellStyle name="Normal 9 3 2 5 2 2 2" xfId="16303" xr:uid="{FFC99FEE-311B-4507-9A4D-406965A901A5}"/>
    <cellStyle name="Normal 9 3 2 5 2 3" xfId="12085" xr:uid="{AE074B0B-C35E-43A2-9B8A-003A91C5DD78}"/>
    <cellStyle name="Normal 9 3 2 5 3" xfId="5719" xr:uid="{00000000-0005-0000-0000-0000EE1F0000}"/>
    <cellStyle name="Normal 9 3 2 5 3 2" xfId="14158" xr:uid="{B7E00668-4CD8-4B33-B346-D9A997DA67BA}"/>
    <cellStyle name="Normal 9 3 2 5 4" xfId="9940" xr:uid="{0AC2A4BA-F1A2-4750-960D-E88B2D4B31C5}"/>
    <cellStyle name="Normal 9 3 2 6" xfId="1824" xr:uid="{00000000-0005-0000-0000-0000EF1F0000}"/>
    <cellStyle name="Normal 9 3 2 6 2" xfId="4054" xr:uid="{00000000-0005-0000-0000-0000F01F0000}"/>
    <cellStyle name="Normal 9 3 2 6 2 2" xfId="8277" xr:uid="{00000000-0005-0000-0000-0000F11F0000}"/>
    <cellStyle name="Normal 9 3 2 6 2 2 2" xfId="16716" xr:uid="{4A93EDCF-F8FC-4F87-83F5-FC774CE401E3}"/>
    <cellStyle name="Normal 9 3 2 6 2 3" xfId="12498" xr:uid="{20B75EEF-8E55-4950-9DA9-1F7C1E2D0591}"/>
    <cellStyle name="Normal 9 3 2 6 3" xfId="6132" xr:uid="{00000000-0005-0000-0000-0000F21F0000}"/>
    <cellStyle name="Normal 9 3 2 6 3 2" xfId="14571" xr:uid="{91FEE64C-E314-4E9D-8EF2-C59D179403F1}"/>
    <cellStyle name="Normal 9 3 2 6 4" xfId="10353" xr:uid="{A5010AA4-D38D-41BA-8E16-7F413CE8DC30}"/>
    <cellStyle name="Normal 9 3 2 7" xfId="2238" xr:uid="{00000000-0005-0000-0000-0000F31F0000}"/>
    <cellStyle name="Normal 9 3 2 7 2" xfId="4467" xr:uid="{00000000-0005-0000-0000-0000F41F0000}"/>
    <cellStyle name="Normal 9 3 2 7 2 2" xfId="8690" xr:uid="{00000000-0005-0000-0000-0000F51F0000}"/>
    <cellStyle name="Normal 9 3 2 7 2 2 2" xfId="17129" xr:uid="{F45AFFB3-2E57-4441-B787-45ECD0324FD4}"/>
    <cellStyle name="Normal 9 3 2 7 2 3" xfId="12911" xr:uid="{51E2F7D3-9BC4-4B87-B5C4-DF4B54C685CD}"/>
    <cellStyle name="Normal 9 3 2 7 3" xfId="6545" xr:uid="{00000000-0005-0000-0000-0000F61F0000}"/>
    <cellStyle name="Normal 9 3 2 7 3 2" xfId="14984" xr:uid="{45936991-FDC3-4448-AAA9-96258EDBA2D4}"/>
    <cellStyle name="Normal 9 3 2 7 4" xfId="10766" xr:uid="{0167F9A9-4AF0-4C50-BBFB-AB094FC91F48}"/>
    <cellStyle name="Normal 9 3 2 8" xfId="2674" xr:uid="{00000000-0005-0000-0000-0000F71F0000}"/>
    <cellStyle name="Normal 9 3 2 8 2" xfId="6958" xr:uid="{00000000-0005-0000-0000-0000F81F0000}"/>
    <cellStyle name="Normal 9 3 2 8 2 2" xfId="15397" xr:uid="{22DE7C19-C809-4EB1-A60B-3ABED08BABC4}"/>
    <cellStyle name="Normal 9 3 2 8 3" xfId="11179" xr:uid="{57030040-747A-4E71-8316-F71706B5B713}"/>
    <cellStyle name="Normal 9 3 2 9" xfId="4893" xr:uid="{00000000-0005-0000-0000-0000F91F0000}"/>
    <cellStyle name="Normal 9 3 2 9 2" xfId="13332" xr:uid="{0A9E4A7D-EE9D-4220-8F07-AD12F230731A}"/>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5" xr:uid="{B1BE9BC8-E7AE-44A3-B9CA-47D68F83A834}"/>
    <cellStyle name="Normal 9 3 3 2 2 2 3" xfId="11677" xr:uid="{BD1F078F-E846-4926-9979-1C2CADAF6A2D}"/>
    <cellStyle name="Normal 9 3 3 2 2 3" xfId="5311" xr:uid="{00000000-0005-0000-0000-0000FF1F0000}"/>
    <cellStyle name="Normal 9 3 3 2 2 3 2" xfId="13750" xr:uid="{E49877C0-D953-422A-8A87-E22D286F8EB3}"/>
    <cellStyle name="Normal 9 3 3 2 2 4" xfId="9532" xr:uid="{929E46E5-CA00-4231-8355-4903113BC202}"/>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08" xr:uid="{0497E4FA-6DEB-4239-A53B-9478F16B9FE3}"/>
    <cellStyle name="Normal 9 3 3 2 3 2 3" xfId="12090" xr:uid="{20B4051D-13F1-4B30-88CC-0DDDAAE4C54D}"/>
    <cellStyle name="Normal 9 3 3 2 3 3" xfId="5724" xr:uid="{00000000-0005-0000-0000-000003200000}"/>
    <cellStyle name="Normal 9 3 3 2 3 3 2" xfId="14163" xr:uid="{A90B7DDF-87AC-43F8-A7A6-08AE46AECF58}"/>
    <cellStyle name="Normal 9 3 3 2 3 4" xfId="9945" xr:uid="{D61C8186-1134-4906-B714-F254736C00DD}"/>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1" xr:uid="{739E4203-8F6E-493D-8625-8239F7275DB5}"/>
    <cellStyle name="Normal 9 3 3 2 4 2 3" xfId="12503" xr:uid="{9287DE76-476E-4089-BAEA-68FC0BF964C0}"/>
    <cellStyle name="Normal 9 3 3 2 4 3" xfId="6137" xr:uid="{00000000-0005-0000-0000-000007200000}"/>
    <cellStyle name="Normal 9 3 3 2 4 3 2" xfId="14576" xr:uid="{493B449C-2112-4A2F-BB22-D7C495A6DBA7}"/>
    <cellStyle name="Normal 9 3 3 2 4 4" xfId="10358" xr:uid="{C2B39D03-0FA1-4FE1-AF53-DDBCC418B855}"/>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4" xr:uid="{5A0F1B16-DEA0-4155-8774-640807A514A5}"/>
    <cellStyle name="Normal 9 3 3 2 5 2 3" xfId="12916" xr:uid="{04B56B25-3DF8-44DD-BE24-97BF0838D8C4}"/>
    <cellStyle name="Normal 9 3 3 2 5 3" xfId="6550" xr:uid="{00000000-0005-0000-0000-00000B200000}"/>
    <cellStyle name="Normal 9 3 3 2 5 3 2" xfId="14989" xr:uid="{7710420C-8131-4213-B504-83A3946549D2}"/>
    <cellStyle name="Normal 9 3 3 2 5 4" xfId="10771" xr:uid="{EEC43797-4287-49DC-B35B-FAB262C4E5CE}"/>
    <cellStyle name="Normal 9 3 3 2 6" xfId="2679" xr:uid="{00000000-0005-0000-0000-00000C200000}"/>
    <cellStyle name="Normal 9 3 3 2 6 2" xfId="6963" xr:uid="{00000000-0005-0000-0000-00000D200000}"/>
    <cellStyle name="Normal 9 3 3 2 6 2 2" xfId="15402" xr:uid="{794DBE3D-8525-4D49-AFD5-F2A7A391F9FC}"/>
    <cellStyle name="Normal 9 3 3 2 6 3" xfId="11184" xr:uid="{BD7A43DF-6A60-4BAC-BCAE-529084931D03}"/>
    <cellStyle name="Normal 9 3 3 2 7" xfId="4898" xr:uid="{00000000-0005-0000-0000-00000E200000}"/>
    <cellStyle name="Normal 9 3 3 2 7 2" xfId="13337" xr:uid="{DD0E16B7-3387-466F-92A7-66EEF18C1883}"/>
    <cellStyle name="Normal 9 3 3 2 8" xfId="9119" xr:uid="{EDB19A0E-025C-40AF-8278-A886461BC582}"/>
    <cellStyle name="Normal 9 3 3 3" xfId="999" xr:uid="{00000000-0005-0000-0000-00000F200000}"/>
    <cellStyle name="Normal 9 3 3 3 2" xfId="3232" xr:uid="{00000000-0005-0000-0000-000010200000}"/>
    <cellStyle name="Normal 9 3 3 3 2 2" xfId="7455" xr:uid="{00000000-0005-0000-0000-000011200000}"/>
    <cellStyle name="Normal 9 3 3 3 2 2 2" xfId="15894" xr:uid="{DE5DC618-4C12-4A32-A263-4E0C307283F1}"/>
    <cellStyle name="Normal 9 3 3 3 2 3" xfId="11676" xr:uid="{C98B9408-6866-4279-A118-6F373AD6BC3C}"/>
    <cellStyle name="Normal 9 3 3 3 3" xfId="5310" xr:uid="{00000000-0005-0000-0000-000012200000}"/>
    <cellStyle name="Normal 9 3 3 3 3 2" xfId="13749" xr:uid="{9A127F90-E43C-427F-BED0-597B8929B5E7}"/>
    <cellStyle name="Normal 9 3 3 3 4" xfId="9531" xr:uid="{7F87800A-56A1-45E1-93D0-A7588257D82D}"/>
    <cellStyle name="Normal 9 3 3 4" xfId="1415" xr:uid="{00000000-0005-0000-0000-000013200000}"/>
    <cellStyle name="Normal 9 3 3 4 2" xfId="3645" xr:uid="{00000000-0005-0000-0000-000014200000}"/>
    <cellStyle name="Normal 9 3 3 4 2 2" xfId="7868" xr:uid="{00000000-0005-0000-0000-000015200000}"/>
    <cellStyle name="Normal 9 3 3 4 2 2 2" xfId="16307" xr:uid="{2BB7AF6D-9EF7-4EBD-A96C-42C41A15A8C7}"/>
    <cellStyle name="Normal 9 3 3 4 2 3" xfId="12089" xr:uid="{7E64C723-F69D-4BE6-92D0-8EB71D95210F}"/>
    <cellStyle name="Normal 9 3 3 4 3" xfId="5723" xr:uid="{00000000-0005-0000-0000-000016200000}"/>
    <cellStyle name="Normal 9 3 3 4 3 2" xfId="14162" xr:uid="{8A80EC53-3041-4DB4-A83E-014DEE0BD0EC}"/>
    <cellStyle name="Normal 9 3 3 4 4" xfId="9944" xr:uid="{4DFA0696-5ED5-4E0F-A897-B289120F4D0E}"/>
    <cellStyle name="Normal 9 3 3 5" xfId="1828" xr:uid="{00000000-0005-0000-0000-000017200000}"/>
    <cellStyle name="Normal 9 3 3 5 2" xfId="4058" xr:uid="{00000000-0005-0000-0000-000018200000}"/>
    <cellStyle name="Normal 9 3 3 5 2 2" xfId="8281" xr:uid="{00000000-0005-0000-0000-000019200000}"/>
    <cellStyle name="Normal 9 3 3 5 2 2 2" xfId="16720" xr:uid="{585A6FE5-71F0-4BD2-A949-7B84C25C9953}"/>
    <cellStyle name="Normal 9 3 3 5 2 3" xfId="12502" xr:uid="{D2FD996B-C183-4B28-8879-BF7F48804F71}"/>
    <cellStyle name="Normal 9 3 3 5 3" xfId="6136" xr:uid="{00000000-0005-0000-0000-00001A200000}"/>
    <cellStyle name="Normal 9 3 3 5 3 2" xfId="14575" xr:uid="{5EC58DFE-5727-43C8-B433-1D3D14A68932}"/>
    <cellStyle name="Normal 9 3 3 5 4" xfId="10357" xr:uid="{5977A28E-A742-4BEA-99BC-DDFDB10737F4}"/>
    <cellStyle name="Normal 9 3 3 6" xfId="2242" xr:uid="{00000000-0005-0000-0000-00001B200000}"/>
    <cellStyle name="Normal 9 3 3 6 2" xfId="4471" xr:uid="{00000000-0005-0000-0000-00001C200000}"/>
    <cellStyle name="Normal 9 3 3 6 2 2" xfId="8694" xr:uid="{00000000-0005-0000-0000-00001D200000}"/>
    <cellStyle name="Normal 9 3 3 6 2 2 2" xfId="17133" xr:uid="{7434777B-3FBD-42CC-B175-1B02C2AE70CF}"/>
    <cellStyle name="Normal 9 3 3 6 2 3" xfId="12915" xr:uid="{7011AE96-1541-42E6-8E91-A67CFA3545C5}"/>
    <cellStyle name="Normal 9 3 3 6 3" xfId="6549" xr:uid="{00000000-0005-0000-0000-00001E200000}"/>
    <cellStyle name="Normal 9 3 3 6 3 2" xfId="14988" xr:uid="{4460DBCF-0E2E-4D66-BD7D-39F6C24EC632}"/>
    <cellStyle name="Normal 9 3 3 6 4" xfId="10770" xr:uid="{F2E87069-CCF3-440D-99F1-A206E3CABDBE}"/>
    <cellStyle name="Normal 9 3 3 7" xfId="2678" xr:uid="{00000000-0005-0000-0000-00001F200000}"/>
    <cellStyle name="Normal 9 3 3 7 2" xfId="6962" xr:uid="{00000000-0005-0000-0000-000020200000}"/>
    <cellStyle name="Normal 9 3 3 7 2 2" xfId="15401" xr:uid="{AF045CD5-B0B4-492E-B5DD-A4E55BF063E3}"/>
    <cellStyle name="Normal 9 3 3 7 3" xfId="11183" xr:uid="{3EECC3C1-AD2E-4E32-9F98-61B9AEB974EF}"/>
    <cellStyle name="Normal 9 3 3 8" xfId="4897" xr:uid="{00000000-0005-0000-0000-000021200000}"/>
    <cellStyle name="Normal 9 3 3 8 2" xfId="13336" xr:uid="{626AE527-5FA4-4BD1-AA35-E8FD37C6D233}"/>
    <cellStyle name="Normal 9 3 3 9" xfId="9118" xr:uid="{86015BA3-3220-4637-A66B-2C19DB7605D1}"/>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6" xr:uid="{751C9E34-6296-4324-90B0-E66CDBC6C82B}"/>
    <cellStyle name="Normal 9 3 4 2 2 3" xfId="11678" xr:uid="{857AA4D0-EB1A-4A10-814B-647C7FE34B65}"/>
    <cellStyle name="Normal 9 3 4 2 3" xfId="5312" xr:uid="{00000000-0005-0000-0000-000026200000}"/>
    <cellStyle name="Normal 9 3 4 2 3 2" xfId="13751" xr:uid="{F5DCCBA0-EA55-432E-8BD3-A07785DBBE7A}"/>
    <cellStyle name="Normal 9 3 4 2 4" xfId="9533" xr:uid="{54DEBB46-E72E-4BD9-A809-3A938AC32D23}"/>
    <cellStyle name="Normal 9 3 4 3" xfId="1417" xr:uid="{00000000-0005-0000-0000-000027200000}"/>
    <cellStyle name="Normal 9 3 4 3 2" xfId="3647" xr:uid="{00000000-0005-0000-0000-000028200000}"/>
    <cellStyle name="Normal 9 3 4 3 2 2" xfId="7870" xr:uid="{00000000-0005-0000-0000-000029200000}"/>
    <cellStyle name="Normal 9 3 4 3 2 2 2" xfId="16309" xr:uid="{81A4813B-13D9-444B-AEBC-6340B2A21C18}"/>
    <cellStyle name="Normal 9 3 4 3 2 3" xfId="12091" xr:uid="{783E1C05-FC7A-4D38-8558-02B9D5D48798}"/>
    <cellStyle name="Normal 9 3 4 3 3" xfId="5725" xr:uid="{00000000-0005-0000-0000-00002A200000}"/>
    <cellStyle name="Normal 9 3 4 3 3 2" xfId="14164" xr:uid="{76324DF1-BBC9-418A-8E59-ADA5D9BF4201}"/>
    <cellStyle name="Normal 9 3 4 3 4" xfId="9946" xr:uid="{6E9BE52F-767D-44E9-BF7A-EEDE5A0AFC24}"/>
    <cellStyle name="Normal 9 3 4 4" xfId="1830" xr:uid="{00000000-0005-0000-0000-00002B200000}"/>
    <cellStyle name="Normal 9 3 4 4 2" xfId="4060" xr:uid="{00000000-0005-0000-0000-00002C200000}"/>
    <cellStyle name="Normal 9 3 4 4 2 2" xfId="8283" xr:uid="{00000000-0005-0000-0000-00002D200000}"/>
    <cellStyle name="Normal 9 3 4 4 2 2 2" xfId="16722" xr:uid="{8372DB84-37C3-4AB2-AEA0-57332413A864}"/>
    <cellStyle name="Normal 9 3 4 4 2 3" xfId="12504" xr:uid="{3E3FDCEE-159E-44A8-8DCC-7904BD5E9B31}"/>
    <cellStyle name="Normal 9 3 4 4 3" xfId="6138" xr:uid="{00000000-0005-0000-0000-00002E200000}"/>
    <cellStyle name="Normal 9 3 4 4 3 2" xfId="14577" xr:uid="{DED27707-7003-4AFF-A8A2-ECFD954DC4A2}"/>
    <cellStyle name="Normal 9 3 4 4 4" xfId="10359" xr:uid="{BFCEFF40-8EBF-4F1A-96DC-4AC62CCEA6A3}"/>
    <cellStyle name="Normal 9 3 4 5" xfId="2244" xr:uid="{00000000-0005-0000-0000-00002F200000}"/>
    <cellStyle name="Normal 9 3 4 5 2" xfId="4473" xr:uid="{00000000-0005-0000-0000-000030200000}"/>
    <cellStyle name="Normal 9 3 4 5 2 2" xfId="8696" xr:uid="{00000000-0005-0000-0000-000031200000}"/>
    <cellStyle name="Normal 9 3 4 5 2 2 2" xfId="17135" xr:uid="{5E24BB68-20D5-4E8F-89A4-887DE10175C4}"/>
    <cellStyle name="Normal 9 3 4 5 2 3" xfId="12917" xr:uid="{97BF9BD8-1F66-4550-A4CB-213FE80A3655}"/>
    <cellStyle name="Normal 9 3 4 5 3" xfId="6551" xr:uid="{00000000-0005-0000-0000-000032200000}"/>
    <cellStyle name="Normal 9 3 4 5 3 2" xfId="14990" xr:uid="{DEAEDA12-5777-48C5-903A-E0AA63BD8626}"/>
    <cellStyle name="Normal 9 3 4 5 4" xfId="10772" xr:uid="{25295312-2FDB-49B5-8A72-433C43FF0635}"/>
    <cellStyle name="Normal 9 3 4 6" xfId="2680" xr:uid="{00000000-0005-0000-0000-000033200000}"/>
    <cellStyle name="Normal 9 3 4 6 2" xfId="6964" xr:uid="{00000000-0005-0000-0000-000034200000}"/>
    <cellStyle name="Normal 9 3 4 6 2 2" xfId="15403" xr:uid="{795A3C97-0D4E-4C1A-B388-4914850A128D}"/>
    <cellStyle name="Normal 9 3 4 6 3" xfId="11185" xr:uid="{19D09C0D-DE27-4B65-86DF-1673907311A6}"/>
    <cellStyle name="Normal 9 3 4 7" xfId="4899" xr:uid="{00000000-0005-0000-0000-000035200000}"/>
    <cellStyle name="Normal 9 3 4 7 2" xfId="13338" xr:uid="{0FAB6CC6-0194-4AF5-8140-55E5A4F88013}"/>
    <cellStyle name="Normal 9 3 4 8" xfId="9120" xr:uid="{E17A85DF-B1E3-4083-B29F-0BF881A6313A}"/>
    <cellStyle name="Normal 9 3 5" xfId="994" xr:uid="{00000000-0005-0000-0000-000036200000}"/>
    <cellStyle name="Normal 9 3 5 2" xfId="3227" xr:uid="{00000000-0005-0000-0000-000037200000}"/>
    <cellStyle name="Normal 9 3 5 2 2" xfId="7450" xr:uid="{00000000-0005-0000-0000-000038200000}"/>
    <cellStyle name="Normal 9 3 5 2 2 2" xfId="15889" xr:uid="{1861AFCE-626B-41B8-9006-E31E55AE35A5}"/>
    <cellStyle name="Normal 9 3 5 2 3" xfId="11671" xr:uid="{5B03F460-E081-456D-A8C0-FA69AC483298}"/>
    <cellStyle name="Normal 9 3 5 3" xfId="5305" xr:uid="{00000000-0005-0000-0000-000039200000}"/>
    <cellStyle name="Normal 9 3 5 3 2" xfId="13744" xr:uid="{025EBD9A-E438-4092-AC30-92C6BA3F5800}"/>
    <cellStyle name="Normal 9 3 5 4" xfId="9526" xr:uid="{4210E44A-9546-4CB4-9663-1C66D78403EE}"/>
    <cellStyle name="Normal 9 3 6" xfId="1410" xr:uid="{00000000-0005-0000-0000-00003A200000}"/>
    <cellStyle name="Normal 9 3 6 2" xfId="3640" xr:uid="{00000000-0005-0000-0000-00003B200000}"/>
    <cellStyle name="Normal 9 3 6 2 2" xfId="7863" xr:uid="{00000000-0005-0000-0000-00003C200000}"/>
    <cellStyle name="Normal 9 3 6 2 2 2" xfId="16302" xr:uid="{B3646099-694D-4DDE-B21A-1C9119E4D351}"/>
    <cellStyle name="Normal 9 3 6 2 3" xfId="12084" xr:uid="{001A3268-0702-4121-84C7-5D4724F7E100}"/>
    <cellStyle name="Normal 9 3 6 3" xfId="5718" xr:uid="{00000000-0005-0000-0000-00003D200000}"/>
    <cellStyle name="Normal 9 3 6 3 2" xfId="14157" xr:uid="{725BE758-EBBD-47DD-8C18-B4898C7EDC91}"/>
    <cellStyle name="Normal 9 3 6 4" xfId="9939" xr:uid="{8B8C1A9D-D19B-4080-A3D7-BD8C4CCA4E25}"/>
    <cellStyle name="Normal 9 3 7" xfId="1823" xr:uid="{00000000-0005-0000-0000-00003E200000}"/>
    <cellStyle name="Normal 9 3 7 2" xfId="4053" xr:uid="{00000000-0005-0000-0000-00003F200000}"/>
    <cellStyle name="Normal 9 3 7 2 2" xfId="8276" xr:uid="{00000000-0005-0000-0000-000040200000}"/>
    <cellStyle name="Normal 9 3 7 2 2 2" xfId="16715" xr:uid="{493ABF04-CF01-4AA0-888C-E01112662537}"/>
    <cellStyle name="Normal 9 3 7 2 3" xfId="12497" xr:uid="{51F346DD-B263-4F19-88E5-A35C9BAC6795}"/>
    <cellStyle name="Normal 9 3 7 3" xfId="6131" xr:uid="{00000000-0005-0000-0000-000041200000}"/>
    <cellStyle name="Normal 9 3 7 3 2" xfId="14570" xr:uid="{32F9C446-7603-47D5-8DF0-28EB199A4AAA}"/>
    <cellStyle name="Normal 9 3 7 4" xfId="10352" xr:uid="{48D103B9-B4AC-44E6-A449-A896257CCB07}"/>
    <cellStyle name="Normal 9 3 8" xfId="2237" xr:uid="{00000000-0005-0000-0000-000042200000}"/>
    <cellStyle name="Normal 9 3 8 2" xfId="4466" xr:uid="{00000000-0005-0000-0000-000043200000}"/>
    <cellStyle name="Normal 9 3 8 2 2" xfId="8689" xr:uid="{00000000-0005-0000-0000-000044200000}"/>
    <cellStyle name="Normal 9 3 8 2 2 2" xfId="17128" xr:uid="{3696B3FA-B2DF-4524-88E4-576F1EF21387}"/>
    <cellStyle name="Normal 9 3 8 2 3" xfId="12910" xr:uid="{B56E8C85-6441-4BBA-B0C6-ADB2D228D4B9}"/>
    <cellStyle name="Normal 9 3 8 3" xfId="6544" xr:uid="{00000000-0005-0000-0000-000045200000}"/>
    <cellStyle name="Normal 9 3 8 3 2" xfId="14983" xr:uid="{844EF0AA-E24A-4B6B-8013-B9CBC730C023}"/>
    <cellStyle name="Normal 9 3 8 4" xfId="10765" xr:uid="{F3239827-BD5D-4890-B2ED-BCA0DFFEBD57}"/>
    <cellStyle name="Normal 9 3 9" xfId="2673" xr:uid="{00000000-0005-0000-0000-000046200000}"/>
    <cellStyle name="Normal 9 3 9 2" xfId="6957" xr:uid="{00000000-0005-0000-0000-000047200000}"/>
    <cellStyle name="Normal 9 3 9 2 2" xfId="15396" xr:uid="{F09FBB8A-C7C8-44D9-BE7A-10522C635B3C}"/>
    <cellStyle name="Normal 9 3 9 3" xfId="11178" xr:uid="{1EA0E552-C4E3-41C5-B9E9-BB377F254BA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898" xr:uid="{B0981A29-43DA-4612-AF63-61EDDB7E5A7E}"/>
    <cellStyle name="Normal 9 5 2 2 2 3" xfId="11680" xr:uid="{7CA79EA0-0511-404A-8E54-70D13ECA55AB}"/>
    <cellStyle name="Normal 9 5 2 2 3" xfId="5314" xr:uid="{00000000-0005-0000-0000-00004F200000}"/>
    <cellStyle name="Normal 9 5 2 2 3 2" xfId="13753" xr:uid="{11C95B37-C5F2-4147-8F14-58B2B4F98017}"/>
    <cellStyle name="Normal 9 5 2 2 4" xfId="9535" xr:uid="{1254BD53-3147-4C66-9677-C2BD4E6A6AD9}"/>
    <cellStyle name="Normal 9 5 2 3" xfId="1419" xr:uid="{00000000-0005-0000-0000-000050200000}"/>
    <cellStyle name="Normal 9 5 2 3 2" xfId="3649" xr:uid="{00000000-0005-0000-0000-000051200000}"/>
    <cellStyle name="Normal 9 5 2 3 2 2" xfId="7872" xr:uid="{00000000-0005-0000-0000-000052200000}"/>
    <cellStyle name="Normal 9 5 2 3 2 2 2" xfId="16311" xr:uid="{28937C64-CC6A-43F1-B3A4-4E230C327067}"/>
    <cellStyle name="Normal 9 5 2 3 2 3" xfId="12093" xr:uid="{3D873CC0-88A7-45E5-9F3C-1A54D6004FCA}"/>
    <cellStyle name="Normal 9 5 2 3 3" xfId="5727" xr:uid="{00000000-0005-0000-0000-000053200000}"/>
    <cellStyle name="Normal 9 5 2 3 3 2" xfId="14166" xr:uid="{43F0F9AF-943C-46D3-825B-A6D135CDE182}"/>
    <cellStyle name="Normal 9 5 2 3 4" xfId="9948" xr:uid="{A0162E91-A73B-41F6-BA49-1CF4E9375F00}"/>
    <cellStyle name="Normal 9 5 2 4" xfId="1832" xr:uid="{00000000-0005-0000-0000-000054200000}"/>
    <cellStyle name="Normal 9 5 2 4 2" xfId="4062" xr:uid="{00000000-0005-0000-0000-000055200000}"/>
    <cellStyle name="Normal 9 5 2 4 2 2" xfId="8285" xr:uid="{00000000-0005-0000-0000-000056200000}"/>
    <cellStyle name="Normal 9 5 2 4 2 2 2" xfId="16724" xr:uid="{6EFAF09E-7DE4-4633-B55B-B5D686529A02}"/>
    <cellStyle name="Normal 9 5 2 4 2 3" xfId="12506" xr:uid="{DE05A16F-3A1B-4F82-906D-93D38FE0EC85}"/>
    <cellStyle name="Normal 9 5 2 4 3" xfId="6140" xr:uid="{00000000-0005-0000-0000-000057200000}"/>
    <cellStyle name="Normal 9 5 2 4 3 2" xfId="14579" xr:uid="{5AE7996C-36E9-42BB-B199-88897308B25D}"/>
    <cellStyle name="Normal 9 5 2 4 4" xfId="10361" xr:uid="{EB03422F-215F-422A-8256-156A27FB804C}"/>
    <cellStyle name="Normal 9 5 2 5" xfId="2246" xr:uid="{00000000-0005-0000-0000-000058200000}"/>
    <cellStyle name="Normal 9 5 2 5 2" xfId="4475" xr:uid="{00000000-0005-0000-0000-000059200000}"/>
    <cellStyle name="Normal 9 5 2 5 2 2" xfId="8698" xr:uid="{00000000-0005-0000-0000-00005A200000}"/>
    <cellStyle name="Normal 9 5 2 5 2 2 2" xfId="17137" xr:uid="{B1E5E204-D3B4-4A12-8E26-9D21B7B8C36D}"/>
    <cellStyle name="Normal 9 5 2 5 2 3" xfId="12919" xr:uid="{14FEA78C-6A0C-486E-8692-17F8D4BAD065}"/>
    <cellStyle name="Normal 9 5 2 5 3" xfId="6553" xr:uid="{00000000-0005-0000-0000-00005B200000}"/>
    <cellStyle name="Normal 9 5 2 5 3 2" xfId="14992" xr:uid="{DFEADCEA-F8F2-4B06-A46D-388350175159}"/>
    <cellStyle name="Normal 9 5 2 5 4" xfId="10774" xr:uid="{4425A3D6-A83A-41C8-B2C0-363328076838}"/>
    <cellStyle name="Normal 9 5 2 6" xfId="2682" xr:uid="{00000000-0005-0000-0000-00005C200000}"/>
    <cellStyle name="Normal 9 5 2 6 2" xfId="6966" xr:uid="{00000000-0005-0000-0000-00005D200000}"/>
    <cellStyle name="Normal 9 5 2 6 2 2" xfId="15405" xr:uid="{F340743E-836D-4916-AB1A-074ED7E0D5A5}"/>
    <cellStyle name="Normal 9 5 2 6 3" xfId="11187" xr:uid="{079248AD-67F7-4752-90FD-02B6F2BE0EE9}"/>
    <cellStyle name="Normal 9 5 2 7" xfId="4901" xr:uid="{00000000-0005-0000-0000-00005E200000}"/>
    <cellStyle name="Normal 9 5 2 7 2" xfId="13340" xr:uid="{13E49002-0DA8-4D55-BE6F-24405686C1F8}"/>
    <cellStyle name="Normal 9 5 2 8" xfId="9122" xr:uid="{13B8076E-BB36-4C2E-8A4F-219CB7E6FAA0}"/>
    <cellStyle name="Normal 9 5 3" xfId="1003" xr:uid="{00000000-0005-0000-0000-00005F200000}"/>
    <cellStyle name="Normal 9 5 3 2" xfId="3235" xr:uid="{00000000-0005-0000-0000-000060200000}"/>
    <cellStyle name="Normal 9 5 3 2 2" xfId="7458" xr:uid="{00000000-0005-0000-0000-000061200000}"/>
    <cellStyle name="Normal 9 5 3 2 2 2" xfId="15897" xr:uid="{74C31696-B375-4F49-AAAD-D28EEDCD2C6D}"/>
    <cellStyle name="Normal 9 5 3 2 3" xfId="11679" xr:uid="{FA7A169B-E561-4A94-A095-83E0AC274EF1}"/>
    <cellStyle name="Normal 9 5 3 3" xfId="5313" xr:uid="{00000000-0005-0000-0000-000062200000}"/>
    <cellStyle name="Normal 9 5 3 3 2" xfId="13752" xr:uid="{1B432F8B-9D6C-4609-8480-D2C98391C42C}"/>
    <cellStyle name="Normal 9 5 3 4" xfId="9534" xr:uid="{577125CC-EB3E-46D5-8A1A-F744695D3766}"/>
    <cellStyle name="Normal 9 5 4" xfId="1418" xr:uid="{00000000-0005-0000-0000-000063200000}"/>
    <cellStyle name="Normal 9 5 4 2" xfId="3648" xr:uid="{00000000-0005-0000-0000-000064200000}"/>
    <cellStyle name="Normal 9 5 4 2 2" xfId="7871" xr:uid="{00000000-0005-0000-0000-000065200000}"/>
    <cellStyle name="Normal 9 5 4 2 2 2" xfId="16310" xr:uid="{DA25CADE-CD54-4C73-ACCA-B1EB4CB6B343}"/>
    <cellStyle name="Normal 9 5 4 2 3" xfId="12092" xr:uid="{99563E78-555C-4EA7-BAE3-93B385751392}"/>
    <cellStyle name="Normal 9 5 4 3" xfId="5726" xr:uid="{00000000-0005-0000-0000-000066200000}"/>
    <cellStyle name="Normal 9 5 4 3 2" xfId="14165" xr:uid="{3296AA22-44F1-4CA7-88BF-DB04F7B92643}"/>
    <cellStyle name="Normal 9 5 4 4" xfId="9947" xr:uid="{28DF9032-B59A-4E5E-A4B8-5C71A495F7FA}"/>
    <cellStyle name="Normal 9 5 5" xfId="1831" xr:uid="{00000000-0005-0000-0000-000067200000}"/>
    <cellStyle name="Normal 9 5 5 2" xfId="4061" xr:uid="{00000000-0005-0000-0000-000068200000}"/>
    <cellStyle name="Normal 9 5 5 2 2" xfId="8284" xr:uid="{00000000-0005-0000-0000-000069200000}"/>
    <cellStyle name="Normal 9 5 5 2 2 2" xfId="16723" xr:uid="{3530CD11-0475-46E3-A629-BD8753EED239}"/>
    <cellStyle name="Normal 9 5 5 2 3" xfId="12505" xr:uid="{D1A4690A-963F-4A01-8521-F47EDF84A71A}"/>
    <cellStyle name="Normal 9 5 5 3" xfId="6139" xr:uid="{00000000-0005-0000-0000-00006A200000}"/>
    <cellStyle name="Normal 9 5 5 3 2" xfId="14578" xr:uid="{8C39628D-3C3D-4D3E-8260-ADBDD2741793}"/>
    <cellStyle name="Normal 9 5 5 4" xfId="10360" xr:uid="{BA8D3235-FF79-4A60-9AF0-BA15CAD75E43}"/>
    <cellStyle name="Normal 9 5 6" xfId="2245" xr:uid="{00000000-0005-0000-0000-00006B200000}"/>
    <cellStyle name="Normal 9 5 6 2" xfId="4474" xr:uid="{00000000-0005-0000-0000-00006C200000}"/>
    <cellStyle name="Normal 9 5 6 2 2" xfId="8697" xr:uid="{00000000-0005-0000-0000-00006D200000}"/>
    <cellStyle name="Normal 9 5 6 2 2 2" xfId="17136" xr:uid="{F3C7F475-66C8-4DA1-9D3D-584E2CCCE292}"/>
    <cellStyle name="Normal 9 5 6 2 3" xfId="12918" xr:uid="{EF91F99C-F822-4716-87C1-F304B7F8F3D4}"/>
    <cellStyle name="Normal 9 5 6 3" xfId="6552" xr:uid="{00000000-0005-0000-0000-00006E200000}"/>
    <cellStyle name="Normal 9 5 6 3 2" xfId="14991" xr:uid="{CAE3C5E0-8551-48B0-8829-D281C6C14E20}"/>
    <cellStyle name="Normal 9 5 6 4" xfId="10773" xr:uid="{07F8D192-EBF3-49B6-B550-0A12390E08B4}"/>
    <cellStyle name="Normal 9 5 7" xfId="2681" xr:uid="{00000000-0005-0000-0000-00006F200000}"/>
    <cellStyle name="Normal 9 5 7 2" xfId="6965" xr:uid="{00000000-0005-0000-0000-000070200000}"/>
    <cellStyle name="Normal 9 5 7 2 2" xfId="15404" xr:uid="{1F93A35B-7712-42A1-8D51-6016A25C51DE}"/>
    <cellStyle name="Normal 9 5 7 3" xfId="11186" xr:uid="{31347EC8-AC61-4D3B-8D24-B0711E3EC9D7}"/>
    <cellStyle name="Normal 9 5 8" xfId="4900" xr:uid="{00000000-0005-0000-0000-000071200000}"/>
    <cellStyle name="Normal 9 5 8 2" xfId="13339" xr:uid="{EC143891-9E36-4050-B593-BC135382E5B7}"/>
    <cellStyle name="Normal 9 5 9" xfId="9121" xr:uid="{E1D85DF4-08C9-47D6-A3F3-C3353465F951}"/>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899" xr:uid="{6856F34F-2B72-491F-902D-DDA847FF0937}"/>
    <cellStyle name="Normal 9 6 2 2 3" xfId="11681" xr:uid="{9BC4260E-F7A7-43C9-AAEE-32CF90C9678D}"/>
    <cellStyle name="Normal 9 6 2 3" xfId="5315" xr:uid="{00000000-0005-0000-0000-000076200000}"/>
    <cellStyle name="Normal 9 6 2 3 2" xfId="13754" xr:uid="{72D60A42-D97E-48D5-98CD-0DA318C43222}"/>
    <cellStyle name="Normal 9 6 2 4" xfId="9536" xr:uid="{2F798BD7-1D21-434A-B5E8-9A728C9834BF}"/>
    <cellStyle name="Normal 9 6 3" xfId="1420" xr:uid="{00000000-0005-0000-0000-000077200000}"/>
    <cellStyle name="Normal 9 6 3 2" xfId="3650" xr:uid="{00000000-0005-0000-0000-000078200000}"/>
    <cellStyle name="Normal 9 6 3 2 2" xfId="7873" xr:uid="{00000000-0005-0000-0000-000079200000}"/>
    <cellStyle name="Normal 9 6 3 2 2 2" xfId="16312" xr:uid="{4B9DB1F3-8C34-4A9F-B390-C67C55D75CAD}"/>
    <cellStyle name="Normal 9 6 3 2 3" xfId="12094" xr:uid="{935040AD-2809-44FB-9DB5-982339D1128B}"/>
    <cellStyle name="Normal 9 6 3 3" xfId="5728" xr:uid="{00000000-0005-0000-0000-00007A200000}"/>
    <cellStyle name="Normal 9 6 3 3 2" xfId="14167" xr:uid="{3B36AE4C-63D2-4D93-ACB5-B33CB3F78672}"/>
    <cellStyle name="Normal 9 6 3 4" xfId="9949" xr:uid="{433E37B0-E960-4E06-B796-465B9BEE0DC8}"/>
    <cellStyle name="Normal 9 6 4" xfId="1833" xr:uid="{00000000-0005-0000-0000-00007B200000}"/>
    <cellStyle name="Normal 9 6 4 2" xfId="4063" xr:uid="{00000000-0005-0000-0000-00007C200000}"/>
    <cellStyle name="Normal 9 6 4 2 2" xfId="8286" xr:uid="{00000000-0005-0000-0000-00007D200000}"/>
    <cellStyle name="Normal 9 6 4 2 2 2" xfId="16725" xr:uid="{FBF55511-6DB0-4DDF-A0FB-55E916E2D9F6}"/>
    <cellStyle name="Normal 9 6 4 2 3" xfId="12507" xr:uid="{492B554B-0E03-4EDD-BE5E-0C057C80ACF3}"/>
    <cellStyle name="Normal 9 6 4 3" xfId="6141" xr:uid="{00000000-0005-0000-0000-00007E200000}"/>
    <cellStyle name="Normal 9 6 4 3 2" xfId="14580" xr:uid="{1FFC1692-D973-44E9-BC15-7B3601F79A42}"/>
    <cellStyle name="Normal 9 6 4 4" xfId="10362" xr:uid="{0987E934-B272-4487-88ED-428BA505EE94}"/>
    <cellStyle name="Normal 9 6 5" xfId="2247" xr:uid="{00000000-0005-0000-0000-00007F200000}"/>
    <cellStyle name="Normal 9 6 5 2" xfId="4476" xr:uid="{00000000-0005-0000-0000-000080200000}"/>
    <cellStyle name="Normal 9 6 5 2 2" xfId="8699" xr:uid="{00000000-0005-0000-0000-000081200000}"/>
    <cellStyle name="Normal 9 6 5 2 2 2" xfId="17138" xr:uid="{203D58B2-0074-4973-9202-6110A2520CFD}"/>
    <cellStyle name="Normal 9 6 5 2 3" xfId="12920" xr:uid="{1655545B-2998-4459-ACD7-8E6F150A5A55}"/>
    <cellStyle name="Normal 9 6 5 3" xfId="6554" xr:uid="{00000000-0005-0000-0000-000082200000}"/>
    <cellStyle name="Normal 9 6 5 3 2" xfId="14993" xr:uid="{122360F3-65E0-46DA-AB45-4EAD92094663}"/>
    <cellStyle name="Normal 9 6 5 4" xfId="10775" xr:uid="{1D5A94DB-7F16-4165-8A5D-DB2D16835289}"/>
    <cellStyle name="Normal 9 6 6" xfId="2683" xr:uid="{00000000-0005-0000-0000-000083200000}"/>
    <cellStyle name="Normal 9 6 6 2" xfId="6967" xr:uid="{00000000-0005-0000-0000-000084200000}"/>
    <cellStyle name="Normal 9 6 6 2 2" xfId="15406" xr:uid="{37166468-743A-420E-866E-79FED89C62F8}"/>
    <cellStyle name="Normal 9 6 6 3" xfId="11188" xr:uid="{686657DB-F07B-43DC-B88D-E8519FB0073E}"/>
    <cellStyle name="Normal 9 6 7" xfId="4902" xr:uid="{00000000-0005-0000-0000-000085200000}"/>
    <cellStyle name="Normal 9 6 7 2" xfId="13341" xr:uid="{7FA41171-09A0-4B59-B2A4-BE65599355BE}"/>
    <cellStyle name="Normal 9 6 8" xfId="9123" xr:uid="{6882628D-F7F0-4034-A1E6-9BEC4DCB1A7E}"/>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87" xr:uid="{E590F859-6EDC-47C2-A44D-D314429B06CA}"/>
    <cellStyle name="Note 2 2 10 3" xfId="11269" xr:uid="{088333AF-7E30-4B15-9118-2B3F8690961A}"/>
    <cellStyle name="Note 2 2 11" xfId="4903" xr:uid="{00000000-0005-0000-0000-000094200000}"/>
    <cellStyle name="Note 2 2 11 2" xfId="13342" xr:uid="{8F0236B4-D4C2-4D06-BEB9-5703937FD0A2}"/>
    <cellStyle name="Note 2 2 12" xfId="9124" xr:uid="{052A0D24-F7BD-4F5A-B780-6BF8E5428ADD}"/>
    <cellStyle name="Note 2 2 2" xfId="546" xr:uid="{00000000-0005-0000-0000-000095200000}"/>
    <cellStyle name="Note 2 2 2 10" xfId="4904" xr:uid="{00000000-0005-0000-0000-000096200000}"/>
    <cellStyle name="Note 2 2 2 10 2" xfId="13343" xr:uid="{14B1B60C-341D-4F53-91DE-C62FBC5B49E1}"/>
    <cellStyle name="Note 2 2 2 11" xfId="9125" xr:uid="{875E7CE3-60D2-49B5-95F7-25E9CC05BE2E}"/>
    <cellStyle name="Note 2 2 2 2" xfId="547" xr:uid="{00000000-0005-0000-0000-000097200000}"/>
    <cellStyle name="Note 2 2 2 2 10" xfId="9126" xr:uid="{D402AA71-7F09-4039-8872-4DF5C508AC09}"/>
    <cellStyle name="Note 2 2 2 2 2" xfId="1008" xr:uid="{00000000-0005-0000-0000-000098200000}"/>
    <cellStyle name="Note 2 2 2 2 2 2" xfId="3240" xr:uid="{00000000-0005-0000-0000-000099200000}"/>
    <cellStyle name="Note 2 2 2 2 2 2 2" xfId="7463" xr:uid="{00000000-0005-0000-0000-00009A200000}"/>
    <cellStyle name="Note 2 2 2 2 2 2 2 2" xfId="15902" xr:uid="{E1A700DC-9D80-405E-98B2-A4EB4318F37D}"/>
    <cellStyle name="Note 2 2 2 2 2 2 3" xfId="11684" xr:uid="{25768EB8-39E9-40EA-936F-881F81BF75E9}"/>
    <cellStyle name="Note 2 2 2 2 2 3" xfId="5318" xr:uid="{00000000-0005-0000-0000-00009B200000}"/>
    <cellStyle name="Note 2 2 2 2 2 3 2" xfId="13757" xr:uid="{B803D439-F7A9-4781-A3EF-1783CD7F1CC7}"/>
    <cellStyle name="Note 2 2 2 2 2 4" xfId="9539" xr:uid="{3969C1C6-0CF9-41F0-A1A9-F02CAF26868D}"/>
    <cellStyle name="Note 2 2 2 2 3" xfId="1423" xr:uid="{00000000-0005-0000-0000-00009C200000}"/>
    <cellStyle name="Note 2 2 2 2 3 2" xfId="3653" xr:uid="{00000000-0005-0000-0000-00009D200000}"/>
    <cellStyle name="Note 2 2 2 2 3 2 2" xfId="7876" xr:uid="{00000000-0005-0000-0000-00009E200000}"/>
    <cellStyle name="Note 2 2 2 2 3 2 2 2" xfId="16315" xr:uid="{94CE11A0-9B1C-4EC9-97FE-5A4F070283D9}"/>
    <cellStyle name="Note 2 2 2 2 3 2 3" xfId="12097" xr:uid="{3DD0D2A4-9165-40AA-A0EA-F10F637A7011}"/>
    <cellStyle name="Note 2 2 2 2 3 3" xfId="5731" xr:uid="{00000000-0005-0000-0000-00009F200000}"/>
    <cellStyle name="Note 2 2 2 2 3 3 2" xfId="14170" xr:uid="{C130EE1D-829C-4952-B9E7-2CFB93C9A746}"/>
    <cellStyle name="Note 2 2 2 2 3 4" xfId="9952" xr:uid="{2EDF4EDE-A5AB-43F0-872C-E8AF875E6ACC}"/>
    <cellStyle name="Note 2 2 2 2 4" xfId="1837" xr:uid="{00000000-0005-0000-0000-0000A0200000}"/>
    <cellStyle name="Note 2 2 2 2 4 2" xfId="4066" xr:uid="{00000000-0005-0000-0000-0000A1200000}"/>
    <cellStyle name="Note 2 2 2 2 4 2 2" xfId="8289" xr:uid="{00000000-0005-0000-0000-0000A2200000}"/>
    <cellStyle name="Note 2 2 2 2 4 2 2 2" xfId="16728" xr:uid="{807E31F5-4F0E-498F-B007-826C62AE27CD}"/>
    <cellStyle name="Note 2 2 2 2 4 2 3" xfId="12510" xr:uid="{0BC14C07-25FA-4A91-859C-9B56B7C79BC8}"/>
    <cellStyle name="Note 2 2 2 2 4 3" xfId="6144" xr:uid="{00000000-0005-0000-0000-0000A3200000}"/>
    <cellStyle name="Note 2 2 2 2 4 3 2" xfId="14583" xr:uid="{4F89E737-AA13-4A02-BCA8-399DD6BE863E}"/>
    <cellStyle name="Note 2 2 2 2 4 4" xfId="10365" xr:uid="{72FC35DC-1A09-4487-A46F-C4907BDCA64A}"/>
    <cellStyle name="Note 2 2 2 2 5" xfId="2250" xr:uid="{00000000-0005-0000-0000-0000A4200000}"/>
    <cellStyle name="Note 2 2 2 2 5 2" xfId="4479" xr:uid="{00000000-0005-0000-0000-0000A5200000}"/>
    <cellStyle name="Note 2 2 2 2 5 2 2" xfId="8702" xr:uid="{00000000-0005-0000-0000-0000A6200000}"/>
    <cellStyle name="Note 2 2 2 2 5 2 2 2" xfId="17141" xr:uid="{CB5AB68E-3510-4862-9001-D6B0FB7654DF}"/>
    <cellStyle name="Note 2 2 2 2 5 2 3" xfId="12923" xr:uid="{89C2F1F8-8BD4-4E19-B7CC-54D9D26F19CC}"/>
    <cellStyle name="Note 2 2 2 2 5 3" xfId="6557" xr:uid="{00000000-0005-0000-0000-0000A7200000}"/>
    <cellStyle name="Note 2 2 2 2 5 3 2" xfId="14996" xr:uid="{59370678-C224-4D73-9B56-3EDAC0EAADBB}"/>
    <cellStyle name="Note 2 2 2 2 5 4" xfId="10778" xr:uid="{4ECF8B07-C2E8-4B64-ABCC-21805C83024B}"/>
    <cellStyle name="Note 2 2 2 2 6" xfId="2686" xr:uid="{00000000-0005-0000-0000-0000A8200000}"/>
    <cellStyle name="Note 2 2 2 2 6 2" xfId="6970" xr:uid="{00000000-0005-0000-0000-0000A9200000}"/>
    <cellStyle name="Note 2 2 2 2 6 2 2" xfId="15409" xr:uid="{FB4F6A2B-D9E3-4ADD-8717-1E480DE652B8}"/>
    <cellStyle name="Note 2 2 2 2 6 3" xfId="11191" xr:uid="{E1E0A7C8-84F1-4A73-A05B-A15C6CC5F61D}"/>
    <cellStyle name="Note 2 2 2 2 7" xfId="2745" xr:uid="{00000000-0005-0000-0000-0000AA200000}"/>
    <cellStyle name="Note 2 2 2 2 8" xfId="2826" xr:uid="{00000000-0005-0000-0000-0000AB200000}"/>
    <cellStyle name="Note 2 2 2 2 8 2" xfId="7050" xr:uid="{00000000-0005-0000-0000-0000AC200000}"/>
    <cellStyle name="Note 2 2 2 2 8 2 2" xfId="15489" xr:uid="{C4EC78F4-5E4B-46F3-86F2-4A45FAB00A98}"/>
    <cellStyle name="Note 2 2 2 2 8 3" xfId="11271" xr:uid="{B22333AC-9378-4B8C-AFD3-08CFF7B2F4D9}"/>
    <cellStyle name="Note 2 2 2 2 9" xfId="4905" xr:uid="{00000000-0005-0000-0000-0000AD200000}"/>
    <cellStyle name="Note 2 2 2 2 9 2" xfId="13344" xr:uid="{ECD877C9-145B-4342-A619-649A681960B9}"/>
    <cellStyle name="Note 2 2 2 3" xfId="1007" xr:uid="{00000000-0005-0000-0000-0000AE200000}"/>
    <cellStyle name="Note 2 2 2 3 2" xfId="3239" xr:uid="{00000000-0005-0000-0000-0000AF200000}"/>
    <cellStyle name="Note 2 2 2 3 2 2" xfId="7462" xr:uid="{00000000-0005-0000-0000-0000B0200000}"/>
    <cellStyle name="Note 2 2 2 3 2 2 2" xfId="15901" xr:uid="{5EC1F3DE-5F76-4440-B641-1931EE39D8C3}"/>
    <cellStyle name="Note 2 2 2 3 2 3" xfId="11683" xr:uid="{4A88D0C0-A8CB-4D3C-8D14-D0944DA1A024}"/>
    <cellStyle name="Note 2 2 2 3 3" xfId="5317" xr:uid="{00000000-0005-0000-0000-0000B1200000}"/>
    <cellStyle name="Note 2 2 2 3 3 2" xfId="13756" xr:uid="{18D6D3F5-DFFA-4EB5-BF18-2B37F131529E}"/>
    <cellStyle name="Note 2 2 2 3 4" xfId="9538" xr:uid="{0FB95CAF-FD6C-462B-96C6-FF3C5482EE49}"/>
    <cellStyle name="Note 2 2 2 4" xfId="1422" xr:uid="{00000000-0005-0000-0000-0000B2200000}"/>
    <cellStyle name="Note 2 2 2 4 2" xfId="3652" xr:uid="{00000000-0005-0000-0000-0000B3200000}"/>
    <cellStyle name="Note 2 2 2 4 2 2" xfId="7875" xr:uid="{00000000-0005-0000-0000-0000B4200000}"/>
    <cellStyle name="Note 2 2 2 4 2 2 2" xfId="16314" xr:uid="{2358E6E8-0996-431F-AAB3-186A65A9C687}"/>
    <cellStyle name="Note 2 2 2 4 2 3" xfId="12096" xr:uid="{85E40B53-005D-4509-AD63-3ACC95CA11A3}"/>
    <cellStyle name="Note 2 2 2 4 3" xfId="5730" xr:uid="{00000000-0005-0000-0000-0000B5200000}"/>
    <cellStyle name="Note 2 2 2 4 3 2" xfId="14169" xr:uid="{89969635-9AA4-4F1A-8506-A941858105CC}"/>
    <cellStyle name="Note 2 2 2 4 4" xfId="9951" xr:uid="{B6BC1D32-85DD-491E-992F-D3B1AD5FAAF8}"/>
    <cellStyle name="Note 2 2 2 5" xfId="1836" xr:uid="{00000000-0005-0000-0000-0000B6200000}"/>
    <cellStyle name="Note 2 2 2 5 2" xfId="4065" xr:uid="{00000000-0005-0000-0000-0000B7200000}"/>
    <cellStyle name="Note 2 2 2 5 2 2" xfId="8288" xr:uid="{00000000-0005-0000-0000-0000B8200000}"/>
    <cellStyle name="Note 2 2 2 5 2 2 2" xfId="16727" xr:uid="{8D8E9E27-E066-4CAC-968E-0E5E694CBDF3}"/>
    <cellStyle name="Note 2 2 2 5 2 3" xfId="12509" xr:uid="{95DD2A99-44C8-44FF-8089-025952103E4C}"/>
    <cellStyle name="Note 2 2 2 5 3" xfId="6143" xr:uid="{00000000-0005-0000-0000-0000B9200000}"/>
    <cellStyle name="Note 2 2 2 5 3 2" xfId="14582" xr:uid="{A2264CE1-4542-459C-83BA-84F54988B057}"/>
    <cellStyle name="Note 2 2 2 5 4" xfId="10364" xr:uid="{7C5C5F56-8EF5-4C16-A303-4B71E16C8168}"/>
    <cellStyle name="Note 2 2 2 6" xfId="2249" xr:uid="{00000000-0005-0000-0000-0000BA200000}"/>
    <cellStyle name="Note 2 2 2 6 2" xfId="4478" xr:uid="{00000000-0005-0000-0000-0000BB200000}"/>
    <cellStyle name="Note 2 2 2 6 2 2" xfId="8701" xr:uid="{00000000-0005-0000-0000-0000BC200000}"/>
    <cellStyle name="Note 2 2 2 6 2 2 2" xfId="17140" xr:uid="{63B3E5D8-CC22-4BC9-AE72-DF0BD3F5D413}"/>
    <cellStyle name="Note 2 2 2 6 2 3" xfId="12922" xr:uid="{5FF19ADE-0B88-4F7A-AF7B-269D7D877C15}"/>
    <cellStyle name="Note 2 2 2 6 3" xfId="6556" xr:uid="{00000000-0005-0000-0000-0000BD200000}"/>
    <cellStyle name="Note 2 2 2 6 3 2" xfId="14995" xr:uid="{11E8E2E4-04BC-4A39-88D6-E49BAE040BBE}"/>
    <cellStyle name="Note 2 2 2 6 4" xfId="10777" xr:uid="{D876AD33-5799-460E-9C70-3C645BAB55FE}"/>
    <cellStyle name="Note 2 2 2 7" xfId="2685" xr:uid="{00000000-0005-0000-0000-0000BE200000}"/>
    <cellStyle name="Note 2 2 2 7 2" xfId="6969" xr:uid="{00000000-0005-0000-0000-0000BF200000}"/>
    <cellStyle name="Note 2 2 2 7 2 2" xfId="15408" xr:uid="{E91965EC-2DFB-41E6-A1C9-5F778AF794B6}"/>
    <cellStyle name="Note 2 2 2 7 3" xfId="11190" xr:uid="{B6A3CACC-98CD-4738-AB4C-335681C3FB59}"/>
    <cellStyle name="Note 2 2 2 8" xfId="2744" xr:uid="{00000000-0005-0000-0000-0000C0200000}"/>
    <cellStyle name="Note 2 2 2 9" xfId="2825" xr:uid="{00000000-0005-0000-0000-0000C1200000}"/>
    <cellStyle name="Note 2 2 2 9 2" xfId="7049" xr:uid="{00000000-0005-0000-0000-0000C2200000}"/>
    <cellStyle name="Note 2 2 2 9 2 2" xfId="15488" xr:uid="{8615DCEC-A9CD-4A2A-81D3-1E158D6DF06E}"/>
    <cellStyle name="Note 2 2 2 9 3" xfId="11270" xr:uid="{2F934CEE-CDDA-4718-9E0C-BBE134C919DB}"/>
    <cellStyle name="Note 2 2 3" xfId="548" xr:uid="{00000000-0005-0000-0000-0000C3200000}"/>
    <cellStyle name="Note 2 2 3 10" xfId="9127" xr:uid="{8750763D-08BD-4EF8-BD77-8220B8D86B43}"/>
    <cellStyle name="Note 2 2 3 2" xfId="1009" xr:uid="{00000000-0005-0000-0000-0000C4200000}"/>
    <cellStyle name="Note 2 2 3 2 2" xfId="3241" xr:uid="{00000000-0005-0000-0000-0000C5200000}"/>
    <cellStyle name="Note 2 2 3 2 2 2" xfId="7464" xr:uid="{00000000-0005-0000-0000-0000C6200000}"/>
    <cellStyle name="Note 2 2 3 2 2 2 2" xfId="15903" xr:uid="{A35CE595-5B46-4052-B05D-D4922901DBCB}"/>
    <cellStyle name="Note 2 2 3 2 2 3" xfId="11685" xr:uid="{6BC691A8-02DE-4CB7-A0FE-61D8C5BFEDC5}"/>
    <cellStyle name="Note 2 2 3 2 3" xfId="5319" xr:uid="{00000000-0005-0000-0000-0000C7200000}"/>
    <cellStyle name="Note 2 2 3 2 3 2" xfId="13758" xr:uid="{07AAFD71-47E4-4C90-AED3-03EC3F843E9F}"/>
    <cellStyle name="Note 2 2 3 2 4" xfId="9540" xr:uid="{A9D072E3-ACCC-4CD0-BBC6-C0DF843C5B4A}"/>
    <cellStyle name="Note 2 2 3 3" xfId="1424" xr:uid="{00000000-0005-0000-0000-0000C8200000}"/>
    <cellStyle name="Note 2 2 3 3 2" xfId="3654" xr:uid="{00000000-0005-0000-0000-0000C9200000}"/>
    <cellStyle name="Note 2 2 3 3 2 2" xfId="7877" xr:uid="{00000000-0005-0000-0000-0000CA200000}"/>
    <cellStyle name="Note 2 2 3 3 2 2 2" xfId="16316" xr:uid="{DD278174-2FB9-4996-8783-46A2049554C8}"/>
    <cellStyle name="Note 2 2 3 3 2 3" xfId="12098" xr:uid="{E015A6C7-0C5D-4BEC-AE08-3A32F347AA67}"/>
    <cellStyle name="Note 2 2 3 3 3" xfId="5732" xr:uid="{00000000-0005-0000-0000-0000CB200000}"/>
    <cellStyle name="Note 2 2 3 3 3 2" xfId="14171" xr:uid="{4ED31E6F-A38E-4C0B-A007-A860211BBE31}"/>
    <cellStyle name="Note 2 2 3 3 4" xfId="9953" xr:uid="{DAB42572-2472-4187-B506-3B678DE0AC83}"/>
    <cellStyle name="Note 2 2 3 4" xfId="1838" xr:uid="{00000000-0005-0000-0000-0000CC200000}"/>
    <cellStyle name="Note 2 2 3 4 2" xfId="4067" xr:uid="{00000000-0005-0000-0000-0000CD200000}"/>
    <cellStyle name="Note 2 2 3 4 2 2" xfId="8290" xr:uid="{00000000-0005-0000-0000-0000CE200000}"/>
    <cellStyle name="Note 2 2 3 4 2 2 2" xfId="16729" xr:uid="{ADDB916B-E272-4B31-BBCA-901960E65A86}"/>
    <cellStyle name="Note 2 2 3 4 2 3" xfId="12511" xr:uid="{D2550202-0A5B-4889-9DBD-B55B07FC1114}"/>
    <cellStyle name="Note 2 2 3 4 3" xfId="6145" xr:uid="{00000000-0005-0000-0000-0000CF200000}"/>
    <cellStyle name="Note 2 2 3 4 3 2" xfId="14584" xr:uid="{06A951FD-85DA-4329-A2DE-6D105EA81DD2}"/>
    <cellStyle name="Note 2 2 3 4 4" xfId="10366" xr:uid="{A124A012-B01F-482B-9625-CF2FA98090BD}"/>
    <cellStyle name="Note 2 2 3 5" xfId="2251" xr:uid="{00000000-0005-0000-0000-0000D0200000}"/>
    <cellStyle name="Note 2 2 3 5 2" xfId="4480" xr:uid="{00000000-0005-0000-0000-0000D1200000}"/>
    <cellStyle name="Note 2 2 3 5 2 2" xfId="8703" xr:uid="{00000000-0005-0000-0000-0000D2200000}"/>
    <cellStyle name="Note 2 2 3 5 2 2 2" xfId="17142" xr:uid="{492048AC-5B9A-4577-8897-B3D80663356F}"/>
    <cellStyle name="Note 2 2 3 5 2 3" xfId="12924" xr:uid="{A2D968D5-035E-44D7-821D-FAA57396AB77}"/>
    <cellStyle name="Note 2 2 3 5 3" xfId="6558" xr:uid="{00000000-0005-0000-0000-0000D3200000}"/>
    <cellStyle name="Note 2 2 3 5 3 2" xfId="14997" xr:uid="{0141ABAC-4AFA-42EE-A454-26D31166F983}"/>
    <cellStyle name="Note 2 2 3 5 4" xfId="10779" xr:uid="{A37B3A96-A600-4D78-AF8A-57146BFEFF7C}"/>
    <cellStyle name="Note 2 2 3 6" xfId="2687" xr:uid="{00000000-0005-0000-0000-0000D4200000}"/>
    <cellStyle name="Note 2 2 3 6 2" xfId="6971" xr:uid="{00000000-0005-0000-0000-0000D5200000}"/>
    <cellStyle name="Note 2 2 3 6 2 2" xfId="15410" xr:uid="{B7605953-3E13-408E-80EC-E1D88C3017AB}"/>
    <cellStyle name="Note 2 2 3 6 3" xfId="11192" xr:uid="{CABC2C06-EDAF-44A7-BA57-4286A04D7B1E}"/>
    <cellStyle name="Note 2 2 3 7" xfId="2746" xr:uid="{00000000-0005-0000-0000-0000D6200000}"/>
    <cellStyle name="Note 2 2 3 8" xfId="2827" xr:uid="{00000000-0005-0000-0000-0000D7200000}"/>
    <cellStyle name="Note 2 2 3 8 2" xfId="7051" xr:uid="{00000000-0005-0000-0000-0000D8200000}"/>
    <cellStyle name="Note 2 2 3 8 2 2" xfId="15490" xr:uid="{6472D832-734A-4D6A-A072-915FFE49E6D1}"/>
    <cellStyle name="Note 2 2 3 8 3" xfId="11272" xr:uid="{759FBDE3-E881-45B4-B9FB-3F7DA6BF8BD9}"/>
    <cellStyle name="Note 2 2 3 9" xfId="4906" xr:uid="{00000000-0005-0000-0000-0000D9200000}"/>
    <cellStyle name="Note 2 2 3 9 2" xfId="13345" xr:uid="{2108B468-26C7-42B7-9406-82505AED6F3E}"/>
    <cellStyle name="Note 2 2 4" xfId="1006" xr:uid="{00000000-0005-0000-0000-0000DA200000}"/>
    <cellStyle name="Note 2 2 4 2" xfId="3238" xr:uid="{00000000-0005-0000-0000-0000DB200000}"/>
    <cellStyle name="Note 2 2 4 2 2" xfId="7461" xr:uid="{00000000-0005-0000-0000-0000DC200000}"/>
    <cellStyle name="Note 2 2 4 2 2 2" xfId="15900" xr:uid="{2FF92855-86E6-40BA-B4D9-BC37AEE979EB}"/>
    <cellStyle name="Note 2 2 4 2 3" xfId="11682" xr:uid="{9E094549-4E37-4D50-A333-F61E40871F65}"/>
    <cellStyle name="Note 2 2 4 3" xfId="5316" xr:uid="{00000000-0005-0000-0000-0000DD200000}"/>
    <cellStyle name="Note 2 2 4 3 2" xfId="13755" xr:uid="{86AEBBE5-DFA8-4733-A65B-59B32E40137F}"/>
    <cellStyle name="Note 2 2 4 4" xfId="9537" xr:uid="{F3356ACF-20D5-47A7-B834-330BC7880707}"/>
    <cellStyle name="Note 2 2 5" xfId="1421" xr:uid="{00000000-0005-0000-0000-0000DE200000}"/>
    <cellStyle name="Note 2 2 5 2" xfId="3651" xr:uid="{00000000-0005-0000-0000-0000DF200000}"/>
    <cellStyle name="Note 2 2 5 2 2" xfId="7874" xr:uid="{00000000-0005-0000-0000-0000E0200000}"/>
    <cellStyle name="Note 2 2 5 2 2 2" xfId="16313" xr:uid="{B0FC7D8F-F74A-40A7-9B58-12C530885554}"/>
    <cellStyle name="Note 2 2 5 2 3" xfId="12095" xr:uid="{3A2746AB-DF77-4563-822C-64099BEEA3C0}"/>
    <cellStyle name="Note 2 2 5 3" xfId="5729" xr:uid="{00000000-0005-0000-0000-0000E1200000}"/>
    <cellStyle name="Note 2 2 5 3 2" xfId="14168" xr:uid="{3741E4D6-09CA-4812-9107-146359BD6B23}"/>
    <cellStyle name="Note 2 2 5 4" xfId="9950" xr:uid="{E8A146EF-45D0-454E-9570-CB4DA6F98195}"/>
    <cellStyle name="Note 2 2 6" xfId="1835" xr:uid="{00000000-0005-0000-0000-0000E2200000}"/>
    <cellStyle name="Note 2 2 6 2" xfId="4064" xr:uid="{00000000-0005-0000-0000-0000E3200000}"/>
    <cellStyle name="Note 2 2 6 2 2" xfId="8287" xr:uid="{00000000-0005-0000-0000-0000E4200000}"/>
    <cellStyle name="Note 2 2 6 2 2 2" xfId="16726" xr:uid="{26905AB0-DC2A-430B-BBF3-2E1CC2A0F23F}"/>
    <cellStyle name="Note 2 2 6 2 3" xfId="12508" xr:uid="{756ABC1D-AEF7-4DCE-B2BB-32AFAC1CC5FE}"/>
    <cellStyle name="Note 2 2 6 3" xfId="6142" xr:uid="{00000000-0005-0000-0000-0000E5200000}"/>
    <cellStyle name="Note 2 2 6 3 2" xfId="14581" xr:uid="{368A85B4-1A2C-4E76-8576-F1C150F6B1A9}"/>
    <cellStyle name="Note 2 2 6 4" xfId="10363" xr:uid="{73EBC6B8-48D7-4FE9-8B44-72F3E9ABA04E}"/>
    <cellStyle name="Note 2 2 7" xfId="2248" xr:uid="{00000000-0005-0000-0000-0000E6200000}"/>
    <cellStyle name="Note 2 2 7 2" xfId="4477" xr:uid="{00000000-0005-0000-0000-0000E7200000}"/>
    <cellStyle name="Note 2 2 7 2 2" xfId="8700" xr:uid="{00000000-0005-0000-0000-0000E8200000}"/>
    <cellStyle name="Note 2 2 7 2 2 2" xfId="17139" xr:uid="{BF8240BB-D3DD-449A-A534-0F58CCB7E1A5}"/>
    <cellStyle name="Note 2 2 7 2 3" xfId="12921" xr:uid="{BC6C26AA-937B-4117-8C1C-D05828A2BF53}"/>
    <cellStyle name="Note 2 2 7 3" xfId="6555" xr:uid="{00000000-0005-0000-0000-0000E9200000}"/>
    <cellStyle name="Note 2 2 7 3 2" xfId="14994" xr:uid="{CA586AD5-3EBB-45BA-BA48-96CDD92198F7}"/>
    <cellStyle name="Note 2 2 7 4" xfId="10776" xr:uid="{9F845711-57A2-48F4-9187-3B72EE9F77E4}"/>
    <cellStyle name="Note 2 2 8" xfId="2684" xr:uid="{00000000-0005-0000-0000-0000EA200000}"/>
    <cellStyle name="Note 2 2 8 2" xfId="6968" xr:uid="{00000000-0005-0000-0000-0000EB200000}"/>
    <cellStyle name="Note 2 2 8 2 2" xfId="15407" xr:uid="{03031F54-6456-483C-98CD-32F6A700F453}"/>
    <cellStyle name="Note 2 2 8 3" xfId="11189" xr:uid="{37F4ED48-8AC4-4D87-99E3-7A42B3C845D7}"/>
    <cellStyle name="Note 2 2 9" xfId="2743" xr:uid="{00000000-0005-0000-0000-0000EC200000}"/>
    <cellStyle name="Note 2 3" xfId="549" xr:uid="{00000000-0005-0000-0000-0000ED200000}"/>
    <cellStyle name="Note 2 3 10" xfId="4907" xr:uid="{00000000-0005-0000-0000-0000EE200000}"/>
    <cellStyle name="Note 2 3 10 2" xfId="13346" xr:uid="{E08C303A-DE51-4585-AB4E-38EBC5312F6D}"/>
    <cellStyle name="Note 2 3 11" xfId="9128" xr:uid="{500D0B38-3A9A-4659-B976-F04AF63B2583}"/>
    <cellStyle name="Note 2 3 2" xfId="550" xr:uid="{00000000-0005-0000-0000-0000EF200000}"/>
    <cellStyle name="Note 2 3 2 10" xfId="9129" xr:uid="{03D2B5F7-3F92-4CC9-A4AA-348528FBD2C5}"/>
    <cellStyle name="Note 2 3 2 2" xfId="1011" xr:uid="{00000000-0005-0000-0000-0000F0200000}"/>
    <cellStyle name="Note 2 3 2 2 2" xfId="3243" xr:uid="{00000000-0005-0000-0000-0000F1200000}"/>
    <cellStyle name="Note 2 3 2 2 2 2" xfId="7466" xr:uid="{00000000-0005-0000-0000-0000F2200000}"/>
    <cellStyle name="Note 2 3 2 2 2 2 2" xfId="15905" xr:uid="{6D8B61F9-4D49-4616-AD6C-5C1D874F746E}"/>
    <cellStyle name="Note 2 3 2 2 2 3" xfId="11687" xr:uid="{75C9E170-9256-47AE-9A02-ACCF08D38E66}"/>
    <cellStyle name="Note 2 3 2 2 3" xfId="5321" xr:uid="{00000000-0005-0000-0000-0000F3200000}"/>
    <cellStyle name="Note 2 3 2 2 3 2" xfId="13760" xr:uid="{53905DFC-5588-4337-8537-370C65776076}"/>
    <cellStyle name="Note 2 3 2 2 4" xfId="9542" xr:uid="{E222F764-6020-4666-A7AF-BB0B4A844F59}"/>
    <cellStyle name="Note 2 3 2 3" xfId="1426" xr:uid="{00000000-0005-0000-0000-0000F4200000}"/>
    <cellStyle name="Note 2 3 2 3 2" xfId="3656" xr:uid="{00000000-0005-0000-0000-0000F5200000}"/>
    <cellStyle name="Note 2 3 2 3 2 2" xfId="7879" xr:uid="{00000000-0005-0000-0000-0000F6200000}"/>
    <cellStyle name="Note 2 3 2 3 2 2 2" xfId="16318" xr:uid="{F8BEFA47-C867-4C79-A376-6C69B4F94193}"/>
    <cellStyle name="Note 2 3 2 3 2 3" xfId="12100" xr:uid="{0F5E5D28-B759-4886-A37C-E1C0CED3C243}"/>
    <cellStyle name="Note 2 3 2 3 3" xfId="5734" xr:uid="{00000000-0005-0000-0000-0000F7200000}"/>
    <cellStyle name="Note 2 3 2 3 3 2" xfId="14173" xr:uid="{FA4BB194-CDA9-4494-AC57-A71E71E40389}"/>
    <cellStyle name="Note 2 3 2 3 4" xfId="9955" xr:uid="{4F27A3F1-F86E-4809-8E36-81BB5F440FDC}"/>
    <cellStyle name="Note 2 3 2 4" xfId="1840" xr:uid="{00000000-0005-0000-0000-0000F8200000}"/>
    <cellStyle name="Note 2 3 2 4 2" xfId="4069" xr:uid="{00000000-0005-0000-0000-0000F9200000}"/>
    <cellStyle name="Note 2 3 2 4 2 2" xfId="8292" xr:uid="{00000000-0005-0000-0000-0000FA200000}"/>
    <cellStyle name="Note 2 3 2 4 2 2 2" xfId="16731" xr:uid="{4FCDAB0F-F9F4-467D-A32F-01EF8C9EDE75}"/>
    <cellStyle name="Note 2 3 2 4 2 3" xfId="12513" xr:uid="{F130878B-4403-4161-9B1D-E702A15B2390}"/>
    <cellStyle name="Note 2 3 2 4 3" xfId="6147" xr:uid="{00000000-0005-0000-0000-0000FB200000}"/>
    <cellStyle name="Note 2 3 2 4 3 2" xfId="14586" xr:uid="{5836D8BB-213B-45AC-B18E-7F0601FB0CF2}"/>
    <cellStyle name="Note 2 3 2 4 4" xfId="10368" xr:uid="{F2081CE6-9E70-4A18-B8E7-A94EF3B75B4C}"/>
    <cellStyle name="Note 2 3 2 5" xfId="2253" xr:uid="{00000000-0005-0000-0000-0000FC200000}"/>
    <cellStyle name="Note 2 3 2 5 2" xfId="4482" xr:uid="{00000000-0005-0000-0000-0000FD200000}"/>
    <cellStyle name="Note 2 3 2 5 2 2" xfId="8705" xr:uid="{00000000-0005-0000-0000-0000FE200000}"/>
    <cellStyle name="Note 2 3 2 5 2 2 2" xfId="17144" xr:uid="{01D6A954-9806-40BC-8E03-7297AC796BB2}"/>
    <cellStyle name="Note 2 3 2 5 2 3" xfId="12926" xr:uid="{6F8ADC3E-2BBA-4B63-9F6A-2A6824880459}"/>
    <cellStyle name="Note 2 3 2 5 3" xfId="6560" xr:uid="{00000000-0005-0000-0000-0000FF200000}"/>
    <cellStyle name="Note 2 3 2 5 3 2" xfId="14999" xr:uid="{9293F8A2-C9F5-4693-AD3F-E5BD2EF410D8}"/>
    <cellStyle name="Note 2 3 2 5 4" xfId="10781" xr:uid="{C7F3198C-0494-4B1C-B161-B900B7052DA3}"/>
    <cellStyle name="Note 2 3 2 6" xfId="2689" xr:uid="{00000000-0005-0000-0000-000000210000}"/>
    <cellStyle name="Note 2 3 2 6 2" xfId="6973" xr:uid="{00000000-0005-0000-0000-000001210000}"/>
    <cellStyle name="Note 2 3 2 6 2 2" xfId="15412" xr:uid="{3D22780F-8209-484C-A9A6-940723EE3DCF}"/>
    <cellStyle name="Note 2 3 2 6 3" xfId="11194" xr:uid="{8CADA444-0641-4DD9-B68A-73D8DE2C5701}"/>
    <cellStyle name="Note 2 3 2 7" xfId="2748" xr:uid="{00000000-0005-0000-0000-000002210000}"/>
    <cellStyle name="Note 2 3 2 8" xfId="2829" xr:uid="{00000000-0005-0000-0000-000003210000}"/>
    <cellStyle name="Note 2 3 2 8 2" xfId="7053" xr:uid="{00000000-0005-0000-0000-000004210000}"/>
    <cellStyle name="Note 2 3 2 8 2 2" xfId="15492" xr:uid="{700F43DC-7E97-4A21-8807-AE8BD0BBB06F}"/>
    <cellStyle name="Note 2 3 2 8 3" xfId="11274" xr:uid="{F8E96E5C-3FF4-4937-BA7C-A42333B47D59}"/>
    <cellStyle name="Note 2 3 2 9" xfId="4908" xr:uid="{00000000-0005-0000-0000-000005210000}"/>
    <cellStyle name="Note 2 3 2 9 2" xfId="13347" xr:uid="{8A7D0CAD-B14C-4987-91F8-4DD809A8B5A8}"/>
    <cellStyle name="Note 2 3 3" xfId="1010" xr:uid="{00000000-0005-0000-0000-000006210000}"/>
    <cellStyle name="Note 2 3 3 2" xfId="3242" xr:uid="{00000000-0005-0000-0000-000007210000}"/>
    <cellStyle name="Note 2 3 3 2 2" xfId="7465" xr:uid="{00000000-0005-0000-0000-000008210000}"/>
    <cellStyle name="Note 2 3 3 2 2 2" xfId="15904" xr:uid="{186A82BA-A8E4-4D1F-B8F1-2FA3F8AAB692}"/>
    <cellStyle name="Note 2 3 3 2 3" xfId="11686" xr:uid="{D0933F67-552B-4B6C-A321-5EAA137FF2E7}"/>
    <cellStyle name="Note 2 3 3 3" xfId="5320" xr:uid="{00000000-0005-0000-0000-000009210000}"/>
    <cellStyle name="Note 2 3 3 3 2" xfId="13759" xr:uid="{FEC6A06B-4C9E-4F63-BB88-A31895160878}"/>
    <cellStyle name="Note 2 3 3 4" xfId="9541" xr:uid="{8BAC48CF-8F86-43E7-A4CC-343BD44346C8}"/>
    <cellStyle name="Note 2 3 4" xfId="1425" xr:uid="{00000000-0005-0000-0000-00000A210000}"/>
    <cellStyle name="Note 2 3 4 2" xfId="3655" xr:uid="{00000000-0005-0000-0000-00000B210000}"/>
    <cellStyle name="Note 2 3 4 2 2" xfId="7878" xr:uid="{00000000-0005-0000-0000-00000C210000}"/>
    <cellStyle name="Note 2 3 4 2 2 2" xfId="16317" xr:uid="{BC98D998-BB43-4D03-BD5C-0F5486C04C53}"/>
    <cellStyle name="Note 2 3 4 2 3" xfId="12099" xr:uid="{69F5BFF6-1F3B-4491-8FB2-D598C63CDD32}"/>
    <cellStyle name="Note 2 3 4 3" xfId="5733" xr:uid="{00000000-0005-0000-0000-00000D210000}"/>
    <cellStyle name="Note 2 3 4 3 2" xfId="14172" xr:uid="{E005B449-E177-4E8F-89DD-54C76768223B}"/>
    <cellStyle name="Note 2 3 4 4" xfId="9954" xr:uid="{5BD6552C-89AD-401E-8F47-4D066B7AAA31}"/>
    <cellStyle name="Note 2 3 5" xfId="1839" xr:uid="{00000000-0005-0000-0000-00000E210000}"/>
    <cellStyle name="Note 2 3 5 2" xfId="4068" xr:uid="{00000000-0005-0000-0000-00000F210000}"/>
    <cellStyle name="Note 2 3 5 2 2" xfId="8291" xr:uid="{00000000-0005-0000-0000-000010210000}"/>
    <cellStyle name="Note 2 3 5 2 2 2" xfId="16730" xr:uid="{A8763308-418E-4223-9AD4-65AB15DE5650}"/>
    <cellStyle name="Note 2 3 5 2 3" xfId="12512" xr:uid="{4F61CA96-946A-4595-B9C0-1DFAC0605CB3}"/>
    <cellStyle name="Note 2 3 5 3" xfId="6146" xr:uid="{00000000-0005-0000-0000-000011210000}"/>
    <cellStyle name="Note 2 3 5 3 2" xfId="14585" xr:uid="{1E119EAC-3FB0-43E4-849B-29E6FAB11020}"/>
    <cellStyle name="Note 2 3 5 4" xfId="10367" xr:uid="{2E752CE8-CFB6-4F57-B1D6-FCE01F94A1B9}"/>
    <cellStyle name="Note 2 3 6" xfId="2252" xr:uid="{00000000-0005-0000-0000-000012210000}"/>
    <cellStyle name="Note 2 3 6 2" xfId="4481" xr:uid="{00000000-0005-0000-0000-000013210000}"/>
    <cellStyle name="Note 2 3 6 2 2" xfId="8704" xr:uid="{00000000-0005-0000-0000-000014210000}"/>
    <cellStyle name="Note 2 3 6 2 2 2" xfId="17143" xr:uid="{D2EF7727-AC68-4215-A9AE-088B55DF514C}"/>
    <cellStyle name="Note 2 3 6 2 3" xfId="12925" xr:uid="{0A9124DC-9848-4985-93BE-66BA0B7A2388}"/>
    <cellStyle name="Note 2 3 6 3" xfId="6559" xr:uid="{00000000-0005-0000-0000-000015210000}"/>
    <cellStyle name="Note 2 3 6 3 2" xfId="14998" xr:uid="{25F5ABE0-1609-4C62-81E6-1FA36C5A0477}"/>
    <cellStyle name="Note 2 3 6 4" xfId="10780" xr:uid="{E4530C62-7086-4D92-A080-69577DD58993}"/>
    <cellStyle name="Note 2 3 7" xfId="2688" xr:uid="{00000000-0005-0000-0000-000016210000}"/>
    <cellStyle name="Note 2 3 7 2" xfId="6972" xr:uid="{00000000-0005-0000-0000-000017210000}"/>
    <cellStyle name="Note 2 3 7 2 2" xfId="15411" xr:uid="{1918C6CC-BB8A-481D-A442-1836A852BAD6}"/>
    <cellStyle name="Note 2 3 7 3" xfId="11193" xr:uid="{B3D0758E-7461-417A-B49B-2F8BB3870902}"/>
    <cellStyle name="Note 2 3 8" xfId="2747" xr:uid="{00000000-0005-0000-0000-000018210000}"/>
    <cellStyle name="Note 2 3 9" xfId="2828" xr:uid="{00000000-0005-0000-0000-000019210000}"/>
    <cellStyle name="Note 2 3 9 2" xfId="7052" xr:uid="{00000000-0005-0000-0000-00001A210000}"/>
    <cellStyle name="Note 2 3 9 2 2" xfId="15491" xr:uid="{D80346FC-59AA-4DE5-BCC1-6320AA260105}"/>
    <cellStyle name="Note 2 3 9 3" xfId="11273" xr:uid="{E71CB331-6518-4402-BB89-A13F68AA61C2}"/>
    <cellStyle name="Note 2 4" xfId="551" xr:uid="{00000000-0005-0000-0000-00001B210000}"/>
    <cellStyle name="Note 2 4 10" xfId="9130" xr:uid="{31A21F6E-DD87-4CA2-9472-BA0A5208CFBB}"/>
    <cellStyle name="Note 2 4 2" xfId="1012" xr:uid="{00000000-0005-0000-0000-00001C210000}"/>
    <cellStyle name="Note 2 4 2 2" xfId="3244" xr:uid="{00000000-0005-0000-0000-00001D210000}"/>
    <cellStyle name="Note 2 4 2 2 2" xfId="7467" xr:uid="{00000000-0005-0000-0000-00001E210000}"/>
    <cellStyle name="Note 2 4 2 2 2 2" xfId="15906" xr:uid="{F704609A-E544-4692-9ED7-AFFFF9B78E41}"/>
    <cellStyle name="Note 2 4 2 2 3" xfId="11688" xr:uid="{784DBC3E-8E31-4FE1-B346-522E6F7AB651}"/>
    <cellStyle name="Note 2 4 2 3" xfId="5322" xr:uid="{00000000-0005-0000-0000-00001F210000}"/>
    <cellStyle name="Note 2 4 2 3 2" xfId="13761" xr:uid="{D297063A-FE0C-4C32-8967-E7FF9206F8FA}"/>
    <cellStyle name="Note 2 4 2 4" xfId="9543" xr:uid="{F8740D0C-4785-4D58-A4BE-21C3CB4C31E5}"/>
    <cellStyle name="Note 2 4 3" xfId="1427" xr:uid="{00000000-0005-0000-0000-000020210000}"/>
    <cellStyle name="Note 2 4 3 2" xfId="3657" xr:uid="{00000000-0005-0000-0000-000021210000}"/>
    <cellStyle name="Note 2 4 3 2 2" xfId="7880" xr:uid="{00000000-0005-0000-0000-000022210000}"/>
    <cellStyle name="Note 2 4 3 2 2 2" xfId="16319" xr:uid="{590D07B0-5F37-401B-97FD-A657C1DDEF7D}"/>
    <cellStyle name="Note 2 4 3 2 3" xfId="12101" xr:uid="{5A372516-328F-4167-AB16-5366F6BE64B2}"/>
    <cellStyle name="Note 2 4 3 3" xfId="5735" xr:uid="{00000000-0005-0000-0000-000023210000}"/>
    <cellStyle name="Note 2 4 3 3 2" xfId="14174" xr:uid="{1309F627-349E-4049-9F4D-F066CC5C3151}"/>
    <cellStyle name="Note 2 4 3 4" xfId="9956" xr:uid="{31355AF3-8A08-4B5E-9046-97CC521F16CD}"/>
    <cellStyle name="Note 2 4 4" xfId="1841" xr:uid="{00000000-0005-0000-0000-000024210000}"/>
    <cellStyle name="Note 2 4 4 2" xfId="4070" xr:uid="{00000000-0005-0000-0000-000025210000}"/>
    <cellStyle name="Note 2 4 4 2 2" xfId="8293" xr:uid="{00000000-0005-0000-0000-000026210000}"/>
    <cellStyle name="Note 2 4 4 2 2 2" xfId="16732" xr:uid="{B56BB892-038F-42CF-9FB5-ACBE19C54C0F}"/>
    <cellStyle name="Note 2 4 4 2 3" xfId="12514" xr:uid="{6D8C6268-DC0E-4496-B0E8-40E8B3300D08}"/>
    <cellStyle name="Note 2 4 4 3" xfId="6148" xr:uid="{00000000-0005-0000-0000-000027210000}"/>
    <cellStyle name="Note 2 4 4 3 2" xfId="14587" xr:uid="{78868271-E148-4208-BD66-8DF3C2564A7E}"/>
    <cellStyle name="Note 2 4 4 4" xfId="10369" xr:uid="{6B4B3B95-97C3-463C-AA90-D52777136CAF}"/>
    <cellStyle name="Note 2 4 5" xfId="2254" xr:uid="{00000000-0005-0000-0000-000028210000}"/>
    <cellStyle name="Note 2 4 5 2" xfId="4483" xr:uid="{00000000-0005-0000-0000-000029210000}"/>
    <cellStyle name="Note 2 4 5 2 2" xfId="8706" xr:uid="{00000000-0005-0000-0000-00002A210000}"/>
    <cellStyle name="Note 2 4 5 2 2 2" xfId="17145" xr:uid="{70CCD386-E8F1-4358-BE72-783FF04BDB95}"/>
    <cellStyle name="Note 2 4 5 2 3" xfId="12927" xr:uid="{1C4E2897-6AD0-43F3-B788-F2E4B078A451}"/>
    <cellStyle name="Note 2 4 5 3" xfId="6561" xr:uid="{00000000-0005-0000-0000-00002B210000}"/>
    <cellStyle name="Note 2 4 5 3 2" xfId="15000" xr:uid="{E00ADB4D-4212-4157-BB93-BBEAD7B3E9A5}"/>
    <cellStyle name="Note 2 4 5 4" xfId="10782" xr:uid="{5124744B-3ABE-4D99-A713-1859B8E57F3C}"/>
    <cellStyle name="Note 2 4 6" xfId="2690" xr:uid="{00000000-0005-0000-0000-00002C210000}"/>
    <cellStyle name="Note 2 4 6 2" xfId="6974" xr:uid="{00000000-0005-0000-0000-00002D210000}"/>
    <cellStyle name="Note 2 4 6 2 2" xfId="15413" xr:uid="{C5C2BC01-CDD0-4D2E-9074-E722C3FE2B1E}"/>
    <cellStyle name="Note 2 4 6 3" xfId="11195" xr:uid="{39C1B8FB-198F-432D-AFC2-2BA9E812D2CC}"/>
    <cellStyle name="Note 2 4 7" xfId="2749" xr:uid="{00000000-0005-0000-0000-00002E210000}"/>
    <cellStyle name="Note 2 4 8" xfId="2830" xr:uid="{00000000-0005-0000-0000-00002F210000}"/>
    <cellStyle name="Note 2 4 8 2" xfId="7054" xr:uid="{00000000-0005-0000-0000-000030210000}"/>
    <cellStyle name="Note 2 4 8 2 2" xfId="15493" xr:uid="{B6DFC10D-111C-4994-A06A-A3396F96E084}"/>
    <cellStyle name="Note 2 4 8 3" xfId="11275" xr:uid="{44674DBF-2EDC-4E8F-B68E-81170B6414AF}"/>
    <cellStyle name="Note 2 4 9" xfId="4909" xr:uid="{00000000-0005-0000-0000-000031210000}"/>
    <cellStyle name="Note 2 4 9 2" xfId="13348" xr:uid="{E7F0BDF9-8F06-4575-B156-054785288EA5}"/>
    <cellStyle name="Note 2 5" xfId="552" xr:uid="{00000000-0005-0000-0000-000032210000}"/>
    <cellStyle name="Note 2 5 10" xfId="9131" xr:uid="{24C87912-2649-43CA-91F1-5F238E9F668F}"/>
    <cellStyle name="Note 2 5 2" xfId="1013" xr:uid="{00000000-0005-0000-0000-000033210000}"/>
    <cellStyle name="Note 2 5 2 2" xfId="3245" xr:uid="{00000000-0005-0000-0000-000034210000}"/>
    <cellStyle name="Note 2 5 2 2 2" xfId="7468" xr:uid="{00000000-0005-0000-0000-000035210000}"/>
    <cellStyle name="Note 2 5 2 2 2 2" xfId="15907" xr:uid="{AD709423-C329-4BD0-9971-96F36E36BC16}"/>
    <cellStyle name="Note 2 5 2 2 3" xfId="11689" xr:uid="{B7EB5C60-FC4E-4063-87FB-BB5A6AEB880F}"/>
    <cellStyle name="Note 2 5 2 3" xfId="5323" xr:uid="{00000000-0005-0000-0000-000036210000}"/>
    <cellStyle name="Note 2 5 2 3 2" xfId="13762" xr:uid="{1C4D5D33-66F1-48CE-B7B6-978CBBA9A617}"/>
    <cellStyle name="Note 2 5 2 4" xfId="9544" xr:uid="{63405A3C-8F6F-480D-86B0-D81224B84581}"/>
    <cellStyle name="Note 2 5 3" xfId="1428" xr:uid="{00000000-0005-0000-0000-000037210000}"/>
    <cellStyle name="Note 2 5 3 2" xfId="3658" xr:uid="{00000000-0005-0000-0000-000038210000}"/>
    <cellStyle name="Note 2 5 3 2 2" xfId="7881" xr:uid="{00000000-0005-0000-0000-000039210000}"/>
    <cellStyle name="Note 2 5 3 2 2 2" xfId="16320" xr:uid="{94C842BD-2846-4421-A67A-328F5EF3F9DA}"/>
    <cellStyle name="Note 2 5 3 2 3" xfId="12102" xr:uid="{0BBE7B4A-EDB8-4328-A050-3123C15E9E73}"/>
    <cellStyle name="Note 2 5 3 3" xfId="5736" xr:uid="{00000000-0005-0000-0000-00003A210000}"/>
    <cellStyle name="Note 2 5 3 3 2" xfId="14175" xr:uid="{202F4BFC-AB93-4525-9E9C-B90C7868DE88}"/>
    <cellStyle name="Note 2 5 3 4" xfId="9957" xr:uid="{ADEC0E3D-DB72-4960-A10F-46B2698AEA65}"/>
    <cellStyle name="Note 2 5 4" xfId="1842" xr:uid="{00000000-0005-0000-0000-00003B210000}"/>
    <cellStyle name="Note 2 5 4 2" xfId="4071" xr:uid="{00000000-0005-0000-0000-00003C210000}"/>
    <cellStyle name="Note 2 5 4 2 2" xfId="8294" xr:uid="{00000000-0005-0000-0000-00003D210000}"/>
    <cellStyle name="Note 2 5 4 2 2 2" xfId="16733" xr:uid="{39CAD374-B1D7-432F-B7D1-65E40F6B1A9A}"/>
    <cellStyle name="Note 2 5 4 2 3" xfId="12515" xr:uid="{3F8B4BA6-2D38-48AE-BF0A-DEA131A74B51}"/>
    <cellStyle name="Note 2 5 4 3" xfId="6149" xr:uid="{00000000-0005-0000-0000-00003E210000}"/>
    <cellStyle name="Note 2 5 4 3 2" xfId="14588" xr:uid="{2E2FBBAD-013F-4786-8409-3E0DC3A5F6B2}"/>
    <cellStyle name="Note 2 5 4 4" xfId="10370" xr:uid="{113B3A5A-44AC-44E6-9796-E63F25054D05}"/>
    <cellStyle name="Note 2 5 5" xfId="2255" xr:uid="{00000000-0005-0000-0000-00003F210000}"/>
    <cellStyle name="Note 2 5 5 2" xfId="4484" xr:uid="{00000000-0005-0000-0000-000040210000}"/>
    <cellStyle name="Note 2 5 5 2 2" xfId="8707" xr:uid="{00000000-0005-0000-0000-000041210000}"/>
    <cellStyle name="Note 2 5 5 2 2 2" xfId="17146" xr:uid="{3FDA8C5C-E052-4FAA-8A2A-43D130B6E22E}"/>
    <cellStyle name="Note 2 5 5 2 3" xfId="12928" xr:uid="{03564A34-D9CB-49D3-8870-1454C7B19C07}"/>
    <cellStyle name="Note 2 5 5 3" xfId="6562" xr:uid="{00000000-0005-0000-0000-000042210000}"/>
    <cellStyle name="Note 2 5 5 3 2" xfId="15001" xr:uid="{F72CCE5D-A75B-4862-91F7-E60EA6A13226}"/>
    <cellStyle name="Note 2 5 5 4" xfId="10783" xr:uid="{C7D6EF44-85F5-402D-A4F5-7C12E46D66E1}"/>
    <cellStyle name="Note 2 5 6" xfId="2691" xr:uid="{00000000-0005-0000-0000-000043210000}"/>
    <cellStyle name="Note 2 5 6 2" xfId="6975" xr:uid="{00000000-0005-0000-0000-000044210000}"/>
    <cellStyle name="Note 2 5 6 2 2" xfId="15414" xr:uid="{9AA755EA-CE4A-4F9B-96A8-60C0E92C7DE3}"/>
    <cellStyle name="Note 2 5 6 3" xfId="11196" xr:uid="{CC30FF4E-D591-429C-B403-95B98962E4CB}"/>
    <cellStyle name="Note 2 5 7" xfId="2750" xr:uid="{00000000-0005-0000-0000-000045210000}"/>
    <cellStyle name="Note 2 5 8" xfId="2831" xr:uid="{00000000-0005-0000-0000-000046210000}"/>
    <cellStyle name="Note 2 5 8 2" xfId="7055" xr:uid="{00000000-0005-0000-0000-000047210000}"/>
    <cellStyle name="Note 2 5 8 2 2" xfId="15494" xr:uid="{7CF07E66-1BB8-4AB0-8E64-9C0079E00660}"/>
    <cellStyle name="Note 2 5 8 3" xfId="11276" xr:uid="{95F51F88-2FD5-4A77-A1CC-82A64A0CF39D}"/>
    <cellStyle name="Note 2 5 9" xfId="4910" xr:uid="{00000000-0005-0000-0000-000048210000}"/>
    <cellStyle name="Note 2 5 9 2" xfId="13349" xr:uid="{5B194184-B90F-4FDC-A54B-420FB9A05214}"/>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5" xr:uid="{F0C4EC0A-6C0A-451A-8AC8-911DE1F49402}"/>
    <cellStyle name="Note 3 2 10 3" xfId="11277" xr:uid="{1507464C-E89F-48A6-9B5E-AB92E6FF9A9D}"/>
    <cellStyle name="Note 3 2 11" xfId="4911" xr:uid="{00000000-0005-0000-0000-00004D210000}"/>
    <cellStyle name="Note 3 2 11 2" xfId="13350" xr:uid="{4D54F9DF-6534-45A1-92B0-00382D67DCA3}"/>
    <cellStyle name="Note 3 2 12" xfId="9132" xr:uid="{5BCA202B-C899-48DB-8E70-F170C0D1E099}"/>
    <cellStyle name="Note 3 2 2" xfId="555" xr:uid="{00000000-0005-0000-0000-00004E210000}"/>
    <cellStyle name="Note 3 2 2 10" xfId="4912" xr:uid="{00000000-0005-0000-0000-00004F210000}"/>
    <cellStyle name="Note 3 2 2 10 2" xfId="13351" xr:uid="{6CCA03BF-ABDA-422B-BF3D-E2327F29540C}"/>
    <cellStyle name="Note 3 2 2 11" xfId="9133" xr:uid="{999A8DA4-AF05-42DA-963A-237F3B764A63}"/>
    <cellStyle name="Note 3 2 2 2" xfId="556" xr:uid="{00000000-0005-0000-0000-000050210000}"/>
    <cellStyle name="Note 3 2 2 2 10" xfId="9134" xr:uid="{ABC63ED9-53BF-47BA-88CC-DA2672B30B45}"/>
    <cellStyle name="Note 3 2 2 2 2" xfId="1016" xr:uid="{00000000-0005-0000-0000-000051210000}"/>
    <cellStyle name="Note 3 2 2 2 2 2" xfId="3248" xr:uid="{00000000-0005-0000-0000-000052210000}"/>
    <cellStyle name="Note 3 2 2 2 2 2 2" xfId="7471" xr:uid="{00000000-0005-0000-0000-000053210000}"/>
    <cellStyle name="Note 3 2 2 2 2 2 2 2" xfId="15910" xr:uid="{5FC4AAF3-F209-4A6A-91F3-657D7DA9D50F}"/>
    <cellStyle name="Note 3 2 2 2 2 2 3" xfId="11692" xr:uid="{DF4945B1-A429-481A-8FA4-36A24A5C4CB8}"/>
    <cellStyle name="Note 3 2 2 2 2 3" xfId="5326" xr:uid="{00000000-0005-0000-0000-000054210000}"/>
    <cellStyle name="Note 3 2 2 2 2 3 2" xfId="13765" xr:uid="{B4D0443B-3570-4636-ACBD-59A85D57F5A5}"/>
    <cellStyle name="Note 3 2 2 2 2 4" xfId="9547" xr:uid="{B788AE10-C816-4D83-B452-2335E7075FD8}"/>
    <cellStyle name="Note 3 2 2 2 3" xfId="1431" xr:uid="{00000000-0005-0000-0000-000055210000}"/>
    <cellStyle name="Note 3 2 2 2 3 2" xfId="3661" xr:uid="{00000000-0005-0000-0000-000056210000}"/>
    <cellStyle name="Note 3 2 2 2 3 2 2" xfId="7884" xr:uid="{00000000-0005-0000-0000-000057210000}"/>
    <cellStyle name="Note 3 2 2 2 3 2 2 2" xfId="16323" xr:uid="{AF00C9B9-8CD6-4ED1-A345-C5B1439F753E}"/>
    <cellStyle name="Note 3 2 2 2 3 2 3" xfId="12105" xr:uid="{627BF3D3-F43E-412B-826D-9F0CC2083A3A}"/>
    <cellStyle name="Note 3 2 2 2 3 3" xfId="5739" xr:uid="{00000000-0005-0000-0000-000058210000}"/>
    <cellStyle name="Note 3 2 2 2 3 3 2" xfId="14178" xr:uid="{C060064A-19B1-47F8-8601-F004E94B592A}"/>
    <cellStyle name="Note 3 2 2 2 3 4" xfId="9960" xr:uid="{9D769C47-BF6B-4B71-B401-6DB59A2E12C9}"/>
    <cellStyle name="Note 3 2 2 2 4" xfId="1845" xr:uid="{00000000-0005-0000-0000-000059210000}"/>
    <cellStyle name="Note 3 2 2 2 4 2" xfId="4074" xr:uid="{00000000-0005-0000-0000-00005A210000}"/>
    <cellStyle name="Note 3 2 2 2 4 2 2" xfId="8297" xr:uid="{00000000-0005-0000-0000-00005B210000}"/>
    <cellStyle name="Note 3 2 2 2 4 2 2 2" xfId="16736" xr:uid="{B6C8F143-DFC9-4247-A6AC-A8950870D872}"/>
    <cellStyle name="Note 3 2 2 2 4 2 3" xfId="12518" xr:uid="{02844EFC-542D-4040-8095-A4E2FDA4490B}"/>
    <cellStyle name="Note 3 2 2 2 4 3" xfId="6152" xr:uid="{00000000-0005-0000-0000-00005C210000}"/>
    <cellStyle name="Note 3 2 2 2 4 3 2" xfId="14591" xr:uid="{139D85B3-808B-49C0-B56D-9393B357C7F4}"/>
    <cellStyle name="Note 3 2 2 2 4 4" xfId="10373" xr:uid="{D5F81383-E500-4FA7-A677-315CB036314C}"/>
    <cellStyle name="Note 3 2 2 2 5" xfId="2258" xr:uid="{00000000-0005-0000-0000-00005D210000}"/>
    <cellStyle name="Note 3 2 2 2 5 2" xfId="4487" xr:uid="{00000000-0005-0000-0000-00005E210000}"/>
    <cellStyle name="Note 3 2 2 2 5 2 2" xfId="8710" xr:uid="{00000000-0005-0000-0000-00005F210000}"/>
    <cellStyle name="Note 3 2 2 2 5 2 2 2" xfId="17149" xr:uid="{FD72A569-7157-4543-B336-1CD217DC47C2}"/>
    <cellStyle name="Note 3 2 2 2 5 2 3" xfId="12931" xr:uid="{36C91B28-7F70-48D1-AE38-0D22B0922BEA}"/>
    <cellStyle name="Note 3 2 2 2 5 3" xfId="6565" xr:uid="{00000000-0005-0000-0000-000060210000}"/>
    <cellStyle name="Note 3 2 2 2 5 3 2" xfId="15004" xr:uid="{E0F63CC4-0FAB-442E-9892-62538AA7CA1B}"/>
    <cellStyle name="Note 3 2 2 2 5 4" xfId="10786" xr:uid="{881BCD4F-3D94-4AF0-B13C-357075D58BBC}"/>
    <cellStyle name="Note 3 2 2 2 6" xfId="2694" xr:uid="{00000000-0005-0000-0000-000061210000}"/>
    <cellStyle name="Note 3 2 2 2 6 2" xfId="6978" xr:uid="{00000000-0005-0000-0000-000062210000}"/>
    <cellStyle name="Note 3 2 2 2 6 2 2" xfId="15417" xr:uid="{7DEE9062-C275-43A1-BE84-DCFA733C6CF9}"/>
    <cellStyle name="Note 3 2 2 2 6 3" xfId="11199" xr:uid="{C1453ABC-9992-4C6A-B814-142E9FFE0B3B}"/>
    <cellStyle name="Note 3 2 2 2 7" xfId="2753" xr:uid="{00000000-0005-0000-0000-000063210000}"/>
    <cellStyle name="Note 3 2 2 2 8" xfId="2834" xr:uid="{00000000-0005-0000-0000-000064210000}"/>
    <cellStyle name="Note 3 2 2 2 8 2" xfId="7058" xr:uid="{00000000-0005-0000-0000-000065210000}"/>
    <cellStyle name="Note 3 2 2 2 8 2 2" xfId="15497" xr:uid="{072C4ADB-6A57-43F8-BB9E-7D5704056B2B}"/>
    <cellStyle name="Note 3 2 2 2 8 3" xfId="11279" xr:uid="{E1082FC7-ABC8-474D-BA67-2A4ACFC37D7C}"/>
    <cellStyle name="Note 3 2 2 2 9" xfId="4913" xr:uid="{00000000-0005-0000-0000-000066210000}"/>
    <cellStyle name="Note 3 2 2 2 9 2" xfId="13352" xr:uid="{CB997393-B23C-4FE9-B69B-D70B964EF190}"/>
    <cellStyle name="Note 3 2 2 3" xfId="1015" xr:uid="{00000000-0005-0000-0000-000067210000}"/>
    <cellStyle name="Note 3 2 2 3 2" xfId="3247" xr:uid="{00000000-0005-0000-0000-000068210000}"/>
    <cellStyle name="Note 3 2 2 3 2 2" xfId="7470" xr:uid="{00000000-0005-0000-0000-000069210000}"/>
    <cellStyle name="Note 3 2 2 3 2 2 2" xfId="15909" xr:uid="{8EE403E8-BE44-42DA-962C-17220E3E1CCA}"/>
    <cellStyle name="Note 3 2 2 3 2 3" xfId="11691" xr:uid="{D483FD10-744F-40E3-AA2A-67047FFEAB1E}"/>
    <cellStyle name="Note 3 2 2 3 3" xfId="5325" xr:uid="{00000000-0005-0000-0000-00006A210000}"/>
    <cellStyle name="Note 3 2 2 3 3 2" xfId="13764" xr:uid="{B84CE538-8DA4-421E-8A55-614947466F98}"/>
    <cellStyle name="Note 3 2 2 3 4" xfId="9546" xr:uid="{738A41C1-6152-4688-A8CA-B3D41F2506CA}"/>
    <cellStyle name="Note 3 2 2 4" xfId="1430" xr:uid="{00000000-0005-0000-0000-00006B210000}"/>
    <cellStyle name="Note 3 2 2 4 2" xfId="3660" xr:uid="{00000000-0005-0000-0000-00006C210000}"/>
    <cellStyle name="Note 3 2 2 4 2 2" xfId="7883" xr:uid="{00000000-0005-0000-0000-00006D210000}"/>
    <cellStyle name="Note 3 2 2 4 2 2 2" xfId="16322" xr:uid="{B6CF8741-BC43-44F1-8E74-6AB1CB8C2AFD}"/>
    <cellStyle name="Note 3 2 2 4 2 3" xfId="12104" xr:uid="{3B258ECF-AAE0-4F8E-A66E-9EE94B2CBA7C}"/>
    <cellStyle name="Note 3 2 2 4 3" xfId="5738" xr:uid="{00000000-0005-0000-0000-00006E210000}"/>
    <cellStyle name="Note 3 2 2 4 3 2" xfId="14177" xr:uid="{2DE5825A-4718-4F1E-AF42-C5AC5713DAFD}"/>
    <cellStyle name="Note 3 2 2 4 4" xfId="9959" xr:uid="{DA331080-AF79-475E-A993-DC9CD827F060}"/>
    <cellStyle name="Note 3 2 2 5" xfId="1844" xr:uid="{00000000-0005-0000-0000-00006F210000}"/>
    <cellStyle name="Note 3 2 2 5 2" xfId="4073" xr:uid="{00000000-0005-0000-0000-000070210000}"/>
    <cellStyle name="Note 3 2 2 5 2 2" xfId="8296" xr:uid="{00000000-0005-0000-0000-000071210000}"/>
    <cellStyle name="Note 3 2 2 5 2 2 2" xfId="16735" xr:uid="{7AFF2567-386A-4268-B97C-C34457ED505C}"/>
    <cellStyle name="Note 3 2 2 5 2 3" xfId="12517" xr:uid="{BE38B3CC-31E8-49A6-9A7C-2A7CC351A9A4}"/>
    <cellStyle name="Note 3 2 2 5 3" xfId="6151" xr:uid="{00000000-0005-0000-0000-000072210000}"/>
    <cellStyle name="Note 3 2 2 5 3 2" xfId="14590" xr:uid="{10516A28-B256-4C3F-9195-9545B7310D29}"/>
    <cellStyle name="Note 3 2 2 5 4" xfId="10372" xr:uid="{DFE732F3-EEC8-4190-B783-A17B5863C63B}"/>
    <cellStyle name="Note 3 2 2 6" xfId="2257" xr:uid="{00000000-0005-0000-0000-000073210000}"/>
    <cellStyle name="Note 3 2 2 6 2" xfId="4486" xr:uid="{00000000-0005-0000-0000-000074210000}"/>
    <cellStyle name="Note 3 2 2 6 2 2" xfId="8709" xr:uid="{00000000-0005-0000-0000-000075210000}"/>
    <cellStyle name="Note 3 2 2 6 2 2 2" xfId="17148" xr:uid="{B04BC38E-9FD7-4502-A41F-C9CEB0DCA5DC}"/>
    <cellStyle name="Note 3 2 2 6 2 3" xfId="12930" xr:uid="{CCD4F712-6B26-4FA1-A3F7-BC8F72547913}"/>
    <cellStyle name="Note 3 2 2 6 3" xfId="6564" xr:uid="{00000000-0005-0000-0000-000076210000}"/>
    <cellStyle name="Note 3 2 2 6 3 2" xfId="15003" xr:uid="{A260992F-4178-492F-888B-06599FC7620C}"/>
    <cellStyle name="Note 3 2 2 6 4" xfId="10785" xr:uid="{66F3DC9C-886A-4A8C-BBDA-85C752C31379}"/>
    <cellStyle name="Note 3 2 2 7" xfId="2693" xr:uid="{00000000-0005-0000-0000-000077210000}"/>
    <cellStyle name="Note 3 2 2 7 2" xfId="6977" xr:uid="{00000000-0005-0000-0000-000078210000}"/>
    <cellStyle name="Note 3 2 2 7 2 2" xfId="15416" xr:uid="{9BBCCA05-3CD4-485F-9593-00E3FB2ACE13}"/>
    <cellStyle name="Note 3 2 2 7 3" xfId="11198" xr:uid="{51804F7C-9845-414C-9F53-51A12337CC31}"/>
    <cellStyle name="Note 3 2 2 8" xfId="2752" xr:uid="{00000000-0005-0000-0000-000079210000}"/>
    <cellStyle name="Note 3 2 2 9" xfId="2833" xr:uid="{00000000-0005-0000-0000-00007A210000}"/>
    <cellStyle name="Note 3 2 2 9 2" xfId="7057" xr:uid="{00000000-0005-0000-0000-00007B210000}"/>
    <cellStyle name="Note 3 2 2 9 2 2" xfId="15496" xr:uid="{BBF6D47D-BCDA-4E7A-9C45-8613AFCB6305}"/>
    <cellStyle name="Note 3 2 2 9 3" xfId="11278" xr:uid="{29EA8DE5-1923-4433-818A-F1698845D2AC}"/>
    <cellStyle name="Note 3 2 3" xfId="557" xr:uid="{00000000-0005-0000-0000-00007C210000}"/>
    <cellStyle name="Note 3 2 3 10" xfId="9135" xr:uid="{629F3587-BA29-4604-99C6-6D04BA0756F9}"/>
    <cellStyle name="Note 3 2 3 2" xfId="1017" xr:uid="{00000000-0005-0000-0000-00007D210000}"/>
    <cellStyle name="Note 3 2 3 2 2" xfId="3249" xr:uid="{00000000-0005-0000-0000-00007E210000}"/>
    <cellStyle name="Note 3 2 3 2 2 2" xfId="7472" xr:uid="{00000000-0005-0000-0000-00007F210000}"/>
    <cellStyle name="Note 3 2 3 2 2 2 2" xfId="15911" xr:uid="{AD071684-0BFF-40E6-85EC-5003361238F3}"/>
    <cellStyle name="Note 3 2 3 2 2 3" xfId="11693" xr:uid="{D2A69340-D37E-4882-9E19-FCE33E0B32E0}"/>
    <cellStyle name="Note 3 2 3 2 3" xfId="5327" xr:uid="{00000000-0005-0000-0000-000080210000}"/>
    <cellStyle name="Note 3 2 3 2 3 2" xfId="13766" xr:uid="{21AEA642-938E-49CB-8ABC-C393DC1427F6}"/>
    <cellStyle name="Note 3 2 3 2 4" xfId="9548" xr:uid="{6F5D3F83-DF59-4526-BC47-EF49FB79359A}"/>
    <cellStyle name="Note 3 2 3 3" xfId="1432" xr:uid="{00000000-0005-0000-0000-000081210000}"/>
    <cellStyle name="Note 3 2 3 3 2" xfId="3662" xr:uid="{00000000-0005-0000-0000-000082210000}"/>
    <cellStyle name="Note 3 2 3 3 2 2" xfId="7885" xr:uid="{00000000-0005-0000-0000-000083210000}"/>
    <cellStyle name="Note 3 2 3 3 2 2 2" xfId="16324" xr:uid="{719AA7B3-B181-4C4A-BC04-28951A1290C7}"/>
    <cellStyle name="Note 3 2 3 3 2 3" xfId="12106" xr:uid="{6484D395-A64B-498F-BE08-BF43368857B0}"/>
    <cellStyle name="Note 3 2 3 3 3" xfId="5740" xr:uid="{00000000-0005-0000-0000-000084210000}"/>
    <cellStyle name="Note 3 2 3 3 3 2" xfId="14179" xr:uid="{7A02E61B-09E7-445A-BDAC-B18C1E7C574C}"/>
    <cellStyle name="Note 3 2 3 3 4" xfId="9961" xr:uid="{EEE63C28-A950-4464-BAAF-56C811CCA737}"/>
    <cellStyle name="Note 3 2 3 4" xfId="1846" xr:uid="{00000000-0005-0000-0000-000085210000}"/>
    <cellStyle name="Note 3 2 3 4 2" xfId="4075" xr:uid="{00000000-0005-0000-0000-000086210000}"/>
    <cellStyle name="Note 3 2 3 4 2 2" xfId="8298" xr:uid="{00000000-0005-0000-0000-000087210000}"/>
    <cellStyle name="Note 3 2 3 4 2 2 2" xfId="16737" xr:uid="{AA2F1212-C9BE-4FD4-8389-E6671E70B38D}"/>
    <cellStyle name="Note 3 2 3 4 2 3" xfId="12519" xr:uid="{DEEEAEF7-2064-459C-8766-904F4B605924}"/>
    <cellStyle name="Note 3 2 3 4 3" xfId="6153" xr:uid="{00000000-0005-0000-0000-000088210000}"/>
    <cellStyle name="Note 3 2 3 4 3 2" xfId="14592" xr:uid="{AD72564B-61C5-4AE3-8A5E-AC675FC6B59D}"/>
    <cellStyle name="Note 3 2 3 4 4" xfId="10374" xr:uid="{7106EFAF-1004-4714-9A74-F7A0C9A5206C}"/>
    <cellStyle name="Note 3 2 3 5" xfId="2259" xr:uid="{00000000-0005-0000-0000-000089210000}"/>
    <cellStyle name="Note 3 2 3 5 2" xfId="4488" xr:uid="{00000000-0005-0000-0000-00008A210000}"/>
    <cellStyle name="Note 3 2 3 5 2 2" xfId="8711" xr:uid="{00000000-0005-0000-0000-00008B210000}"/>
    <cellStyle name="Note 3 2 3 5 2 2 2" xfId="17150" xr:uid="{BBCEDF8B-DC40-4411-8FB9-1481BACF5406}"/>
    <cellStyle name="Note 3 2 3 5 2 3" xfId="12932" xr:uid="{7100C6AE-FA25-4CAF-90D7-77E3857500E7}"/>
    <cellStyle name="Note 3 2 3 5 3" xfId="6566" xr:uid="{00000000-0005-0000-0000-00008C210000}"/>
    <cellStyle name="Note 3 2 3 5 3 2" xfId="15005" xr:uid="{784E832F-38E4-4C93-98D2-872FF460BC14}"/>
    <cellStyle name="Note 3 2 3 5 4" xfId="10787" xr:uid="{6D9BE641-F631-44A4-9391-03E68AE41DE9}"/>
    <cellStyle name="Note 3 2 3 6" xfId="2695" xr:uid="{00000000-0005-0000-0000-00008D210000}"/>
    <cellStyle name="Note 3 2 3 6 2" xfId="6979" xr:uid="{00000000-0005-0000-0000-00008E210000}"/>
    <cellStyle name="Note 3 2 3 6 2 2" xfId="15418" xr:uid="{5E5DE064-3F00-4281-8D81-54743B1E506B}"/>
    <cellStyle name="Note 3 2 3 6 3" xfId="11200" xr:uid="{BAE93EA7-2AC0-4E4C-B9E1-5109169DC3D2}"/>
    <cellStyle name="Note 3 2 3 7" xfId="2754" xr:uid="{00000000-0005-0000-0000-00008F210000}"/>
    <cellStyle name="Note 3 2 3 8" xfId="2835" xr:uid="{00000000-0005-0000-0000-000090210000}"/>
    <cellStyle name="Note 3 2 3 8 2" xfId="7059" xr:uid="{00000000-0005-0000-0000-000091210000}"/>
    <cellStyle name="Note 3 2 3 8 2 2" xfId="15498" xr:uid="{A86F216C-C292-4F14-A81E-EA34577B16BF}"/>
    <cellStyle name="Note 3 2 3 8 3" xfId="11280" xr:uid="{4B9DA15F-5910-4EB4-8029-0893C6A9198F}"/>
    <cellStyle name="Note 3 2 3 9" xfId="4914" xr:uid="{00000000-0005-0000-0000-000092210000}"/>
    <cellStyle name="Note 3 2 3 9 2" xfId="13353" xr:uid="{E417DD2B-C483-4E72-B475-745CFC3E0A40}"/>
    <cellStyle name="Note 3 2 4" xfId="1014" xr:uid="{00000000-0005-0000-0000-000093210000}"/>
    <cellStyle name="Note 3 2 4 2" xfId="3246" xr:uid="{00000000-0005-0000-0000-000094210000}"/>
    <cellStyle name="Note 3 2 4 2 2" xfId="7469" xr:uid="{00000000-0005-0000-0000-000095210000}"/>
    <cellStyle name="Note 3 2 4 2 2 2" xfId="15908" xr:uid="{DFEFF954-CEE5-4B14-BD5D-C962C81CF08A}"/>
    <cellStyle name="Note 3 2 4 2 3" xfId="11690" xr:uid="{F5E6832F-A7C1-4E7E-948C-DA0624F63582}"/>
    <cellStyle name="Note 3 2 4 3" xfId="5324" xr:uid="{00000000-0005-0000-0000-000096210000}"/>
    <cellStyle name="Note 3 2 4 3 2" xfId="13763" xr:uid="{6ED5B6C4-D7A3-4F34-93E7-8F21B8A9A073}"/>
    <cellStyle name="Note 3 2 4 4" xfId="9545" xr:uid="{E8E69024-99A2-4CCF-934D-BAB195BA97D9}"/>
    <cellStyle name="Note 3 2 5" xfId="1429" xr:uid="{00000000-0005-0000-0000-000097210000}"/>
    <cellStyle name="Note 3 2 5 2" xfId="3659" xr:uid="{00000000-0005-0000-0000-000098210000}"/>
    <cellStyle name="Note 3 2 5 2 2" xfId="7882" xr:uid="{00000000-0005-0000-0000-000099210000}"/>
    <cellStyle name="Note 3 2 5 2 2 2" xfId="16321" xr:uid="{9479861A-5C23-4249-9F20-ABE1ABE39749}"/>
    <cellStyle name="Note 3 2 5 2 3" xfId="12103" xr:uid="{B9004BF0-3263-493B-827C-280B17DC1855}"/>
    <cellStyle name="Note 3 2 5 3" xfId="5737" xr:uid="{00000000-0005-0000-0000-00009A210000}"/>
    <cellStyle name="Note 3 2 5 3 2" xfId="14176" xr:uid="{649B19DF-915A-45DD-A1AE-1713F8B2A6E5}"/>
    <cellStyle name="Note 3 2 5 4" xfId="9958" xr:uid="{8E2DED8B-BA36-4D4E-B3D8-1FB468F64AB1}"/>
    <cellStyle name="Note 3 2 6" xfId="1843" xr:uid="{00000000-0005-0000-0000-00009B210000}"/>
    <cellStyle name="Note 3 2 6 2" xfId="4072" xr:uid="{00000000-0005-0000-0000-00009C210000}"/>
    <cellStyle name="Note 3 2 6 2 2" xfId="8295" xr:uid="{00000000-0005-0000-0000-00009D210000}"/>
    <cellStyle name="Note 3 2 6 2 2 2" xfId="16734" xr:uid="{A93C66BB-EF4D-47D0-A120-77C6CF1613D5}"/>
    <cellStyle name="Note 3 2 6 2 3" xfId="12516" xr:uid="{1D5410E3-1BED-40AD-AB43-9A6715F2AF91}"/>
    <cellStyle name="Note 3 2 6 3" xfId="6150" xr:uid="{00000000-0005-0000-0000-00009E210000}"/>
    <cellStyle name="Note 3 2 6 3 2" xfId="14589" xr:uid="{57E4BFD0-52B2-4EE7-A6C8-26A273122F0A}"/>
    <cellStyle name="Note 3 2 6 4" xfId="10371" xr:uid="{D15C920C-BDAF-4E6D-9020-71C4AAB1FB55}"/>
    <cellStyle name="Note 3 2 7" xfId="2256" xr:uid="{00000000-0005-0000-0000-00009F210000}"/>
    <cellStyle name="Note 3 2 7 2" xfId="4485" xr:uid="{00000000-0005-0000-0000-0000A0210000}"/>
    <cellStyle name="Note 3 2 7 2 2" xfId="8708" xr:uid="{00000000-0005-0000-0000-0000A1210000}"/>
    <cellStyle name="Note 3 2 7 2 2 2" xfId="17147" xr:uid="{B5410081-806A-493A-9DA0-7E7274BAD50A}"/>
    <cellStyle name="Note 3 2 7 2 3" xfId="12929" xr:uid="{39696D8D-AE5B-4D3A-B385-3225389BDECF}"/>
    <cellStyle name="Note 3 2 7 3" xfId="6563" xr:uid="{00000000-0005-0000-0000-0000A2210000}"/>
    <cellStyle name="Note 3 2 7 3 2" xfId="15002" xr:uid="{EB443427-F7FE-4D05-A188-94C3D5E7F38E}"/>
    <cellStyle name="Note 3 2 7 4" xfId="10784" xr:uid="{7B5C94C4-FE9F-49DE-AF1E-EEA67CABFB9B}"/>
    <cellStyle name="Note 3 2 8" xfId="2692" xr:uid="{00000000-0005-0000-0000-0000A3210000}"/>
    <cellStyle name="Note 3 2 8 2" xfId="6976" xr:uid="{00000000-0005-0000-0000-0000A4210000}"/>
    <cellStyle name="Note 3 2 8 2 2" xfId="15415" xr:uid="{603FB416-B54E-4CB1-A570-CD4CEAFEE7C6}"/>
    <cellStyle name="Note 3 2 8 3" xfId="11197" xr:uid="{7ACE8DDC-9AEB-4CBA-8509-7AF18FFEFBE5}"/>
    <cellStyle name="Note 3 2 9" xfId="2751" xr:uid="{00000000-0005-0000-0000-0000A5210000}"/>
    <cellStyle name="Note 3 3" xfId="558" xr:uid="{00000000-0005-0000-0000-0000A6210000}"/>
    <cellStyle name="Note 3 3 10" xfId="4915" xr:uid="{00000000-0005-0000-0000-0000A7210000}"/>
    <cellStyle name="Note 3 3 10 2" xfId="13354" xr:uid="{2C36EC3C-1BB5-403E-B841-43B48E301A68}"/>
    <cellStyle name="Note 3 3 11" xfId="9136" xr:uid="{05F5F748-7D3A-4517-A15D-D25C6023AE71}"/>
    <cellStyle name="Note 3 3 2" xfId="559" xr:uid="{00000000-0005-0000-0000-0000A8210000}"/>
    <cellStyle name="Note 3 3 2 10" xfId="9137" xr:uid="{F0A970C1-A586-4803-9AF7-269AF5A9BA73}"/>
    <cellStyle name="Note 3 3 2 2" xfId="1019" xr:uid="{00000000-0005-0000-0000-0000A9210000}"/>
    <cellStyle name="Note 3 3 2 2 2" xfId="3251" xr:uid="{00000000-0005-0000-0000-0000AA210000}"/>
    <cellStyle name="Note 3 3 2 2 2 2" xfId="7474" xr:uid="{00000000-0005-0000-0000-0000AB210000}"/>
    <cellStyle name="Note 3 3 2 2 2 2 2" xfId="15913" xr:uid="{6C8BC45C-32BB-4648-B36A-C2E8D69BD344}"/>
    <cellStyle name="Note 3 3 2 2 2 3" xfId="11695" xr:uid="{6F4C9077-34BF-4EF3-800C-38C5DE397DE8}"/>
    <cellStyle name="Note 3 3 2 2 3" xfId="5329" xr:uid="{00000000-0005-0000-0000-0000AC210000}"/>
    <cellStyle name="Note 3 3 2 2 3 2" xfId="13768" xr:uid="{F1018AC5-F86E-40B5-919C-BE73093AA207}"/>
    <cellStyle name="Note 3 3 2 2 4" xfId="9550" xr:uid="{8A6D9ED1-1C8F-42D4-8AE4-AC6D7437E6DA}"/>
    <cellStyle name="Note 3 3 2 3" xfId="1434" xr:uid="{00000000-0005-0000-0000-0000AD210000}"/>
    <cellStyle name="Note 3 3 2 3 2" xfId="3664" xr:uid="{00000000-0005-0000-0000-0000AE210000}"/>
    <cellStyle name="Note 3 3 2 3 2 2" xfId="7887" xr:uid="{00000000-0005-0000-0000-0000AF210000}"/>
    <cellStyle name="Note 3 3 2 3 2 2 2" xfId="16326" xr:uid="{640925E8-0078-411B-BE39-75FE382163DF}"/>
    <cellStyle name="Note 3 3 2 3 2 3" xfId="12108" xr:uid="{C220B590-3185-4A63-994C-336D2CC21167}"/>
    <cellStyle name="Note 3 3 2 3 3" xfId="5742" xr:uid="{00000000-0005-0000-0000-0000B0210000}"/>
    <cellStyle name="Note 3 3 2 3 3 2" xfId="14181" xr:uid="{89584090-F9AC-4EE2-8714-4D20DB2F279D}"/>
    <cellStyle name="Note 3 3 2 3 4" xfId="9963" xr:uid="{86447AE7-7804-4F1C-A64E-DFA87E648FC2}"/>
    <cellStyle name="Note 3 3 2 4" xfId="1848" xr:uid="{00000000-0005-0000-0000-0000B1210000}"/>
    <cellStyle name="Note 3 3 2 4 2" xfId="4077" xr:uid="{00000000-0005-0000-0000-0000B2210000}"/>
    <cellStyle name="Note 3 3 2 4 2 2" xfId="8300" xr:uid="{00000000-0005-0000-0000-0000B3210000}"/>
    <cellStyle name="Note 3 3 2 4 2 2 2" xfId="16739" xr:uid="{60504E88-E514-4A66-9506-A7A859F6523A}"/>
    <cellStyle name="Note 3 3 2 4 2 3" xfId="12521" xr:uid="{32342D87-3AD6-4F99-93C1-981819A0B3B7}"/>
    <cellStyle name="Note 3 3 2 4 3" xfId="6155" xr:uid="{00000000-0005-0000-0000-0000B4210000}"/>
    <cellStyle name="Note 3 3 2 4 3 2" xfId="14594" xr:uid="{DBD0EDB5-AF3B-45BD-87AA-E5CE9A2428B9}"/>
    <cellStyle name="Note 3 3 2 4 4" xfId="10376" xr:uid="{4147E571-0906-4C2A-A94F-684F1B5D22F2}"/>
    <cellStyle name="Note 3 3 2 5" xfId="2261" xr:uid="{00000000-0005-0000-0000-0000B5210000}"/>
    <cellStyle name="Note 3 3 2 5 2" xfId="4490" xr:uid="{00000000-0005-0000-0000-0000B6210000}"/>
    <cellStyle name="Note 3 3 2 5 2 2" xfId="8713" xr:uid="{00000000-0005-0000-0000-0000B7210000}"/>
    <cellStyle name="Note 3 3 2 5 2 2 2" xfId="17152" xr:uid="{7A15149B-DB19-4DF4-84FE-D90DB690D144}"/>
    <cellStyle name="Note 3 3 2 5 2 3" xfId="12934" xr:uid="{3A262A59-B207-4FAE-BFB6-35AEEA7D5651}"/>
    <cellStyle name="Note 3 3 2 5 3" xfId="6568" xr:uid="{00000000-0005-0000-0000-0000B8210000}"/>
    <cellStyle name="Note 3 3 2 5 3 2" xfId="15007" xr:uid="{F722E51F-3FC7-4099-BC52-85D6F41E0FF3}"/>
    <cellStyle name="Note 3 3 2 5 4" xfId="10789" xr:uid="{44AD48CB-A244-46CB-98A5-2BDBF9FD6DC3}"/>
    <cellStyle name="Note 3 3 2 6" xfId="2697" xr:uid="{00000000-0005-0000-0000-0000B9210000}"/>
    <cellStyle name="Note 3 3 2 6 2" xfId="6981" xr:uid="{00000000-0005-0000-0000-0000BA210000}"/>
    <cellStyle name="Note 3 3 2 6 2 2" xfId="15420" xr:uid="{F8F2DE2C-DE68-4676-AB4B-86BD420B2861}"/>
    <cellStyle name="Note 3 3 2 6 3" xfId="11202" xr:uid="{8161106E-8DD4-4FCC-9676-05CD83BF8F90}"/>
    <cellStyle name="Note 3 3 2 7" xfId="2756" xr:uid="{00000000-0005-0000-0000-0000BB210000}"/>
    <cellStyle name="Note 3 3 2 8" xfId="2837" xr:uid="{00000000-0005-0000-0000-0000BC210000}"/>
    <cellStyle name="Note 3 3 2 8 2" xfId="7061" xr:uid="{00000000-0005-0000-0000-0000BD210000}"/>
    <cellStyle name="Note 3 3 2 8 2 2" xfId="15500" xr:uid="{41977740-8A2D-4688-9D9B-751BC9181552}"/>
    <cellStyle name="Note 3 3 2 8 3" xfId="11282" xr:uid="{075931ED-A8A6-4237-9832-AC8121DF6689}"/>
    <cellStyle name="Note 3 3 2 9" xfId="4916" xr:uid="{00000000-0005-0000-0000-0000BE210000}"/>
    <cellStyle name="Note 3 3 2 9 2" xfId="13355" xr:uid="{FDE245FC-7F04-4704-A494-40634EE9C9AF}"/>
    <cellStyle name="Note 3 3 3" xfId="1018" xr:uid="{00000000-0005-0000-0000-0000BF210000}"/>
    <cellStyle name="Note 3 3 3 2" xfId="3250" xr:uid="{00000000-0005-0000-0000-0000C0210000}"/>
    <cellStyle name="Note 3 3 3 2 2" xfId="7473" xr:uid="{00000000-0005-0000-0000-0000C1210000}"/>
    <cellStyle name="Note 3 3 3 2 2 2" xfId="15912" xr:uid="{B9C1AE49-56C8-42F3-83C8-341CCA064111}"/>
    <cellStyle name="Note 3 3 3 2 3" xfId="11694" xr:uid="{BF7DAA5C-05E2-4594-82B2-0957EFF18AC4}"/>
    <cellStyle name="Note 3 3 3 3" xfId="5328" xr:uid="{00000000-0005-0000-0000-0000C2210000}"/>
    <cellStyle name="Note 3 3 3 3 2" xfId="13767" xr:uid="{5B182BB6-B634-43A3-8CA7-B5AD5C185B2C}"/>
    <cellStyle name="Note 3 3 3 4" xfId="9549" xr:uid="{BE2099D1-5483-452E-8971-35B00F7D01C9}"/>
    <cellStyle name="Note 3 3 4" xfId="1433" xr:uid="{00000000-0005-0000-0000-0000C3210000}"/>
    <cellStyle name="Note 3 3 4 2" xfId="3663" xr:uid="{00000000-0005-0000-0000-0000C4210000}"/>
    <cellStyle name="Note 3 3 4 2 2" xfId="7886" xr:uid="{00000000-0005-0000-0000-0000C5210000}"/>
    <cellStyle name="Note 3 3 4 2 2 2" xfId="16325" xr:uid="{804B55C5-41F5-46C8-8D36-6602D272325B}"/>
    <cellStyle name="Note 3 3 4 2 3" xfId="12107" xr:uid="{24990A5B-C13C-457B-8FC1-F610B224B174}"/>
    <cellStyle name="Note 3 3 4 3" xfId="5741" xr:uid="{00000000-0005-0000-0000-0000C6210000}"/>
    <cellStyle name="Note 3 3 4 3 2" xfId="14180" xr:uid="{8B6618FF-F004-49CE-99DB-6AA9543A29AC}"/>
    <cellStyle name="Note 3 3 4 4" xfId="9962" xr:uid="{D34A8166-EC79-46A2-B585-782716A87531}"/>
    <cellStyle name="Note 3 3 5" xfId="1847" xr:uid="{00000000-0005-0000-0000-0000C7210000}"/>
    <cellStyle name="Note 3 3 5 2" xfId="4076" xr:uid="{00000000-0005-0000-0000-0000C8210000}"/>
    <cellStyle name="Note 3 3 5 2 2" xfId="8299" xr:uid="{00000000-0005-0000-0000-0000C9210000}"/>
    <cellStyle name="Note 3 3 5 2 2 2" xfId="16738" xr:uid="{F570EAE3-3CFA-4B5F-9BC3-8358CE37ED56}"/>
    <cellStyle name="Note 3 3 5 2 3" xfId="12520" xr:uid="{355457E6-B3D1-450F-B77A-B3DD62A84E65}"/>
    <cellStyle name="Note 3 3 5 3" xfId="6154" xr:uid="{00000000-0005-0000-0000-0000CA210000}"/>
    <cellStyle name="Note 3 3 5 3 2" xfId="14593" xr:uid="{C4230681-AB9D-4D52-8B07-395CA330E64E}"/>
    <cellStyle name="Note 3 3 5 4" xfId="10375" xr:uid="{13270874-CBDF-4DB9-A2FE-88ED91C95934}"/>
    <cellStyle name="Note 3 3 6" xfId="2260" xr:uid="{00000000-0005-0000-0000-0000CB210000}"/>
    <cellStyle name="Note 3 3 6 2" xfId="4489" xr:uid="{00000000-0005-0000-0000-0000CC210000}"/>
    <cellStyle name="Note 3 3 6 2 2" xfId="8712" xr:uid="{00000000-0005-0000-0000-0000CD210000}"/>
    <cellStyle name="Note 3 3 6 2 2 2" xfId="17151" xr:uid="{B3E88D51-0FC3-492B-A43D-5C93DA3BA764}"/>
    <cellStyle name="Note 3 3 6 2 3" xfId="12933" xr:uid="{C3DE506D-573E-498C-8929-ABD6F0D34A3F}"/>
    <cellStyle name="Note 3 3 6 3" xfId="6567" xr:uid="{00000000-0005-0000-0000-0000CE210000}"/>
    <cellStyle name="Note 3 3 6 3 2" xfId="15006" xr:uid="{B4A71470-8F23-4D8E-8FC7-2B35824A42E8}"/>
    <cellStyle name="Note 3 3 6 4" xfId="10788" xr:uid="{97D5AF62-D452-4064-9648-C2DF241BC712}"/>
    <cellStyle name="Note 3 3 7" xfId="2696" xr:uid="{00000000-0005-0000-0000-0000CF210000}"/>
    <cellStyle name="Note 3 3 7 2" xfId="6980" xr:uid="{00000000-0005-0000-0000-0000D0210000}"/>
    <cellStyle name="Note 3 3 7 2 2" xfId="15419" xr:uid="{B2CB269E-68FF-4BD2-8F19-BFB38ACDB720}"/>
    <cellStyle name="Note 3 3 7 3" xfId="11201" xr:uid="{C70864D2-DE51-48AD-A268-DE242728295C}"/>
    <cellStyle name="Note 3 3 8" xfId="2755" xr:uid="{00000000-0005-0000-0000-0000D1210000}"/>
    <cellStyle name="Note 3 3 9" xfId="2836" xr:uid="{00000000-0005-0000-0000-0000D2210000}"/>
    <cellStyle name="Note 3 3 9 2" xfId="7060" xr:uid="{00000000-0005-0000-0000-0000D3210000}"/>
    <cellStyle name="Note 3 3 9 2 2" xfId="15499" xr:uid="{D320B25B-1CF3-4A49-A38F-60D333565B74}"/>
    <cellStyle name="Note 3 3 9 3" xfId="11281" xr:uid="{04D95E22-D696-4FCA-A54F-262D99BC0F5B}"/>
    <cellStyle name="Note 3 4" xfId="560" xr:uid="{00000000-0005-0000-0000-0000D4210000}"/>
    <cellStyle name="Note 3 4 10" xfId="9138" xr:uid="{CA3CE50F-930E-4FCC-93FC-1621E42F0FAA}"/>
    <cellStyle name="Note 3 4 2" xfId="1020" xr:uid="{00000000-0005-0000-0000-0000D5210000}"/>
    <cellStyle name="Note 3 4 2 2" xfId="3252" xr:uid="{00000000-0005-0000-0000-0000D6210000}"/>
    <cellStyle name="Note 3 4 2 2 2" xfId="7475" xr:uid="{00000000-0005-0000-0000-0000D7210000}"/>
    <cellStyle name="Note 3 4 2 2 2 2" xfId="15914" xr:uid="{219AFA1B-7C25-4FB6-B780-8E5EC9841E4C}"/>
    <cellStyle name="Note 3 4 2 2 3" xfId="11696" xr:uid="{91FA97C8-B0E0-43C5-A353-CD856361AE80}"/>
    <cellStyle name="Note 3 4 2 3" xfId="5330" xr:uid="{00000000-0005-0000-0000-0000D8210000}"/>
    <cellStyle name="Note 3 4 2 3 2" xfId="13769" xr:uid="{0AA08BE3-F27D-452E-88D5-4951F0D33245}"/>
    <cellStyle name="Note 3 4 2 4" xfId="9551" xr:uid="{22C4257E-11D1-4E50-B07F-9E8FBB1F00BE}"/>
    <cellStyle name="Note 3 4 3" xfId="1435" xr:uid="{00000000-0005-0000-0000-0000D9210000}"/>
    <cellStyle name="Note 3 4 3 2" xfId="3665" xr:uid="{00000000-0005-0000-0000-0000DA210000}"/>
    <cellStyle name="Note 3 4 3 2 2" xfId="7888" xr:uid="{00000000-0005-0000-0000-0000DB210000}"/>
    <cellStyle name="Note 3 4 3 2 2 2" xfId="16327" xr:uid="{1FCAEA37-FAFD-4710-8CEB-AC51D2FCDC3D}"/>
    <cellStyle name="Note 3 4 3 2 3" xfId="12109" xr:uid="{9318F201-7AB5-4E00-9E7A-57C59F0FCD9B}"/>
    <cellStyle name="Note 3 4 3 3" xfId="5743" xr:uid="{00000000-0005-0000-0000-0000DC210000}"/>
    <cellStyle name="Note 3 4 3 3 2" xfId="14182" xr:uid="{0A19131C-5D0E-4490-8048-BE8A39DA8507}"/>
    <cellStyle name="Note 3 4 3 4" xfId="9964" xr:uid="{76216D64-F06C-4FA6-95FB-BE4D719A5216}"/>
    <cellStyle name="Note 3 4 4" xfId="1849" xr:uid="{00000000-0005-0000-0000-0000DD210000}"/>
    <cellStyle name="Note 3 4 4 2" xfId="4078" xr:uid="{00000000-0005-0000-0000-0000DE210000}"/>
    <cellStyle name="Note 3 4 4 2 2" xfId="8301" xr:uid="{00000000-0005-0000-0000-0000DF210000}"/>
    <cellStyle name="Note 3 4 4 2 2 2" xfId="16740" xr:uid="{87D678E9-FB0B-4C6D-A634-5BD428D51E76}"/>
    <cellStyle name="Note 3 4 4 2 3" xfId="12522" xr:uid="{CCD84C49-246D-45A1-86A7-E2F566520C1D}"/>
    <cellStyle name="Note 3 4 4 3" xfId="6156" xr:uid="{00000000-0005-0000-0000-0000E0210000}"/>
    <cellStyle name="Note 3 4 4 3 2" xfId="14595" xr:uid="{BFB37075-3985-45F8-8508-94ECB387CB55}"/>
    <cellStyle name="Note 3 4 4 4" xfId="10377" xr:uid="{032D19A6-6D6F-4244-901A-BB156BAD6498}"/>
    <cellStyle name="Note 3 4 5" xfId="2262" xr:uid="{00000000-0005-0000-0000-0000E1210000}"/>
    <cellStyle name="Note 3 4 5 2" xfId="4491" xr:uid="{00000000-0005-0000-0000-0000E2210000}"/>
    <cellStyle name="Note 3 4 5 2 2" xfId="8714" xr:uid="{00000000-0005-0000-0000-0000E3210000}"/>
    <cellStyle name="Note 3 4 5 2 2 2" xfId="17153" xr:uid="{E655B083-41D2-481F-8AE8-711D969E9DC6}"/>
    <cellStyle name="Note 3 4 5 2 3" xfId="12935" xr:uid="{3BDFB17E-1435-4519-80CD-A66DCF7379C7}"/>
    <cellStyle name="Note 3 4 5 3" xfId="6569" xr:uid="{00000000-0005-0000-0000-0000E4210000}"/>
    <cellStyle name="Note 3 4 5 3 2" xfId="15008" xr:uid="{0AE4D7BF-4BAE-4D52-92D5-36E814049C81}"/>
    <cellStyle name="Note 3 4 5 4" xfId="10790" xr:uid="{E7F84AC8-5360-43F4-BAC7-283F4F877D99}"/>
    <cellStyle name="Note 3 4 6" xfId="2698" xr:uid="{00000000-0005-0000-0000-0000E5210000}"/>
    <cellStyle name="Note 3 4 6 2" xfId="6982" xr:uid="{00000000-0005-0000-0000-0000E6210000}"/>
    <cellStyle name="Note 3 4 6 2 2" xfId="15421" xr:uid="{6AE84473-B774-41C4-9CF9-3010490B55BB}"/>
    <cellStyle name="Note 3 4 6 3" xfId="11203" xr:uid="{289FDF21-91EB-43FF-A556-85847E0BBE11}"/>
    <cellStyle name="Note 3 4 7" xfId="2757" xr:uid="{00000000-0005-0000-0000-0000E7210000}"/>
    <cellStyle name="Note 3 4 8" xfId="2838" xr:uid="{00000000-0005-0000-0000-0000E8210000}"/>
    <cellStyle name="Note 3 4 8 2" xfId="7062" xr:uid="{00000000-0005-0000-0000-0000E9210000}"/>
    <cellStyle name="Note 3 4 8 2 2" xfId="15501" xr:uid="{F2276AFA-38A7-4699-B08D-42C166AC2734}"/>
    <cellStyle name="Note 3 4 8 3" xfId="11283" xr:uid="{C5538B46-AD99-469F-A4EE-BFB3160B3AA2}"/>
    <cellStyle name="Note 3 4 9" xfId="4917" xr:uid="{00000000-0005-0000-0000-0000EA210000}"/>
    <cellStyle name="Note 3 4 9 2" xfId="13356" xr:uid="{1DB4576E-AC23-4639-A868-53CA060E9AD0}"/>
    <cellStyle name="Note 3 5" xfId="561" xr:uid="{00000000-0005-0000-0000-0000EB210000}"/>
    <cellStyle name="Note 3 5 10" xfId="9139" xr:uid="{E93BD0F3-0C0D-4282-BEED-8C616A8D4546}"/>
    <cellStyle name="Note 3 5 2" xfId="1021" xr:uid="{00000000-0005-0000-0000-0000EC210000}"/>
    <cellStyle name="Note 3 5 2 2" xfId="3253" xr:uid="{00000000-0005-0000-0000-0000ED210000}"/>
    <cellStyle name="Note 3 5 2 2 2" xfId="7476" xr:uid="{00000000-0005-0000-0000-0000EE210000}"/>
    <cellStyle name="Note 3 5 2 2 2 2" xfId="15915" xr:uid="{C5883AE2-4226-4DCE-86A2-E79133FB4C98}"/>
    <cellStyle name="Note 3 5 2 2 3" xfId="11697" xr:uid="{9CE24C24-C422-400C-98FE-C2ABA1D47200}"/>
    <cellStyle name="Note 3 5 2 3" xfId="5331" xr:uid="{00000000-0005-0000-0000-0000EF210000}"/>
    <cellStyle name="Note 3 5 2 3 2" xfId="13770" xr:uid="{25F0CD83-802E-4768-A2D1-F700356E14FD}"/>
    <cellStyle name="Note 3 5 2 4" xfId="9552" xr:uid="{D2841EF3-FB16-49E9-8C8F-8C1DAEEB65DF}"/>
    <cellStyle name="Note 3 5 3" xfId="1436" xr:uid="{00000000-0005-0000-0000-0000F0210000}"/>
    <cellStyle name="Note 3 5 3 2" xfId="3666" xr:uid="{00000000-0005-0000-0000-0000F1210000}"/>
    <cellStyle name="Note 3 5 3 2 2" xfId="7889" xr:uid="{00000000-0005-0000-0000-0000F2210000}"/>
    <cellStyle name="Note 3 5 3 2 2 2" xfId="16328" xr:uid="{35CB6166-BAA3-46A1-A35F-B994774731E9}"/>
    <cellStyle name="Note 3 5 3 2 3" xfId="12110" xr:uid="{A4AD6C0B-CCD7-41D3-8D20-7C4CD262CE8D}"/>
    <cellStyle name="Note 3 5 3 3" xfId="5744" xr:uid="{00000000-0005-0000-0000-0000F3210000}"/>
    <cellStyle name="Note 3 5 3 3 2" xfId="14183" xr:uid="{A073C67E-C631-47CE-9CBD-BC1C96E560C1}"/>
    <cellStyle name="Note 3 5 3 4" xfId="9965" xr:uid="{34086CE1-E811-48AD-96C2-48A662B432E5}"/>
    <cellStyle name="Note 3 5 4" xfId="1850" xr:uid="{00000000-0005-0000-0000-0000F4210000}"/>
    <cellStyle name="Note 3 5 4 2" xfId="4079" xr:uid="{00000000-0005-0000-0000-0000F5210000}"/>
    <cellStyle name="Note 3 5 4 2 2" xfId="8302" xr:uid="{00000000-0005-0000-0000-0000F6210000}"/>
    <cellStyle name="Note 3 5 4 2 2 2" xfId="16741" xr:uid="{DC2AD6AB-A1B2-4A24-951C-EDA857F2A5EA}"/>
    <cellStyle name="Note 3 5 4 2 3" xfId="12523" xr:uid="{5277AC4F-F4BF-4171-A9C9-7B7F4B6AFE13}"/>
    <cellStyle name="Note 3 5 4 3" xfId="6157" xr:uid="{00000000-0005-0000-0000-0000F7210000}"/>
    <cellStyle name="Note 3 5 4 3 2" xfId="14596" xr:uid="{B7A7027E-FD51-488B-8980-07505975F36E}"/>
    <cellStyle name="Note 3 5 4 4" xfId="10378" xr:uid="{1DE29F5F-7936-48DF-941C-FAD6603B152B}"/>
    <cellStyle name="Note 3 5 5" xfId="2263" xr:uid="{00000000-0005-0000-0000-0000F8210000}"/>
    <cellStyle name="Note 3 5 5 2" xfId="4492" xr:uid="{00000000-0005-0000-0000-0000F9210000}"/>
    <cellStyle name="Note 3 5 5 2 2" xfId="8715" xr:uid="{00000000-0005-0000-0000-0000FA210000}"/>
    <cellStyle name="Note 3 5 5 2 2 2" xfId="17154" xr:uid="{7A1A2B85-7030-4B6F-9FCB-1A844AA7F567}"/>
    <cellStyle name="Note 3 5 5 2 3" xfId="12936" xr:uid="{812A6BCE-946C-4CC3-A405-B3EC86CA6345}"/>
    <cellStyle name="Note 3 5 5 3" xfId="6570" xr:uid="{00000000-0005-0000-0000-0000FB210000}"/>
    <cellStyle name="Note 3 5 5 3 2" xfId="15009" xr:uid="{AF40503A-7317-4A25-B1FF-207F7D73149E}"/>
    <cellStyle name="Note 3 5 5 4" xfId="10791" xr:uid="{DEB8B752-6E11-4D2D-AEED-FB700B931E30}"/>
    <cellStyle name="Note 3 5 6" xfId="2699" xr:uid="{00000000-0005-0000-0000-0000FC210000}"/>
    <cellStyle name="Note 3 5 6 2" xfId="6983" xr:uid="{00000000-0005-0000-0000-0000FD210000}"/>
    <cellStyle name="Note 3 5 6 2 2" xfId="15422" xr:uid="{B6AE7C03-CB5F-400A-AA86-DA72104FD7D0}"/>
    <cellStyle name="Note 3 5 6 3" xfId="11204" xr:uid="{329F29FF-7F44-4752-A50B-BF3D15D78AC5}"/>
    <cellStyle name="Note 3 5 7" xfId="2758" xr:uid="{00000000-0005-0000-0000-0000FE210000}"/>
    <cellStyle name="Note 3 5 8" xfId="2839" xr:uid="{00000000-0005-0000-0000-0000FF210000}"/>
    <cellStyle name="Note 3 5 8 2" xfId="7063" xr:uid="{00000000-0005-0000-0000-000000220000}"/>
    <cellStyle name="Note 3 5 8 2 2" xfId="15502" xr:uid="{92F9D862-5984-4BAD-8BC8-E12B56601B9C}"/>
    <cellStyle name="Note 3 5 8 3" xfId="11284" xr:uid="{A7145991-EAFF-42E3-89A6-D0FA7AE5F39D}"/>
    <cellStyle name="Note 3 5 9" xfId="4918" xr:uid="{00000000-0005-0000-0000-000001220000}"/>
    <cellStyle name="Note 3 5 9 2" xfId="13357" xr:uid="{CB2E7715-AB47-44F8-9141-B7BDC11D9A1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0" xr:uid="{309A3934-8E8F-4DFE-AAE8-EB723E195198}"/>
    <cellStyle name="Percent 4" xfId="4502" xr:uid="{00000000-0005-0000-0000-000007220000}"/>
    <cellStyle name="Percent 4 2" xfId="8718" xr:uid="{00000000-0005-0000-0000-000008220000}"/>
    <cellStyle name="Percent 4 2 2" xfId="17157" xr:uid="{559EB129-BAA0-46CC-A764-B6AE361EDAFD}"/>
    <cellStyle name="Percent 4 3" xfId="8721" xr:uid="{D09CD3FC-D632-4B66-A68A-5CC92F993799}"/>
    <cellStyle name="Percent 4 3 2" xfId="8725" xr:uid="{D57AE941-8E59-43F0-AB73-09B3BCCFA234}"/>
    <cellStyle name="Percent 4 3 2 2" xfId="17163" xr:uid="{8EC00953-5102-4594-BA68-7BA73B19276A}"/>
    <cellStyle name="Percent 4 3 3" xfId="17160" xr:uid="{70CC2585-ABFE-482B-A4CA-D7E9FC8F762D}"/>
    <cellStyle name="Percent 4 4" xfId="12943" xr:uid="{EAE40594-E2F3-4925-90FC-44759C2876A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2" t="s">
        <v>559</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5"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2434</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90"/>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90"/>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4" t="s">
        <v>2435</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90"/>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90"/>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90"/>
    </row>
    <row r="14" spans="1:38" ht="13.15" customHeight="1">
      <c r="A14" s="218"/>
      <c r="B14" s="218"/>
      <c r="C14" s="219"/>
      <c r="E14" s="1264" t="s">
        <v>2436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90"/>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90"/>
    </row>
    <row r="16" spans="1:38">
      <c r="A16" s="218"/>
      <c r="B16" s="218"/>
      <c r="C16" s="219"/>
      <c r="D16" s="490"/>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4" t="s">
        <v>2437</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customHeight="1">
      <c r="A28" s="218"/>
      <c r="B28" s="218"/>
      <c r="C28" s="219"/>
      <c r="E28" s="1264" t="s">
        <v>2438</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c r="A30" s="218"/>
      <c r="B30" s="218"/>
      <c r="C30" s="219"/>
      <c r="D30" s="490"/>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4" t="s">
        <v>2439</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90"/>
      <c r="E33" s="1271" t="s">
        <v>2624</v>
      </c>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c r="AL33" s="218"/>
    </row>
    <row r="34" spans="1:38">
      <c r="A34" s="4"/>
      <c r="C34" s="2"/>
    </row>
    <row r="35" spans="1:38">
      <c r="A35" s="4"/>
      <c r="D35" s="1265" t="s">
        <v>2619</v>
      </c>
      <c r="E35" s="1265"/>
      <c r="F35" s="1265"/>
      <c r="G35" s="1265"/>
      <c r="H35" s="1265"/>
      <c r="I35" s="1265"/>
      <c r="J35" s="1265"/>
      <c r="K35" s="1265"/>
      <c r="L35" s="1265"/>
      <c r="M35" s="1265"/>
      <c r="N35" s="1265"/>
      <c r="O35" s="1265"/>
      <c r="P35" s="1265"/>
      <c r="Q35" s="1265"/>
      <c r="R35" s="1265"/>
      <c r="S35" s="1265"/>
      <c r="T35" s="1265"/>
      <c r="U35" s="1265"/>
      <c r="V35" s="1265"/>
      <c r="W35" s="1265"/>
      <c r="X35" s="1265"/>
      <c r="Y35" s="1265"/>
      <c r="Z35" s="1265"/>
      <c r="AA35" s="1265"/>
      <c r="AB35" s="1265"/>
      <c r="AC35" s="1265"/>
      <c r="AD35" s="1265"/>
      <c r="AE35" s="1265"/>
      <c r="AF35" s="1265"/>
      <c r="AG35" s="1265"/>
      <c r="AH35" s="1265"/>
      <c r="AI35" s="1265"/>
      <c r="AJ35" s="1265"/>
      <c r="AK35" s="1265"/>
    </row>
    <row r="36" spans="1:38">
      <c r="A36" s="4"/>
      <c r="D36" s="1265"/>
      <c r="E36" s="1265"/>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1265"/>
      <c r="AG36" s="1265"/>
      <c r="AH36" s="1265"/>
      <c r="AI36" s="1265"/>
      <c r="AJ36" s="1265"/>
      <c r="AK36" s="1265"/>
    </row>
    <row r="37" spans="1:38">
      <c r="A37" s="4"/>
      <c r="D37" s="120"/>
      <c r="E37" s="1270" t="s">
        <v>2446</v>
      </c>
      <c r="F37" s="1270"/>
      <c r="G37" s="1270"/>
      <c r="H37" s="1270"/>
      <c r="I37" s="1270"/>
      <c r="J37" s="1270"/>
      <c r="K37" s="1270"/>
      <c r="L37" s="1270"/>
      <c r="M37" s="1270"/>
      <c r="N37" s="1270"/>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row>
    <row r="38" spans="1:38">
      <c r="A38" s="4"/>
      <c r="D38" s="120"/>
      <c r="E38" s="1270" t="s">
        <v>2447</v>
      </c>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662</v>
      </c>
      <c r="F42" s="1264" t="s">
        <v>1307</v>
      </c>
    </row>
    <row r="43" spans="1:38" s="1264" customFormat="1" ht="13.15" customHeight="1">
      <c r="A43" s="4"/>
      <c r="B43"/>
      <c r="C43" s="2"/>
      <c r="D43" s="4"/>
      <c r="E43" s="4"/>
    </row>
    <row r="44" spans="1:38">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349</v>
      </c>
      <c r="F45" s="1268" t="s">
        <v>1403</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1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697</v>
      </c>
      <c r="G48" s="3" t="s">
        <v>2440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4" t="s">
        <v>2441</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6" t="s">
        <v>1334</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6" t="s">
        <v>584</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6" t="s">
        <v>2442</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1309</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518</v>
      </c>
      <c r="G69" s="1264" t="s">
        <v>1310</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4" t="s">
        <v>1311</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518</v>
      </c>
      <c r="G74" s="1264" t="s">
        <v>1312</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1313</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1314</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894</v>
      </c>
      <c r="G89" s="4"/>
      <c r="L89" s="4"/>
      <c r="M89" s="4"/>
      <c r="P89" s="4"/>
      <c r="Q89" s="4"/>
      <c r="R89" s="4"/>
      <c r="S89" s="4"/>
      <c r="T89" s="4"/>
      <c r="U89" s="4"/>
      <c r="V89" s="4"/>
      <c r="W89" s="4"/>
      <c r="X89" s="4"/>
      <c r="Y89" s="4"/>
      <c r="Z89" s="4"/>
      <c r="AA89" s="4"/>
      <c r="AB89" s="4"/>
    </row>
    <row r="90" spans="1:37">
      <c r="A90" s="4"/>
      <c r="C90" s="2"/>
      <c r="D90" s="4"/>
      <c r="E90" s="4"/>
      <c r="G90" s="1273" t="s">
        <v>1315</v>
      </c>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c r="G91" s="1273"/>
      <c r="H91" s="1273"/>
      <c r="I91" s="1273"/>
      <c r="J91" s="1273"/>
      <c r="K91" s="1273"/>
      <c r="L91" s="1273"/>
      <c r="M91" s="1273"/>
      <c r="N91" s="1273"/>
      <c r="O91" s="1273"/>
      <c r="P91" s="1273"/>
      <c r="Q91" s="1273"/>
      <c r="R91" s="1273"/>
      <c r="S91" s="1273"/>
      <c r="T91" s="1273"/>
      <c r="U91" s="1273"/>
      <c r="V91" s="1273"/>
      <c r="W91" s="1273"/>
      <c r="X91" s="1273"/>
      <c r="Y91" s="1273"/>
      <c r="Z91" s="1273"/>
      <c r="AA91" s="1273"/>
      <c r="AB91" s="1273"/>
      <c r="AC91" s="1273"/>
      <c r="AD91" s="1273"/>
      <c r="AE91" s="1273"/>
      <c r="AF91" s="1273"/>
      <c r="AG91" s="1273"/>
      <c r="AH91" s="1273"/>
      <c r="AI91" s="1273"/>
      <c r="AJ91" s="1273"/>
      <c r="AK91" s="1273"/>
    </row>
    <row r="92" spans="1:37">
      <c r="A92" s="4"/>
      <c r="C92" s="2"/>
      <c r="D92" s="4"/>
      <c r="E92" s="4"/>
      <c r="G92" s="1273"/>
      <c r="H92" s="1273"/>
      <c r="I92" s="1273"/>
      <c r="J92" s="1273"/>
      <c r="K92" s="1273"/>
      <c r="L92" s="1273"/>
      <c r="M92" s="1273"/>
      <c r="N92" s="1273"/>
      <c r="O92" s="1273"/>
      <c r="P92" s="1273"/>
      <c r="Q92" s="1273"/>
      <c r="R92" s="1273"/>
      <c r="S92" s="1273"/>
      <c r="T92" s="1273"/>
      <c r="U92" s="1273"/>
      <c r="V92" s="1273"/>
      <c r="W92" s="1273"/>
      <c r="X92" s="1273"/>
      <c r="Y92" s="1273"/>
      <c r="Z92" s="1273"/>
      <c r="AA92" s="1273"/>
      <c r="AB92" s="1273"/>
      <c r="AC92" s="1273"/>
      <c r="AD92" s="1273"/>
      <c r="AE92" s="1273"/>
      <c r="AF92" s="1273"/>
      <c r="AG92" s="1273"/>
      <c r="AH92" s="1273"/>
      <c r="AI92" s="1273"/>
      <c r="AJ92" s="1273"/>
      <c r="AK92" s="1273"/>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1316</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4" t="s">
        <v>1317</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74" t="s">
        <v>1318</v>
      </c>
      <c r="F100" s="1274"/>
      <c r="G100" s="1274"/>
      <c r="H100" s="1274"/>
      <c r="I100" s="1274"/>
      <c r="J100" s="1274"/>
      <c r="K100" s="1274"/>
      <c r="L100" s="1274"/>
      <c r="M100" s="1274"/>
      <c r="N100" s="1274"/>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row>
    <row r="101" spans="1:38">
      <c r="A101" s="4"/>
      <c r="D101" s="99"/>
      <c r="E101" s="1274"/>
      <c r="F101" s="1274"/>
      <c r="G101" s="1274"/>
      <c r="H101" s="1274"/>
      <c r="I101" s="1274"/>
      <c r="J101" s="1274"/>
      <c r="K101" s="1274"/>
      <c r="L101" s="1274"/>
      <c r="M101" s="1274"/>
      <c r="N101" s="1274"/>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1329</v>
      </c>
      <c r="H105" s="2"/>
      <c r="I105" s="2"/>
      <c r="K105" s="2"/>
    </row>
    <row r="106" spans="1:38">
      <c r="B106" s="2"/>
      <c r="C106" s="2"/>
      <c r="D106" s="2" t="s">
        <v>208</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379</v>
      </c>
    </row>
    <row r="123" spans="2:16">
      <c r="E123" s="4"/>
      <c r="F123" s="4" t="s">
        <v>1064</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962</v>
      </c>
      <c r="F127" s="4"/>
    </row>
    <row r="128" spans="2:16"/>
    <row r="129" spans="4:37">
      <c r="D129" s="2" t="s">
        <v>342</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304</v>
      </c>
      <c r="E140" s="2" t="s">
        <v>2443</v>
      </c>
      <c r="F140" s="2"/>
      <c r="G140" s="2"/>
      <c r="H140" s="2"/>
    </row>
    <row r="141" spans="4:37">
      <c r="E141" t="s">
        <v>113</v>
      </c>
      <c r="F141" t="s">
        <v>52</v>
      </c>
    </row>
    <row r="142" spans="4:37">
      <c r="E142" t="s">
        <v>114</v>
      </c>
      <c r="F142" t="s">
        <v>475</v>
      </c>
    </row>
    <row r="143" spans="4:37"/>
    <row r="144" spans="4:37">
      <c r="D144" s="2" t="s">
        <v>430</v>
      </c>
      <c r="E144" s="2" t="s">
        <v>2444</v>
      </c>
    </row>
    <row r="145" spans="3:7">
      <c r="E145" s="218" t="s">
        <v>2445</v>
      </c>
      <c r="F145" s="218"/>
    </row>
    <row r="146" spans="3:7"/>
    <row r="147" spans="3:7">
      <c r="C147" s="2" t="s">
        <v>6</v>
      </c>
      <c r="G147" s="2" t="s">
        <v>381</v>
      </c>
    </row>
    <row r="148" spans="3:7">
      <c r="D148" s="2" t="s">
        <v>208</v>
      </c>
      <c r="E148" s="2" t="s">
        <v>136</v>
      </c>
    </row>
    <row r="149" spans="3:7">
      <c r="E149" t="s">
        <v>821</v>
      </c>
    </row>
    <row r="150" spans="3:7"/>
    <row r="151" spans="3:7">
      <c r="D151" s="2" t="s">
        <v>342</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304</v>
      </c>
      <c r="E163" s="2" t="s">
        <v>382</v>
      </c>
    </row>
    <row r="164" spans="3:20">
      <c r="E164" s="4" t="s">
        <v>968</v>
      </c>
      <c r="F164" s="4"/>
    </row>
    <row r="165" spans="3:20"/>
    <row r="166" spans="3:20">
      <c r="D166" s="2" t="s">
        <v>430</v>
      </c>
      <c r="E166" s="2" t="s">
        <v>172</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298</v>
      </c>
    </row>
    <row r="173" spans="3:20">
      <c r="F173" s="4"/>
    </row>
    <row r="174" spans="3:20">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342</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4" t="s">
        <v>1319</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349</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979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342</v>
      </c>
      <c r="E316" s="2" t="s">
        <v>763</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4" t="s">
        <v>1294</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1376</v>
      </c>
      <c r="I342" s="2"/>
      <c r="J342" s="4"/>
      <c r="K342" s="4"/>
      <c r="L342" s="4"/>
      <c r="M342" s="4"/>
      <c r="N342" s="4"/>
      <c r="O342" s="4"/>
      <c r="P342" s="4"/>
      <c r="Q342" s="4"/>
      <c r="R342" s="4"/>
      <c r="S342" s="4"/>
    </row>
    <row r="343" spans="2:37" ht="13.15" customHeight="1">
      <c r="B343" s="2"/>
      <c r="E343" s="1266" t="s">
        <v>1383</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t="s">
        <v>113</v>
      </c>
      <c r="F348" s="1264" t="s">
        <v>1385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114</v>
      </c>
      <c r="F352" s="1264" t="s">
        <v>1384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7" t="s">
        <v>1374</v>
      </c>
      <c r="F367" s="1267"/>
      <c r="G367" s="1267"/>
      <c r="H367" s="1267"/>
      <c r="I367" s="1267"/>
      <c r="J367" s="1267"/>
      <c r="K367" s="1267"/>
      <c r="L367" s="1267"/>
      <c r="M367" s="1267"/>
      <c r="N367" s="1267"/>
      <c r="O367" s="1267"/>
      <c r="P367" s="1267"/>
      <c r="Q367" s="1267"/>
      <c r="R367" s="1267"/>
      <c r="S367" s="1267"/>
      <c r="T367" s="1267"/>
      <c r="U367" s="1267"/>
      <c r="V367" s="1267"/>
      <c r="W367" s="1267"/>
      <c r="X367" s="1267"/>
      <c r="Y367" s="1267"/>
      <c r="Z367" s="1267"/>
      <c r="AA367" s="1267"/>
      <c r="AB367" s="1267"/>
      <c r="AC367" s="1267"/>
      <c r="AD367" s="1267"/>
      <c r="AE367" s="1267"/>
      <c r="AF367" s="1267"/>
      <c r="AG367" s="1267"/>
      <c r="AH367" s="1267"/>
      <c r="AI367" s="1267"/>
      <c r="AJ367" s="1267"/>
      <c r="AK367" s="1267"/>
      <c r="AL367" s="1267"/>
    </row>
    <row r="368" spans="1:38">
      <c r="B368" s="2"/>
      <c r="E368" s="1267"/>
      <c r="F368" s="1267"/>
      <c r="G368" s="1267"/>
      <c r="H368" s="1267"/>
      <c r="I368" s="1267"/>
      <c r="J368" s="1267"/>
      <c r="K368" s="1267"/>
      <c r="L368" s="1267"/>
      <c r="M368" s="1267"/>
      <c r="N368" s="1267"/>
      <c r="O368" s="1267"/>
      <c r="P368" s="1267"/>
      <c r="Q368" s="1267"/>
      <c r="R368" s="1267"/>
      <c r="S368" s="1267"/>
      <c r="T368" s="1267"/>
      <c r="U368" s="1267"/>
      <c r="V368" s="1267"/>
      <c r="W368" s="1267"/>
      <c r="X368" s="1267"/>
      <c r="Y368" s="1267"/>
      <c r="Z368" s="1267"/>
      <c r="AA368" s="1267"/>
      <c r="AB368" s="1267"/>
      <c r="AC368" s="1267"/>
      <c r="AD368" s="1267"/>
      <c r="AE368" s="1267"/>
      <c r="AF368" s="1267"/>
      <c r="AG368" s="1267"/>
      <c r="AH368" s="1267"/>
      <c r="AI368" s="1267"/>
      <c r="AJ368" s="1267"/>
      <c r="AK368" s="1267"/>
      <c r="AL368" s="1267"/>
    </row>
    <row r="369" spans="1:37" s="1269" customFormat="1">
      <c r="A369"/>
      <c r="B369" s="2"/>
      <c r="C369"/>
      <c r="D369"/>
      <c r="E369" s="1268"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1418</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4" t="s">
        <v>1429</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1435</v>
      </c>
      <c r="F392" s="3"/>
      <c r="G392" s="2"/>
      <c r="I392" s="120"/>
      <c r="J392" s="3"/>
      <c r="K392" s="3"/>
      <c r="L392" s="3"/>
      <c r="M392" s="3"/>
      <c r="N392" s="3"/>
      <c r="O392" s="3"/>
      <c r="P392" s="3"/>
      <c r="Q392" s="3"/>
      <c r="R392" s="3"/>
      <c r="S392" s="3"/>
    </row>
    <row r="393" spans="1:38" ht="13.1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61"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67" t="s">
        <v>2522</v>
      </c>
      <c r="B1" s="2468"/>
      <c r="C1" s="2468"/>
      <c r="D1" s="2468"/>
      <c r="E1" s="2468"/>
      <c r="F1" s="2468"/>
      <c r="G1" s="2468"/>
      <c r="H1" s="2468"/>
      <c r="I1" s="2468"/>
      <c r="J1" s="2468"/>
      <c r="K1" s="2468"/>
      <c r="L1" s="2468"/>
      <c r="M1" s="2468"/>
      <c r="N1" s="2468"/>
      <c r="O1" s="2468"/>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9"/>
    </row>
    <row r="2" spans="1:65" ht="15.75" customHeight="1">
      <c r="A2" s="2470" t="s">
        <v>2570</v>
      </c>
      <c r="B2" s="2471"/>
      <c r="C2" s="2471"/>
      <c r="D2" s="2471"/>
      <c r="E2" s="2471"/>
      <c r="F2" s="2471"/>
      <c r="G2" s="2471"/>
      <c r="H2" s="2471"/>
      <c r="I2" s="2471"/>
      <c r="J2" s="2471"/>
      <c r="K2" s="2471"/>
      <c r="L2" s="2471"/>
      <c r="M2" s="2471"/>
      <c r="N2" s="2471"/>
      <c r="O2" s="2471"/>
      <c r="P2" s="2471"/>
      <c r="Q2" s="2471"/>
      <c r="R2" s="2471"/>
      <c r="S2" s="2471"/>
      <c r="T2" s="2471"/>
      <c r="U2" s="2471"/>
      <c r="V2" s="2471"/>
      <c r="W2" s="2471"/>
      <c r="X2" s="2471"/>
      <c r="Y2" s="2471"/>
      <c r="Z2" s="2471"/>
      <c r="AA2" s="2471"/>
      <c r="AB2" s="2471"/>
      <c r="AC2" s="2471"/>
      <c r="AD2" s="2471"/>
      <c r="AE2" s="2471"/>
      <c r="AF2" s="2471"/>
      <c r="AG2" s="2471"/>
      <c r="AH2" s="2471"/>
      <c r="AI2" s="2471"/>
      <c r="AJ2" s="2471"/>
      <c r="AK2" s="2471"/>
      <c r="AL2" s="2471"/>
      <c r="AM2" s="2471"/>
      <c r="AN2" s="2471"/>
      <c r="AO2" s="2471"/>
      <c r="AP2" s="2471"/>
      <c r="AQ2" s="2471"/>
      <c r="AR2" s="2471"/>
      <c r="AS2" s="2471"/>
      <c r="AT2" s="2471"/>
      <c r="AU2" s="2471"/>
      <c r="AV2" s="2471"/>
      <c r="AW2" s="2471"/>
      <c r="AX2" s="2471"/>
      <c r="AY2" s="2471"/>
      <c r="AZ2" s="2471"/>
      <c r="BA2" s="2471"/>
      <c r="BB2" s="2471"/>
      <c r="BC2" s="2471"/>
      <c r="BD2" s="2471"/>
      <c r="BE2" s="247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59" t="str">
        <f>IF(Application!H18="","",Application!H18)</f>
        <v>Palm Villas at Millennium</v>
      </c>
      <c r="M4" s="2460"/>
      <c r="N4" s="2460"/>
      <c r="O4" s="2460"/>
      <c r="P4" s="2460"/>
      <c r="Q4" s="2460"/>
      <c r="R4" s="2460"/>
      <c r="S4" s="2460"/>
      <c r="T4" s="2460"/>
      <c r="U4" s="2460"/>
      <c r="V4" s="2460"/>
      <c r="W4" s="2460"/>
      <c r="X4" s="2460"/>
      <c r="Y4" s="2460"/>
      <c r="Z4" s="2460"/>
      <c r="AA4" s="2460"/>
      <c r="AB4" s="2460"/>
      <c r="AC4" s="2461"/>
      <c r="AD4" s="1207"/>
      <c r="AE4" s="1207"/>
      <c r="AF4" s="2473" t="s">
        <v>2571</v>
      </c>
      <c r="AG4" s="2473"/>
      <c r="AH4" s="2473"/>
      <c r="AI4" s="2473"/>
      <c r="AJ4" s="2473"/>
      <c r="AK4" s="2473"/>
      <c r="AL4" s="2473"/>
      <c r="AM4" s="2473"/>
      <c r="AN4" s="2473"/>
      <c r="AO4" s="2473"/>
      <c r="AP4" s="2474"/>
      <c r="AQ4" s="2475"/>
      <c r="AR4" s="2475"/>
      <c r="AS4" s="2475"/>
      <c r="AT4" s="2475"/>
      <c r="AU4" s="247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3" t="s">
        <v>2572</v>
      </c>
      <c r="AG5" s="2473"/>
      <c r="AH5" s="2473"/>
      <c r="AI5" s="2473"/>
      <c r="AJ5" s="2473"/>
      <c r="AK5" s="2473"/>
      <c r="AL5" s="2473"/>
      <c r="AM5" s="2473"/>
      <c r="AN5" s="2473"/>
      <c r="AO5" s="2473"/>
      <c r="AP5" s="2474"/>
      <c r="AQ5" s="2475"/>
      <c r="AR5" s="2475"/>
      <c r="AS5" s="2475"/>
      <c r="AT5" s="2475"/>
      <c r="AU5" s="2475"/>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59" t="str">
        <f>IF(Application!H16="","",Application!H16)</f>
        <v xml:space="preserve">Palm Communities or Assignee </v>
      </c>
      <c r="M6" s="2460"/>
      <c r="N6" s="2460"/>
      <c r="O6" s="2460"/>
      <c r="P6" s="2460"/>
      <c r="Q6" s="2460"/>
      <c r="R6" s="2460"/>
      <c r="S6" s="2460"/>
      <c r="T6" s="2460"/>
      <c r="U6" s="2460"/>
      <c r="V6" s="2460"/>
      <c r="W6" s="2460"/>
      <c r="X6" s="2460"/>
      <c r="Y6" s="2460"/>
      <c r="Z6" s="2460"/>
      <c r="AA6" s="2460"/>
      <c r="AB6" s="2460"/>
      <c r="AC6" s="2461"/>
      <c r="AD6" s="1207"/>
      <c r="AE6" s="1207"/>
      <c r="AF6" s="2462" t="s">
        <v>2573</v>
      </c>
      <c r="AG6" s="2462"/>
      <c r="AH6" s="2462"/>
      <c r="AI6" s="2462"/>
      <c r="AJ6" s="2462"/>
      <c r="AK6" s="2462"/>
      <c r="AL6" s="2462"/>
      <c r="AM6" s="2462"/>
      <c r="AN6" s="2462"/>
      <c r="AO6" s="2462"/>
      <c r="AP6" s="2463">
        <v>0</v>
      </c>
      <c r="AQ6" s="2463"/>
      <c r="AR6" s="2463"/>
      <c r="AS6" s="2463"/>
      <c r="AT6" s="2463"/>
      <c r="AU6" s="2463"/>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62" t="s">
        <v>2574</v>
      </c>
      <c r="AG7" s="2462"/>
      <c r="AH7" s="2462"/>
      <c r="AI7" s="2462"/>
      <c r="AJ7" s="2462"/>
      <c r="AK7" s="2462"/>
      <c r="AL7" s="2462"/>
      <c r="AM7" s="2462"/>
      <c r="AN7" s="2462"/>
      <c r="AO7" s="2462"/>
      <c r="AP7" s="2463">
        <v>0</v>
      </c>
      <c r="AQ7" s="2463"/>
      <c r="AR7" s="2463"/>
      <c r="AS7" s="2463"/>
      <c r="AT7" s="2463"/>
      <c r="AU7" s="2463"/>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4" t="str">
        <f>Application!T196</f>
        <v>No</v>
      </c>
      <c r="AC8" s="2465"/>
      <c r="AD8" s="2466"/>
      <c r="AE8" s="1207"/>
      <c r="AF8" s="2462" t="s">
        <v>2575</v>
      </c>
      <c r="AG8" s="2462"/>
      <c r="AH8" s="2462"/>
      <c r="AI8" s="2462"/>
      <c r="AJ8" s="2462"/>
      <c r="AK8" s="2462"/>
      <c r="AL8" s="2462"/>
      <c r="AM8" s="2462"/>
      <c r="AN8" s="2462"/>
      <c r="AO8" s="2462"/>
      <c r="AP8" s="2463" t="s">
        <v>2527</v>
      </c>
      <c r="AQ8" s="2463"/>
      <c r="AR8" s="2463"/>
      <c r="AS8" s="2463"/>
      <c r="AT8" s="2463"/>
      <c r="AU8" s="2463"/>
      <c r="AV8" s="1207"/>
      <c r="AW8" s="1207"/>
      <c r="AX8" s="1207"/>
      <c r="AY8" s="1207"/>
      <c r="AZ8" s="1207"/>
      <c r="BA8" s="1207"/>
      <c r="BB8" s="1207"/>
      <c r="BC8" s="1207"/>
      <c r="BD8" s="1207"/>
      <c r="BE8" s="1208"/>
      <c r="BM8" s="1204" t="s">
        <v>2378</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2576</v>
      </c>
    </row>
    <row r="10" spans="1:65" ht="15">
      <c r="A10" s="1206"/>
      <c r="B10" s="1209" t="s">
        <v>1861</v>
      </c>
      <c r="C10" s="1209"/>
      <c r="D10" s="1209"/>
      <c r="E10" s="1209"/>
      <c r="F10" s="1209"/>
      <c r="G10" s="1209"/>
      <c r="H10" s="1209"/>
      <c r="I10" s="1209"/>
      <c r="J10" s="1209"/>
      <c r="K10" s="1209"/>
      <c r="L10" s="1209"/>
      <c r="M10" s="1207"/>
      <c r="N10" s="2455">
        <f>Application!AO623</f>
        <v>11571269</v>
      </c>
      <c r="O10" s="2455"/>
      <c r="P10" s="2455"/>
      <c r="Q10" s="2455"/>
      <c r="R10" s="2455"/>
      <c r="S10" s="2455"/>
      <c r="T10" s="2455"/>
      <c r="U10" s="1207"/>
      <c r="V10" s="1207"/>
      <c r="W10" s="1207"/>
      <c r="X10" s="2441" t="s">
        <v>2577</v>
      </c>
      <c r="Y10" s="2441"/>
      <c r="Z10" s="2441"/>
      <c r="AA10" s="2441"/>
      <c r="AB10" s="2441"/>
      <c r="AC10" s="2441"/>
      <c r="AD10" s="2441"/>
      <c r="AE10" s="2441"/>
      <c r="AF10" s="2441"/>
      <c r="AG10" s="2441"/>
      <c r="AH10" s="2441"/>
      <c r="AI10" s="2441"/>
      <c r="AJ10" s="2441"/>
      <c r="AK10" s="2441"/>
      <c r="AL10" s="2456">
        <f>Application!W471</f>
        <v>0</v>
      </c>
      <c r="AM10" s="2457"/>
      <c r="AN10" s="2457"/>
      <c r="AO10" s="2457"/>
      <c r="AP10" s="2457"/>
      <c r="AQ10" s="1210"/>
      <c r="AR10" s="1210"/>
      <c r="AS10" s="1210"/>
      <c r="AT10" s="1210"/>
      <c r="AU10" s="1210"/>
      <c r="AV10" s="1210"/>
      <c r="AW10" s="1210"/>
      <c r="AX10" s="1207"/>
      <c r="AY10" s="1207"/>
      <c r="AZ10" s="1207"/>
      <c r="BA10" s="1207"/>
      <c r="BB10" s="1207"/>
      <c r="BC10" s="1207"/>
      <c r="BD10" s="1207"/>
      <c r="BE10" s="1208"/>
      <c r="BM10" s="1204" t="s">
        <v>2578</v>
      </c>
    </row>
    <row r="11" spans="1:65" ht="15">
      <c r="A11" s="1206"/>
      <c r="B11" s="1209" t="s">
        <v>1862</v>
      </c>
      <c r="C11" s="1209"/>
      <c r="D11" s="1209"/>
      <c r="E11" s="1209"/>
      <c r="F11" s="1209"/>
      <c r="G11" s="1209"/>
      <c r="H11" s="1209"/>
      <c r="I11" s="1209"/>
      <c r="J11" s="1209"/>
      <c r="K11" s="1209"/>
      <c r="L11" s="1209"/>
      <c r="M11" s="1207"/>
      <c r="N11" s="2455">
        <f>Application!AA911</f>
        <v>0</v>
      </c>
      <c r="O11" s="2455"/>
      <c r="P11" s="2455"/>
      <c r="Q11" s="2455"/>
      <c r="R11" s="2455"/>
      <c r="S11" s="2455"/>
      <c r="T11" s="2455"/>
      <c r="U11" s="1207"/>
      <c r="V11" s="1207"/>
      <c r="W11" s="1207"/>
      <c r="X11" s="2458" t="s">
        <v>2579</v>
      </c>
      <c r="Y11" s="2458"/>
      <c r="Z11" s="2458"/>
      <c r="AA11" s="2458"/>
      <c r="AB11" s="2458"/>
      <c r="AC11" s="2458"/>
      <c r="AD11" s="2458"/>
      <c r="AE11" s="2458"/>
      <c r="AF11" s="2458"/>
      <c r="AG11" s="2458"/>
      <c r="AH11" s="2458"/>
      <c r="AI11" s="2458"/>
      <c r="AJ11" s="2458"/>
      <c r="AK11" s="2458"/>
      <c r="AL11" s="2442"/>
      <c r="AM11" s="2443"/>
      <c r="AN11" s="2443"/>
      <c r="AO11" s="2443"/>
      <c r="AP11" s="2443"/>
      <c r="AQ11" s="1211"/>
      <c r="AR11" s="1212"/>
      <c r="AS11" s="1210"/>
      <c r="AT11" s="1210"/>
      <c r="AU11" s="1210"/>
      <c r="AV11" s="1210"/>
      <c r="AW11" s="1210"/>
      <c r="AX11" s="1207"/>
      <c r="AY11" s="1207"/>
      <c r="AZ11" s="1207"/>
      <c r="BA11" s="1207"/>
      <c r="BB11" s="1207"/>
      <c r="BC11" s="1207"/>
      <c r="BD11" s="1207"/>
      <c r="BE11" s="1208"/>
      <c r="BM11" s="1204" t="s">
        <v>2527</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41" t="s">
        <v>2580</v>
      </c>
      <c r="Y12" s="2441"/>
      <c r="Z12" s="2441"/>
      <c r="AA12" s="2441"/>
      <c r="AB12" s="2441"/>
      <c r="AC12" s="2441"/>
      <c r="AD12" s="2441"/>
      <c r="AE12" s="2441"/>
      <c r="AF12" s="2441"/>
      <c r="AG12" s="2441"/>
      <c r="AH12" s="2441"/>
      <c r="AI12" s="2441"/>
      <c r="AJ12" s="2441"/>
      <c r="AK12" s="2441"/>
      <c r="AL12" s="2442"/>
      <c r="AM12" s="2443"/>
      <c r="AN12" s="2443"/>
      <c r="AO12" s="2443"/>
      <c r="AP12" s="2443"/>
      <c r="AQ12" s="1210"/>
      <c r="AR12" s="1210"/>
      <c r="AS12" s="1210"/>
      <c r="AT12" s="1210"/>
      <c r="AU12" s="1210"/>
      <c r="AV12" s="1207"/>
      <c r="AW12" s="1207"/>
      <c r="AX12" s="1207"/>
      <c r="AY12" s="1207"/>
      <c r="AZ12" s="1207"/>
      <c r="BA12" s="1207"/>
      <c r="BB12" s="1207"/>
      <c r="BC12" s="1207"/>
      <c r="BD12" s="1207"/>
      <c r="BE12" s="1213"/>
      <c r="BM12" s="1204" t="s">
        <v>2581</v>
      </c>
    </row>
    <row r="13" spans="1:65" thickBot="1">
      <c r="A13" s="1207"/>
      <c r="B13" s="2444" t="s">
        <v>1863</v>
      </c>
      <c r="C13" s="2445"/>
      <c r="D13" s="2445"/>
      <c r="E13" s="2445"/>
      <c r="F13" s="2445"/>
      <c r="G13" s="2445"/>
      <c r="H13" s="2445"/>
      <c r="I13" s="2445"/>
      <c r="J13" s="2445"/>
      <c r="K13" s="2445"/>
      <c r="L13" s="2445"/>
      <c r="M13" s="2445"/>
      <c r="N13" s="2445"/>
      <c r="O13" s="2445"/>
      <c r="P13" s="2446"/>
      <c r="Q13" s="2447" t="s">
        <v>678</v>
      </c>
      <c r="R13" s="2448"/>
      <c r="S13" s="2448"/>
      <c r="T13" s="244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2582</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50" t="s">
        <v>1864</v>
      </c>
      <c r="C15" s="2451"/>
      <c r="D15" s="2451"/>
      <c r="E15" s="2451"/>
      <c r="F15" s="2451"/>
      <c r="G15" s="2451"/>
      <c r="H15" s="2451"/>
      <c r="I15" s="2451"/>
      <c r="J15" s="2451"/>
      <c r="K15" s="2451"/>
      <c r="L15" s="2451"/>
      <c r="M15" s="2451"/>
      <c r="N15" s="2451"/>
      <c r="O15" s="2451"/>
      <c r="P15" s="2451"/>
      <c r="Q15" s="2451"/>
      <c r="R15" s="2452"/>
      <c r="S15" s="2453" t="str">
        <f>IF(Application!AB214="","",Application!AB214)</f>
        <v/>
      </c>
      <c r="T15" s="2453"/>
      <c r="U15" s="2453"/>
      <c r="V15" s="2453"/>
      <c r="W15" s="245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05" t="s">
        <v>1865</v>
      </c>
      <c r="C17" s="2306"/>
      <c r="D17" s="2306"/>
      <c r="E17" s="2306"/>
      <c r="F17" s="2306"/>
      <c r="G17" s="2306"/>
      <c r="H17" s="2306"/>
      <c r="I17" s="2306"/>
      <c r="J17" s="2306"/>
      <c r="K17" s="2306"/>
      <c r="L17" s="2306"/>
      <c r="M17" s="2306"/>
      <c r="N17" s="2306"/>
      <c r="O17" s="2306"/>
      <c r="P17" s="2306"/>
      <c r="Q17" s="2306"/>
      <c r="R17" s="2306"/>
      <c r="S17" s="2306"/>
      <c r="T17" s="2306"/>
      <c r="U17" s="2306"/>
      <c r="V17" s="2306"/>
      <c r="W17" s="2306"/>
      <c r="X17" s="2306"/>
      <c r="Y17" s="2306"/>
      <c r="Z17" s="2306"/>
      <c r="AA17" s="2306"/>
      <c r="AB17" s="2306"/>
      <c r="AC17" s="2306"/>
      <c r="AD17" s="2306"/>
      <c r="AE17" s="2306"/>
      <c r="AF17" s="2306"/>
      <c r="AG17" s="2306"/>
      <c r="AH17" s="2306"/>
      <c r="AI17" s="2306"/>
      <c r="AJ17" s="2306"/>
      <c r="AK17" s="2306"/>
      <c r="AL17" s="2306"/>
      <c r="AM17" s="2306"/>
      <c r="AN17" s="2306"/>
      <c r="AO17" s="2306"/>
      <c r="AP17" s="2306"/>
      <c r="AQ17" s="2306"/>
      <c r="AR17" s="2306"/>
      <c r="AS17" s="2306"/>
      <c r="AT17" s="2306"/>
      <c r="AU17" s="2306"/>
      <c r="AV17" s="2306"/>
      <c r="AW17" s="2306"/>
      <c r="AX17" s="2306"/>
      <c r="AY17" s="2307"/>
      <c r="AZ17" s="1207"/>
      <c r="BA17" s="1207"/>
      <c r="BB17" s="1207"/>
      <c r="BC17" s="1207"/>
      <c r="BD17" s="1207"/>
      <c r="BE17" s="1213"/>
      <c r="BF17" s="1205"/>
    </row>
    <row r="18" spans="1:58" ht="15.75" customHeight="1">
      <c r="A18" s="1207"/>
      <c r="B18" s="2434" t="s">
        <v>1866</v>
      </c>
      <c r="C18" s="2435"/>
      <c r="D18" s="2435"/>
      <c r="E18" s="2435"/>
      <c r="F18" s="2435"/>
      <c r="G18" s="2435"/>
      <c r="H18" s="2435"/>
      <c r="I18" s="2436"/>
      <c r="J18" s="2437" t="s">
        <v>1765</v>
      </c>
      <c r="K18" s="2438"/>
      <c r="L18" s="2438"/>
      <c r="M18" s="2438"/>
      <c r="N18" s="2438"/>
      <c r="O18" s="2439"/>
      <c r="P18" s="2437" t="s">
        <v>325</v>
      </c>
      <c r="Q18" s="2438"/>
      <c r="R18" s="2438"/>
      <c r="S18" s="2438"/>
      <c r="T18" s="2438"/>
      <c r="U18" s="2439"/>
      <c r="V18" s="2437" t="s">
        <v>326</v>
      </c>
      <c r="W18" s="2438"/>
      <c r="X18" s="2438"/>
      <c r="Y18" s="2438"/>
      <c r="Z18" s="2438"/>
      <c r="AA18" s="2439"/>
      <c r="AB18" s="2437" t="s">
        <v>164</v>
      </c>
      <c r="AC18" s="2438"/>
      <c r="AD18" s="2438"/>
      <c r="AE18" s="2438"/>
      <c r="AF18" s="2438"/>
      <c r="AG18" s="2439"/>
      <c r="AH18" s="2437" t="s">
        <v>165</v>
      </c>
      <c r="AI18" s="2438"/>
      <c r="AJ18" s="2438"/>
      <c r="AK18" s="2438"/>
      <c r="AL18" s="2438"/>
      <c r="AM18" s="2439"/>
      <c r="AN18" s="2437" t="s">
        <v>166</v>
      </c>
      <c r="AO18" s="2438"/>
      <c r="AP18" s="2438"/>
      <c r="AQ18" s="2438"/>
      <c r="AR18" s="2438"/>
      <c r="AS18" s="2439"/>
      <c r="AT18" s="2437" t="s">
        <v>1867</v>
      </c>
      <c r="AU18" s="2438"/>
      <c r="AV18" s="2438"/>
      <c r="AW18" s="2438"/>
      <c r="AX18" s="2438"/>
      <c r="AY18" s="2440"/>
      <c r="AZ18" s="1207"/>
      <c r="BA18" s="1207"/>
      <c r="BB18" s="1207"/>
      <c r="BC18" s="1207"/>
      <c r="BD18" s="1207"/>
      <c r="BE18" s="1213"/>
    </row>
    <row r="19" spans="1:58" ht="15">
      <c r="A19" s="1207"/>
      <c r="B19" s="2431">
        <v>0.3</v>
      </c>
      <c r="C19" s="2432"/>
      <c r="D19" s="2432"/>
      <c r="E19" s="2432"/>
      <c r="F19" s="2432"/>
      <c r="G19" s="2432"/>
      <c r="H19" s="2432"/>
      <c r="I19" s="2433"/>
      <c r="J19" s="2416">
        <f>SUM(P19:AS19)</f>
        <v>45</v>
      </c>
      <c r="K19" s="2417"/>
      <c r="L19" s="2417"/>
      <c r="M19" s="2417"/>
      <c r="N19" s="2417"/>
      <c r="O19" s="2418"/>
      <c r="P19" s="2416" cm="1">
        <f t="array" ref="P19">SUMPRODUCT((Application!$B$714:$B$738 = 'CalHFA Addendum'!P$18)*(Application!$AC$714:$AC$738 = 'CalHFA Addendum'!$B19),Application!$G$714:$G$738)</f>
        <v>0</v>
      </c>
      <c r="Q19" s="2417"/>
      <c r="R19" s="2417"/>
      <c r="S19" s="2417"/>
      <c r="T19" s="2417"/>
      <c r="U19" s="2418"/>
      <c r="V19" s="2416" cm="1">
        <f t="array" ref="V19">SUMPRODUCT((Application!$B$714:$B$738 = 'CalHFA Addendum'!V$18)*(Application!$AC$714:$AC$738 = 'CalHFA Addendum'!$B19),Application!$G$714:$G$738)</f>
        <v>15</v>
      </c>
      <c r="W19" s="2417"/>
      <c r="X19" s="2417"/>
      <c r="Y19" s="2417"/>
      <c r="Z19" s="2417"/>
      <c r="AA19" s="2418"/>
      <c r="AB19" s="2416" cm="1">
        <f t="array" ref="AB19">SUMPRODUCT((Application!$B$714:$B$738 = 'CalHFA Addendum'!AB$18)*(Application!$AC$714:$AC$738 = 'CalHFA Addendum'!$B19),Application!$G$714:$G$738)</f>
        <v>21</v>
      </c>
      <c r="AC19" s="2417"/>
      <c r="AD19" s="2417"/>
      <c r="AE19" s="2417"/>
      <c r="AF19" s="2417"/>
      <c r="AG19" s="2418"/>
      <c r="AH19" s="2416" cm="1">
        <f t="array" ref="AH19">SUMPRODUCT((Application!$B$714:$B$738 = 'CalHFA Addendum'!AH$18)*(Application!$AC$714:$AC$738 = 'CalHFA Addendum'!$B19),Application!$G$714:$G$738)</f>
        <v>9</v>
      </c>
      <c r="AI19" s="2417"/>
      <c r="AJ19" s="2417"/>
      <c r="AK19" s="2417"/>
      <c r="AL19" s="2417"/>
      <c r="AM19" s="2418"/>
      <c r="AN19" s="2416" cm="1">
        <f t="array" ref="AN19">SUMPRODUCT((Application!$B$714:$B$738 = 'CalHFA Addendum'!AN$18)*(Application!$AC$714:$AC$738 = 'CalHFA Addendum'!$B19),Application!$G$714:$G$738)</f>
        <v>0</v>
      </c>
      <c r="AO19" s="2417"/>
      <c r="AP19" s="2417"/>
      <c r="AQ19" s="2417"/>
      <c r="AR19" s="2417"/>
      <c r="AS19" s="2418"/>
      <c r="AT19" s="2419">
        <f t="shared" ref="AT19:AT28" si="0">J19/$J$29</f>
        <v>0.37190082644628097</v>
      </c>
      <c r="AU19" s="2420"/>
      <c r="AV19" s="2420"/>
      <c r="AW19" s="2420"/>
      <c r="AX19" s="2420"/>
      <c r="AY19" s="2421"/>
      <c r="AZ19" s="1214"/>
      <c r="BA19" s="1207"/>
      <c r="BB19" s="1207"/>
      <c r="BC19" s="1207"/>
      <c r="BD19" s="1207"/>
      <c r="BE19" s="1213"/>
    </row>
    <row r="20" spans="1:58" ht="15" customHeight="1">
      <c r="A20" s="1207"/>
      <c r="B20" s="2431">
        <v>0.4</v>
      </c>
      <c r="C20" s="2432"/>
      <c r="D20" s="2432"/>
      <c r="E20" s="2432"/>
      <c r="F20" s="2432"/>
      <c r="G20" s="2432"/>
      <c r="H20" s="2432"/>
      <c r="I20" s="2433"/>
      <c r="J20" s="2416">
        <f t="shared" ref="J20:J28" si="1">SUM(P20:AS20)</f>
        <v>0</v>
      </c>
      <c r="K20" s="2417"/>
      <c r="L20" s="2417"/>
      <c r="M20" s="2417"/>
      <c r="N20" s="2417"/>
      <c r="O20" s="2418"/>
      <c r="P20" s="2416" cm="1">
        <f t="array" ref="P20">SUMPRODUCT((Application!$B$714:$B$738 = 'CalHFA Addendum'!P$18)*(Application!$AC$714:$AC$738 = 'CalHFA Addendum'!$B20),Application!$G$714:$G$738)</f>
        <v>0</v>
      </c>
      <c r="Q20" s="2417"/>
      <c r="R20" s="2417"/>
      <c r="S20" s="2417"/>
      <c r="T20" s="2417"/>
      <c r="U20" s="2418"/>
      <c r="V20" s="2416" cm="1">
        <f t="array" ref="V20">SUMPRODUCT((Application!$B$714:$B$738 = 'CalHFA Addendum'!V$18)*(Application!$AC$714:$AC$738 = 'CalHFA Addendum'!$B20),Application!$G$714:$G$738)</f>
        <v>0</v>
      </c>
      <c r="W20" s="2417"/>
      <c r="X20" s="2417"/>
      <c r="Y20" s="2417"/>
      <c r="Z20" s="2417"/>
      <c r="AA20" s="2418"/>
      <c r="AB20" s="2416" cm="1">
        <f t="array" ref="AB20">SUMPRODUCT((Application!$B$714:$B$738 = 'CalHFA Addendum'!AB$18)*(Application!$AC$714:$AC$738 = 'CalHFA Addendum'!$B20),Application!$G$714:$G$738)</f>
        <v>0</v>
      </c>
      <c r="AC20" s="2417"/>
      <c r="AD20" s="2417"/>
      <c r="AE20" s="2417"/>
      <c r="AF20" s="2417"/>
      <c r="AG20" s="2418"/>
      <c r="AH20" s="2416" cm="1">
        <f t="array" ref="AH20">SUMPRODUCT((Application!$B$714:$B$738 = 'CalHFA Addendum'!AH$18)*(Application!$AC$714:$AC$738 = 'CalHFA Addendum'!$B20),Application!$G$714:$G$738)</f>
        <v>0</v>
      </c>
      <c r="AI20" s="2417"/>
      <c r="AJ20" s="2417"/>
      <c r="AK20" s="2417"/>
      <c r="AL20" s="2417"/>
      <c r="AM20" s="2418"/>
      <c r="AN20" s="2416" cm="1">
        <f t="array" ref="AN20">SUMPRODUCT((Application!$B$714:$B$738 = 'CalHFA Addendum'!AN$18)*(Application!$AC$714:$AC$738 = 'CalHFA Addendum'!$B20),Application!$G$714:$G$738)</f>
        <v>0</v>
      </c>
      <c r="AO20" s="2417"/>
      <c r="AP20" s="2417"/>
      <c r="AQ20" s="2417"/>
      <c r="AR20" s="2417"/>
      <c r="AS20" s="2418"/>
      <c r="AT20" s="2419">
        <f t="shared" si="0"/>
        <v>0</v>
      </c>
      <c r="AU20" s="2420"/>
      <c r="AV20" s="2420"/>
      <c r="AW20" s="2420"/>
      <c r="AX20" s="2420"/>
      <c r="AY20" s="2421"/>
      <c r="AZ20" s="1207"/>
      <c r="BA20" s="1207"/>
      <c r="BB20" s="1207"/>
      <c r="BC20" s="1207"/>
      <c r="BD20" s="1207"/>
      <c r="BE20" s="1213"/>
    </row>
    <row r="21" spans="1:58" ht="15">
      <c r="A21" s="1207"/>
      <c r="B21" s="2431">
        <v>0.5</v>
      </c>
      <c r="C21" s="2432"/>
      <c r="D21" s="2432"/>
      <c r="E21" s="2432"/>
      <c r="F21" s="2432"/>
      <c r="G21" s="2432"/>
      <c r="H21" s="2432"/>
      <c r="I21" s="2433"/>
      <c r="J21" s="2416">
        <f t="shared" si="1"/>
        <v>0</v>
      </c>
      <c r="K21" s="2417"/>
      <c r="L21" s="2417"/>
      <c r="M21" s="2417"/>
      <c r="N21" s="2417"/>
      <c r="O21" s="2418"/>
      <c r="P21" s="2416" cm="1">
        <f t="array" ref="P21">SUMPRODUCT((Application!$B$714:$B$738 = 'CalHFA Addendum'!P$18)*(Application!$AC$714:$AC$738 = 'CalHFA Addendum'!$B21),Application!$G$714:$G$738)</f>
        <v>0</v>
      </c>
      <c r="Q21" s="2417"/>
      <c r="R21" s="2417"/>
      <c r="S21" s="2417"/>
      <c r="T21" s="2417"/>
      <c r="U21" s="2418"/>
      <c r="V21" s="2416" cm="1">
        <f t="array" ref="V21">SUMPRODUCT((Application!$B$714:$B$738 = 'CalHFA Addendum'!V$18)*(Application!$AC$714:$AC$738 = 'CalHFA Addendum'!$B21),Application!$G$714:$G$738)</f>
        <v>0</v>
      </c>
      <c r="W21" s="2417"/>
      <c r="X21" s="2417"/>
      <c r="Y21" s="2417"/>
      <c r="Z21" s="2417"/>
      <c r="AA21" s="2418"/>
      <c r="AB21" s="2416" cm="1">
        <f t="array" ref="AB21">SUMPRODUCT((Application!$B$714:$B$738 = 'CalHFA Addendum'!AB$18)*(Application!$AC$714:$AC$738 = 'CalHFA Addendum'!$B21),Application!$G$714:$G$738)</f>
        <v>0</v>
      </c>
      <c r="AC21" s="2417"/>
      <c r="AD21" s="2417"/>
      <c r="AE21" s="2417"/>
      <c r="AF21" s="2417"/>
      <c r="AG21" s="2418"/>
      <c r="AH21" s="2416" cm="1">
        <f t="array" ref="AH21">SUMPRODUCT((Application!$B$714:$B$738 = 'CalHFA Addendum'!AH$18)*(Application!$AC$714:$AC$738 = 'CalHFA Addendum'!$B21),Application!$G$714:$G$738)</f>
        <v>0</v>
      </c>
      <c r="AI21" s="2417"/>
      <c r="AJ21" s="2417"/>
      <c r="AK21" s="2417"/>
      <c r="AL21" s="2417"/>
      <c r="AM21" s="2418"/>
      <c r="AN21" s="2416" cm="1">
        <f t="array" ref="AN21">SUMPRODUCT((Application!$B$714:$B$738 = 'CalHFA Addendum'!AN$18)*(Application!$AC$714:$AC$738 = 'CalHFA Addendum'!$B21),Application!$G$714:$G$738)</f>
        <v>0</v>
      </c>
      <c r="AO21" s="2417"/>
      <c r="AP21" s="2417"/>
      <c r="AQ21" s="2417"/>
      <c r="AR21" s="2417"/>
      <c r="AS21" s="2418"/>
      <c r="AT21" s="2419">
        <f t="shared" si="0"/>
        <v>0</v>
      </c>
      <c r="AU21" s="2420"/>
      <c r="AV21" s="2420"/>
      <c r="AW21" s="2420"/>
      <c r="AX21" s="2420"/>
      <c r="AY21" s="2421"/>
      <c r="AZ21" s="1207"/>
      <c r="BA21" s="1207"/>
      <c r="BB21" s="1207"/>
      <c r="BC21" s="1207"/>
      <c r="BD21" s="1207"/>
      <c r="BE21" s="1213"/>
    </row>
    <row r="22" spans="1:58" ht="15">
      <c r="A22" s="1207"/>
      <c r="B22" s="2431">
        <v>0.6</v>
      </c>
      <c r="C22" s="2432"/>
      <c r="D22" s="2432"/>
      <c r="E22" s="2432"/>
      <c r="F22" s="2432"/>
      <c r="G22" s="2432"/>
      <c r="H22" s="2432"/>
      <c r="I22" s="2433"/>
      <c r="J22" s="2416">
        <f t="shared" si="1"/>
        <v>75</v>
      </c>
      <c r="K22" s="2417"/>
      <c r="L22" s="2417"/>
      <c r="M22" s="2417"/>
      <c r="N22" s="2417"/>
      <c r="O22" s="2418"/>
      <c r="P22" s="2416" cm="1">
        <f t="array" ref="P22">SUMPRODUCT((Application!$B$714:$B$738 = 'CalHFA Addendum'!P$18)*(Application!$AC$714:$AC$738 = 'CalHFA Addendum'!$B22),Application!$G$714:$G$738)</f>
        <v>0</v>
      </c>
      <c r="Q22" s="2417"/>
      <c r="R22" s="2417"/>
      <c r="S22" s="2417"/>
      <c r="T22" s="2417"/>
      <c r="U22" s="2418"/>
      <c r="V22" s="2416" cm="1">
        <f t="array" ref="V22">SUMPRODUCT((Application!$B$714:$B$738 = 'CalHFA Addendum'!V$18)*(Application!$AC$714:$AC$738 = 'CalHFA Addendum'!$B22),Application!$G$714:$G$738)</f>
        <v>0</v>
      </c>
      <c r="W22" s="2417"/>
      <c r="X22" s="2417"/>
      <c r="Y22" s="2417"/>
      <c r="Z22" s="2417"/>
      <c r="AA22" s="2418"/>
      <c r="AB22" s="2416" cm="1">
        <f t="array" ref="AB22">SUMPRODUCT((Application!$B$714:$B$738 = 'CalHFA Addendum'!AB$18)*(Application!$AC$714:$AC$738 = 'CalHFA Addendum'!$B22),Application!$G$714:$G$738)</f>
        <v>54</v>
      </c>
      <c r="AC22" s="2417"/>
      <c r="AD22" s="2417"/>
      <c r="AE22" s="2417"/>
      <c r="AF22" s="2417"/>
      <c r="AG22" s="2418"/>
      <c r="AH22" s="2416" cm="1">
        <f t="array" ref="AH22">SUMPRODUCT((Application!$B$714:$B$738 = 'CalHFA Addendum'!AH$18)*(Application!$AC$714:$AC$738 = 'CalHFA Addendum'!$B22),Application!$G$714:$G$738)</f>
        <v>21</v>
      </c>
      <c r="AI22" s="2417"/>
      <c r="AJ22" s="2417"/>
      <c r="AK22" s="2417"/>
      <c r="AL22" s="2417"/>
      <c r="AM22" s="2418"/>
      <c r="AN22" s="2416" cm="1">
        <f t="array" ref="AN22">SUMPRODUCT((Application!$B$714:$B$738 = 'CalHFA Addendum'!AN$18)*(Application!$AC$714:$AC$738 = 'CalHFA Addendum'!$B22),Application!$G$714:$G$738)</f>
        <v>0</v>
      </c>
      <c r="AO22" s="2417"/>
      <c r="AP22" s="2417"/>
      <c r="AQ22" s="2417"/>
      <c r="AR22" s="2417"/>
      <c r="AS22" s="2418"/>
      <c r="AT22" s="2419">
        <f t="shared" si="0"/>
        <v>0.6198347107438017</v>
      </c>
      <c r="AU22" s="2420"/>
      <c r="AV22" s="2420"/>
      <c r="AW22" s="2420"/>
      <c r="AX22" s="2420"/>
      <c r="AY22" s="2421"/>
      <c r="AZ22" s="1207"/>
      <c r="BA22" s="1207"/>
      <c r="BB22" s="1207"/>
      <c r="BC22" s="1207"/>
      <c r="BD22" s="1207"/>
      <c r="BE22" s="1213"/>
    </row>
    <row r="23" spans="1:58" ht="15">
      <c r="A23" s="1207"/>
      <c r="B23" s="2431">
        <v>0.7</v>
      </c>
      <c r="C23" s="2432"/>
      <c r="D23" s="2432"/>
      <c r="E23" s="2432"/>
      <c r="F23" s="2432"/>
      <c r="G23" s="2432"/>
      <c r="H23" s="2432"/>
      <c r="I23" s="2433"/>
      <c r="J23" s="2416">
        <f t="shared" si="1"/>
        <v>0</v>
      </c>
      <c r="K23" s="2417"/>
      <c r="L23" s="2417"/>
      <c r="M23" s="2417"/>
      <c r="N23" s="2417"/>
      <c r="O23" s="2418"/>
      <c r="P23" s="2416" cm="1">
        <f t="array" ref="P23">SUMPRODUCT((Application!$B$714:$B$738 = 'CalHFA Addendum'!P$18)*(Application!$AC$714:$AC$738 = 'CalHFA Addendum'!$B23),Application!$G$714:$G$738)</f>
        <v>0</v>
      </c>
      <c r="Q23" s="2417"/>
      <c r="R23" s="2417"/>
      <c r="S23" s="2417"/>
      <c r="T23" s="2417"/>
      <c r="U23" s="2418"/>
      <c r="V23" s="2416" cm="1">
        <f t="array" ref="V23">SUMPRODUCT((Application!$B$714:$B$738 = 'CalHFA Addendum'!V$18)*(Application!$AC$714:$AC$738 = 'CalHFA Addendum'!$B23),Application!$G$714:$G$738)</f>
        <v>0</v>
      </c>
      <c r="W23" s="2417"/>
      <c r="X23" s="2417"/>
      <c r="Y23" s="2417"/>
      <c r="Z23" s="2417"/>
      <c r="AA23" s="2418"/>
      <c r="AB23" s="2416" cm="1">
        <f t="array" ref="AB23">SUMPRODUCT((Application!$B$714:$B$738 = 'CalHFA Addendum'!AB$18)*(Application!$AC$714:$AC$738 = 'CalHFA Addendum'!$B23),Application!$G$714:$G$738)</f>
        <v>0</v>
      </c>
      <c r="AC23" s="2417"/>
      <c r="AD23" s="2417"/>
      <c r="AE23" s="2417"/>
      <c r="AF23" s="2417"/>
      <c r="AG23" s="2418"/>
      <c r="AH23" s="2416" cm="1">
        <f t="array" ref="AH23">SUMPRODUCT((Application!$B$714:$B$738 = 'CalHFA Addendum'!AH$18)*(Application!$AC$714:$AC$738 = 'CalHFA Addendum'!$B23),Application!$G$714:$G$738)</f>
        <v>0</v>
      </c>
      <c r="AI23" s="2417"/>
      <c r="AJ23" s="2417"/>
      <c r="AK23" s="2417"/>
      <c r="AL23" s="2417"/>
      <c r="AM23" s="2418"/>
      <c r="AN23" s="2416" cm="1">
        <f t="array" ref="AN23">SUMPRODUCT((Application!$B$714:$B$738 = 'CalHFA Addendum'!AN$18)*(Application!$AC$714:$AC$738 = 'CalHFA Addendum'!$B23),Application!$G$714:$G$738)</f>
        <v>0</v>
      </c>
      <c r="AO23" s="2417"/>
      <c r="AP23" s="2417"/>
      <c r="AQ23" s="2417"/>
      <c r="AR23" s="2417"/>
      <c r="AS23" s="2418"/>
      <c r="AT23" s="2419">
        <f t="shared" si="0"/>
        <v>0</v>
      </c>
      <c r="AU23" s="2420"/>
      <c r="AV23" s="2420"/>
      <c r="AW23" s="2420"/>
      <c r="AX23" s="2420"/>
      <c r="AY23" s="2421"/>
      <c r="AZ23" s="1207"/>
      <c r="BA23" s="1207"/>
      <c r="BB23" s="1207"/>
      <c r="BC23" s="1207"/>
      <c r="BD23" s="1207"/>
      <c r="BE23" s="1213"/>
    </row>
    <row r="24" spans="1:58" ht="15">
      <c r="A24" s="1207"/>
      <c r="B24" s="2431">
        <v>0.8</v>
      </c>
      <c r="C24" s="2432"/>
      <c r="D24" s="2432"/>
      <c r="E24" s="2432"/>
      <c r="F24" s="2432"/>
      <c r="G24" s="2432"/>
      <c r="H24" s="2432"/>
      <c r="I24" s="2433"/>
      <c r="J24" s="2416">
        <f t="shared" si="1"/>
        <v>0</v>
      </c>
      <c r="K24" s="2417"/>
      <c r="L24" s="2417"/>
      <c r="M24" s="2417"/>
      <c r="N24" s="2417"/>
      <c r="O24" s="2418"/>
      <c r="P24" s="2416" cm="1">
        <f t="array" ref="P24">SUMPRODUCT((Application!$B$714:$B$738 = 'CalHFA Addendum'!P$18)*(Application!$AC$714:$AC$738 = 'CalHFA Addendum'!$B24),Application!$G$714:$G$738)</f>
        <v>0</v>
      </c>
      <c r="Q24" s="2417"/>
      <c r="R24" s="2417"/>
      <c r="S24" s="2417"/>
      <c r="T24" s="2417"/>
      <c r="U24" s="2418"/>
      <c r="V24" s="2416" cm="1">
        <f t="array" ref="V24">SUMPRODUCT((Application!$B$714:$B$738 = 'CalHFA Addendum'!V$18)*(Application!$AC$714:$AC$738 = 'CalHFA Addendum'!$B24),Application!$G$714:$G$738)</f>
        <v>0</v>
      </c>
      <c r="W24" s="2417"/>
      <c r="X24" s="2417"/>
      <c r="Y24" s="2417"/>
      <c r="Z24" s="2417"/>
      <c r="AA24" s="2418"/>
      <c r="AB24" s="2416" cm="1">
        <f t="array" ref="AB24">SUMPRODUCT((Application!$B$714:$B$738 = 'CalHFA Addendum'!AB$18)*(Application!$AC$714:$AC$738 = 'CalHFA Addendum'!$B24),Application!$G$714:$G$738)</f>
        <v>0</v>
      </c>
      <c r="AC24" s="2417"/>
      <c r="AD24" s="2417"/>
      <c r="AE24" s="2417"/>
      <c r="AF24" s="2417"/>
      <c r="AG24" s="2418"/>
      <c r="AH24" s="2416" cm="1">
        <f t="array" ref="AH24">SUMPRODUCT((Application!$B$714:$B$738 = 'CalHFA Addendum'!AH$18)*(Application!$AC$714:$AC$738 = 'CalHFA Addendum'!$B24),Application!$G$714:$G$738)</f>
        <v>0</v>
      </c>
      <c r="AI24" s="2417"/>
      <c r="AJ24" s="2417"/>
      <c r="AK24" s="2417"/>
      <c r="AL24" s="2417"/>
      <c r="AM24" s="2418"/>
      <c r="AN24" s="2416" cm="1">
        <f t="array" ref="AN24">SUMPRODUCT((Application!$B$714:$B$738 = 'CalHFA Addendum'!AN$18)*(Application!$AC$714:$AC$738 = 'CalHFA Addendum'!$B24),Application!$G$714:$G$738)</f>
        <v>0</v>
      </c>
      <c r="AO24" s="2417"/>
      <c r="AP24" s="2417"/>
      <c r="AQ24" s="2417"/>
      <c r="AR24" s="2417"/>
      <c r="AS24" s="2418"/>
      <c r="AT24" s="2419">
        <f t="shared" si="0"/>
        <v>0</v>
      </c>
      <c r="AU24" s="2420"/>
      <c r="AV24" s="2420"/>
      <c r="AW24" s="2420"/>
      <c r="AX24" s="2420"/>
      <c r="AY24" s="2421"/>
      <c r="AZ24" s="1207"/>
      <c r="BA24" s="1207"/>
      <c r="BB24" s="1207"/>
      <c r="BC24" s="1207"/>
      <c r="BD24" s="1207"/>
      <c r="BE24" s="1213"/>
    </row>
    <row r="25" spans="1:58" ht="15">
      <c r="A25" s="1207"/>
      <c r="B25" s="2431">
        <v>0.9</v>
      </c>
      <c r="C25" s="2432"/>
      <c r="D25" s="2432"/>
      <c r="E25" s="2432"/>
      <c r="F25" s="2432"/>
      <c r="G25" s="2432"/>
      <c r="H25" s="2432"/>
      <c r="I25" s="2433"/>
      <c r="J25" s="2416">
        <f t="shared" si="1"/>
        <v>0</v>
      </c>
      <c r="K25" s="2417"/>
      <c r="L25" s="2417"/>
      <c r="M25" s="2417"/>
      <c r="N25" s="2417"/>
      <c r="O25" s="2418"/>
      <c r="P25" s="2416" cm="1">
        <f t="array" ref="P25">SUMPRODUCT((Application!$B$714:$B$738 = 'CalHFA Addendum'!P$18)*(Application!$AC$714:$AC$738 = 'CalHFA Addendum'!$B25),Application!$G$714:$G$738)</f>
        <v>0</v>
      </c>
      <c r="Q25" s="2417"/>
      <c r="R25" s="2417"/>
      <c r="S25" s="2417"/>
      <c r="T25" s="2417"/>
      <c r="U25" s="2418"/>
      <c r="V25" s="2416" cm="1">
        <f t="array" ref="V25">SUMPRODUCT((Application!$B$714:$B$738 = 'CalHFA Addendum'!V$18)*(Application!$AC$714:$AC$738 = 'CalHFA Addendum'!$B25),Application!$G$714:$G$738)</f>
        <v>0</v>
      </c>
      <c r="W25" s="2417"/>
      <c r="X25" s="2417"/>
      <c r="Y25" s="2417"/>
      <c r="Z25" s="2417"/>
      <c r="AA25" s="2418"/>
      <c r="AB25" s="2416" cm="1">
        <f t="array" ref="AB25">SUMPRODUCT((Application!$B$714:$B$738 = 'CalHFA Addendum'!AB$18)*(Application!$AC$714:$AC$738 = 'CalHFA Addendum'!$B25),Application!$G$714:$G$738)</f>
        <v>0</v>
      </c>
      <c r="AC25" s="2417"/>
      <c r="AD25" s="2417"/>
      <c r="AE25" s="2417"/>
      <c r="AF25" s="2417"/>
      <c r="AG25" s="2418"/>
      <c r="AH25" s="2416" cm="1">
        <f t="array" ref="AH25">SUMPRODUCT((Application!$B$714:$B$738 = 'CalHFA Addendum'!AH$18)*(Application!$AC$714:$AC$738 = 'CalHFA Addendum'!$B25),Application!$G$714:$G$738)</f>
        <v>0</v>
      </c>
      <c r="AI25" s="2417"/>
      <c r="AJ25" s="2417"/>
      <c r="AK25" s="2417"/>
      <c r="AL25" s="2417"/>
      <c r="AM25" s="2418"/>
      <c r="AN25" s="2416" cm="1">
        <f t="array" ref="AN25">SUMPRODUCT((Application!$B$714:$B$738 = 'CalHFA Addendum'!AN$18)*(Application!$AC$714:$AC$738 = 'CalHFA Addendum'!$B25),Application!$G$714:$G$738)</f>
        <v>0</v>
      </c>
      <c r="AO25" s="2417"/>
      <c r="AP25" s="2417"/>
      <c r="AQ25" s="2417"/>
      <c r="AR25" s="2417"/>
      <c r="AS25" s="2418"/>
      <c r="AT25" s="2419">
        <f t="shared" si="0"/>
        <v>0</v>
      </c>
      <c r="AU25" s="2420"/>
      <c r="AV25" s="2420"/>
      <c r="AW25" s="2420"/>
      <c r="AX25" s="2420"/>
      <c r="AY25" s="2421"/>
      <c r="AZ25" s="1207"/>
      <c r="BA25" s="1207"/>
      <c r="BB25" s="1207"/>
      <c r="BC25" s="1207"/>
      <c r="BD25" s="1207"/>
      <c r="BE25" s="1213"/>
    </row>
    <row r="26" spans="1:58" ht="15">
      <c r="A26" s="1207"/>
      <c r="B26" s="2431">
        <v>1</v>
      </c>
      <c r="C26" s="2432"/>
      <c r="D26" s="2432"/>
      <c r="E26" s="2432"/>
      <c r="F26" s="2432"/>
      <c r="G26" s="2432"/>
      <c r="H26" s="2432"/>
      <c r="I26" s="2433"/>
      <c r="J26" s="2416">
        <f t="shared" si="1"/>
        <v>0</v>
      </c>
      <c r="K26" s="2417"/>
      <c r="L26" s="2417"/>
      <c r="M26" s="2417"/>
      <c r="N26" s="2417"/>
      <c r="O26" s="2418"/>
      <c r="P26" s="2416" cm="1">
        <f t="array" ref="P26">SUMPRODUCT((Application!$B$714:$B$738 = 'CalHFA Addendum'!P$18)*(Application!$AC$714:$AC$738 = 'CalHFA Addendum'!$B26),Application!$G$714:$G$738)</f>
        <v>0</v>
      </c>
      <c r="Q26" s="2417"/>
      <c r="R26" s="2417"/>
      <c r="S26" s="2417"/>
      <c r="T26" s="2417"/>
      <c r="U26" s="2418"/>
      <c r="V26" s="2416" cm="1">
        <f t="array" ref="V26">SUMPRODUCT((Application!$B$714:$B$738 = 'CalHFA Addendum'!V$18)*(Application!$AC$714:$AC$738 = 'CalHFA Addendum'!$B26),Application!$G$714:$G$738)</f>
        <v>0</v>
      </c>
      <c r="W26" s="2417"/>
      <c r="X26" s="2417"/>
      <c r="Y26" s="2417"/>
      <c r="Z26" s="2417"/>
      <c r="AA26" s="2418"/>
      <c r="AB26" s="2416" cm="1">
        <f t="array" ref="AB26">SUMPRODUCT((Application!$B$714:$B$738 = 'CalHFA Addendum'!AB$18)*(Application!$AC$714:$AC$738 = 'CalHFA Addendum'!$B26),Application!$G$714:$G$738)</f>
        <v>0</v>
      </c>
      <c r="AC26" s="2417"/>
      <c r="AD26" s="2417"/>
      <c r="AE26" s="2417"/>
      <c r="AF26" s="2417"/>
      <c r="AG26" s="2418"/>
      <c r="AH26" s="2416" cm="1">
        <f t="array" ref="AH26">SUMPRODUCT((Application!$B$714:$B$738 = 'CalHFA Addendum'!AH$18)*(Application!$AC$714:$AC$738 = 'CalHFA Addendum'!$B26),Application!$G$714:$G$738)</f>
        <v>0</v>
      </c>
      <c r="AI26" s="2417"/>
      <c r="AJ26" s="2417"/>
      <c r="AK26" s="2417"/>
      <c r="AL26" s="2417"/>
      <c r="AM26" s="2418"/>
      <c r="AN26" s="2416" cm="1">
        <f t="array" ref="AN26">SUMPRODUCT((Application!$B$714:$B$738 = 'CalHFA Addendum'!AN$18)*(Application!$AC$714:$AC$738 = 'CalHFA Addendum'!$B26),Application!$G$714:$G$738)</f>
        <v>0</v>
      </c>
      <c r="AO26" s="2417"/>
      <c r="AP26" s="2417"/>
      <c r="AQ26" s="2417"/>
      <c r="AR26" s="2417"/>
      <c r="AS26" s="2418"/>
      <c r="AT26" s="2419">
        <f t="shared" si="0"/>
        <v>0</v>
      </c>
      <c r="AU26" s="2420"/>
      <c r="AV26" s="2420"/>
      <c r="AW26" s="2420"/>
      <c r="AX26" s="2420"/>
      <c r="AY26" s="2421"/>
      <c r="AZ26" s="1207"/>
      <c r="BA26" s="1207"/>
      <c r="BB26" s="1207"/>
      <c r="BC26" s="1207"/>
      <c r="BD26" s="1207"/>
      <c r="BE26" s="1213"/>
    </row>
    <row r="27" spans="1:58" ht="15">
      <c r="A27" s="1207"/>
      <c r="B27" s="2431">
        <v>1.1000000000000001</v>
      </c>
      <c r="C27" s="2432"/>
      <c r="D27" s="2432"/>
      <c r="E27" s="2432"/>
      <c r="F27" s="2432"/>
      <c r="G27" s="2432"/>
      <c r="H27" s="2432"/>
      <c r="I27" s="2433"/>
      <c r="J27" s="2416">
        <f t="shared" si="1"/>
        <v>0</v>
      </c>
      <c r="K27" s="2417"/>
      <c r="L27" s="2417"/>
      <c r="M27" s="2417"/>
      <c r="N27" s="2417"/>
      <c r="O27" s="2418"/>
      <c r="P27" s="2416" cm="1">
        <f t="array" ref="P27">SUMPRODUCT((Application!$B$714:$B$738 = 'CalHFA Addendum'!P$18)*(Application!$AC$714:$AC$738 = 'CalHFA Addendum'!$B27),Application!$G$714:$G$738)</f>
        <v>0</v>
      </c>
      <c r="Q27" s="2417"/>
      <c r="R27" s="2417"/>
      <c r="S27" s="2417"/>
      <c r="T27" s="2417"/>
      <c r="U27" s="2418"/>
      <c r="V27" s="2416" cm="1">
        <f t="array" ref="V27">SUMPRODUCT((Application!$B$714:$B$738 = 'CalHFA Addendum'!V$18)*(Application!$AC$714:$AC$738 = 'CalHFA Addendum'!$B27),Application!$G$714:$G$738)</f>
        <v>0</v>
      </c>
      <c r="W27" s="2417"/>
      <c r="X27" s="2417"/>
      <c r="Y27" s="2417"/>
      <c r="Z27" s="2417"/>
      <c r="AA27" s="2418"/>
      <c r="AB27" s="2416" cm="1">
        <f t="array" ref="AB27">SUMPRODUCT((Application!$B$714:$B$738 = 'CalHFA Addendum'!AB$18)*(Application!$AC$714:$AC$738 = 'CalHFA Addendum'!$B27),Application!$G$714:$G$738)</f>
        <v>0</v>
      </c>
      <c r="AC27" s="2417"/>
      <c r="AD27" s="2417"/>
      <c r="AE27" s="2417"/>
      <c r="AF27" s="2417"/>
      <c r="AG27" s="2418"/>
      <c r="AH27" s="2416" cm="1">
        <f t="array" ref="AH27">SUMPRODUCT((Application!$B$714:$B$738 = 'CalHFA Addendum'!AH$18)*(Application!$AC$714:$AC$738 = 'CalHFA Addendum'!$B27),Application!$G$714:$G$738)</f>
        <v>0</v>
      </c>
      <c r="AI27" s="2417"/>
      <c r="AJ27" s="2417"/>
      <c r="AK27" s="2417"/>
      <c r="AL27" s="2417"/>
      <c r="AM27" s="2418"/>
      <c r="AN27" s="2416" cm="1">
        <f t="array" ref="AN27">SUMPRODUCT((Application!$B$714:$B$738 = 'CalHFA Addendum'!AN$18)*(Application!$AC$714:$AC$738 = 'CalHFA Addendum'!$B27),Application!$G$714:$G$738)</f>
        <v>0</v>
      </c>
      <c r="AO27" s="2417"/>
      <c r="AP27" s="2417"/>
      <c r="AQ27" s="2417"/>
      <c r="AR27" s="2417"/>
      <c r="AS27" s="2418"/>
      <c r="AT27" s="2419">
        <f t="shared" si="0"/>
        <v>0</v>
      </c>
      <c r="AU27" s="2420"/>
      <c r="AV27" s="2420"/>
      <c r="AW27" s="2420"/>
      <c r="AX27" s="2420"/>
      <c r="AY27" s="2421"/>
      <c r="AZ27" s="1207"/>
      <c r="BA27" s="1207"/>
      <c r="BB27" s="1207"/>
      <c r="BC27" s="1207"/>
      <c r="BD27" s="1207"/>
      <c r="BE27" s="1213"/>
    </row>
    <row r="28" spans="1:58" thickBot="1">
      <c r="A28" s="1207"/>
      <c r="B28" s="2422" t="s">
        <v>1868</v>
      </c>
      <c r="C28" s="2423"/>
      <c r="D28" s="2423"/>
      <c r="E28" s="2423"/>
      <c r="F28" s="2423"/>
      <c r="G28" s="2423"/>
      <c r="H28" s="2423"/>
      <c r="I28" s="2424"/>
      <c r="J28" s="2425">
        <f t="shared" si="1"/>
        <v>1</v>
      </c>
      <c r="K28" s="2426"/>
      <c r="L28" s="2426"/>
      <c r="M28" s="2426"/>
      <c r="N28" s="2426"/>
      <c r="O28" s="2427"/>
      <c r="P28" s="2425">
        <f>_xlfn.IFNA(VLOOKUP(P$18,Application!$J$758:$S$761,6,FALSE), 0)</f>
        <v>0</v>
      </c>
      <c r="Q28" s="2426"/>
      <c r="R28" s="2426"/>
      <c r="S28" s="2426"/>
      <c r="T28" s="2426"/>
      <c r="U28" s="2427"/>
      <c r="V28" s="2425">
        <f>_xlfn.IFNA(VLOOKUP(V$18,Application!$J$758:$S$761,6,FALSE), 0)</f>
        <v>0</v>
      </c>
      <c r="W28" s="2426"/>
      <c r="X28" s="2426"/>
      <c r="Y28" s="2426"/>
      <c r="Z28" s="2426"/>
      <c r="AA28" s="2427"/>
      <c r="AB28" s="2425">
        <f>_xlfn.IFNA(VLOOKUP(AB$18,Application!$J$758:$S$761,6,FALSE), 0)</f>
        <v>0</v>
      </c>
      <c r="AC28" s="2426"/>
      <c r="AD28" s="2426"/>
      <c r="AE28" s="2426"/>
      <c r="AF28" s="2426"/>
      <c r="AG28" s="2427"/>
      <c r="AH28" s="2425">
        <f>_xlfn.IFNA(VLOOKUP(AH$18,Application!$J$758:$S$761,6,FALSE), 0)</f>
        <v>1</v>
      </c>
      <c r="AI28" s="2426"/>
      <c r="AJ28" s="2426"/>
      <c r="AK28" s="2426"/>
      <c r="AL28" s="2426"/>
      <c r="AM28" s="2427"/>
      <c r="AN28" s="2425">
        <f>_xlfn.IFNA(VLOOKUP(AN$18,Application!$J$758:$S$761,6,FALSE), 0)</f>
        <v>0</v>
      </c>
      <c r="AO28" s="2426"/>
      <c r="AP28" s="2426"/>
      <c r="AQ28" s="2426"/>
      <c r="AR28" s="2426"/>
      <c r="AS28" s="2427"/>
      <c r="AT28" s="2428">
        <f t="shared" si="0"/>
        <v>8.2644628099173556E-3</v>
      </c>
      <c r="AU28" s="2429"/>
      <c r="AV28" s="2429"/>
      <c r="AW28" s="2429"/>
      <c r="AX28" s="2429"/>
      <c r="AY28" s="2430"/>
      <c r="AZ28" s="1207"/>
      <c r="BA28" s="1207"/>
      <c r="BB28" s="1207"/>
      <c r="BC28" s="1207"/>
      <c r="BD28" s="1207"/>
      <c r="BE28" s="1213"/>
    </row>
    <row r="29" spans="1:58" thickBot="1">
      <c r="A29" s="1207"/>
      <c r="B29" s="2415" t="s">
        <v>1765</v>
      </c>
      <c r="C29" s="2404"/>
      <c r="D29" s="2404"/>
      <c r="E29" s="2404"/>
      <c r="F29" s="2404"/>
      <c r="G29" s="2404"/>
      <c r="H29" s="2404"/>
      <c r="I29" s="2405"/>
      <c r="J29" s="2403">
        <f>SUM(J19:O28)</f>
        <v>121</v>
      </c>
      <c r="K29" s="2404"/>
      <c r="L29" s="2404"/>
      <c r="M29" s="2404"/>
      <c r="N29" s="2404"/>
      <c r="O29" s="2405"/>
      <c r="P29" s="2403">
        <f>SUM(P19:U28)</f>
        <v>0</v>
      </c>
      <c r="Q29" s="2404"/>
      <c r="R29" s="2404"/>
      <c r="S29" s="2404"/>
      <c r="T29" s="2404"/>
      <c r="U29" s="2405"/>
      <c r="V29" s="2403">
        <f>SUM(V19:AA28)</f>
        <v>15</v>
      </c>
      <c r="W29" s="2404"/>
      <c r="X29" s="2404"/>
      <c r="Y29" s="2404"/>
      <c r="Z29" s="2404"/>
      <c r="AA29" s="2405"/>
      <c r="AB29" s="2403">
        <f>SUM(AB19:AG28)</f>
        <v>75</v>
      </c>
      <c r="AC29" s="2404"/>
      <c r="AD29" s="2404"/>
      <c r="AE29" s="2404"/>
      <c r="AF29" s="2404"/>
      <c r="AG29" s="2405"/>
      <c r="AH29" s="2403">
        <f>SUM(AH19:AM28)</f>
        <v>31</v>
      </c>
      <c r="AI29" s="2404"/>
      <c r="AJ29" s="2404"/>
      <c r="AK29" s="2404"/>
      <c r="AL29" s="2404"/>
      <c r="AM29" s="2405"/>
      <c r="AN29" s="2403">
        <f>SUM(AN19:AS28)</f>
        <v>0</v>
      </c>
      <c r="AO29" s="2404"/>
      <c r="AP29" s="2404"/>
      <c r="AQ29" s="2404"/>
      <c r="AR29" s="2404"/>
      <c r="AS29" s="2405"/>
      <c r="AT29" s="2406">
        <f>J29/$J$29</f>
        <v>1</v>
      </c>
      <c r="AU29" s="2407"/>
      <c r="AV29" s="2407"/>
      <c r="AW29" s="2407"/>
      <c r="AX29" s="2407"/>
      <c r="AY29" s="2408"/>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83" t="s">
        <v>1869</v>
      </c>
      <c r="C31" s="2249"/>
      <c r="D31" s="2249"/>
      <c r="E31" s="2249"/>
      <c r="F31" s="2249"/>
      <c r="G31" s="2249"/>
      <c r="H31" s="2249"/>
      <c r="I31" s="2249"/>
      <c r="J31" s="2249"/>
      <c r="K31" s="2249"/>
      <c r="L31" s="2249"/>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49"/>
      <c r="AT31" s="2249"/>
      <c r="AU31" s="2249"/>
      <c r="AV31" s="2249"/>
      <c r="AW31" s="2249"/>
      <c r="AX31" s="2249"/>
      <c r="AY31" s="2249"/>
      <c r="AZ31" s="2250"/>
      <c r="BA31" s="1207"/>
      <c r="BB31" s="1207"/>
      <c r="BC31" s="1207"/>
      <c r="BD31" s="1207"/>
      <c r="BE31" s="1213"/>
    </row>
    <row r="32" spans="1:58" ht="15">
      <c r="A32" s="1207"/>
      <c r="B32" s="2409" t="s">
        <v>2583</v>
      </c>
      <c r="C32" s="2410"/>
      <c r="D32" s="2410"/>
      <c r="E32" s="2410"/>
      <c r="F32" s="2410"/>
      <c r="G32" s="2410"/>
      <c r="H32" s="2410"/>
      <c r="I32" s="2410"/>
      <c r="J32" s="2412" t="s">
        <v>2584</v>
      </c>
      <c r="K32" s="2413"/>
      <c r="L32" s="2413"/>
      <c r="M32" s="2413"/>
      <c r="N32" s="2412" t="s">
        <v>1870</v>
      </c>
      <c r="O32" s="2413"/>
      <c r="P32" s="2413"/>
      <c r="Q32" s="2413"/>
      <c r="R32" s="2284" t="s">
        <v>1871</v>
      </c>
      <c r="S32" s="2284"/>
      <c r="T32" s="2284"/>
      <c r="U32" s="2284"/>
      <c r="V32" s="2284"/>
      <c r="W32" s="2284"/>
      <c r="X32" s="2284"/>
      <c r="Y32" s="2284"/>
      <c r="Z32" s="2284"/>
      <c r="AA32" s="2284"/>
      <c r="AB32" s="2284"/>
      <c r="AC32" s="2284"/>
      <c r="AD32" s="2284"/>
      <c r="AE32" s="2284"/>
      <c r="AF32" s="2284"/>
      <c r="AG32" s="2284"/>
      <c r="AH32" s="2284"/>
      <c r="AI32" s="2284"/>
      <c r="AJ32" s="2284"/>
      <c r="AK32" s="2284"/>
      <c r="AL32" s="2284"/>
      <c r="AM32" s="2284"/>
      <c r="AN32" s="2284"/>
      <c r="AO32" s="2284"/>
      <c r="AP32" s="2284"/>
      <c r="AQ32" s="2284"/>
      <c r="AR32" s="2284"/>
      <c r="AS32" s="2284"/>
      <c r="AT32" s="2284"/>
      <c r="AU32" s="2284"/>
      <c r="AV32" s="2284"/>
      <c r="AW32" s="2284"/>
      <c r="AX32" s="2284"/>
      <c r="AY32" s="2284"/>
      <c r="AZ32" s="2334"/>
      <c r="BA32" s="1207"/>
      <c r="BB32" s="1207"/>
      <c r="BC32" s="1207"/>
      <c r="BD32" s="1207"/>
      <c r="BE32" s="1213"/>
    </row>
    <row r="33" spans="1:58" ht="15" customHeight="1">
      <c r="A33" s="1207"/>
      <c r="B33" s="2411"/>
      <c r="C33" s="2410"/>
      <c r="D33" s="2410"/>
      <c r="E33" s="2410"/>
      <c r="F33" s="2410"/>
      <c r="G33" s="2410"/>
      <c r="H33" s="2410"/>
      <c r="I33" s="2410"/>
      <c r="J33" s="2413"/>
      <c r="K33" s="2413"/>
      <c r="L33" s="2413"/>
      <c r="M33" s="2413"/>
      <c r="N33" s="2413"/>
      <c r="O33" s="2413"/>
      <c r="P33" s="2413"/>
      <c r="Q33" s="2413"/>
      <c r="R33" s="2385" t="s">
        <v>1872</v>
      </c>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12"/>
      <c r="AT33" s="2412"/>
      <c r="AU33" s="2412"/>
      <c r="AV33" s="2412"/>
      <c r="AW33" s="2412"/>
      <c r="AX33" s="2412"/>
      <c r="AY33" s="2412"/>
      <c r="AZ33" s="2414"/>
      <c r="BA33" s="1214"/>
      <c r="BB33" s="1207"/>
      <c r="BC33" s="1207"/>
      <c r="BD33" s="1207"/>
      <c r="BE33" s="1213"/>
    </row>
    <row r="34" spans="1:58" ht="15.75" customHeight="1">
      <c r="A34" s="1207"/>
      <c r="B34" s="2411"/>
      <c r="C34" s="2410"/>
      <c r="D34" s="2410"/>
      <c r="E34" s="2410"/>
      <c r="F34" s="2410"/>
      <c r="G34" s="2410"/>
      <c r="H34" s="2410"/>
      <c r="I34" s="2410"/>
      <c r="J34" s="2413"/>
      <c r="K34" s="2413"/>
      <c r="L34" s="2413"/>
      <c r="M34" s="2413"/>
      <c r="N34" s="2413"/>
      <c r="O34" s="2413"/>
      <c r="P34" s="2413"/>
      <c r="Q34" s="2413"/>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12"/>
      <c r="AT34" s="2412"/>
      <c r="AU34" s="2412"/>
      <c r="AV34" s="2412"/>
      <c r="AW34" s="2412"/>
      <c r="AX34" s="2412"/>
      <c r="AY34" s="2412"/>
      <c r="AZ34" s="2414"/>
      <c r="BA34" s="1214"/>
      <c r="BB34" s="1207"/>
      <c r="BC34" s="1207"/>
      <c r="BD34" s="1207"/>
      <c r="BE34" s="1213"/>
    </row>
    <row r="35" spans="1:58" ht="15.75" customHeight="1">
      <c r="A35" s="1207"/>
      <c r="B35" s="2411"/>
      <c r="C35" s="2410"/>
      <c r="D35" s="2410"/>
      <c r="E35" s="2410"/>
      <c r="F35" s="2410"/>
      <c r="G35" s="2410"/>
      <c r="H35" s="2410"/>
      <c r="I35" s="2410"/>
      <c r="J35" s="2413"/>
      <c r="K35" s="2413"/>
      <c r="L35" s="2413"/>
      <c r="M35" s="2413"/>
      <c r="N35" s="2413"/>
      <c r="O35" s="2413"/>
      <c r="P35" s="2413"/>
      <c r="Q35" s="2413"/>
      <c r="R35" s="2399">
        <v>0.3</v>
      </c>
      <c r="S35" s="2399"/>
      <c r="T35" s="2399"/>
      <c r="U35" s="2399"/>
      <c r="V35" s="2399">
        <v>0.4</v>
      </c>
      <c r="W35" s="2399"/>
      <c r="X35" s="2399"/>
      <c r="Y35" s="2399"/>
      <c r="Z35" s="2399">
        <v>0.5</v>
      </c>
      <c r="AA35" s="2399"/>
      <c r="AB35" s="2399"/>
      <c r="AC35" s="2399"/>
      <c r="AD35" s="2399">
        <v>0.6</v>
      </c>
      <c r="AE35" s="2399"/>
      <c r="AF35" s="2399"/>
      <c r="AG35" s="2399"/>
      <c r="AH35" s="2399">
        <v>0.8</v>
      </c>
      <c r="AI35" s="2399"/>
      <c r="AJ35" s="2399"/>
      <c r="AK35" s="2399"/>
      <c r="AL35" s="2400">
        <v>1</v>
      </c>
      <c r="AM35" s="2400"/>
      <c r="AN35" s="2400"/>
      <c r="AO35" s="2401" t="s">
        <v>1873</v>
      </c>
      <c r="AP35" s="2401"/>
      <c r="AQ35" s="2401"/>
      <c r="AR35" s="2401"/>
      <c r="AS35" s="2401"/>
      <c r="AT35" s="2401"/>
      <c r="AU35" s="2401" t="s">
        <v>1874</v>
      </c>
      <c r="AV35" s="2401"/>
      <c r="AW35" s="2401"/>
      <c r="AX35" s="2401"/>
      <c r="AY35" s="2401"/>
      <c r="AZ35" s="2402"/>
      <c r="BA35" s="1214"/>
      <c r="BB35" s="1207"/>
      <c r="BC35" s="1207"/>
      <c r="BD35" s="1207"/>
      <c r="BE35" s="1213"/>
      <c r="BF35" s="1205"/>
    </row>
    <row r="36" spans="1:58" ht="15.75" customHeight="1">
      <c r="A36" s="1207"/>
      <c r="B36" s="2338" t="s">
        <v>1875</v>
      </c>
      <c r="C36" s="2339"/>
      <c r="D36" s="2339"/>
      <c r="E36" s="2339"/>
      <c r="F36" s="2339"/>
      <c r="G36" s="2339"/>
      <c r="H36" s="2339"/>
      <c r="I36" s="2339"/>
      <c r="J36" s="2398" t="s">
        <v>1876</v>
      </c>
      <c r="K36" s="2398"/>
      <c r="L36" s="2398"/>
      <c r="M36" s="2398"/>
      <c r="N36" s="2398">
        <v>55</v>
      </c>
      <c r="O36" s="2398"/>
      <c r="P36" s="2398"/>
      <c r="Q36" s="2398"/>
      <c r="R36" s="2391">
        <v>0</v>
      </c>
      <c r="S36" s="2391"/>
      <c r="T36" s="2391"/>
      <c r="U36" s="2391"/>
      <c r="V36" s="2391">
        <v>0</v>
      </c>
      <c r="W36" s="2391"/>
      <c r="X36" s="2391"/>
      <c r="Y36" s="2391"/>
      <c r="Z36" s="2391">
        <v>10</v>
      </c>
      <c r="AA36" s="2391"/>
      <c r="AB36" s="2391"/>
      <c r="AC36" s="2391"/>
      <c r="AD36" s="2391">
        <v>30</v>
      </c>
      <c r="AE36" s="2391"/>
      <c r="AF36" s="2391"/>
      <c r="AG36" s="2391"/>
      <c r="AH36" s="2391">
        <v>0</v>
      </c>
      <c r="AI36" s="2391"/>
      <c r="AJ36" s="2391"/>
      <c r="AK36" s="2391"/>
      <c r="AL36" s="2391">
        <v>0</v>
      </c>
      <c r="AM36" s="2391"/>
      <c r="AN36" s="2391"/>
      <c r="AO36" s="2392">
        <f>SUM(R36:AN36)</f>
        <v>40</v>
      </c>
      <c r="AP36" s="2392"/>
      <c r="AQ36" s="2392"/>
      <c r="AR36" s="2392"/>
      <c r="AS36" s="2392"/>
      <c r="AT36" s="2392"/>
      <c r="AU36" s="2393">
        <f>AO36/$J$29</f>
        <v>0.33057851239669422</v>
      </c>
      <c r="AV36" s="2393"/>
      <c r="AW36" s="2393"/>
      <c r="AX36" s="2393"/>
      <c r="AY36" s="2393"/>
      <c r="AZ36" s="2394"/>
      <c r="BA36" s="1207"/>
      <c r="BB36" s="1207"/>
      <c r="BC36" s="1207"/>
      <c r="BD36" s="1207"/>
      <c r="BE36" s="1213"/>
      <c r="BF36" s="1205"/>
    </row>
    <row r="37" spans="1:58" ht="15.75" customHeight="1">
      <c r="A37" s="1207"/>
      <c r="B37" s="2338" t="s">
        <v>2585</v>
      </c>
      <c r="C37" s="2339"/>
      <c r="D37" s="2339"/>
      <c r="E37" s="2339"/>
      <c r="F37" s="2339"/>
      <c r="G37" s="2339"/>
      <c r="H37" s="2339"/>
      <c r="I37" s="2339"/>
      <c r="J37" s="2398" t="s">
        <v>1877</v>
      </c>
      <c r="K37" s="2398"/>
      <c r="L37" s="2398"/>
      <c r="M37" s="2398"/>
      <c r="N37" s="2398">
        <v>55</v>
      </c>
      <c r="O37" s="2398"/>
      <c r="P37" s="2398"/>
      <c r="Q37" s="2398"/>
      <c r="R37" s="2391">
        <v>10</v>
      </c>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2">
        <f t="shared" ref="AO37:AO47" si="2">SUM(R37:AN37)</f>
        <v>10</v>
      </c>
      <c r="AP37" s="2392"/>
      <c r="AQ37" s="2392"/>
      <c r="AR37" s="2392"/>
      <c r="AS37" s="2392"/>
      <c r="AT37" s="2392"/>
      <c r="AU37" s="2393">
        <f t="shared" ref="AU37:AU47" si="3">AO37/$J$29</f>
        <v>8.2644628099173556E-2</v>
      </c>
      <c r="AV37" s="2393"/>
      <c r="AW37" s="2393"/>
      <c r="AX37" s="2393"/>
      <c r="AY37" s="2393"/>
      <c r="AZ37" s="2394"/>
      <c r="BA37" s="1207"/>
      <c r="BB37" s="1207"/>
      <c r="BC37" s="1207"/>
      <c r="BD37" s="1207"/>
      <c r="BE37" s="1213"/>
      <c r="BF37" s="1205"/>
    </row>
    <row r="38" spans="1:58" ht="15.75" customHeight="1">
      <c r="A38" s="1207"/>
      <c r="B38" s="2338" t="s">
        <v>2523</v>
      </c>
      <c r="C38" s="2339"/>
      <c r="D38" s="2339"/>
      <c r="E38" s="2339"/>
      <c r="F38" s="2339"/>
      <c r="G38" s="2339"/>
      <c r="H38" s="2339"/>
      <c r="I38" s="2339"/>
      <c r="J38" s="2398" t="s">
        <v>1878</v>
      </c>
      <c r="K38" s="2398"/>
      <c r="L38" s="2398"/>
      <c r="M38" s="2398"/>
      <c r="N38" s="2398">
        <v>55</v>
      </c>
      <c r="O38" s="2398"/>
      <c r="P38" s="2398"/>
      <c r="Q38" s="2398"/>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2">
        <f t="shared" si="2"/>
        <v>0</v>
      </c>
      <c r="AP38" s="2392"/>
      <c r="AQ38" s="2392"/>
      <c r="AR38" s="2392"/>
      <c r="AS38" s="2392"/>
      <c r="AT38" s="2392"/>
      <c r="AU38" s="2393">
        <f t="shared" si="3"/>
        <v>0</v>
      </c>
      <c r="AV38" s="2393"/>
      <c r="AW38" s="2393"/>
      <c r="AX38" s="2393"/>
      <c r="AY38" s="2393"/>
      <c r="AZ38" s="2394"/>
      <c r="BA38" s="1207"/>
      <c r="BB38" s="1207"/>
      <c r="BC38" s="1207"/>
      <c r="BD38" s="1207"/>
      <c r="BE38" s="1213"/>
      <c r="BF38" s="1205"/>
    </row>
    <row r="39" spans="1:58" ht="15.75" customHeight="1">
      <c r="A39" s="1207"/>
      <c r="B39" s="2338" t="s">
        <v>1879</v>
      </c>
      <c r="C39" s="2339"/>
      <c r="D39" s="2339"/>
      <c r="E39" s="2339"/>
      <c r="F39" s="2339"/>
      <c r="G39" s="2339"/>
      <c r="H39" s="2339"/>
      <c r="I39" s="2339"/>
      <c r="J39" s="2398"/>
      <c r="K39" s="2398"/>
      <c r="L39" s="2398"/>
      <c r="M39" s="2398"/>
      <c r="N39" s="2398"/>
      <c r="O39" s="2398"/>
      <c r="P39" s="2398"/>
      <c r="Q39" s="2398"/>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2">
        <f t="shared" si="2"/>
        <v>0</v>
      </c>
      <c r="AP39" s="2392"/>
      <c r="AQ39" s="2392"/>
      <c r="AR39" s="2392"/>
      <c r="AS39" s="2392"/>
      <c r="AT39" s="2392"/>
      <c r="AU39" s="2393">
        <f t="shared" si="3"/>
        <v>0</v>
      </c>
      <c r="AV39" s="2393"/>
      <c r="AW39" s="2393"/>
      <c r="AX39" s="2393"/>
      <c r="AY39" s="2393"/>
      <c r="AZ39" s="2394"/>
      <c r="BA39" s="1207"/>
      <c r="BB39" s="1207"/>
      <c r="BC39" s="1207"/>
      <c r="BD39" s="1207"/>
      <c r="BE39" s="1213"/>
    </row>
    <row r="40" spans="1:58" ht="15.75" customHeight="1">
      <c r="A40" s="1207"/>
      <c r="B40" s="2338" t="s">
        <v>1879</v>
      </c>
      <c r="C40" s="2339"/>
      <c r="D40" s="2339"/>
      <c r="E40" s="2339"/>
      <c r="F40" s="2339"/>
      <c r="G40" s="2339"/>
      <c r="H40" s="2339"/>
      <c r="I40" s="2339"/>
      <c r="J40" s="2398"/>
      <c r="K40" s="2398"/>
      <c r="L40" s="2398"/>
      <c r="M40" s="2398"/>
      <c r="N40" s="2398"/>
      <c r="O40" s="2398"/>
      <c r="P40" s="2398"/>
      <c r="Q40" s="2398"/>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2">
        <f t="shared" si="2"/>
        <v>0</v>
      </c>
      <c r="AP40" s="2392"/>
      <c r="AQ40" s="2392"/>
      <c r="AR40" s="2392"/>
      <c r="AS40" s="2392"/>
      <c r="AT40" s="2392"/>
      <c r="AU40" s="2393">
        <f t="shared" si="3"/>
        <v>0</v>
      </c>
      <c r="AV40" s="2393"/>
      <c r="AW40" s="2393"/>
      <c r="AX40" s="2393"/>
      <c r="AY40" s="2393"/>
      <c r="AZ40" s="2394"/>
      <c r="BA40" s="1207"/>
      <c r="BB40" s="1207"/>
      <c r="BC40" s="1207"/>
      <c r="BD40" s="1207"/>
      <c r="BE40" s="1213"/>
    </row>
    <row r="41" spans="1:58" ht="15.75" customHeight="1">
      <c r="A41" s="1207"/>
      <c r="B41" s="2338" t="s">
        <v>1880</v>
      </c>
      <c r="C41" s="2339"/>
      <c r="D41" s="2339"/>
      <c r="E41" s="2339"/>
      <c r="F41" s="2339"/>
      <c r="G41" s="2339"/>
      <c r="H41" s="2339"/>
      <c r="I41" s="2339"/>
      <c r="J41" s="2398"/>
      <c r="K41" s="2398"/>
      <c r="L41" s="2398"/>
      <c r="M41" s="2398"/>
      <c r="N41" s="2398"/>
      <c r="O41" s="2398"/>
      <c r="P41" s="2398"/>
      <c r="Q41" s="2398"/>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2">
        <f t="shared" si="2"/>
        <v>0</v>
      </c>
      <c r="AP41" s="2392"/>
      <c r="AQ41" s="2392"/>
      <c r="AR41" s="2392"/>
      <c r="AS41" s="2392"/>
      <c r="AT41" s="2392"/>
      <c r="AU41" s="2393">
        <f t="shared" si="3"/>
        <v>0</v>
      </c>
      <c r="AV41" s="2393"/>
      <c r="AW41" s="2393"/>
      <c r="AX41" s="2393"/>
      <c r="AY41" s="2393"/>
      <c r="AZ41" s="2394"/>
      <c r="BA41" s="1207"/>
      <c r="BB41" s="1207"/>
      <c r="BC41" s="1207"/>
      <c r="BD41" s="1207"/>
      <c r="BE41" s="1213"/>
    </row>
    <row r="42" spans="1:58" ht="15.75" customHeight="1">
      <c r="A42" s="1207"/>
      <c r="B42" s="2338" t="s">
        <v>1880</v>
      </c>
      <c r="C42" s="2339"/>
      <c r="D42" s="2339"/>
      <c r="E42" s="2339"/>
      <c r="F42" s="2339"/>
      <c r="G42" s="2339"/>
      <c r="H42" s="2339"/>
      <c r="I42" s="2339"/>
      <c r="J42" s="2398"/>
      <c r="K42" s="2398"/>
      <c r="L42" s="2398"/>
      <c r="M42" s="2398"/>
      <c r="N42" s="2398"/>
      <c r="O42" s="2398"/>
      <c r="P42" s="2398"/>
      <c r="Q42" s="2398"/>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2">
        <f t="shared" si="2"/>
        <v>0</v>
      </c>
      <c r="AP42" s="2392"/>
      <c r="AQ42" s="2392"/>
      <c r="AR42" s="2392"/>
      <c r="AS42" s="2392"/>
      <c r="AT42" s="2392"/>
      <c r="AU42" s="2393">
        <f t="shared" si="3"/>
        <v>0</v>
      </c>
      <c r="AV42" s="2393"/>
      <c r="AW42" s="2393"/>
      <c r="AX42" s="2393"/>
      <c r="AY42" s="2393"/>
      <c r="AZ42" s="2394"/>
      <c r="BA42" s="1207"/>
      <c r="BB42" s="1207"/>
      <c r="BC42" s="1207"/>
      <c r="BD42" s="1207"/>
      <c r="BE42" s="1213"/>
    </row>
    <row r="43" spans="1:58" ht="15.75" customHeight="1">
      <c r="A43" s="1207"/>
      <c r="B43" s="2343" t="s">
        <v>1881</v>
      </c>
      <c r="C43" s="2344"/>
      <c r="D43" s="2344"/>
      <c r="E43" s="2344"/>
      <c r="F43" s="2344"/>
      <c r="G43" s="2344"/>
      <c r="H43" s="2344"/>
      <c r="I43" s="2344"/>
      <c r="J43" s="2398"/>
      <c r="K43" s="2398"/>
      <c r="L43" s="2398"/>
      <c r="M43" s="2398"/>
      <c r="N43" s="2398"/>
      <c r="O43" s="2398"/>
      <c r="P43" s="2398"/>
      <c r="Q43" s="2398"/>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2">
        <f t="shared" si="2"/>
        <v>0</v>
      </c>
      <c r="AP43" s="2392"/>
      <c r="AQ43" s="2392"/>
      <c r="AR43" s="2392"/>
      <c r="AS43" s="2392"/>
      <c r="AT43" s="2392"/>
      <c r="AU43" s="2393">
        <f t="shared" si="3"/>
        <v>0</v>
      </c>
      <c r="AV43" s="2393"/>
      <c r="AW43" s="2393"/>
      <c r="AX43" s="2393"/>
      <c r="AY43" s="2393"/>
      <c r="AZ43" s="2394"/>
      <c r="BA43" s="1207"/>
      <c r="BB43" s="1207"/>
      <c r="BC43" s="1207"/>
      <c r="BD43" s="1207"/>
      <c r="BE43" s="1213"/>
    </row>
    <row r="44" spans="1:58" ht="15.75" customHeight="1">
      <c r="A44" s="1207"/>
      <c r="B44" s="2343" t="s">
        <v>1882</v>
      </c>
      <c r="C44" s="2344"/>
      <c r="D44" s="2344"/>
      <c r="E44" s="2344"/>
      <c r="F44" s="2344"/>
      <c r="G44" s="2344"/>
      <c r="H44" s="2344"/>
      <c r="I44" s="2344"/>
      <c r="J44" s="2398"/>
      <c r="K44" s="2398"/>
      <c r="L44" s="2398"/>
      <c r="M44" s="2398"/>
      <c r="N44" s="2398"/>
      <c r="O44" s="2398"/>
      <c r="P44" s="2398"/>
      <c r="Q44" s="2398"/>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2">
        <f t="shared" si="2"/>
        <v>0</v>
      </c>
      <c r="AP44" s="2392"/>
      <c r="AQ44" s="2392"/>
      <c r="AR44" s="2392"/>
      <c r="AS44" s="2392"/>
      <c r="AT44" s="2392"/>
      <c r="AU44" s="2393">
        <f t="shared" si="3"/>
        <v>0</v>
      </c>
      <c r="AV44" s="2393"/>
      <c r="AW44" s="2393"/>
      <c r="AX44" s="2393"/>
      <c r="AY44" s="2393"/>
      <c r="AZ44" s="2394"/>
      <c r="BA44" s="1207"/>
      <c r="BB44" s="1207"/>
      <c r="BC44" s="1207"/>
      <c r="BD44" s="1207"/>
      <c r="BE44" s="1213"/>
    </row>
    <row r="45" spans="1:58" ht="15.75" customHeight="1">
      <c r="A45" s="1207"/>
      <c r="B45" s="2343" t="s">
        <v>1883</v>
      </c>
      <c r="C45" s="2344"/>
      <c r="D45" s="2344"/>
      <c r="E45" s="2344"/>
      <c r="F45" s="2344"/>
      <c r="G45" s="2344"/>
      <c r="H45" s="2344"/>
      <c r="I45" s="2344"/>
      <c r="J45" s="2398"/>
      <c r="K45" s="2398"/>
      <c r="L45" s="2398"/>
      <c r="M45" s="2398"/>
      <c r="N45" s="2398"/>
      <c r="O45" s="2398"/>
      <c r="P45" s="2398"/>
      <c r="Q45" s="2398"/>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2">
        <f t="shared" si="2"/>
        <v>0</v>
      </c>
      <c r="AP45" s="2392"/>
      <c r="AQ45" s="2392"/>
      <c r="AR45" s="2392"/>
      <c r="AS45" s="2392"/>
      <c r="AT45" s="2392"/>
      <c r="AU45" s="2393">
        <f t="shared" si="3"/>
        <v>0</v>
      </c>
      <c r="AV45" s="2393"/>
      <c r="AW45" s="2393"/>
      <c r="AX45" s="2393"/>
      <c r="AY45" s="2393"/>
      <c r="AZ45" s="2394"/>
      <c r="BA45" s="1207"/>
      <c r="BB45" s="1207"/>
      <c r="BC45" s="1207"/>
      <c r="BD45" s="1207"/>
      <c r="BE45" s="1213"/>
    </row>
    <row r="46" spans="1:58" ht="15.75" customHeight="1">
      <c r="A46" s="1207"/>
      <c r="B46" s="2343" t="s">
        <v>1884</v>
      </c>
      <c r="C46" s="2344"/>
      <c r="D46" s="2344"/>
      <c r="E46" s="2344"/>
      <c r="F46" s="2344"/>
      <c r="G46" s="2344"/>
      <c r="H46" s="2344"/>
      <c r="I46" s="2344"/>
      <c r="J46" s="2398"/>
      <c r="K46" s="2398"/>
      <c r="L46" s="2398"/>
      <c r="M46" s="2398"/>
      <c r="N46" s="2398">
        <v>99</v>
      </c>
      <c r="O46" s="2398"/>
      <c r="P46" s="2398"/>
      <c r="Q46" s="2398"/>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2">
        <f t="shared" si="2"/>
        <v>0</v>
      </c>
      <c r="AP46" s="2392"/>
      <c r="AQ46" s="2392"/>
      <c r="AR46" s="2392"/>
      <c r="AS46" s="2392"/>
      <c r="AT46" s="2392"/>
      <c r="AU46" s="2393">
        <f t="shared" si="3"/>
        <v>0</v>
      </c>
      <c r="AV46" s="2393"/>
      <c r="AW46" s="2393"/>
      <c r="AX46" s="2393"/>
      <c r="AY46" s="2393"/>
      <c r="AZ46" s="2394"/>
      <c r="BA46" s="1207"/>
      <c r="BB46" s="1207"/>
      <c r="BC46" s="1207"/>
      <c r="BD46" s="1207"/>
      <c r="BE46" s="1213"/>
    </row>
    <row r="47" spans="1:58" ht="15.75" customHeight="1" thickBot="1">
      <c r="A47" s="1207"/>
      <c r="B47" s="2395" t="s">
        <v>301</v>
      </c>
      <c r="C47" s="2396"/>
      <c r="D47" s="2396"/>
      <c r="E47" s="2396"/>
      <c r="F47" s="2396"/>
      <c r="G47" s="2396"/>
      <c r="H47" s="2396"/>
      <c r="I47" s="2396"/>
      <c r="J47" s="2397"/>
      <c r="K47" s="2397"/>
      <c r="L47" s="2397"/>
      <c r="M47" s="2397"/>
      <c r="N47" s="2397"/>
      <c r="O47" s="2397"/>
      <c r="P47" s="2397"/>
      <c r="Q47" s="2397"/>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87"/>
      <c r="AM47" s="2387"/>
      <c r="AN47" s="2387"/>
      <c r="AO47" s="2388">
        <f t="shared" si="2"/>
        <v>0</v>
      </c>
      <c r="AP47" s="2388"/>
      <c r="AQ47" s="2388"/>
      <c r="AR47" s="2388"/>
      <c r="AS47" s="2388"/>
      <c r="AT47" s="2388"/>
      <c r="AU47" s="2389">
        <f t="shared" si="3"/>
        <v>0</v>
      </c>
      <c r="AV47" s="2389"/>
      <c r="AW47" s="2389"/>
      <c r="AX47" s="2389"/>
      <c r="AY47" s="2389"/>
      <c r="AZ47" s="2390"/>
      <c r="BA47" s="1207"/>
      <c r="BB47" s="1207"/>
      <c r="BC47" s="1207"/>
      <c r="BD47" s="1207"/>
      <c r="BE47" s="1213"/>
    </row>
    <row r="48" spans="1:58" ht="15.75" customHeight="1">
      <c r="A48" s="1207"/>
      <c r="B48" s="1215" t="s">
        <v>2586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83" t="s">
        <v>1885</v>
      </c>
      <c r="C50" s="2249"/>
      <c r="D50" s="2249"/>
      <c r="E50" s="2249"/>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50"/>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8" t="s">
        <v>1886</v>
      </c>
      <c r="C51" s="2317"/>
      <c r="D51" s="2317"/>
      <c r="E51" s="2317"/>
      <c r="F51" s="2317"/>
      <c r="G51" s="2317"/>
      <c r="H51" s="2317"/>
      <c r="I51" s="2317"/>
      <c r="J51" s="2317" t="s">
        <v>2587</v>
      </c>
      <c r="K51" s="2317"/>
      <c r="L51" s="2317"/>
      <c r="M51" s="2317"/>
      <c r="N51" s="2317"/>
      <c r="O51" s="2317"/>
      <c r="P51" s="2317"/>
      <c r="Q51" s="2317"/>
      <c r="R51" s="2385" t="s">
        <v>2588</v>
      </c>
      <c r="S51" s="2385"/>
      <c r="T51" s="2385"/>
      <c r="U51" s="2385"/>
      <c r="V51" s="2385"/>
      <c r="W51" s="2385"/>
      <c r="X51" s="2385"/>
      <c r="Y51" s="2385"/>
      <c r="Z51" s="2385" t="s">
        <v>1887</v>
      </c>
      <c r="AA51" s="2385"/>
      <c r="AB51" s="2385"/>
      <c r="AC51" s="2385"/>
      <c r="AD51" s="2385"/>
      <c r="AE51" s="2385"/>
      <c r="AF51" s="2385"/>
      <c r="AG51" s="2385"/>
      <c r="AH51" s="2385" t="s">
        <v>1888</v>
      </c>
      <c r="AI51" s="2385"/>
      <c r="AJ51" s="2385"/>
      <c r="AK51" s="2385"/>
      <c r="AL51" s="2385"/>
      <c r="AM51" s="2385"/>
      <c r="AN51" s="2385"/>
      <c r="AO51" s="238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3" t="s">
        <v>2261</v>
      </c>
      <c r="C52" s="2344"/>
      <c r="D52" s="2344"/>
      <c r="E52" s="2344"/>
      <c r="F52" s="2344"/>
      <c r="G52" s="2344"/>
      <c r="H52" s="2344"/>
      <c r="I52" s="2344"/>
      <c r="J52" s="2208">
        <v>0</v>
      </c>
      <c r="K52" s="2208"/>
      <c r="L52" s="2208"/>
      <c r="M52" s="2208"/>
      <c r="N52" s="2208"/>
      <c r="O52" s="2208"/>
      <c r="P52" s="2208"/>
      <c r="Q52" s="2208"/>
      <c r="R52" s="2377">
        <v>0</v>
      </c>
      <c r="S52" s="2377"/>
      <c r="T52" s="2377"/>
      <c r="U52" s="2377"/>
      <c r="V52" s="2377"/>
      <c r="W52" s="2377"/>
      <c r="X52" s="2377"/>
      <c r="Y52" s="2377"/>
      <c r="Z52" s="2378">
        <v>0</v>
      </c>
      <c r="AA52" s="2378"/>
      <c r="AB52" s="2378"/>
      <c r="AC52" s="2378"/>
      <c r="AD52" s="2378"/>
      <c r="AE52" s="2378"/>
      <c r="AF52" s="2378"/>
      <c r="AG52" s="2378"/>
      <c r="AH52" s="2379"/>
      <c r="AI52" s="2379"/>
      <c r="AJ52" s="2379"/>
      <c r="AK52" s="2379"/>
      <c r="AL52" s="2379"/>
      <c r="AM52" s="2379"/>
      <c r="AN52" s="2379"/>
      <c r="AO52" s="2380"/>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3" t="s">
        <v>2262</v>
      </c>
      <c r="C53" s="2344"/>
      <c r="D53" s="2344"/>
      <c r="E53" s="2344"/>
      <c r="F53" s="2344"/>
      <c r="G53" s="2344"/>
      <c r="H53" s="2344"/>
      <c r="I53" s="2344"/>
      <c r="J53" s="2208">
        <v>0</v>
      </c>
      <c r="K53" s="2208"/>
      <c r="L53" s="2208"/>
      <c r="M53" s="2208"/>
      <c r="N53" s="2208"/>
      <c r="O53" s="2208"/>
      <c r="P53" s="2208"/>
      <c r="Q53" s="2208"/>
      <c r="R53" s="2377">
        <v>0</v>
      </c>
      <c r="S53" s="2377"/>
      <c r="T53" s="2377"/>
      <c r="U53" s="2377"/>
      <c r="V53" s="2377"/>
      <c r="W53" s="2377"/>
      <c r="X53" s="2377"/>
      <c r="Y53" s="2377"/>
      <c r="Z53" s="2378">
        <v>0</v>
      </c>
      <c r="AA53" s="2378"/>
      <c r="AB53" s="2378"/>
      <c r="AC53" s="2378"/>
      <c r="AD53" s="2378"/>
      <c r="AE53" s="2378"/>
      <c r="AF53" s="2378"/>
      <c r="AG53" s="2378"/>
      <c r="AH53" s="2379"/>
      <c r="AI53" s="2379"/>
      <c r="AJ53" s="2379"/>
      <c r="AK53" s="2379"/>
      <c r="AL53" s="2379"/>
      <c r="AM53" s="2379"/>
      <c r="AN53" s="2379"/>
      <c r="AO53" s="2380"/>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3"/>
      <c r="C54" s="2344"/>
      <c r="D54" s="2344"/>
      <c r="E54" s="2344"/>
      <c r="F54" s="2344"/>
      <c r="G54" s="2344"/>
      <c r="H54" s="2344"/>
      <c r="I54" s="2344"/>
      <c r="J54" s="2208"/>
      <c r="K54" s="2208"/>
      <c r="L54" s="2208"/>
      <c r="M54" s="2208"/>
      <c r="N54" s="2208"/>
      <c r="O54" s="2208"/>
      <c r="P54" s="2208"/>
      <c r="Q54" s="2208"/>
      <c r="R54" s="2377"/>
      <c r="S54" s="2377"/>
      <c r="T54" s="2377"/>
      <c r="U54" s="2377"/>
      <c r="V54" s="2377"/>
      <c r="W54" s="2377"/>
      <c r="X54" s="2377"/>
      <c r="Y54" s="2377"/>
      <c r="Z54" s="2378"/>
      <c r="AA54" s="2378"/>
      <c r="AB54" s="2378"/>
      <c r="AC54" s="2378"/>
      <c r="AD54" s="2378"/>
      <c r="AE54" s="2378"/>
      <c r="AF54" s="2378"/>
      <c r="AG54" s="2378"/>
      <c r="AH54" s="2379"/>
      <c r="AI54" s="2379"/>
      <c r="AJ54" s="2379"/>
      <c r="AK54" s="2379"/>
      <c r="AL54" s="2379"/>
      <c r="AM54" s="2379"/>
      <c r="AN54" s="2379"/>
      <c r="AO54" s="2380"/>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3"/>
      <c r="C55" s="2344"/>
      <c r="D55" s="2344"/>
      <c r="E55" s="2344"/>
      <c r="F55" s="2344"/>
      <c r="G55" s="2344"/>
      <c r="H55" s="2344"/>
      <c r="I55" s="2344"/>
      <c r="J55" s="2208"/>
      <c r="K55" s="2208"/>
      <c r="L55" s="2208"/>
      <c r="M55" s="2208"/>
      <c r="N55" s="2208"/>
      <c r="O55" s="2208"/>
      <c r="P55" s="2208"/>
      <c r="Q55" s="2208"/>
      <c r="R55" s="2377"/>
      <c r="S55" s="2377"/>
      <c r="T55" s="2377"/>
      <c r="U55" s="2377"/>
      <c r="V55" s="2377"/>
      <c r="W55" s="2377"/>
      <c r="X55" s="2377"/>
      <c r="Y55" s="2377"/>
      <c r="Z55" s="2378"/>
      <c r="AA55" s="2378"/>
      <c r="AB55" s="2378"/>
      <c r="AC55" s="2378"/>
      <c r="AD55" s="2378"/>
      <c r="AE55" s="2378"/>
      <c r="AF55" s="2378"/>
      <c r="AG55" s="2378"/>
      <c r="AH55" s="2379"/>
      <c r="AI55" s="2379"/>
      <c r="AJ55" s="2379"/>
      <c r="AK55" s="2379"/>
      <c r="AL55" s="2379"/>
      <c r="AM55" s="2379"/>
      <c r="AN55" s="2379"/>
      <c r="AO55" s="2380"/>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43"/>
      <c r="C56" s="2344"/>
      <c r="D56" s="2344"/>
      <c r="E56" s="2344"/>
      <c r="F56" s="2344"/>
      <c r="G56" s="2344"/>
      <c r="H56" s="2344"/>
      <c r="I56" s="2344"/>
      <c r="J56" s="2208"/>
      <c r="K56" s="2208"/>
      <c r="L56" s="2208"/>
      <c r="M56" s="2208"/>
      <c r="N56" s="2208"/>
      <c r="O56" s="2208"/>
      <c r="P56" s="2208"/>
      <c r="Q56" s="2208"/>
      <c r="R56" s="2377"/>
      <c r="S56" s="2377"/>
      <c r="T56" s="2377"/>
      <c r="U56" s="2377"/>
      <c r="V56" s="2377"/>
      <c r="W56" s="2377"/>
      <c r="X56" s="2377"/>
      <c r="Y56" s="2377"/>
      <c r="Z56" s="2378"/>
      <c r="AA56" s="2378"/>
      <c r="AB56" s="2378"/>
      <c r="AC56" s="2378"/>
      <c r="AD56" s="2378"/>
      <c r="AE56" s="2378"/>
      <c r="AF56" s="2378"/>
      <c r="AG56" s="2378"/>
      <c r="AH56" s="2379"/>
      <c r="AI56" s="2379"/>
      <c r="AJ56" s="2379"/>
      <c r="AK56" s="2379"/>
      <c r="AL56" s="2379"/>
      <c r="AM56" s="2379"/>
      <c r="AN56" s="2379"/>
      <c r="AO56" s="2380"/>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6" t="s">
        <v>1765</v>
      </c>
      <c r="C57" s="2327"/>
      <c r="D57" s="2327"/>
      <c r="E57" s="2327"/>
      <c r="F57" s="2327"/>
      <c r="G57" s="2327"/>
      <c r="H57" s="2327"/>
      <c r="I57" s="2327"/>
      <c r="J57" s="2327"/>
      <c r="K57" s="2327"/>
      <c r="L57" s="2327"/>
      <c r="M57" s="2327"/>
      <c r="N57" s="2327"/>
      <c r="O57" s="2327"/>
      <c r="P57" s="2327"/>
      <c r="Q57" s="2327"/>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4" t="s">
        <v>1886</v>
      </c>
      <c r="C59" s="2375"/>
      <c r="D59" s="2375"/>
      <c r="E59" s="2375"/>
      <c r="F59" s="2375"/>
      <c r="G59" s="2375"/>
      <c r="H59" s="2375"/>
      <c r="I59" s="2376"/>
      <c r="J59" s="2306" t="s">
        <v>2589</v>
      </c>
      <c r="K59" s="2306"/>
      <c r="L59" s="2306"/>
      <c r="M59" s="2306"/>
      <c r="N59" s="2306"/>
      <c r="O59" s="2306"/>
      <c r="P59" s="2306"/>
      <c r="Q59" s="2306"/>
      <c r="R59" s="2306"/>
      <c r="S59" s="2306"/>
      <c r="T59" s="2306"/>
      <c r="U59" s="2306"/>
      <c r="V59" s="2306"/>
      <c r="W59" s="2306"/>
      <c r="X59" s="2306"/>
      <c r="Y59" s="2306"/>
      <c r="Z59" s="2306"/>
      <c r="AA59" s="2306"/>
      <c r="AB59" s="2306"/>
      <c r="AC59" s="2306"/>
      <c r="AD59" s="2306"/>
      <c r="AE59" s="2306"/>
      <c r="AF59" s="2306"/>
      <c r="AG59" s="2306"/>
      <c r="AH59" s="2306"/>
      <c r="AI59" s="2306"/>
      <c r="AJ59" s="2306"/>
      <c r="AK59" s="2306"/>
      <c r="AL59" s="2306"/>
      <c r="AM59" s="2306"/>
      <c r="AN59" s="2306"/>
      <c r="AO59" s="2306"/>
      <c r="AP59" s="2306"/>
      <c r="AQ59" s="2306"/>
      <c r="AR59" s="2306"/>
      <c r="AS59" s="2306"/>
      <c r="AT59" s="2306"/>
      <c r="AU59" s="2306"/>
      <c r="AV59" s="2306"/>
      <c r="AW59" s="2307"/>
      <c r="AX59" s="1207"/>
      <c r="AY59" s="1207"/>
      <c r="AZ59" s="1207"/>
      <c r="BA59" s="1207"/>
      <c r="BB59" s="1207"/>
      <c r="BC59" s="1207"/>
      <c r="BD59" s="1207"/>
      <c r="BE59" s="1213"/>
    </row>
    <row r="60" spans="1:58" ht="15.75" customHeight="1">
      <c r="A60" s="1207"/>
      <c r="B60" s="2366" t="str">
        <f>IF(B52="", "", B52)</f>
        <v>Services Company 1</v>
      </c>
      <c r="C60" s="2367"/>
      <c r="D60" s="2367"/>
      <c r="E60" s="2367"/>
      <c r="F60" s="2367"/>
      <c r="G60" s="2367"/>
      <c r="H60" s="2367"/>
      <c r="I60" s="2368"/>
      <c r="J60" s="2369"/>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c r="AO60" s="2211"/>
      <c r="AP60" s="2211"/>
      <c r="AQ60" s="2211"/>
      <c r="AR60" s="2211"/>
      <c r="AS60" s="2211"/>
      <c r="AT60" s="2211"/>
      <c r="AU60" s="2211"/>
      <c r="AV60" s="2211"/>
      <c r="AW60" s="2212"/>
      <c r="AX60" s="1207"/>
      <c r="AY60" s="1207"/>
      <c r="AZ60" s="1207"/>
      <c r="BA60" s="1207"/>
      <c r="BB60" s="1207"/>
      <c r="BC60" s="1207"/>
      <c r="BD60" s="1207"/>
      <c r="BE60" s="1213"/>
    </row>
    <row r="61" spans="1:58" ht="15.75" customHeight="1">
      <c r="A61" s="1207"/>
      <c r="B61" s="2366" t="str">
        <f>IF(B53="", "", B53)</f>
        <v>Services Company 2</v>
      </c>
      <c r="C61" s="2367"/>
      <c r="D61" s="2367"/>
      <c r="E61" s="2367"/>
      <c r="F61" s="2367"/>
      <c r="G61" s="2367"/>
      <c r="H61" s="2367"/>
      <c r="I61" s="2368"/>
      <c r="J61" s="2369"/>
      <c r="K61" s="2211"/>
      <c r="L61" s="2211"/>
      <c r="M61" s="2211"/>
      <c r="N61" s="2211"/>
      <c r="O61" s="2211"/>
      <c r="P61" s="2211"/>
      <c r="Q61" s="2211"/>
      <c r="R61" s="2211"/>
      <c r="S61" s="2211"/>
      <c r="T61" s="2211"/>
      <c r="U61" s="2211"/>
      <c r="V61" s="2211"/>
      <c r="W61" s="2211"/>
      <c r="X61" s="2211"/>
      <c r="Y61" s="2211"/>
      <c r="Z61" s="2211"/>
      <c r="AA61" s="2211"/>
      <c r="AB61" s="2211"/>
      <c r="AC61" s="2211"/>
      <c r="AD61" s="2211"/>
      <c r="AE61" s="2211"/>
      <c r="AF61" s="2211"/>
      <c r="AG61" s="2211"/>
      <c r="AH61" s="2211"/>
      <c r="AI61" s="2211"/>
      <c r="AJ61" s="2211"/>
      <c r="AK61" s="2211"/>
      <c r="AL61" s="2211"/>
      <c r="AM61" s="2211"/>
      <c r="AN61" s="2211"/>
      <c r="AO61" s="2211"/>
      <c r="AP61" s="2211"/>
      <c r="AQ61" s="2211"/>
      <c r="AR61" s="2211"/>
      <c r="AS61" s="2211"/>
      <c r="AT61" s="2211"/>
      <c r="AU61" s="2211"/>
      <c r="AV61" s="2211"/>
      <c r="AW61" s="2212"/>
      <c r="AX61" s="1207"/>
      <c r="AY61" s="1207"/>
      <c r="AZ61" s="1207"/>
      <c r="BA61" s="1207"/>
      <c r="BB61" s="1207"/>
      <c r="BC61" s="1207"/>
      <c r="BD61" s="1207"/>
      <c r="BE61" s="1213"/>
    </row>
    <row r="62" spans="1:58" ht="15.75" customHeight="1">
      <c r="A62" s="1207"/>
      <c r="B62" s="2366" t="str">
        <f>IF(B54="", "", B54)</f>
        <v/>
      </c>
      <c r="C62" s="2367"/>
      <c r="D62" s="2367"/>
      <c r="E62" s="2367"/>
      <c r="F62" s="2367"/>
      <c r="G62" s="2367"/>
      <c r="H62" s="2367"/>
      <c r="I62" s="2368"/>
      <c r="J62" s="2369"/>
      <c r="K62" s="2211"/>
      <c r="L62" s="2211"/>
      <c r="M62" s="2211"/>
      <c r="N62" s="2211"/>
      <c r="O62" s="2211"/>
      <c r="P62" s="2211"/>
      <c r="Q62" s="2211"/>
      <c r="R62" s="2211"/>
      <c r="S62" s="2211"/>
      <c r="T62" s="2211"/>
      <c r="U62" s="2211"/>
      <c r="V62" s="2211"/>
      <c r="W62" s="2211"/>
      <c r="X62" s="2211"/>
      <c r="Y62" s="2211"/>
      <c r="Z62" s="2211"/>
      <c r="AA62" s="2211"/>
      <c r="AB62" s="2211"/>
      <c r="AC62" s="2211"/>
      <c r="AD62" s="2211"/>
      <c r="AE62" s="2211"/>
      <c r="AF62" s="2211"/>
      <c r="AG62" s="2211"/>
      <c r="AH62" s="2211"/>
      <c r="AI62" s="2211"/>
      <c r="AJ62" s="2211"/>
      <c r="AK62" s="2211"/>
      <c r="AL62" s="2211"/>
      <c r="AM62" s="2211"/>
      <c r="AN62" s="2211"/>
      <c r="AO62" s="2211"/>
      <c r="AP62" s="2211"/>
      <c r="AQ62" s="2211"/>
      <c r="AR62" s="2211"/>
      <c r="AS62" s="2211"/>
      <c r="AT62" s="2211"/>
      <c r="AU62" s="2211"/>
      <c r="AV62" s="2211"/>
      <c r="AW62" s="2212"/>
      <c r="AX62" s="1207"/>
      <c r="AY62" s="1207"/>
      <c r="AZ62" s="1207"/>
      <c r="BA62" s="1207"/>
      <c r="BB62" s="1207"/>
      <c r="BC62" s="1207"/>
      <c r="BD62" s="1207"/>
      <c r="BE62" s="1213"/>
    </row>
    <row r="63" spans="1:58" ht="15.75" customHeight="1">
      <c r="A63" s="1207"/>
      <c r="B63" s="2366" t="str">
        <f>IF(B55="", "", B55)</f>
        <v/>
      </c>
      <c r="C63" s="2367"/>
      <c r="D63" s="2367"/>
      <c r="E63" s="2367"/>
      <c r="F63" s="2367"/>
      <c r="G63" s="2367"/>
      <c r="H63" s="2367"/>
      <c r="I63" s="2368"/>
      <c r="J63" s="2369"/>
      <c r="K63" s="2211"/>
      <c r="L63" s="2211"/>
      <c r="M63" s="2211"/>
      <c r="N63" s="2211"/>
      <c r="O63" s="2211"/>
      <c r="P63" s="2211"/>
      <c r="Q63" s="2211"/>
      <c r="R63" s="2211"/>
      <c r="S63" s="2211"/>
      <c r="T63" s="2211"/>
      <c r="U63" s="2211"/>
      <c r="V63" s="2211"/>
      <c r="W63" s="2211"/>
      <c r="X63" s="2211"/>
      <c r="Y63" s="2211"/>
      <c r="Z63" s="2211"/>
      <c r="AA63" s="2211"/>
      <c r="AB63" s="2211"/>
      <c r="AC63" s="2211"/>
      <c r="AD63" s="2211"/>
      <c r="AE63" s="2211"/>
      <c r="AF63" s="2211"/>
      <c r="AG63" s="2211"/>
      <c r="AH63" s="2211"/>
      <c r="AI63" s="2211"/>
      <c r="AJ63" s="2211"/>
      <c r="AK63" s="2211"/>
      <c r="AL63" s="2211"/>
      <c r="AM63" s="2211"/>
      <c r="AN63" s="2211"/>
      <c r="AO63" s="2211"/>
      <c r="AP63" s="2211"/>
      <c r="AQ63" s="2211"/>
      <c r="AR63" s="2211"/>
      <c r="AS63" s="2211"/>
      <c r="AT63" s="2211"/>
      <c r="AU63" s="2211"/>
      <c r="AV63" s="2211"/>
      <c r="AW63" s="2212"/>
      <c r="AX63" s="1207"/>
      <c r="AY63" s="1207"/>
      <c r="AZ63" s="1207"/>
      <c r="BA63" s="1207"/>
      <c r="BB63" s="1207"/>
      <c r="BC63" s="1207"/>
      <c r="BD63" s="1207"/>
      <c r="BE63" s="1213"/>
    </row>
    <row r="64" spans="1:58" ht="15.75" customHeight="1" thickBot="1">
      <c r="A64" s="1207"/>
      <c r="B64" s="2370" t="str">
        <f>IF(B56="", "", B56)</f>
        <v/>
      </c>
      <c r="C64" s="2371"/>
      <c r="D64" s="2371"/>
      <c r="E64" s="2371"/>
      <c r="F64" s="2371"/>
      <c r="G64" s="2371"/>
      <c r="H64" s="2371"/>
      <c r="I64" s="2372"/>
      <c r="J64" s="2373"/>
      <c r="K64" s="2353"/>
      <c r="L64" s="2353"/>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c r="AS64" s="2353"/>
      <c r="AT64" s="2353"/>
      <c r="AU64" s="2353"/>
      <c r="AV64" s="2353"/>
      <c r="AW64" s="2354"/>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5" t="s">
        <v>1890</v>
      </c>
      <c r="C68" s="2306"/>
      <c r="D68" s="2306"/>
      <c r="E68" s="2306"/>
      <c r="F68" s="2306"/>
      <c r="G68" s="2306"/>
      <c r="H68" s="2306"/>
      <c r="I68" s="2306"/>
      <c r="J68" s="2306"/>
      <c r="K68" s="2306"/>
      <c r="L68" s="2306"/>
      <c r="M68" s="2306"/>
      <c r="N68" s="2306"/>
      <c r="O68" s="2306"/>
      <c r="P68" s="2306"/>
      <c r="Q68" s="2306"/>
      <c r="R68" s="2306"/>
      <c r="S68" s="2306"/>
      <c r="T68" s="2306"/>
      <c r="U68" s="2306"/>
      <c r="V68" s="2306"/>
      <c r="W68" s="2306"/>
      <c r="X68" s="2306"/>
      <c r="Y68" s="2306"/>
      <c r="Z68" s="2306"/>
      <c r="AA68" s="2307"/>
      <c r="AB68" s="1207"/>
      <c r="AC68" s="2247" t="s">
        <v>1891</v>
      </c>
      <c r="AD68" s="2248"/>
      <c r="AE68" s="2248"/>
      <c r="AF68" s="2248"/>
      <c r="AG68" s="2248"/>
      <c r="AH68" s="2248"/>
      <c r="AI68" s="2248"/>
      <c r="AJ68" s="2248"/>
      <c r="AK68" s="2248"/>
      <c r="AL68" s="2248"/>
      <c r="AM68" s="2248"/>
      <c r="AN68" s="2248"/>
      <c r="AO68" s="2248"/>
      <c r="AP68" s="2248"/>
      <c r="AQ68" s="2248"/>
      <c r="AR68" s="2248"/>
      <c r="AS68" s="2248"/>
      <c r="AT68" s="2248"/>
      <c r="AU68" s="2248"/>
      <c r="AV68" s="2355" t="s">
        <v>678</v>
      </c>
      <c r="AW68" s="2291"/>
      <c r="AX68" s="2291"/>
      <c r="AY68" s="2291"/>
      <c r="AZ68" s="2291"/>
      <c r="BA68" s="2291"/>
      <c r="BB68" s="2291"/>
      <c r="BC68" s="2292"/>
      <c r="BD68" s="1207"/>
      <c r="BE68" s="1213"/>
      <c r="BM68" s="1218" t="s">
        <v>2590</v>
      </c>
    </row>
    <row r="69" spans="1:65" ht="15.75" customHeight="1" thickTop="1" thickBot="1">
      <c r="A69" s="1207"/>
      <c r="B69" s="2356" t="s">
        <v>1892</v>
      </c>
      <c r="C69" s="2357"/>
      <c r="D69" s="2357"/>
      <c r="E69" s="2357"/>
      <c r="F69" s="2357"/>
      <c r="G69" s="2357"/>
      <c r="H69" s="2357"/>
      <c r="I69" s="2357"/>
      <c r="J69" s="2357"/>
      <c r="K69" s="2357"/>
      <c r="L69" s="2357"/>
      <c r="M69" s="2357"/>
      <c r="N69" s="2357"/>
      <c r="O69" s="2358" t="s">
        <v>1893</v>
      </c>
      <c r="P69" s="2359"/>
      <c r="Q69" s="2359"/>
      <c r="R69" s="2359"/>
      <c r="S69" s="2359"/>
      <c r="T69" s="2359"/>
      <c r="U69" s="2359"/>
      <c r="V69" s="2359"/>
      <c r="W69" s="2359"/>
      <c r="X69" s="2359"/>
      <c r="Y69" s="2359"/>
      <c r="Z69" s="2359"/>
      <c r="AA69" s="2360"/>
      <c r="AB69" s="1207"/>
      <c r="AC69" s="2361" t="s">
        <v>1894</v>
      </c>
      <c r="AD69" s="2362"/>
      <c r="AE69" s="2362"/>
      <c r="AF69" s="2362"/>
      <c r="AG69" s="2362"/>
      <c r="AH69" s="2362"/>
      <c r="AI69" s="2362"/>
      <c r="AJ69" s="2362"/>
      <c r="AK69" s="2362"/>
      <c r="AL69" s="2362"/>
      <c r="AM69" s="2362"/>
      <c r="AN69" s="2362"/>
      <c r="AO69" s="2362"/>
      <c r="AP69" s="2362"/>
      <c r="AQ69" s="2362"/>
      <c r="AR69" s="2362"/>
      <c r="AS69" s="2362"/>
      <c r="AT69" s="2362"/>
      <c r="AU69" s="2362"/>
      <c r="AV69" s="2363"/>
      <c r="AW69" s="2364"/>
      <c r="AX69" s="2364"/>
      <c r="AY69" s="2364"/>
      <c r="AZ69" s="2364"/>
      <c r="BA69" s="2364"/>
      <c r="BB69" s="2364"/>
      <c r="BC69" s="2365"/>
      <c r="BD69" s="1207"/>
      <c r="BE69" s="1213"/>
      <c r="BM69" s="1219" t="s">
        <v>554</v>
      </c>
    </row>
    <row r="70" spans="1:65" ht="15.75" customHeight="1">
      <c r="A70" s="1207"/>
      <c r="B70" s="2338" t="s">
        <v>2591</v>
      </c>
      <c r="C70" s="2339"/>
      <c r="D70" s="2339"/>
      <c r="E70" s="2339"/>
      <c r="F70" s="2339"/>
      <c r="G70" s="2339"/>
      <c r="H70" s="2339"/>
      <c r="I70" s="2339"/>
      <c r="J70" s="2339"/>
      <c r="K70" s="2339"/>
      <c r="L70" s="2339"/>
      <c r="M70" s="2339"/>
      <c r="N70" s="2339"/>
      <c r="O70" s="2241">
        <v>0</v>
      </c>
      <c r="P70" s="2241"/>
      <c r="Q70" s="2241"/>
      <c r="R70" s="2241"/>
      <c r="S70" s="2241"/>
      <c r="T70" s="2241"/>
      <c r="U70" s="2241"/>
      <c r="V70" s="2241"/>
      <c r="W70" s="2241"/>
      <c r="X70" s="2241"/>
      <c r="Y70" s="2241"/>
      <c r="Z70" s="2241"/>
      <c r="AA70" s="2340"/>
      <c r="AB70" s="1207"/>
      <c r="AC70" s="2283" t="s">
        <v>1895</v>
      </c>
      <c r="AD70" s="2249"/>
      <c r="AE70" s="2249"/>
      <c r="AF70" s="2349"/>
      <c r="AG70" s="2349"/>
      <c r="AH70" s="2349"/>
      <c r="AI70" s="2349"/>
      <c r="AJ70" s="2349"/>
      <c r="AK70" s="2349"/>
      <c r="AL70" s="2349"/>
      <c r="AM70" s="2349"/>
      <c r="AN70" s="2349"/>
      <c r="AO70" s="2349"/>
      <c r="AP70" s="2349"/>
      <c r="AQ70" s="2349"/>
      <c r="AR70" s="2349"/>
      <c r="AS70" s="2349"/>
      <c r="AT70" s="2349"/>
      <c r="AU70" s="2350"/>
      <c r="AV70" s="1207"/>
      <c r="AW70" s="1207"/>
      <c r="AX70" s="1207"/>
      <c r="AY70" s="1207"/>
      <c r="AZ70" s="1207"/>
      <c r="BA70" s="1207"/>
      <c r="BB70" s="1207"/>
      <c r="BC70" s="1207"/>
      <c r="BD70" s="1207"/>
      <c r="BE70" s="1213"/>
      <c r="BM70" s="1220" t="s">
        <v>678</v>
      </c>
    </row>
    <row r="71" spans="1:65" ht="15.75" customHeight="1" thickBot="1">
      <c r="A71" s="1207"/>
      <c r="B71" s="2338" t="s">
        <v>2592</v>
      </c>
      <c r="C71" s="2339"/>
      <c r="D71" s="2339"/>
      <c r="E71" s="2339"/>
      <c r="F71" s="2339"/>
      <c r="G71" s="2339"/>
      <c r="H71" s="2339"/>
      <c r="I71" s="2339"/>
      <c r="J71" s="2339"/>
      <c r="K71" s="2339"/>
      <c r="L71" s="2339"/>
      <c r="M71" s="2339"/>
      <c r="N71" s="2339"/>
      <c r="O71" s="2241">
        <v>0</v>
      </c>
      <c r="P71" s="2241"/>
      <c r="Q71" s="2241"/>
      <c r="R71" s="2241"/>
      <c r="S71" s="2241"/>
      <c r="T71" s="2241"/>
      <c r="U71" s="2241"/>
      <c r="V71" s="2241"/>
      <c r="W71" s="2241"/>
      <c r="X71" s="2241"/>
      <c r="Y71" s="2241"/>
      <c r="Z71" s="2241"/>
      <c r="AA71" s="2340"/>
      <c r="AB71" s="1207"/>
      <c r="AC71" s="2351" t="s">
        <v>1896</v>
      </c>
      <c r="AD71" s="2352"/>
      <c r="AE71" s="2352"/>
      <c r="AF71" s="2353"/>
      <c r="AG71" s="2353"/>
      <c r="AH71" s="2353"/>
      <c r="AI71" s="2353"/>
      <c r="AJ71" s="2353"/>
      <c r="AK71" s="2353"/>
      <c r="AL71" s="2353"/>
      <c r="AM71" s="2353"/>
      <c r="AN71" s="2353"/>
      <c r="AO71" s="2353"/>
      <c r="AP71" s="2353"/>
      <c r="AQ71" s="2353"/>
      <c r="AR71" s="2353"/>
      <c r="AS71" s="2353"/>
      <c r="AT71" s="2353"/>
      <c r="AU71" s="2354"/>
      <c r="AV71" s="1207"/>
      <c r="AW71" s="1207"/>
      <c r="AX71" s="1207"/>
      <c r="AY71" s="1207"/>
      <c r="AZ71" s="1207"/>
      <c r="BA71" s="1207"/>
      <c r="BB71" s="1207"/>
      <c r="BC71" s="1207"/>
      <c r="BD71" s="1207"/>
      <c r="BE71" s="1213"/>
      <c r="BM71" s="1204" t="s">
        <v>2593</v>
      </c>
    </row>
    <row r="72" spans="1:65" ht="15.75" customHeight="1">
      <c r="A72" s="1207"/>
      <c r="B72" s="2338" t="s">
        <v>2594</v>
      </c>
      <c r="C72" s="2339"/>
      <c r="D72" s="2339"/>
      <c r="E72" s="2339"/>
      <c r="F72" s="2339"/>
      <c r="G72" s="2339"/>
      <c r="H72" s="2339"/>
      <c r="I72" s="2339"/>
      <c r="J72" s="2339"/>
      <c r="K72" s="2339"/>
      <c r="L72" s="2339"/>
      <c r="M72" s="2339"/>
      <c r="N72" s="2339"/>
      <c r="O72" s="2241">
        <v>0</v>
      </c>
      <c r="P72" s="2241"/>
      <c r="Q72" s="2241"/>
      <c r="R72" s="2241"/>
      <c r="S72" s="2241"/>
      <c r="T72" s="2241"/>
      <c r="U72" s="2241"/>
      <c r="V72" s="2241"/>
      <c r="W72" s="2241"/>
      <c r="X72" s="2241"/>
      <c r="Y72" s="2241"/>
      <c r="Z72" s="2241"/>
      <c r="AA72" s="2340"/>
      <c r="AB72" s="1207"/>
      <c r="AC72" s="2341" t="s">
        <v>2595</v>
      </c>
      <c r="AD72" s="2342"/>
      <c r="AE72" s="2342"/>
      <c r="AF72" s="2342"/>
      <c r="AG72" s="2342"/>
      <c r="AH72" s="2342"/>
      <c r="AI72" s="2342"/>
      <c r="AJ72" s="2342"/>
      <c r="AK72" s="2342"/>
      <c r="AL72" s="2342"/>
      <c r="AM72" s="2342"/>
      <c r="AN72" s="2342"/>
      <c r="AO72" s="2342"/>
      <c r="AP72" s="2342"/>
      <c r="AQ72" s="2342"/>
      <c r="AR72" s="2342"/>
      <c r="AS72" s="2342"/>
      <c r="AT72" s="2342"/>
      <c r="AU72" s="2342"/>
      <c r="AV72" s="2249"/>
      <c r="AW72" s="2249"/>
      <c r="AX72" s="2249"/>
      <c r="AY72" s="2249"/>
      <c r="AZ72" s="2249"/>
      <c r="BA72" s="2249"/>
      <c r="BB72" s="2249"/>
      <c r="BC72" s="2250"/>
      <c r="BD72" s="1207"/>
      <c r="BE72" s="1213"/>
    </row>
    <row r="73" spans="1:65" ht="15.75" customHeight="1">
      <c r="A73" s="1207"/>
      <c r="B73" s="2343" t="s">
        <v>2596</v>
      </c>
      <c r="C73" s="2344"/>
      <c r="D73" s="2344"/>
      <c r="E73" s="2344"/>
      <c r="F73" s="2344"/>
      <c r="G73" s="2344"/>
      <c r="H73" s="2344"/>
      <c r="I73" s="2344"/>
      <c r="J73" s="2344"/>
      <c r="K73" s="2344"/>
      <c r="L73" s="2344"/>
      <c r="M73" s="2344"/>
      <c r="N73" s="2344"/>
      <c r="O73" s="2241">
        <v>0</v>
      </c>
      <c r="P73" s="2241"/>
      <c r="Q73" s="2241"/>
      <c r="R73" s="2241"/>
      <c r="S73" s="2241"/>
      <c r="T73" s="2241"/>
      <c r="U73" s="2241"/>
      <c r="V73" s="2241"/>
      <c r="W73" s="2241"/>
      <c r="X73" s="2241"/>
      <c r="Y73" s="2241"/>
      <c r="Z73" s="2241"/>
      <c r="AA73" s="2340"/>
      <c r="AB73" s="1207"/>
      <c r="AC73" s="2260" t="s">
        <v>2263</v>
      </c>
      <c r="AD73" s="2261"/>
      <c r="AE73" s="2261"/>
      <c r="AF73" s="2261"/>
      <c r="AG73" s="2261"/>
      <c r="AH73" s="2261"/>
      <c r="AI73" s="2261"/>
      <c r="AJ73" s="2261"/>
      <c r="AK73" s="2261"/>
      <c r="AL73" s="2261"/>
      <c r="AM73" s="2261"/>
      <c r="AN73" s="2261"/>
      <c r="AO73" s="2261"/>
      <c r="AP73" s="2261"/>
      <c r="AQ73" s="2261"/>
      <c r="AR73" s="2261"/>
      <c r="AS73" s="2261"/>
      <c r="AT73" s="2261"/>
      <c r="AU73" s="2261"/>
      <c r="AV73" s="2261"/>
      <c r="AW73" s="2261"/>
      <c r="AX73" s="2261"/>
      <c r="AY73" s="2261"/>
      <c r="AZ73" s="2261"/>
      <c r="BA73" s="2261"/>
      <c r="BB73" s="2261"/>
      <c r="BC73" s="2262"/>
      <c r="BD73" s="1207"/>
      <c r="BE73" s="1213"/>
    </row>
    <row r="74" spans="1:65" ht="15.75" customHeight="1">
      <c r="A74" s="1207"/>
      <c r="B74" s="2207"/>
      <c r="C74" s="2208"/>
      <c r="D74" s="2208"/>
      <c r="E74" s="2208"/>
      <c r="F74" s="2208"/>
      <c r="G74" s="2208"/>
      <c r="H74" s="2208"/>
      <c r="I74" s="2208"/>
      <c r="J74" s="2208"/>
      <c r="K74" s="2208"/>
      <c r="L74" s="2208"/>
      <c r="M74" s="2208"/>
      <c r="N74" s="2208"/>
      <c r="O74" s="2241"/>
      <c r="P74" s="2241"/>
      <c r="Q74" s="2241"/>
      <c r="R74" s="2241"/>
      <c r="S74" s="2241"/>
      <c r="T74" s="2241"/>
      <c r="U74" s="2241"/>
      <c r="V74" s="2241"/>
      <c r="W74" s="2241"/>
      <c r="X74" s="2241"/>
      <c r="Y74" s="2241"/>
      <c r="Z74" s="2241"/>
      <c r="AA74" s="2340"/>
      <c r="AB74" s="1207"/>
      <c r="AC74" s="2260"/>
      <c r="AD74" s="2261"/>
      <c r="AE74" s="2261"/>
      <c r="AF74" s="2261"/>
      <c r="AG74" s="2261"/>
      <c r="AH74" s="2261"/>
      <c r="AI74" s="2261"/>
      <c r="AJ74" s="2261"/>
      <c r="AK74" s="2261"/>
      <c r="AL74" s="2261"/>
      <c r="AM74" s="2261"/>
      <c r="AN74" s="2261"/>
      <c r="AO74" s="2261"/>
      <c r="AP74" s="2261"/>
      <c r="AQ74" s="2261"/>
      <c r="AR74" s="2261"/>
      <c r="AS74" s="2261"/>
      <c r="AT74" s="2261"/>
      <c r="AU74" s="2261"/>
      <c r="AV74" s="2261"/>
      <c r="AW74" s="2261"/>
      <c r="AX74" s="2261"/>
      <c r="AY74" s="2261"/>
      <c r="AZ74" s="2261"/>
      <c r="BA74" s="2261"/>
      <c r="BB74" s="2261"/>
      <c r="BC74" s="2262"/>
      <c r="BD74" s="1207"/>
      <c r="BE74" s="1213"/>
    </row>
    <row r="75" spans="1:65" ht="15.75" customHeight="1" thickBot="1">
      <c r="A75" s="1207"/>
      <c r="B75" s="2345" t="s">
        <v>125</v>
      </c>
      <c r="C75" s="2346"/>
      <c r="D75" s="2346"/>
      <c r="E75" s="2346"/>
      <c r="F75" s="2346"/>
      <c r="G75" s="2346"/>
      <c r="H75" s="2346"/>
      <c r="I75" s="2346"/>
      <c r="J75" s="2346"/>
      <c r="K75" s="2346"/>
      <c r="L75" s="2346"/>
      <c r="M75" s="2346"/>
      <c r="N75" s="2346"/>
      <c r="O75" s="2347">
        <f>SUM(O70:AA74)</f>
        <v>0</v>
      </c>
      <c r="P75" s="2347"/>
      <c r="Q75" s="2347"/>
      <c r="R75" s="2347"/>
      <c r="S75" s="2347"/>
      <c r="T75" s="2347"/>
      <c r="U75" s="2347"/>
      <c r="V75" s="2347"/>
      <c r="W75" s="2347"/>
      <c r="X75" s="2347"/>
      <c r="Y75" s="2347"/>
      <c r="Z75" s="2347"/>
      <c r="AA75" s="2348"/>
      <c r="AB75" s="1207"/>
      <c r="AC75" s="2260"/>
      <c r="AD75" s="2261"/>
      <c r="AE75" s="2261"/>
      <c r="AF75" s="2261"/>
      <c r="AG75" s="2261"/>
      <c r="AH75" s="2261"/>
      <c r="AI75" s="2261"/>
      <c r="AJ75" s="2261"/>
      <c r="AK75" s="2261"/>
      <c r="AL75" s="2261"/>
      <c r="AM75" s="2261"/>
      <c r="AN75" s="2261"/>
      <c r="AO75" s="2261"/>
      <c r="AP75" s="2261"/>
      <c r="AQ75" s="2261"/>
      <c r="AR75" s="2261"/>
      <c r="AS75" s="2261"/>
      <c r="AT75" s="2261"/>
      <c r="AU75" s="2261"/>
      <c r="AV75" s="2261"/>
      <c r="AW75" s="2261"/>
      <c r="AX75" s="2261"/>
      <c r="AY75" s="2261"/>
      <c r="AZ75" s="2261"/>
      <c r="BA75" s="2261"/>
      <c r="BB75" s="2261"/>
      <c r="BC75" s="226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60"/>
      <c r="AD76" s="2261"/>
      <c r="AE76" s="2261"/>
      <c r="AF76" s="2261"/>
      <c r="AG76" s="2261"/>
      <c r="AH76" s="2261"/>
      <c r="AI76" s="2261"/>
      <c r="AJ76" s="2261"/>
      <c r="AK76" s="2261"/>
      <c r="AL76" s="2261"/>
      <c r="AM76" s="2261"/>
      <c r="AN76" s="2261"/>
      <c r="AO76" s="2261"/>
      <c r="AP76" s="2261"/>
      <c r="AQ76" s="2261"/>
      <c r="AR76" s="2261"/>
      <c r="AS76" s="2261"/>
      <c r="AT76" s="2261"/>
      <c r="AU76" s="2261"/>
      <c r="AV76" s="2261"/>
      <c r="AW76" s="2261"/>
      <c r="AX76" s="2261"/>
      <c r="AY76" s="2261"/>
      <c r="AZ76" s="2261"/>
      <c r="BA76" s="2261"/>
      <c r="BB76" s="2261"/>
      <c r="BC76" s="2262"/>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63"/>
      <c r="AD77" s="2264"/>
      <c r="AE77" s="2264"/>
      <c r="AF77" s="2264"/>
      <c r="AG77" s="2264"/>
      <c r="AH77" s="2264"/>
      <c r="AI77" s="2264"/>
      <c r="AJ77" s="2264"/>
      <c r="AK77" s="2264"/>
      <c r="AL77" s="2264"/>
      <c r="AM77" s="2264"/>
      <c r="AN77" s="2264"/>
      <c r="AO77" s="2264"/>
      <c r="AP77" s="2264"/>
      <c r="AQ77" s="2264"/>
      <c r="AR77" s="2264"/>
      <c r="AS77" s="2264"/>
      <c r="AT77" s="2264"/>
      <c r="AU77" s="2264"/>
      <c r="AV77" s="2264"/>
      <c r="AW77" s="2264"/>
      <c r="AX77" s="2264"/>
      <c r="AY77" s="2264"/>
      <c r="AZ77" s="2264"/>
      <c r="BA77" s="2264"/>
      <c r="BB77" s="2264"/>
      <c r="BC77" s="226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5" t="s">
        <v>2246</v>
      </c>
      <c r="C79" s="2336"/>
      <c r="D79" s="2336"/>
      <c r="E79" s="2336"/>
      <c r="F79" s="2336"/>
      <c r="G79" s="2336"/>
      <c r="H79" s="2336"/>
      <c r="I79" s="2336"/>
      <c r="J79" s="2336"/>
      <c r="K79" s="2336"/>
      <c r="L79" s="2336"/>
      <c r="M79" s="2336"/>
      <c r="N79" s="2336"/>
      <c r="O79" s="2336"/>
      <c r="P79" s="2336"/>
      <c r="Q79" s="2336"/>
      <c r="R79" s="2336"/>
      <c r="S79" s="2336"/>
      <c r="T79" s="2336"/>
      <c r="U79" s="2336"/>
      <c r="V79" s="2336"/>
      <c r="W79" s="2336"/>
      <c r="X79" s="2336"/>
      <c r="Y79" s="2336"/>
      <c r="Z79" s="2336"/>
      <c r="AA79" s="2336"/>
      <c r="AB79" s="2336"/>
      <c r="AC79" s="2336"/>
      <c r="AD79" s="2336"/>
      <c r="AE79" s="2336"/>
      <c r="AF79" s="2336"/>
      <c r="AG79" s="2336"/>
      <c r="AH79" s="2337"/>
      <c r="AI79" s="1207"/>
      <c r="AJ79" s="2308" t="s">
        <v>2597</v>
      </c>
      <c r="AK79" s="2309"/>
      <c r="AL79" s="2309"/>
      <c r="AM79" s="2309"/>
      <c r="AN79" s="2309"/>
      <c r="AO79" s="2309"/>
      <c r="AP79" s="2309"/>
      <c r="AQ79" s="2309"/>
      <c r="AR79" s="2309"/>
      <c r="AS79" s="2309"/>
      <c r="AT79" s="2309"/>
      <c r="AU79" s="2309"/>
      <c r="AV79" s="2309"/>
      <c r="AW79" s="2309"/>
      <c r="AX79" s="2309"/>
      <c r="AY79" s="2329" t="s">
        <v>554</v>
      </c>
      <c r="AZ79" s="2329"/>
      <c r="BA79" s="2329"/>
      <c r="BB79" s="2330"/>
      <c r="BC79" s="1207"/>
      <c r="BD79" s="1207"/>
      <c r="BE79" s="1213"/>
    </row>
    <row r="80" spans="1:65" ht="15.75" customHeight="1">
      <c r="A80" s="1207"/>
      <c r="B80" s="2328"/>
      <c r="C80" s="2317"/>
      <c r="D80" s="2317"/>
      <c r="E80" s="2317"/>
      <c r="F80" s="2317"/>
      <c r="G80" s="2317"/>
      <c r="H80" s="2317"/>
      <c r="I80" s="2317" t="s">
        <v>1898</v>
      </c>
      <c r="J80" s="2317"/>
      <c r="K80" s="2317"/>
      <c r="L80" s="2317"/>
      <c r="M80" s="2317"/>
      <c r="N80" s="2317"/>
      <c r="O80" s="2317" t="s">
        <v>1899</v>
      </c>
      <c r="P80" s="2317"/>
      <c r="Q80" s="2317"/>
      <c r="R80" s="2317"/>
      <c r="S80" s="2317"/>
      <c r="T80" s="2317"/>
      <c r="U80" s="2317"/>
      <c r="V80" s="2333" t="s">
        <v>2264</v>
      </c>
      <c r="W80" s="2333"/>
      <c r="X80" s="2333"/>
      <c r="Y80" s="2333"/>
      <c r="Z80" s="2333"/>
      <c r="AA80" s="2333"/>
      <c r="AB80" s="2284" t="s">
        <v>1900</v>
      </c>
      <c r="AC80" s="2284"/>
      <c r="AD80" s="2284"/>
      <c r="AE80" s="2284"/>
      <c r="AF80" s="2284"/>
      <c r="AG80" s="2284"/>
      <c r="AH80" s="2334"/>
      <c r="AI80" s="1207"/>
      <c r="AJ80" s="2311"/>
      <c r="AK80" s="2312"/>
      <c r="AL80" s="2312"/>
      <c r="AM80" s="2312"/>
      <c r="AN80" s="2312"/>
      <c r="AO80" s="2312"/>
      <c r="AP80" s="2312"/>
      <c r="AQ80" s="2312"/>
      <c r="AR80" s="2312"/>
      <c r="AS80" s="2312"/>
      <c r="AT80" s="2312"/>
      <c r="AU80" s="2312"/>
      <c r="AV80" s="2312"/>
      <c r="AW80" s="2312"/>
      <c r="AX80" s="2312"/>
      <c r="AY80" s="2331"/>
      <c r="AZ80" s="2331"/>
      <c r="BA80" s="2331"/>
      <c r="BB80" s="2332"/>
      <c r="BC80" s="1207"/>
      <c r="BD80" s="1207"/>
      <c r="BE80" s="1213"/>
    </row>
    <row r="81" spans="1:57" ht="15.75" customHeight="1">
      <c r="A81" s="1207"/>
      <c r="B81" s="2328"/>
      <c r="C81" s="2317"/>
      <c r="D81" s="2317"/>
      <c r="E81" s="2317"/>
      <c r="F81" s="2317"/>
      <c r="G81" s="2317"/>
      <c r="H81" s="2317"/>
      <c r="I81" s="2317"/>
      <c r="J81" s="2317"/>
      <c r="K81" s="2317"/>
      <c r="L81" s="2317"/>
      <c r="M81" s="2317"/>
      <c r="N81" s="2317"/>
      <c r="O81" s="2317"/>
      <c r="P81" s="2317"/>
      <c r="Q81" s="2317"/>
      <c r="R81" s="2317"/>
      <c r="S81" s="2317"/>
      <c r="T81" s="2317"/>
      <c r="U81" s="2317"/>
      <c r="V81" s="2333"/>
      <c r="W81" s="2333"/>
      <c r="X81" s="2333"/>
      <c r="Y81" s="2333"/>
      <c r="Z81" s="2333"/>
      <c r="AA81" s="2333"/>
      <c r="AB81" s="2284"/>
      <c r="AC81" s="2284"/>
      <c r="AD81" s="2284"/>
      <c r="AE81" s="2284"/>
      <c r="AF81" s="2284"/>
      <c r="AG81" s="2284"/>
      <c r="AH81" s="2334"/>
      <c r="AI81" s="1207"/>
      <c r="AJ81" s="2311"/>
      <c r="AK81" s="2312"/>
      <c r="AL81" s="2312"/>
      <c r="AM81" s="2312"/>
      <c r="AN81" s="2312"/>
      <c r="AO81" s="2312"/>
      <c r="AP81" s="2312"/>
      <c r="AQ81" s="2312"/>
      <c r="AR81" s="2312"/>
      <c r="AS81" s="2312"/>
      <c r="AT81" s="2312"/>
      <c r="AU81" s="2312"/>
      <c r="AV81" s="2312"/>
      <c r="AW81" s="2312"/>
      <c r="AX81" s="2312"/>
      <c r="AY81" s="2331"/>
      <c r="AZ81" s="2331"/>
      <c r="BA81" s="2331"/>
      <c r="BB81" s="2332"/>
      <c r="BC81" s="1207"/>
      <c r="BD81" s="1207"/>
      <c r="BE81" s="1213"/>
    </row>
    <row r="82" spans="1:57" ht="15.75" customHeight="1">
      <c r="A82" s="1207"/>
      <c r="B82" s="2328" t="s">
        <v>2247</v>
      </c>
      <c r="C82" s="2317"/>
      <c r="D82" s="2317"/>
      <c r="E82" s="2317"/>
      <c r="F82" s="2317"/>
      <c r="G82" s="2317"/>
      <c r="H82" s="2317"/>
      <c r="I82" s="2287">
        <v>0</v>
      </c>
      <c r="J82" s="2287"/>
      <c r="K82" s="2287"/>
      <c r="L82" s="2287"/>
      <c r="M82" s="2287"/>
      <c r="N82" s="2287"/>
      <c r="O82" s="2287">
        <v>0</v>
      </c>
      <c r="P82" s="2287"/>
      <c r="Q82" s="2287"/>
      <c r="R82" s="2287"/>
      <c r="S82" s="2287"/>
      <c r="T82" s="2287"/>
      <c r="U82" s="2287"/>
      <c r="V82" s="2287">
        <v>0</v>
      </c>
      <c r="W82" s="2287"/>
      <c r="X82" s="2287"/>
      <c r="Y82" s="2287"/>
      <c r="Z82" s="2287"/>
      <c r="AA82" s="2287"/>
      <c r="AB82" s="2287">
        <v>0</v>
      </c>
      <c r="AC82" s="2287"/>
      <c r="AD82" s="2287"/>
      <c r="AE82" s="2287"/>
      <c r="AF82" s="2287"/>
      <c r="AG82" s="2287"/>
      <c r="AH82" s="2288"/>
      <c r="AI82" s="1207"/>
      <c r="AJ82" s="2311"/>
      <c r="AK82" s="2312"/>
      <c r="AL82" s="2312"/>
      <c r="AM82" s="2312"/>
      <c r="AN82" s="2312"/>
      <c r="AO82" s="2312"/>
      <c r="AP82" s="2312"/>
      <c r="AQ82" s="2312"/>
      <c r="AR82" s="2312"/>
      <c r="AS82" s="2312"/>
      <c r="AT82" s="2312"/>
      <c r="AU82" s="2312"/>
      <c r="AV82" s="2312"/>
      <c r="AW82" s="2312"/>
      <c r="AX82" s="2312"/>
      <c r="AY82" s="2331"/>
      <c r="AZ82" s="2331"/>
      <c r="BA82" s="2331"/>
      <c r="BB82" s="2332"/>
      <c r="BC82" s="1207"/>
      <c r="BD82" s="1207"/>
      <c r="BE82" s="1213"/>
    </row>
    <row r="83" spans="1:57" ht="15.75" customHeight="1">
      <c r="A83" s="1207"/>
      <c r="B83" s="2328" t="s">
        <v>2248</v>
      </c>
      <c r="C83" s="2317"/>
      <c r="D83" s="2317"/>
      <c r="E83" s="2317"/>
      <c r="F83" s="2317"/>
      <c r="G83" s="2317"/>
      <c r="H83" s="2317"/>
      <c r="I83" s="2287">
        <v>0</v>
      </c>
      <c r="J83" s="2287"/>
      <c r="K83" s="2287"/>
      <c r="L83" s="2287"/>
      <c r="M83" s="2287"/>
      <c r="N83" s="2287"/>
      <c r="O83" s="2287">
        <v>0</v>
      </c>
      <c r="P83" s="2287"/>
      <c r="Q83" s="2287"/>
      <c r="R83" s="2287"/>
      <c r="S83" s="2287"/>
      <c r="T83" s="2287"/>
      <c r="U83" s="2287"/>
      <c r="V83" s="2287">
        <v>0</v>
      </c>
      <c r="W83" s="2287"/>
      <c r="X83" s="2287"/>
      <c r="Y83" s="2287"/>
      <c r="Z83" s="2287"/>
      <c r="AA83" s="2287"/>
      <c r="AB83" s="2287">
        <v>0</v>
      </c>
      <c r="AC83" s="2287"/>
      <c r="AD83" s="2287"/>
      <c r="AE83" s="2287"/>
      <c r="AF83" s="2287"/>
      <c r="AG83" s="2287"/>
      <c r="AH83" s="2288"/>
      <c r="AI83" s="1207"/>
      <c r="AJ83" s="2320" t="s">
        <v>2598</v>
      </c>
      <c r="AK83" s="2321"/>
      <c r="AL83" s="2321"/>
      <c r="AM83" s="2321"/>
      <c r="AN83" s="2321"/>
      <c r="AO83" s="2321"/>
      <c r="AP83" s="2321"/>
      <c r="AQ83" s="2321"/>
      <c r="AR83" s="2321"/>
      <c r="AS83" s="2321"/>
      <c r="AT83" s="2321"/>
      <c r="AU83" s="2321"/>
      <c r="AV83" s="2321"/>
      <c r="AW83" s="2321"/>
      <c r="AX83" s="2321"/>
      <c r="AY83" s="2321"/>
      <c r="AZ83" s="2321"/>
      <c r="BA83" s="2321"/>
      <c r="BB83" s="2322"/>
      <c r="BC83" s="1207"/>
      <c r="BD83" s="1207"/>
      <c r="BE83" s="1213"/>
    </row>
    <row r="84" spans="1:57" ht="15.75" customHeight="1" thickBot="1">
      <c r="A84" s="1207"/>
      <c r="B84" s="2326" t="s">
        <v>1901</v>
      </c>
      <c r="C84" s="2327"/>
      <c r="D84" s="2327"/>
      <c r="E84" s="2327"/>
      <c r="F84" s="2327"/>
      <c r="G84" s="2327"/>
      <c r="H84" s="2327"/>
      <c r="I84" s="2281">
        <v>0</v>
      </c>
      <c r="J84" s="2281"/>
      <c r="K84" s="2281"/>
      <c r="L84" s="2281"/>
      <c r="M84" s="2281"/>
      <c r="N84" s="2281"/>
      <c r="O84" s="2281">
        <v>0</v>
      </c>
      <c r="P84" s="2281"/>
      <c r="Q84" s="2281"/>
      <c r="R84" s="2281"/>
      <c r="S84" s="2281"/>
      <c r="T84" s="2281"/>
      <c r="U84" s="2281"/>
      <c r="V84" s="2281">
        <v>0</v>
      </c>
      <c r="W84" s="2281"/>
      <c r="X84" s="2281"/>
      <c r="Y84" s="2281"/>
      <c r="Z84" s="2281"/>
      <c r="AA84" s="2281"/>
      <c r="AB84" s="2281">
        <v>0</v>
      </c>
      <c r="AC84" s="2281"/>
      <c r="AD84" s="2281"/>
      <c r="AE84" s="2281"/>
      <c r="AF84" s="2281"/>
      <c r="AG84" s="2281"/>
      <c r="AH84" s="2282"/>
      <c r="AI84" s="1207"/>
      <c r="AJ84" s="2323"/>
      <c r="AK84" s="2324"/>
      <c r="AL84" s="2324"/>
      <c r="AM84" s="2324"/>
      <c r="AN84" s="2324"/>
      <c r="AO84" s="2324"/>
      <c r="AP84" s="2324"/>
      <c r="AQ84" s="2324"/>
      <c r="AR84" s="2324"/>
      <c r="AS84" s="2324"/>
      <c r="AT84" s="2324"/>
      <c r="AU84" s="2324"/>
      <c r="AV84" s="2324"/>
      <c r="AW84" s="2324"/>
      <c r="AX84" s="2324"/>
      <c r="AY84" s="2324"/>
      <c r="AZ84" s="2324"/>
      <c r="BA84" s="2324"/>
      <c r="BB84" s="2325"/>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7" t="s">
        <v>1903</v>
      </c>
      <c r="C88" s="2248"/>
      <c r="D88" s="2248"/>
      <c r="E88" s="2248"/>
      <c r="F88" s="2248"/>
      <c r="G88" s="2248"/>
      <c r="H88" s="2248"/>
      <c r="I88" s="2248"/>
      <c r="J88" s="2248"/>
      <c r="K88" s="2248"/>
      <c r="L88" s="2248"/>
      <c r="M88" s="2248"/>
      <c r="N88" s="2248"/>
      <c r="O88" s="2248"/>
      <c r="P88" s="2248"/>
      <c r="Q88" s="2248"/>
      <c r="R88" s="2248"/>
      <c r="S88" s="2248"/>
      <c r="T88" s="2248"/>
      <c r="U88" s="2248"/>
      <c r="V88" s="2248"/>
      <c r="W88" s="2248"/>
      <c r="X88" s="2248"/>
      <c r="Y88" s="2248"/>
      <c r="Z88" s="2248"/>
      <c r="AA88" s="2248"/>
      <c r="AB88" s="2248"/>
      <c r="AC88" s="2248"/>
      <c r="AD88" s="2248"/>
      <c r="AE88" s="2248"/>
      <c r="AF88" s="2248"/>
      <c r="AG88" s="2248"/>
      <c r="AH88" s="2253"/>
      <c r="AI88" s="1207"/>
      <c r="AJ88" s="2308" t="s">
        <v>2599</v>
      </c>
      <c r="AK88" s="2309"/>
      <c r="AL88" s="2309"/>
      <c r="AM88" s="2309"/>
      <c r="AN88" s="2309"/>
      <c r="AO88" s="2309"/>
      <c r="AP88" s="2309"/>
      <c r="AQ88" s="2309"/>
      <c r="AR88" s="2309"/>
      <c r="AS88" s="2309"/>
      <c r="AT88" s="2309"/>
      <c r="AU88" s="2309"/>
      <c r="AV88" s="2309"/>
      <c r="AW88" s="2309"/>
      <c r="AX88" s="2309"/>
      <c r="AY88" s="2329" t="s">
        <v>554</v>
      </c>
      <c r="AZ88" s="2329"/>
      <c r="BA88" s="2329"/>
      <c r="BB88" s="2330"/>
      <c r="BC88" s="1207"/>
      <c r="BD88" s="1207"/>
      <c r="BE88" s="1213"/>
    </row>
    <row r="89" spans="1:57" ht="16.5" customHeight="1">
      <c r="A89" s="1207"/>
      <c r="B89" s="2328"/>
      <c r="C89" s="2317"/>
      <c r="D89" s="2317"/>
      <c r="E89" s="2317"/>
      <c r="F89" s="2317"/>
      <c r="G89" s="2317"/>
      <c r="H89" s="2317"/>
      <c r="I89" s="2317" t="s">
        <v>1898</v>
      </c>
      <c r="J89" s="2317"/>
      <c r="K89" s="2317"/>
      <c r="L89" s="2317"/>
      <c r="M89" s="2317"/>
      <c r="N89" s="2317"/>
      <c r="O89" s="2317" t="s">
        <v>1899</v>
      </c>
      <c r="P89" s="2317"/>
      <c r="Q89" s="2317"/>
      <c r="R89" s="2317"/>
      <c r="S89" s="2317"/>
      <c r="T89" s="2317"/>
      <c r="U89" s="2317"/>
      <c r="V89" s="2333" t="s">
        <v>2264</v>
      </c>
      <c r="W89" s="2333"/>
      <c r="X89" s="2333"/>
      <c r="Y89" s="2333"/>
      <c r="Z89" s="2333"/>
      <c r="AA89" s="2333"/>
      <c r="AB89" s="2284" t="s">
        <v>1900</v>
      </c>
      <c r="AC89" s="2284"/>
      <c r="AD89" s="2284"/>
      <c r="AE89" s="2284"/>
      <c r="AF89" s="2284"/>
      <c r="AG89" s="2284"/>
      <c r="AH89" s="2334"/>
      <c r="AI89" s="1207"/>
      <c r="AJ89" s="2311"/>
      <c r="AK89" s="2312"/>
      <c r="AL89" s="2312"/>
      <c r="AM89" s="2312"/>
      <c r="AN89" s="2312"/>
      <c r="AO89" s="2312"/>
      <c r="AP89" s="2312"/>
      <c r="AQ89" s="2312"/>
      <c r="AR89" s="2312"/>
      <c r="AS89" s="2312"/>
      <c r="AT89" s="2312"/>
      <c r="AU89" s="2312"/>
      <c r="AV89" s="2312"/>
      <c r="AW89" s="2312"/>
      <c r="AX89" s="2312"/>
      <c r="AY89" s="2331"/>
      <c r="AZ89" s="2331"/>
      <c r="BA89" s="2331"/>
      <c r="BB89" s="2332"/>
      <c r="BC89" s="1207"/>
      <c r="BD89" s="1207"/>
      <c r="BE89" s="1213"/>
    </row>
    <row r="90" spans="1:57" ht="16.5" customHeight="1">
      <c r="A90" s="1207"/>
      <c r="B90" s="2328"/>
      <c r="C90" s="2317"/>
      <c r="D90" s="2317"/>
      <c r="E90" s="2317"/>
      <c r="F90" s="2317"/>
      <c r="G90" s="2317"/>
      <c r="H90" s="2317"/>
      <c r="I90" s="2317"/>
      <c r="J90" s="2317"/>
      <c r="K90" s="2317"/>
      <c r="L90" s="2317"/>
      <c r="M90" s="2317"/>
      <c r="N90" s="2317"/>
      <c r="O90" s="2317"/>
      <c r="P90" s="2317"/>
      <c r="Q90" s="2317"/>
      <c r="R90" s="2317"/>
      <c r="S90" s="2317"/>
      <c r="T90" s="2317"/>
      <c r="U90" s="2317"/>
      <c r="V90" s="2333"/>
      <c r="W90" s="2333"/>
      <c r="X90" s="2333"/>
      <c r="Y90" s="2333"/>
      <c r="Z90" s="2333"/>
      <c r="AA90" s="2333"/>
      <c r="AB90" s="2284"/>
      <c r="AC90" s="2284"/>
      <c r="AD90" s="2284"/>
      <c r="AE90" s="2284"/>
      <c r="AF90" s="2284"/>
      <c r="AG90" s="2284"/>
      <c r="AH90" s="2334"/>
      <c r="AI90" s="1207"/>
      <c r="AJ90" s="2311"/>
      <c r="AK90" s="2312"/>
      <c r="AL90" s="2312"/>
      <c r="AM90" s="2312"/>
      <c r="AN90" s="2312"/>
      <c r="AO90" s="2312"/>
      <c r="AP90" s="2312"/>
      <c r="AQ90" s="2312"/>
      <c r="AR90" s="2312"/>
      <c r="AS90" s="2312"/>
      <c r="AT90" s="2312"/>
      <c r="AU90" s="2312"/>
      <c r="AV90" s="2312"/>
      <c r="AW90" s="2312"/>
      <c r="AX90" s="2312"/>
      <c r="AY90" s="2331"/>
      <c r="AZ90" s="2331"/>
      <c r="BA90" s="2331"/>
      <c r="BB90" s="2332"/>
      <c r="BC90" s="1207"/>
      <c r="BD90" s="1207"/>
      <c r="BE90" s="1213"/>
    </row>
    <row r="91" spans="1:57" ht="15.75" customHeight="1">
      <c r="A91" s="1207"/>
      <c r="B91" s="2328" t="s">
        <v>2247</v>
      </c>
      <c r="C91" s="2317"/>
      <c r="D91" s="2317"/>
      <c r="E91" s="2317"/>
      <c r="F91" s="2317"/>
      <c r="G91" s="2317"/>
      <c r="H91" s="2317"/>
      <c r="I91" s="2287">
        <v>0</v>
      </c>
      <c r="J91" s="2287"/>
      <c r="K91" s="2287"/>
      <c r="L91" s="2287"/>
      <c r="M91" s="2287"/>
      <c r="N91" s="2287"/>
      <c r="O91" s="2287">
        <v>0</v>
      </c>
      <c r="P91" s="2287"/>
      <c r="Q91" s="2287"/>
      <c r="R91" s="2287"/>
      <c r="S91" s="2287"/>
      <c r="T91" s="2287"/>
      <c r="U91" s="2287"/>
      <c r="V91" s="2287">
        <v>0</v>
      </c>
      <c r="W91" s="2287"/>
      <c r="X91" s="2287"/>
      <c r="Y91" s="2287"/>
      <c r="Z91" s="2287"/>
      <c r="AA91" s="2287"/>
      <c r="AB91" s="2287">
        <v>0</v>
      </c>
      <c r="AC91" s="2287"/>
      <c r="AD91" s="2287"/>
      <c r="AE91" s="2287"/>
      <c r="AF91" s="2287"/>
      <c r="AG91" s="2287"/>
      <c r="AH91" s="2288"/>
      <c r="AI91" s="1207"/>
      <c r="AJ91" s="2311"/>
      <c r="AK91" s="2312"/>
      <c r="AL91" s="2312"/>
      <c r="AM91" s="2312"/>
      <c r="AN91" s="2312"/>
      <c r="AO91" s="2312"/>
      <c r="AP91" s="2312"/>
      <c r="AQ91" s="2312"/>
      <c r="AR91" s="2312"/>
      <c r="AS91" s="2312"/>
      <c r="AT91" s="2312"/>
      <c r="AU91" s="2312"/>
      <c r="AV91" s="2312"/>
      <c r="AW91" s="2312"/>
      <c r="AX91" s="2312"/>
      <c r="AY91" s="2331"/>
      <c r="AZ91" s="2331"/>
      <c r="BA91" s="2331"/>
      <c r="BB91" s="2332"/>
      <c r="BC91" s="1207"/>
      <c r="BD91" s="1207"/>
      <c r="BE91" s="1213"/>
    </row>
    <row r="92" spans="1:57" ht="15.75" customHeight="1">
      <c r="A92" s="1207"/>
      <c r="B92" s="2328" t="s">
        <v>2248</v>
      </c>
      <c r="C92" s="2317"/>
      <c r="D92" s="2317"/>
      <c r="E92" s="2317"/>
      <c r="F92" s="2317"/>
      <c r="G92" s="2317"/>
      <c r="H92" s="2317"/>
      <c r="I92" s="2287">
        <v>0</v>
      </c>
      <c r="J92" s="2287"/>
      <c r="K92" s="2287"/>
      <c r="L92" s="2287"/>
      <c r="M92" s="2287"/>
      <c r="N92" s="2287"/>
      <c r="O92" s="2287">
        <v>0</v>
      </c>
      <c r="P92" s="2287"/>
      <c r="Q92" s="2287"/>
      <c r="R92" s="2287"/>
      <c r="S92" s="2287"/>
      <c r="T92" s="2287"/>
      <c r="U92" s="2287"/>
      <c r="V92" s="2287">
        <v>0</v>
      </c>
      <c r="W92" s="2287"/>
      <c r="X92" s="2287"/>
      <c r="Y92" s="2287"/>
      <c r="Z92" s="2287"/>
      <c r="AA92" s="2287"/>
      <c r="AB92" s="2287">
        <v>0</v>
      </c>
      <c r="AC92" s="2287"/>
      <c r="AD92" s="2287"/>
      <c r="AE92" s="2287"/>
      <c r="AF92" s="2287"/>
      <c r="AG92" s="2287"/>
      <c r="AH92" s="2288"/>
      <c r="AI92" s="1207"/>
      <c r="AJ92" s="2320" t="s">
        <v>2265</v>
      </c>
      <c r="AK92" s="2321"/>
      <c r="AL92" s="2321"/>
      <c r="AM92" s="2321"/>
      <c r="AN92" s="2321"/>
      <c r="AO92" s="2321"/>
      <c r="AP92" s="2321"/>
      <c r="AQ92" s="2321"/>
      <c r="AR92" s="2321"/>
      <c r="AS92" s="2321"/>
      <c r="AT92" s="2321"/>
      <c r="AU92" s="2321"/>
      <c r="AV92" s="2321"/>
      <c r="AW92" s="2321"/>
      <c r="AX92" s="2321"/>
      <c r="AY92" s="2321"/>
      <c r="AZ92" s="2321"/>
      <c r="BA92" s="2321"/>
      <c r="BB92" s="2322"/>
      <c r="BC92" s="1207"/>
      <c r="BD92" s="1207"/>
      <c r="BE92" s="1213"/>
    </row>
    <row r="93" spans="1:57" ht="15.75" customHeight="1" thickBot="1">
      <c r="A93" s="1207"/>
      <c r="B93" s="2326" t="s">
        <v>1901</v>
      </c>
      <c r="C93" s="2327"/>
      <c r="D93" s="2327"/>
      <c r="E93" s="2327"/>
      <c r="F93" s="2327"/>
      <c r="G93" s="2327"/>
      <c r="H93" s="2327"/>
      <c r="I93" s="2281">
        <v>0</v>
      </c>
      <c r="J93" s="2281"/>
      <c r="K93" s="2281"/>
      <c r="L93" s="2281"/>
      <c r="M93" s="2281"/>
      <c r="N93" s="2281"/>
      <c r="O93" s="2281">
        <v>0</v>
      </c>
      <c r="P93" s="2281"/>
      <c r="Q93" s="2281"/>
      <c r="R93" s="2281"/>
      <c r="S93" s="2281"/>
      <c r="T93" s="2281"/>
      <c r="U93" s="2281"/>
      <c r="V93" s="2281">
        <v>0</v>
      </c>
      <c r="W93" s="2281"/>
      <c r="X93" s="2281"/>
      <c r="Y93" s="2281"/>
      <c r="Z93" s="2281"/>
      <c r="AA93" s="2281"/>
      <c r="AB93" s="2281">
        <v>0</v>
      </c>
      <c r="AC93" s="2281"/>
      <c r="AD93" s="2281"/>
      <c r="AE93" s="2281"/>
      <c r="AF93" s="2281"/>
      <c r="AG93" s="2281"/>
      <c r="AH93" s="2282"/>
      <c r="AI93" s="1207"/>
      <c r="AJ93" s="2323"/>
      <c r="AK93" s="2324"/>
      <c r="AL93" s="2324"/>
      <c r="AM93" s="2324"/>
      <c r="AN93" s="2324"/>
      <c r="AO93" s="2324"/>
      <c r="AP93" s="2324"/>
      <c r="AQ93" s="2324"/>
      <c r="AR93" s="2324"/>
      <c r="AS93" s="2324"/>
      <c r="AT93" s="2324"/>
      <c r="AU93" s="2324"/>
      <c r="AV93" s="2324"/>
      <c r="AW93" s="2324"/>
      <c r="AX93" s="2324"/>
      <c r="AY93" s="2324"/>
      <c r="AZ93" s="2324"/>
      <c r="BA93" s="2324"/>
      <c r="BB93" s="2325"/>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8" t="s">
        <v>2249</v>
      </c>
      <c r="Y96" s="2309"/>
      <c r="Z96" s="2309"/>
      <c r="AA96" s="2309"/>
      <c r="AB96" s="2309"/>
      <c r="AC96" s="2309"/>
      <c r="AD96" s="2309"/>
      <c r="AE96" s="2309"/>
      <c r="AF96" s="2309"/>
      <c r="AG96" s="2309"/>
      <c r="AH96" s="2309"/>
      <c r="AI96" s="2309"/>
      <c r="AJ96" s="2309"/>
      <c r="AK96" s="2309"/>
      <c r="AL96" s="2309"/>
      <c r="AM96" s="2309"/>
      <c r="AN96" s="2309"/>
      <c r="AO96" s="2309"/>
      <c r="AP96" s="2309"/>
      <c r="AQ96" s="2309"/>
      <c r="AR96" s="2309"/>
      <c r="AS96" s="2309"/>
      <c r="AT96" s="2309"/>
      <c r="AU96" s="2309"/>
      <c r="AV96" s="2309"/>
      <c r="AW96" s="2309"/>
      <c r="AX96" s="2309"/>
      <c r="AY96" s="2309"/>
      <c r="AZ96" s="2309"/>
      <c r="BA96" s="2309"/>
      <c r="BB96" s="2309"/>
      <c r="BC96" s="2309"/>
      <c r="BD96" s="2310"/>
      <c r="BE96" s="1213"/>
    </row>
    <row r="97" spans="1:57" ht="15.75" customHeight="1">
      <c r="A97" s="1207"/>
      <c r="B97" s="2314" t="s">
        <v>1755</v>
      </c>
      <c r="C97" s="2315"/>
      <c r="D97" s="2315"/>
      <c r="E97" s="2315"/>
      <c r="F97" s="2315"/>
      <c r="G97" s="2315"/>
      <c r="H97" s="2315"/>
      <c r="I97" s="2315"/>
      <c r="J97" s="2315"/>
      <c r="K97" s="2315"/>
      <c r="L97" s="2315"/>
      <c r="M97" s="2315"/>
      <c r="N97" s="2315"/>
      <c r="O97" s="2315"/>
      <c r="P97" s="2315"/>
      <c r="Q97" s="2315"/>
      <c r="R97" s="2315"/>
      <c r="S97" s="2315"/>
      <c r="T97" s="2315"/>
      <c r="U97" s="2316"/>
      <c r="V97" s="1207"/>
      <c r="W97" s="1207"/>
      <c r="X97" s="2311"/>
      <c r="Y97" s="2312"/>
      <c r="Z97" s="2312"/>
      <c r="AA97" s="2312"/>
      <c r="AB97" s="2312"/>
      <c r="AC97" s="2312"/>
      <c r="AD97" s="2312"/>
      <c r="AE97" s="2312"/>
      <c r="AF97" s="2312"/>
      <c r="AG97" s="2312"/>
      <c r="AH97" s="2312"/>
      <c r="AI97" s="2312"/>
      <c r="AJ97" s="2312"/>
      <c r="AK97" s="2312"/>
      <c r="AL97" s="2312"/>
      <c r="AM97" s="2312"/>
      <c r="AN97" s="2312"/>
      <c r="AO97" s="2312"/>
      <c r="AP97" s="2312"/>
      <c r="AQ97" s="2312"/>
      <c r="AR97" s="2312"/>
      <c r="AS97" s="2312"/>
      <c r="AT97" s="2312"/>
      <c r="AU97" s="2312"/>
      <c r="AV97" s="2312"/>
      <c r="AW97" s="2312"/>
      <c r="AX97" s="2312"/>
      <c r="AY97" s="2312"/>
      <c r="AZ97" s="2312"/>
      <c r="BA97" s="2312"/>
      <c r="BB97" s="2312"/>
      <c r="BC97" s="2312"/>
      <c r="BD97" s="2313"/>
      <c r="BE97" s="1213"/>
    </row>
    <row r="98" spans="1:57" ht="15.75" customHeight="1">
      <c r="A98" s="1207"/>
      <c r="B98" s="2257"/>
      <c r="C98" s="2258"/>
      <c r="D98" s="2258"/>
      <c r="E98" s="2258"/>
      <c r="F98" s="2258"/>
      <c r="G98" s="2258"/>
      <c r="H98" s="2258"/>
      <c r="I98" s="2317" t="s">
        <v>2250</v>
      </c>
      <c r="J98" s="2317"/>
      <c r="K98" s="2317"/>
      <c r="L98" s="2317"/>
      <c r="M98" s="2317"/>
      <c r="N98" s="2317"/>
      <c r="O98" s="2318" t="s">
        <v>2251</v>
      </c>
      <c r="P98" s="2318"/>
      <c r="Q98" s="2318"/>
      <c r="R98" s="2318"/>
      <c r="S98" s="2318"/>
      <c r="T98" s="2318"/>
      <c r="U98" s="2319"/>
      <c r="V98" s="1207"/>
      <c r="W98" s="1207"/>
      <c r="X98" s="2260" t="s">
        <v>2263</v>
      </c>
      <c r="Y98" s="2261"/>
      <c r="Z98" s="2261"/>
      <c r="AA98" s="2261"/>
      <c r="AB98" s="2261"/>
      <c r="AC98" s="2261"/>
      <c r="AD98" s="2261"/>
      <c r="AE98" s="2261"/>
      <c r="AF98" s="2261"/>
      <c r="AG98" s="2261"/>
      <c r="AH98" s="2261"/>
      <c r="AI98" s="2261"/>
      <c r="AJ98" s="2261"/>
      <c r="AK98" s="2261"/>
      <c r="AL98" s="2261"/>
      <c r="AM98" s="2261"/>
      <c r="AN98" s="2261"/>
      <c r="AO98" s="2261"/>
      <c r="AP98" s="2261"/>
      <c r="AQ98" s="2261"/>
      <c r="AR98" s="2261"/>
      <c r="AS98" s="2261"/>
      <c r="AT98" s="2261"/>
      <c r="AU98" s="2261"/>
      <c r="AV98" s="2261"/>
      <c r="AW98" s="2261"/>
      <c r="AX98" s="2261"/>
      <c r="AY98" s="2261"/>
      <c r="AZ98" s="2261"/>
      <c r="BA98" s="2261"/>
      <c r="BB98" s="2261"/>
      <c r="BC98" s="2261"/>
      <c r="BD98" s="2262"/>
      <c r="BE98" s="1213"/>
    </row>
    <row r="99" spans="1:57" ht="15.75" customHeight="1">
      <c r="A99" s="1207"/>
      <c r="B99" s="2285" t="s">
        <v>2252</v>
      </c>
      <c r="C99" s="2286"/>
      <c r="D99" s="2286"/>
      <c r="E99" s="2286"/>
      <c r="F99" s="2286"/>
      <c r="G99" s="2286"/>
      <c r="H99" s="2286"/>
      <c r="I99" s="2287">
        <v>0</v>
      </c>
      <c r="J99" s="2287"/>
      <c r="K99" s="2287"/>
      <c r="L99" s="2287"/>
      <c r="M99" s="2287"/>
      <c r="N99" s="2287"/>
      <c r="O99" s="2287">
        <v>0</v>
      </c>
      <c r="P99" s="2287"/>
      <c r="Q99" s="2287"/>
      <c r="R99" s="2287"/>
      <c r="S99" s="2287"/>
      <c r="T99" s="2287"/>
      <c r="U99" s="2288"/>
      <c r="V99" s="1207"/>
      <c r="W99" s="1207"/>
      <c r="X99" s="2260"/>
      <c r="Y99" s="2261"/>
      <c r="Z99" s="2261"/>
      <c r="AA99" s="2261"/>
      <c r="AB99" s="2261"/>
      <c r="AC99" s="2261"/>
      <c r="AD99" s="2261"/>
      <c r="AE99" s="2261"/>
      <c r="AF99" s="2261"/>
      <c r="AG99" s="2261"/>
      <c r="AH99" s="2261"/>
      <c r="AI99" s="2261"/>
      <c r="AJ99" s="2261"/>
      <c r="AK99" s="2261"/>
      <c r="AL99" s="2261"/>
      <c r="AM99" s="2261"/>
      <c r="AN99" s="2261"/>
      <c r="AO99" s="2261"/>
      <c r="AP99" s="2261"/>
      <c r="AQ99" s="2261"/>
      <c r="AR99" s="2261"/>
      <c r="AS99" s="2261"/>
      <c r="AT99" s="2261"/>
      <c r="AU99" s="2261"/>
      <c r="AV99" s="2261"/>
      <c r="AW99" s="2261"/>
      <c r="AX99" s="2261"/>
      <c r="AY99" s="2261"/>
      <c r="AZ99" s="2261"/>
      <c r="BA99" s="2261"/>
      <c r="BB99" s="2261"/>
      <c r="BC99" s="2261"/>
      <c r="BD99" s="2262"/>
      <c r="BE99" s="1213"/>
    </row>
    <row r="100" spans="1:57" ht="15.75" customHeight="1" thickBot="1">
      <c r="A100" s="1207"/>
      <c r="B100" s="2279" t="s">
        <v>2253</v>
      </c>
      <c r="C100" s="2280"/>
      <c r="D100" s="2280"/>
      <c r="E100" s="2280"/>
      <c r="F100" s="2280"/>
      <c r="G100" s="2280"/>
      <c r="H100" s="2280"/>
      <c r="I100" s="2281">
        <v>0</v>
      </c>
      <c r="J100" s="2281"/>
      <c r="K100" s="2281"/>
      <c r="L100" s="2281"/>
      <c r="M100" s="2281"/>
      <c r="N100" s="2281"/>
      <c r="O100" s="2303"/>
      <c r="P100" s="2303"/>
      <c r="Q100" s="2303"/>
      <c r="R100" s="2303"/>
      <c r="S100" s="2303"/>
      <c r="T100" s="2303"/>
      <c r="U100" s="2304"/>
      <c r="V100" s="1207"/>
      <c r="W100" s="1207"/>
      <c r="X100" s="2260"/>
      <c r="Y100" s="2261"/>
      <c r="Z100" s="2261"/>
      <c r="AA100" s="2261"/>
      <c r="AB100" s="2261"/>
      <c r="AC100" s="2261"/>
      <c r="AD100" s="2261"/>
      <c r="AE100" s="2261"/>
      <c r="AF100" s="2261"/>
      <c r="AG100" s="2261"/>
      <c r="AH100" s="2261"/>
      <c r="AI100" s="2261"/>
      <c r="AJ100" s="2261"/>
      <c r="AK100" s="2261"/>
      <c r="AL100" s="2261"/>
      <c r="AM100" s="2261"/>
      <c r="AN100" s="2261"/>
      <c r="AO100" s="2261"/>
      <c r="AP100" s="2261"/>
      <c r="AQ100" s="2261"/>
      <c r="AR100" s="2261"/>
      <c r="AS100" s="2261"/>
      <c r="AT100" s="2261"/>
      <c r="AU100" s="2261"/>
      <c r="AV100" s="2261"/>
      <c r="AW100" s="2261"/>
      <c r="AX100" s="2261"/>
      <c r="AY100" s="2261"/>
      <c r="AZ100" s="2261"/>
      <c r="BA100" s="2261"/>
      <c r="BB100" s="2261"/>
      <c r="BC100" s="2261"/>
      <c r="BD100" s="226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60"/>
      <c r="Y101" s="2261"/>
      <c r="Z101" s="2261"/>
      <c r="AA101" s="2261"/>
      <c r="AB101" s="2261"/>
      <c r="AC101" s="2261"/>
      <c r="AD101" s="2261"/>
      <c r="AE101" s="2261"/>
      <c r="AF101" s="2261"/>
      <c r="AG101" s="2261"/>
      <c r="AH101" s="2261"/>
      <c r="AI101" s="2261"/>
      <c r="AJ101" s="2261"/>
      <c r="AK101" s="2261"/>
      <c r="AL101" s="2261"/>
      <c r="AM101" s="2261"/>
      <c r="AN101" s="2261"/>
      <c r="AO101" s="2261"/>
      <c r="AP101" s="2261"/>
      <c r="AQ101" s="2261"/>
      <c r="AR101" s="2261"/>
      <c r="AS101" s="2261"/>
      <c r="AT101" s="2261"/>
      <c r="AU101" s="2261"/>
      <c r="AV101" s="2261"/>
      <c r="AW101" s="2261"/>
      <c r="AX101" s="2261"/>
      <c r="AY101" s="2261"/>
      <c r="AZ101" s="2261"/>
      <c r="BA101" s="2261"/>
      <c r="BB101" s="2261"/>
      <c r="BC101" s="2261"/>
      <c r="BD101" s="2262"/>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60"/>
      <c r="Y102" s="2261"/>
      <c r="Z102" s="2261"/>
      <c r="AA102" s="2261"/>
      <c r="AB102" s="2261"/>
      <c r="AC102" s="2261"/>
      <c r="AD102" s="2261"/>
      <c r="AE102" s="2261"/>
      <c r="AF102" s="2261"/>
      <c r="AG102" s="2261"/>
      <c r="AH102" s="2261"/>
      <c r="AI102" s="2261"/>
      <c r="AJ102" s="2261"/>
      <c r="AK102" s="2261"/>
      <c r="AL102" s="2261"/>
      <c r="AM102" s="2261"/>
      <c r="AN102" s="2261"/>
      <c r="AO102" s="2261"/>
      <c r="AP102" s="2261"/>
      <c r="AQ102" s="2261"/>
      <c r="AR102" s="2261"/>
      <c r="AS102" s="2261"/>
      <c r="AT102" s="2261"/>
      <c r="AU102" s="2261"/>
      <c r="AV102" s="2261"/>
      <c r="AW102" s="2261"/>
      <c r="AX102" s="2261"/>
      <c r="AY102" s="2261"/>
      <c r="AZ102" s="2261"/>
      <c r="BA102" s="2261"/>
      <c r="BB102" s="2261"/>
      <c r="BC102" s="2261"/>
      <c r="BD102" s="226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60"/>
      <c r="Y103" s="2261"/>
      <c r="Z103" s="2261"/>
      <c r="AA103" s="2261"/>
      <c r="AB103" s="2261"/>
      <c r="AC103" s="2261"/>
      <c r="AD103" s="2261"/>
      <c r="AE103" s="2261"/>
      <c r="AF103" s="2261"/>
      <c r="AG103" s="2261"/>
      <c r="AH103" s="2261"/>
      <c r="AI103" s="2261"/>
      <c r="AJ103" s="2261"/>
      <c r="AK103" s="2261"/>
      <c r="AL103" s="2261"/>
      <c r="AM103" s="2261"/>
      <c r="AN103" s="2261"/>
      <c r="AO103" s="2261"/>
      <c r="AP103" s="2261"/>
      <c r="AQ103" s="2261"/>
      <c r="AR103" s="2261"/>
      <c r="AS103" s="2261"/>
      <c r="AT103" s="2261"/>
      <c r="AU103" s="2261"/>
      <c r="AV103" s="2261"/>
      <c r="AW103" s="2261"/>
      <c r="AX103" s="2261"/>
      <c r="AY103" s="2261"/>
      <c r="AZ103" s="2261"/>
      <c r="BA103" s="2261"/>
      <c r="BB103" s="2261"/>
      <c r="BC103" s="2261"/>
      <c r="BD103" s="2262"/>
      <c r="BE103" s="1213"/>
    </row>
    <row r="104" spans="1:57" ht="15.75" customHeight="1">
      <c r="A104" s="1207"/>
      <c r="B104" s="2305" t="s">
        <v>1906</v>
      </c>
      <c r="C104" s="2306"/>
      <c r="D104" s="2306"/>
      <c r="E104" s="2306"/>
      <c r="F104" s="2306"/>
      <c r="G104" s="2306"/>
      <c r="H104" s="2306"/>
      <c r="I104" s="2306"/>
      <c r="J104" s="2306"/>
      <c r="K104" s="2306"/>
      <c r="L104" s="2306"/>
      <c r="M104" s="2306"/>
      <c r="N104" s="2306"/>
      <c r="O104" s="2306"/>
      <c r="P104" s="2306"/>
      <c r="Q104" s="2306"/>
      <c r="R104" s="2306"/>
      <c r="S104" s="2306"/>
      <c r="T104" s="2306"/>
      <c r="U104" s="2307"/>
      <c r="V104" s="1207"/>
      <c r="W104" s="1207"/>
      <c r="X104" s="2260"/>
      <c r="Y104" s="2261"/>
      <c r="Z104" s="2261"/>
      <c r="AA104" s="2261"/>
      <c r="AB104" s="2261"/>
      <c r="AC104" s="2261"/>
      <c r="AD104" s="2261"/>
      <c r="AE104" s="2261"/>
      <c r="AF104" s="2261"/>
      <c r="AG104" s="2261"/>
      <c r="AH104" s="2261"/>
      <c r="AI104" s="2261"/>
      <c r="AJ104" s="2261"/>
      <c r="AK104" s="2261"/>
      <c r="AL104" s="2261"/>
      <c r="AM104" s="2261"/>
      <c r="AN104" s="2261"/>
      <c r="AO104" s="2261"/>
      <c r="AP104" s="2261"/>
      <c r="AQ104" s="2261"/>
      <c r="AR104" s="2261"/>
      <c r="AS104" s="2261"/>
      <c r="AT104" s="2261"/>
      <c r="AU104" s="2261"/>
      <c r="AV104" s="2261"/>
      <c r="AW104" s="2261"/>
      <c r="AX104" s="2261"/>
      <c r="AY104" s="2261"/>
      <c r="AZ104" s="2261"/>
      <c r="BA104" s="2261"/>
      <c r="BB104" s="2261"/>
      <c r="BC104" s="2261"/>
      <c r="BD104" s="2262"/>
      <c r="BE104" s="1213"/>
    </row>
    <row r="105" spans="1:57" ht="15.75" customHeight="1">
      <c r="A105" s="1207"/>
      <c r="B105" s="2257"/>
      <c r="C105" s="2258"/>
      <c r="D105" s="2258"/>
      <c r="E105" s="2258"/>
      <c r="F105" s="2258"/>
      <c r="G105" s="2258"/>
      <c r="H105" s="2258"/>
      <c r="I105" s="2289" t="s">
        <v>1899</v>
      </c>
      <c r="J105" s="2289"/>
      <c r="K105" s="2289"/>
      <c r="L105" s="2289"/>
      <c r="M105" s="2289"/>
      <c r="N105" s="2289"/>
      <c r="O105" s="2289"/>
      <c r="P105" s="2289" t="s">
        <v>2264</v>
      </c>
      <c r="Q105" s="2289"/>
      <c r="R105" s="2289"/>
      <c r="S105" s="2289"/>
      <c r="T105" s="2289"/>
      <c r="U105" s="2290"/>
      <c r="V105" s="1207"/>
      <c r="W105" s="1207"/>
      <c r="X105" s="2260"/>
      <c r="Y105" s="2261"/>
      <c r="Z105" s="2261"/>
      <c r="AA105" s="2261"/>
      <c r="AB105" s="2261"/>
      <c r="AC105" s="2261"/>
      <c r="AD105" s="2261"/>
      <c r="AE105" s="2261"/>
      <c r="AF105" s="2261"/>
      <c r="AG105" s="2261"/>
      <c r="AH105" s="2261"/>
      <c r="AI105" s="2261"/>
      <c r="AJ105" s="2261"/>
      <c r="AK105" s="2261"/>
      <c r="AL105" s="2261"/>
      <c r="AM105" s="2261"/>
      <c r="AN105" s="2261"/>
      <c r="AO105" s="2261"/>
      <c r="AP105" s="2261"/>
      <c r="AQ105" s="2261"/>
      <c r="AR105" s="2261"/>
      <c r="AS105" s="2261"/>
      <c r="AT105" s="2261"/>
      <c r="AU105" s="2261"/>
      <c r="AV105" s="2261"/>
      <c r="AW105" s="2261"/>
      <c r="AX105" s="2261"/>
      <c r="AY105" s="2261"/>
      <c r="AZ105" s="2261"/>
      <c r="BA105" s="2261"/>
      <c r="BB105" s="2261"/>
      <c r="BC105" s="2261"/>
      <c r="BD105" s="2262"/>
      <c r="BE105" s="1213"/>
    </row>
    <row r="106" spans="1:57" ht="15.75" customHeight="1">
      <c r="A106" s="1207"/>
      <c r="B106" s="2257"/>
      <c r="C106" s="2258"/>
      <c r="D106" s="2258"/>
      <c r="E106" s="2258"/>
      <c r="F106" s="2258"/>
      <c r="G106" s="2258"/>
      <c r="H106" s="2258"/>
      <c r="I106" s="2289"/>
      <c r="J106" s="2289"/>
      <c r="K106" s="2289"/>
      <c r="L106" s="2289"/>
      <c r="M106" s="2289"/>
      <c r="N106" s="2289"/>
      <c r="O106" s="2289"/>
      <c r="P106" s="2289"/>
      <c r="Q106" s="2289"/>
      <c r="R106" s="2289"/>
      <c r="S106" s="2289"/>
      <c r="T106" s="2289"/>
      <c r="U106" s="2290"/>
      <c r="V106" s="1207"/>
      <c r="W106" s="1207"/>
      <c r="X106" s="2260"/>
      <c r="Y106" s="2261"/>
      <c r="Z106" s="2261"/>
      <c r="AA106" s="2261"/>
      <c r="AB106" s="2261"/>
      <c r="AC106" s="2261"/>
      <c r="AD106" s="2261"/>
      <c r="AE106" s="2261"/>
      <c r="AF106" s="2261"/>
      <c r="AG106" s="2261"/>
      <c r="AH106" s="2261"/>
      <c r="AI106" s="2261"/>
      <c r="AJ106" s="2261"/>
      <c r="AK106" s="2261"/>
      <c r="AL106" s="2261"/>
      <c r="AM106" s="2261"/>
      <c r="AN106" s="2261"/>
      <c r="AO106" s="2261"/>
      <c r="AP106" s="2261"/>
      <c r="AQ106" s="2261"/>
      <c r="AR106" s="2261"/>
      <c r="AS106" s="2261"/>
      <c r="AT106" s="2261"/>
      <c r="AU106" s="2261"/>
      <c r="AV106" s="2261"/>
      <c r="AW106" s="2261"/>
      <c r="AX106" s="2261"/>
      <c r="AY106" s="2261"/>
      <c r="AZ106" s="2261"/>
      <c r="BA106" s="2261"/>
      <c r="BB106" s="2261"/>
      <c r="BC106" s="2261"/>
      <c r="BD106" s="2262"/>
      <c r="BE106" s="1213"/>
    </row>
    <row r="107" spans="1:57" ht="15.75" customHeight="1">
      <c r="A107" s="1207"/>
      <c r="B107" s="2285" t="s">
        <v>2252</v>
      </c>
      <c r="C107" s="2286"/>
      <c r="D107" s="2286"/>
      <c r="E107" s="2286"/>
      <c r="F107" s="2286"/>
      <c r="G107" s="2286"/>
      <c r="H107" s="2286"/>
      <c r="I107" s="2287">
        <v>0</v>
      </c>
      <c r="J107" s="2287"/>
      <c r="K107" s="2287"/>
      <c r="L107" s="2287"/>
      <c r="M107" s="2287"/>
      <c r="N107" s="2287"/>
      <c r="O107" s="2287"/>
      <c r="P107" s="2287">
        <v>0</v>
      </c>
      <c r="Q107" s="2287"/>
      <c r="R107" s="2287"/>
      <c r="S107" s="2287"/>
      <c r="T107" s="2287"/>
      <c r="U107" s="2288"/>
      <c r="V107" s="1207"/>
      <c r="W107" s="1207"/>
      <c r="X107" s="2260"/>
      <c r="Y107" s="2261"/>
      <c r="Z107" s="2261"/>
      <c r="AA107" s="2261"/>
      <c r="AB107" s="2261"/>
      <c r="AC107" s="2261"/>
      <c r="AD107" s="2261"/>
      <c r="AE107" s="2261"/>
      <c r="AF107" s="2261"/>
      <c r="AG107" s="2261"/>
      <c r="AH107" s="2261"/>
      <c r="AI107" s="2261"/>
      <c r="AJ107" s="2261"/>
      <c r="AK107" s="2261"/>
      <c r="AL107" s="2261"/>
      <c r="AM107" s="2261"/>
      <c r="AN107" s="2261"/>
      <c r="AO107" s="2261"/>
      <c r="AP107" s="2261"/>
      <c r="AQ107" s="2261"/>
      <c r="AR107" s="2261"/>
      <c r="AS107" s="2261"/>
      <c r="AT107" s="2261"/>
      <c r="AU107" s="2261"/>
      <c r="AV107" s="2261"/>
      <c r="AW107" s="2261"/>
      <c r="AX107" s="2261"/>
      <c r="AY107" s="2261"/>
      <c r="AZ107" s="2261"/>
      <c r="BA107" s="2261"/>
      <c r="BB107" s="2261"/>
      <c r="BC107" s="2261"/>
      <c r="BD107" s="2262"/>
      <c r="BE107" s="1213"/>
    </row>
    <row r="108" spans="1:57" ht="15.75" customHeight="1" thickBot="1">
      <c r="A108" s="1207"/>
      <c r="B108" s="2279" t="s">
        <v>2253</v>
      </c>
      <c r="C108" s="2280"/>
      <c r="D108" s="2280"/>
      <c r="E108" s="2280"/>
      <c r="F108" s="2280"/>
      <c r="G108" s="2280"/>
      <c r="H108" s="2280"/>
      <c r="I108" s="2281">
        <v>0</v>
      </c>
      <c r="J108" s="2281"/>
      <c r="K108" s="2281"/>
      <c r="L108" s="2281"/>
      <c r="M108" s="2281"/>
      <c r="N108" s="2281"/>
      <c r="O108" s="2281"/>
      <c r="P108" s="2281">
        <v>0</v>
      </c>
      <c r="Q108" s="2281"/>
      <c r="R108" s="2281"/>
      <c r="S108" s="2281"/>
      <c r="T108" s="2281"/>
      <c r="U108" s="2282"/>
      <c r="V108" s="1207"/>
      <c r="W108" s="1207"/>
      <c r="X108" s="2263"/>
      <c r="Y108" s="2264"/>
      <c r="Z108" s="2264"/>
      <c r="AA108" s="2264"/>
      <c r="AB108" s="2264"/>
      <c r="AC108" s="2264"/>
      <c r="AD108" s="2264"/>
      <c r="AE108" s="2264"/>
      <c r="AF108" s="2264"/>
      <c r="AG108" s="2264"/>
      <c r="AH108" s="2264"/>
      <c r="AI108" s="2264"/>
      <c r="AJ108" s="2264"/>
      <c r="AK108" s="2264"/>
      <c r="AL108" s="2264"/>
      <c r="AM108" s="2264"/>
      <c r="AN108" s="2264"/>
      <c r="AO108" s="2264"/>
      <c r="AP108" s="2264"/>
      <c r="AQ108" s="2264"/>
      <c r="AR108" s="2264"/>
      <c r="AS108" s="2264"/>
      <c r="AT108" s="2264"/>
      <c r="AU108" s="2264"/>
      <c r="AV108" s="2264"/>
      <c r="AW108" s="2264"/>
      <c r="AX108" s="2264"/>
      <c r="AY108" s="2264"/>
      <c r="AZ108" s="2264"/>
      <c r="BA108" s="2264"/>
      <c r="BB108" s="2264"/>
      <c r="BC108" s="2264"/>
      <c r="BD108" s="226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4" t="s">
        <v>1907</v>
      </c>
      <c r="C110" s="2255"/>
      <c r="D110" s="2255"/>
      <c r="E110" s="2255"/>
      <c r="F110" s="2255"/>
      <c r="G110" s="2255"/>
      <c r="H110" s="2255"/>
      <c r="I110" s="2255"/>
      <c r="J110" s="2255"/>
      <c r="K110" s="2255"/>
      <c r="L110" s="2255"/>
      <c r="M110" s="2255"/>
      <c r="N110" s="2255"/>
      <c r="O110" s="2255"/>
      <c r="P110" s="2255"/>
      <c r="Q110" s="2255"/>
      <c r="R110" s="2255"/>
      <c r="S110" s="2255"/>
      <c r="T110" s="2255"/>
      <c r="U110" s="2255"/>
      <c r="V110" s="2255"/>
      <c r="W110" s="2255"/>
      <c r="X110" s="2255"/>
      <c r="Y110" s="2255"/>
      <c r="Z110" s="2255"/>
      <c r="AA110" s="2255"/>
      <c r="AB110" s="2255"/>
      <c r="AC110" s="2255"/>
      <c r="AD110" s="2255"/>
      <c r="AE110" s="2255"/>
      <c r="AF110" s="2255"/>
      <c r="AG110" s="2255"/>
      <c r="AH110" s="2291" t="s">
        <v>554</v>
      </c>
      <c r="AI110" s="2291"/>
      <c r="AJ110" s="2291"/>
      <c r="AK110" s="2291"/>
      <c r="AL110" s="2291"/>
      <c r="AM110" s="2291"/>
      <c r="AN110" s="2291"/>
      <c r="AO110" s="2291"/>
      <c r="AP110" s="2291"/>
      <c r="AQ110" s="2291"/>
      <c r="AR110" s="2291"/>
      <c r="AS110" s="2291"/>
      <c r="AT110" s="2291"/>
      <c r="AU110" s="2291"/>
      <c r="AV110" s="2291"/>
      <c r="AW110" s="2291"/>
      <c r="AX110" s="2292"/>
      <c r="AY110" s="1207"/>
      <c r="AZ110" s="1207"/>
      <c r="BA110" s="1207"/>
      <c r="BB110" s="1207"/>
      <c r="BC110" s="1207"/>
      <c r="BD110" s="1207"/>
      <c r="BE110" s="1213"/>
    </row>
    <row r="111" spans="1:57" ht="15.75" customHeight="1">
      <c r="A111" s="1207"/>
      <c r="B111" s="2293" t="s">
        <v>1908</v>
      </c>
      <c r="C111" s="2294"/>
      <c r="D111" s="2294"/>
      <c r="E111" s="2294"/>
      <c r="F111" s="2294"/>
      <c r="G111" s="2294"/>
      <c r="H111" s="2294"/>
      <c r="I111" s="2294"/>
      <c r="J111" s="2294"/>
      <c r="K111" s="2294"/>
      <c r="L111" s="2294"/>
      <c r="M111" s="2294"/>
      <c r="N111" s="2294"/>
      <c r="O111" s="2294"/>
      <c r="P111" s="2294"/>
      <c r="Q111" s="2294"/>
      <c r="R111" s="2295" t="s">
        <v>2266</v>
      </c>
      <c r="S111" s="2295"/>
      <c r="T111" s="2295"/>
      <c r="U111" s="2295"/>
      <c r="V111" s="2295"/>
      <c r="W111" s="2295"/>
      <c r="X111" s="2295"/>
      <c r="Y111" s="2295"/>
      <c r="Z111" s="2295"/>
      <c r="AA111" s="2295"/>
      <c r="AB111" s="2295"/>
      <c r="AC111" s="2295"/>
      <c r="AD111" s="2295"/>
      <c r="AE111" s="2295"/>
      <c r="AF111" s="2295"/>
      <c r="AG111" s="2295"/>
      <c r="AH111" s="2295"/>
      <c r="AI111" s="2295"/>
      <c r="AJ111" s="2295"/>
      <c r="AK111" s="2295"/>
      <c r="AL111" s="2295"/>
      <c r="AM111" s="2295"/>
      <c r="AN111" s="2295"/>
      <c r="AO111" s="2295"/>
      <c r="AP111" s="2295"/>
      <c r="AQ111" s="2295"/>
      <c r="AR111" s="2295"/>
      <c r="AS111" s="2295"/>
      <c r="AT111" s="2295"/>
      <c r="AU111" s="2295"/>
      <c r="AV111" s="2295"/>
      <c r="AW111" s="2295"/>
      <c r="AX111" s="2296"/>
      <c r="AY111" s="1207"/>
      <c r="AZ111" s="1207"/>
      <c r="BA111" s="1207"/>
      <c r="BB111" s="1207"/>
      <c r="BC111" s="1207" t="s">
        <v>251</v>
      </c>
      <c r="BD111" s="1207"/>
      <c r="BE111" s="1213"/>
    </row>
    <row r="112" spans="1:57" ht="15.75" customHeight="1">
      <c r="A112" s="1207"/>
      <c r="B112" s="2297" t="s">
        <v>2267</v>
      </c>
      <c r="C112" s="2298"/>
      <c r="D112" s="2298"/>
      <c r="E112" s="2298"/>
      <c r="F112" s="2298"/>
      <c r="G112" s="2298"/>
      <c r="H112" s="2298"/>
      <c r="I112" s="2298"/>
      <c r="J112" s="2298"/>
      <c r="K112" s="2298"/>
      <c r="L112" s="2298"/>
      <c r="M112" s="2298"/>
      <c r="N112" s="2298"/>
      <c r="O112" s="2298"/>
      <c r="P112" s="2298"/>
      <c r="Q112" s="2298"/>
      <c r="R112" s="2298"/>
      <c r="S112" s="2298"/>
      <c r="T112" s="2298"/>
      <c r="U112" s="2298"/>
      <c r="V112" s="2298"/>
      <c r="W112" s="2298"/>
      <c r="X112" s="2298"/>
      <c r="Y112" s="2298"/>
      <c r="Z112" s="2298"/>
      <c r="AA112" s="2298"/>
      <c r="AB112" s="2298"/>
      <c r="AC112" s="2298"/>
      <c r="AD112" s="2298"/>
      <c r="AE112" s="2298"/>
      <c r="AF112" s="2298"/>
      <c r="AG112" s="2298"/>
      <c r="AH112" s="2298"/>
      <c r="AI112" s="2298"/>
      <c r="AJ112" s="2298"/>
      <c r="AK112" s="2298"/>
      <c r="AL112" s="2298"/>
      <c r="AM112" s="2298"/>
      <c r="AN112" s="2298"/>
      <c r="AO112" s="2298"/>
      <c r="AP112" s="2298"/>
      <c r="AQ112" s="2298"/>
      <c r="AR112" s="2298"/>
      <c r="AS112" s="2298"/>
      <c r="AT112" s="2298"/>
      <c r="AU112" s="2298"/>
      <c r="AV112" s="2298"/>
      <c r="AW112" s="2298"/>
      <c r="AX112" s="2299"/>
      <c r="AY112" s="1207"/>
      <c r="AZ112" s="1207"/>
      <c r="BA112" s="1207"/>
      <c r="BB112" s="1207"/>
      <c r="BC112" s="1207"/>
      <c r="BD112" s="1207"/>
      <c r="BE112" s="1213"/>
    </row>
    <row r="113" spans="1:57" ht="15.75" customHeight="1">
      <c r="A113" s="1207"/>
      <c r="B113" s="2297"/>
      <c r="C113" s="2298"/>
      <c r="D113" s="2298"/>
      <c r="E113" s="2298"/>
      <c r="F113" s="2298"/>
      <c r="G113" s="2298"/>
      <c r="H113" s="2298"/>
      <c r="I113" s="2298"/>
      <c r="J113" s="2298"/>
      <c r="K113" s="2298"/>
      <c r="L113" s="2298"/>
      <c r="M113" s="2298"/>
      <c r="N113" s="2298"/>
      <c r="O113" s="2298"/>
      <c r="P113" s="2298"/>
      <c r="Q113" s="2298"/>
      <c r="R113" s="2298"/>
      <c r="S113" s="2298"/>
      <c r="T113" s="2298"/>
      <c r="U113" s="2298"/>
      <c r="V113" s="2298"/>
      <c r="W113" s="2298"/>
      <c r="X113" s="2298"/>
      <c r="Y113" s="2298"/>
      <c r="Z113" s="2298"/>
      <c r="AA113" s="2298"/>
      <c r="AB113" s="2298"/>
      <c r="AC113" s="2298"/>
      <c r="AD113" s="2298"/>
      <c r="AE113" s="2298"/>
      <c r="AF113" s="2298"/>
      <c r="AG113" s="2298"/>
      <c r="AH113" s="2298"/>
      <c r="AI113" s="2298"/>
      <c r="AJ113" s="2298"/>
      <c r="AK113" s="2298"/>
      <c r="AL113" s="2298"/>
      <c r="AM113" s="2298"/>
      <c r="AN113" s="2298"/>
      <c r="AO113" s="2298"/>
      <c r="AP113" s="2298"/>
      <c r="AQ113" s="2298"/>
      <c r="AR113" s="2298"/>
      <c r="AS113" s="2298"/>
      <c r="AT113" s="2298"/>
      <c r="AU113" s="2298"/>
      <c r="AV113" s="2298"/>
      <c r="AW113" s="2298"/>
      <c r="AX113" s="2299"/>
      <c r="AY113" s="1207"/>
      <c r="AZ113" s="1207"/>
      <c r="BA113" s="1207"/>
      <c r="BB113" s="1207"/>
      <c r="BC113" s="1207"/>
      <c r="BD113" s="1207"/>
      <c r="BE113" s="1213"/>
    </row>
    <row r="114" spans="1:57" ht="15.75" customHeight="1">
      <c r="A114" s="1207"/>
      <c r="B114" s="2297"/>
      <c r="C114" s="2298"/>
      <c r="D114" s="2298"/>
      <c r="E114" s="2298"/>
      <c r="F114" s="2298"/>
      <c r="G114" s="2298"/>
      <c r="H114" s="2298"/>
      <c r="I114" s="2298"/>
      <c r="J114" s="2298"/>
      <c r="K114" s="2298"/>
      <c r="L114" s="2298"/>
      <c r="M114" s="2298"/>
      <c r="N114" s="2298"/>
      <c r="O114" s="2298"/>
      <c r="P114" s="2298"/>
      <c r="Q114" s="2298"/>
      <c r="R114" s="2298"/>
      <c r="S114" s="2298"/>
      <c r="T114" s="2298"/>
      <c r="U114" s="2298"/>
      <c r="V114" s="2298"/>
      <c r="W114" s="2298"/>
      <c r="X114" s="2298"/>
      <c r="Y114" s="2298"/>
      <c r="Z114" s="2298"/>
      <c r="AA114" s="2298"/>
      <c r="AB114" s="2298"/>
      <c r="AC114" s="2298"/>
      <c r="AD114" s="2298"/>
      <c r="AE114" s="2298"/>
      <c r="AF114" s="2298"/>
      <c r="AG114" s="2298"/>
      <c r="AH114" s="2298"/>
      <c r="AI114" s="2298"/>
      <c r="AJ114" s="2298"/>
      <c r="AK114" s="2298"/>
      <c r="AL114" s="2298"/>
      <c r="AM114" s="2298"/>
      <c r="AN114" s="2298"/>
      <c r="AO114" s="2298"/>
      <c r="AP114" s="2298"/>
      <c r="AQ114" s="2298"/>
      <c r="AR114" s="2298"/>
      <c r="AS114" s="2298"/>
      <c r="AT114" s="2298"/>
      <c r="AU114" s="2298"/>
      <c r="AV114" s="2298"/>
      <c r="AW114" s="2298"/>
      <c r="AX114" s="2299"/>
      <c r="AY114" s="1207"/>
      <c r="AZ114" s="1207"/>
      <c r="BA114" s="1207"/>
      <c r="BB114" s="1207"/>
      <c r="BC114" s="1207"/>
      <c r="BD114" s="1207"/>
      <c r="BE114" s="1213"/>
    </row>
    <row r="115" spans="1:57" ht="15.75" customHeight="1">
      <c r="A115" s="1207"/>
      <c r="B115" s="2297"/>
      <c r="C115" s="2298"/>
      <c r="D115" s="2298"/>
      <c r="E115" s="2298"/>
      <c r="F115" s="2298"/>
      <c r="G115" s="2298"/>
      <c r="H115" s="2298"/>
      <c r="I115" s="2298"/>
      <c r="J115" s="2298"/>
      <c r="K115" s="2298"/>
      <c r="L115" s="2298"/>
      <c r="M115" s="2298"/>
      <c r="N115" s="2298"/>
      <c r="O115" s="2298"/>
      <c r="P115" s="2298"/>
      <c r="Q115" s="2298"/>
      <c r="R115" s="2298"/>
      <c r="S115" s="2298"/>
      <c r="T115" s="2298"/>
      <c r="U115" s="2298"/>
      <c r="V115" s="2298"/>
      <c r="W115" s="2298"/>
      <c r="X115" s="2298"/>
      <c r="Y115" s="2298"/>
      <c r="Z115" s="2298"/>
      <c r="AA115" s="2298"/>
      <c r="AB115" s="2298"/>
      <c r="AC115" s="2298"/>
      <c r="AD115" s="2298"/>
      <c r="AE115" s="2298"/>
      <c r="AF115" s="2298"/>
      <c r="AG115" s="2298"/>
      <c r="AH115" s="2298"/>
      <c r="AI115" s="2298"/>
      <c r="AJ115" s="2298"/>
      <c r="AK115" s="2298"/>
      <c r="AL115" s="2298"/>
      <c r="AM115" s="2298"/>
      <c r="AN115" s="2298"/>
      <c r="AO115" s="2298"/>
      <c r="AP115" s="2298"/>
      <c r="AQ115" s="2298"/>
      <c r="AR115" s="2298"/>
      <c r="AS115" s="2298"/>
      <c r="AT115" s="2298"/>
      <c r="AU115" s="2298"/>
      <c r="AV115" s="2298"/>
      <c r="AW115" s="2298"/>
      <c r="AX115" s="2299"/>
      <c r="AY115" s="1207"/>
      <c r="AZ115" s="1207"/>
      <c r="BA115" s="1207"/>
      <c r="BB115" s="1207"/>
      <c r="BC115" s="1207"/>
      <c r="BD115" s="1207"/>
      <c r="BE115" s="1213"/>
    </row>
    <row r="116" spans="1:57" ht="15.75" customHeight="1">
      <c r="A116" s="1207"/>
      <c r="B116" s="2297"/>
      <c r="C116" s="2298"/>
      <c r="D116" s="2298"/>
      <c r="E116" s="2298"/>
      <c r="F116" s="2298"/>
      <c r="G116" s="2298"/>
      <c r="H116" s="2298"/>
      <c r="I116" s="2298"/>
      <c r="J116" s="2298"/>
      <c r="K116" s="2298"/>
      <c r="L116" s="2298"/>
      <c r="M116" s="2298"/>
      <c r="N116" s="2298"/>
      <c r="O116" s="2298"/>
      <c r="P116" s="2298"/>
      <c r="Q116" s="2298"/>
      <c r="R116" s="2298"/>
      <c r="S116" s="2298"/>
      <c r="T116" s="2298"/>
      <c r="U116" s="2298"/>
      <c r="V116" s="2298"/>
      <c r="W116" s="2298"/>
      <c r="X116" s="2298"/>
      <c r="Y116" s="2298"/>
      <c r="Z116" s="2298"/>
      <c r="AA116" s="2298"/>
      <c r="AB116" s="2298"/>
      <c r="AC116" s="2298"/>
      <c r="AD116" s="2298"/>
      <c r="AE116" s="2298"/>
      <c r="AF116" s="2298"/>
      <c r="AG116" s="2298"/>
      <c r="AH116" s="2298"/>
      <c r="AI116" s="2298"/>
      <c r="AJ116" s="2298"/>
      <c r="AK116" s="2298"/>
      <c r="AL116" s="2298"/>
      <c r="AM116" s="2298"/>
      <c r="AN116" s="2298"/>
      <c r="AO116" s="2298"/>
      <c r="AP116" s="2298"/>
      <c r="AQ116" s="2298"/>
      <c r="AR116" s="2298"/>
      <c r="AS116" s="2298"/>
      <c r="AT116" s="2298"/>
      <c r="AU116" s="2298"/>
      <c r="AV116" s="2298"/>
      <c r="AW116" s="2298"/>
      <c r="AX116" s="2299"/>
      <c r="AY116" s="1207"/>
      <c r="AZ116" s="1207"/>
      <c r="BA116" s="1207"/>
      <c r="BB116" s="1207"/>
      <c r="BC116" s="1207"/>
      <c r="BD116" s="1207"/>
      <c r="BE116" s="1213"/>
    </row>
    <row r="117" spans="1:57" ht="15.75" customHeight="1">
      <c r="A117" s="1207"/>
      <c r="B117" s="2297"/>
      <c r="C117" s="2298"/>
      <c r="D117" s="2298"/>
      <c r="E117" s="2298"/>
      <c r="F117" s="2298"/>
      <c r="G117" s="2298"/>
      <c r="H117" s="2298"/>
      <c r="I117" s="2298"/>
      <c r="J117" s="2298"/>
      <c r="K117" s="2298"/>
      <c r="L117" s="2298"/>
      <c r="M117" s="2298"/>
      <c r="N117" s="2298"/>
      <c r="O117" s="2298"/>
      <c r="P117" s="2298"/>
      <c r="Q117" s="2298"/>
      <c r="R117" s="2298"/>
      <c r="S117" s="2298"/>
      <c r="T117" s="2298"/>
      <c r="U117" s="2298"/>
      <c r="V117" s="2298"/>
      <c r="W117" s="2298"/>
      <c r="X117" s="2298"/>
      <c r="Y117" s="2298"/>
      <c r="Z117" s="2298"/>
      <c r="AA117" s="2298"/>
      <c r="AB117" s="2298"/>
      <c r="AC117" s="2298"/>
      <c r="AD117" s="2298"/>
      <c r="AE117" s="2298"/>
      <c r="AF117" s="2298"/>
      <c r="AG117" s="2298"/>
      <c r="AH117" s="2298"/>
      <c r="AI117" s="2298"/>
      <c r="AJ117" s="2298"/>
      <c r="AK117" s="2298"/>
      <c r="AL117" s="2298"/>
      <c r="AM117" s="2298"/>
      <c r="AN117" s="2298"/>
      <c r="AO117" s="2298"/>
      <c r="AP117" s="2298"/>
      <c r="AQ117" s="2298"/>
      <c r="AR117" s="2298"/>
      <c r="AS117" s="2298"/>
      <c r="AT117" s="2298"/>
      <c r="AU117" s="2298"/>
      <c r="AV117" s="2298"/>
      <c r="AW117" s="2298"/>
      <c r="AX117" s="2299"/>
      <c r="AY117" s="1207"/>
      <c r="AZ117" s="1207"/>
      <c r="BA117" s="1207"/>
      <c r="BB117" s="1207"/>
      <c r="BC117" s="1207"/>
      <c r="BD117" s="1207"/>
      <c r="BE117" s="1213"/>
    </row>
    <row r="118" spans="1:57" ht="15.75" customHeight="1">
      <c r="A118" s="1207"/>
      <c r="B118" s="2297"/>
      <c r="C118" s="2298"/>
      <c r="D118" s="2298"/>
      <c r="E118" s="2298"/>
      <c r="F118" s="2298"/>
      <c r="G118" s="2298"/>
      <c r="H118" s="2298"/>
      <c r="I118" s="2298"/>
      <c r="J118" s="2298"/>
      <c r="K118" s="2298"/>
      <c r="L118" s="2298"/>
      <c r="M118" s="2298"/>
      <c r="N118" s="2298"/>
      <c r="O118" s="2298"/>
      <c r="P118" s="2298"/>
      <c r="Q118" s="2298"/>
      <c r="R118" s="2298"/>
      <c r="S118" s="2298"/>
      <c r="T118" s="2298"/>
      <c r="U118" s="2298"/>
      <c r="V118" s="2298"/>
      <c r="W118" s="2298"/>
      <c r="X118" s="2298"/>
      <c r="Y118" s="2298"/>
      <c r="Z118" s="2298"/>
      <c r="AA118" s="2298"/>
      <c r="AB118" s="2298"/>
      <c r="AC118" s="2298"/>
      <c r="AD118" s="2298"/>
      <c r="AE118" s="2298"/>
      <c r="AF118" s="2298"/>
      <c r="AG118" s="2298"/>
      <c r="AH118" s="2298"/>
      <c r="AI118" s="2298"/>
      <c r="AJ118" s="2298"/>
      <c r="AK118" s="2298"/>
      <c r="AL118" s="2298"/>
      <c r="AM118" s="2298"/>
      <c r="AN118" s="2298"/>
      <c r="AO118" s="2298"/>
      <c r="AP118" s="2298"/>
      <c r="AQ118" s="2298"/>
      <c r="AR118" s="2298"/>
      <c r="AS118" s="2298"/>
      <c r="AT118" s="2298"/>
      <c r="AU118" s="2298"/>
      <c r="AV118" s="2298"/>
      <c r="AW118" s="2298"/>
      <c r="AX118" s="2299"/>
      <c r="AY118" s="1207"/>
      <c r="AZ118" s="1207"/>
      <c r="BA118" s="1207"/>
      <c r="BB118" s="1207"/>
      <c r="BC118" s="1207"/>
      <c r="BD118" s="1207"/>
      <c r="BE118" s="1213"/>
    </row>
    <row r="119" spans="1:57" ht="15.75" customHeight="1">
      <c r="A119" s="1207"/>
      <c r="B119" s="2297"/>
      <c r="C119" s="2298"/>
      <c r="D119" s="2298"/>
      <c r="E119" s="2298"/>
      <c r="F119" s="2298"/>
      <c r="G119" s="2298"/>
      <c r="H119" s="2298"/>
      <c r="I119" s="2298"/>
      <c r="J119" s="2298"/>
      <c r="K119" s="2298"/>
      <c r="L119" s="2298"/>
      <c r="M119" s="2298"/>
      <c r="N119" s="2298"/>
      <c r="O119" s="2298"/>
      <c r="P119" s="2298"/>
      <c r="Q119" s="2298"/>
      <c r="R119" s="2298"/>
      <c r="S119" s="2298"/>
      <c r="T119" s="2298"/>
      <c r="U119" s="2298"/>
      <c r="V119" s="2298"/>
      <c r="W119" s="2298"/>
      <c r="X119" s="2298"/>
      <c r="Y119" s="2298"/>
      <c r="Z119" s="2298"/>
      <c r="AA119" s="2298"/>
      <c r="AB119" s="2298"/>
      <c r="AC119" s="2298"/>
      <c r="AD119" s="2298"/>
      <c r="AE119" s="2298"/>
      <c r="AF119" s="2298"/>
      <c r="AG119" s="2298"/>
      <c r="AH119" s="2298"/>
      <c r="AI119" s="2298"/>
      <c r="AJ119" s="2298"/>
      <c r="AK119" s="2298"/>
      <c r="AL119" s="2298"/>
      <c r="AM119" s="2298"/>
      <c r="AN119" s="2298"/>
      <c r="AO119" s="2298"/>
      <c r="AP119" s="2298"/>
      <c r="AQ119" s="2298"/>
      <c r="AR119" s="2298"/>
      <c r="AS119" s="2298"/>
      <c r="AT119" s="2298"/>
      <c r="AU119" s="2298"/>
      <c r="AV119" s="2298"/>
      <c r="AW119" s="2298"/>
      <c r="AX119" s="2299"/>
      <c r="AY119" s="1207"/>
      <c r="AZ119" s="1207"/>
      <c r="BA119" s="1207"/>
      <c r="BB119" s="1207"/>
      <c r="BC119" s="1207"/>
      <c r="BD119" s="1207"/>
      <c r="BE119" s="1213"/>
    </row>
    <row r="120" spans="1:57" ht="15.75" customHeight="1">
      <c r="A120" s="1207"/>
      <c r="B120" s="2297"/>
      <c r="C120" s="2298"/>
      <c r="D120" s="2298"/>
      <c r="E120" s="2298"/>
      <c r="F120" s="2298"/>
      <c r="G120" s="2298"/>
      <c r="H120" s="2298"/>
      <c r="I120" s="2298"/>
      <c r="J120" s="2298"/>
      <c r="K120" s="2298"/>
      <c r="L120" s="2298"/>
      <c r="M120" s="2298"/>
      <c r="N120" s="2298"/>
      <c r="O120" s="2298"/>
      <c r="P120" s="2298"/>
      <c r="Q120" s="2298"/>
      <c r="R120" s="2298"/>
      <c r="S120" s="2298"/>
      <c r="T120" s="2298"/>
      <c r="U120" s="2298"/>
      <c r="V120" s="2298"/>
      <c r="W120" s="2298"/>
      <c r="X120" s="2298"/>
      <c r="Y120" s="2298"/>
      <c r="Z120" s="2298"/>
      <c r="AA120" s="2298"/>
      <c r="AB120" s="2298"/>
      <c r="AC120" s="2298"/>
      <c r="AD120" s="2298"/>
      <c r="AE120" s="2298"/>
      <c r="AF120" s="2298"/>
      <c r="AG120" s="2298"/>
      <c r="AH120" s="2298"/>
      <c r="AI120" s="2298"/>
      <c r="AJ120" s="2298"/>
      <c r="AK120" s="2298"/>
      <c r="AL120" s="2298"/>
      <c r="AM120" s="2298"/>
      <c r="AN120" s="2298"/>
      <c r="AO120" s="2298"/>
      <c r="AP120" s="2298"/>
      <c r="AQ120" s="2298"/>
      <c r="AR120" s="2298"/>
      <c r="AS120" s="2298"/>
      <c r="AT120" s="2298"/>
      <c r="AU120" s="2298"/>
      <c r="AV120" s="2298"/>
      <c r="AW120" s="2298"/>
      <c r="AX120" s="2299"/>
      <c r="AY120" s="1207"/>
      <c r="AZ120" s="1207"/>
      <c r="BA120" s="1207"/>
      <c r="BB120" s="1207"/>
      <c r="BC120" s="1207"/>
      <c r="BD120" s="1207"/>
      <c r="BE120" s="1213"/>
    </row>
    <row r="121" spans="1:57" ht="15.75" customHeight="1" thickBot="1">
      <c r="A121" s="1207"/>
      <c r="B121" s="2300"/>
      <c r="C121" s="2301"/>
      <c r="D121" s="2301"/>
      <c r="E121" s="2301"/>
      <c r="F121" s="2301"/>
      <c r="G121" s="2301"/>
      <c r="H121" s="2301"/>
      <c r="I121" s="2301"/>
      <c r="J121" s="2301"/>
      <c r="K121" s="2301"/>
      <c r="L121" s="2301"/>
      <c r="M121" s="2301"/>
      <c r="N121" s="2301"/>
      <c r="O121" s="2301"/>
      <c r="P121" s="2301"/>
      <c r="Q121" s="2301"/>
      <c r="R121" s="2301"/>
      <c r="S121" s="2301"/>
      <c r="T121" s="2301"/>
      <c r="U121" s="2301"/>
      <c r="V121" s="2301"/>
      <c r="W121" s="2301"/>
      <c r="X121" s="2301"/>
      <c r="Y121" s="2301"/>
      <c r="Z121" s="2301"/>
      <c r="AA121" s="2301"/>
      <c r="AB121" s="2301"/>
      <c r="AC121" s="2301"/>
      <c r="AD121" s="2301"/>
      <c r="AE121" s="2301"/>
      <c r="AF121" s="2301"/>
      <c r="AG121" s="2301"/>
      <c r="AH121" s="2301"/>
      <c r="AI121" s="2301"/>
      <c r="AJ121" s="2301"/>
      <c r="AK121" s="2301"/>
      <c r="AL121" s="2301"/>
      <c r="AM121" s="2301"/>
      <c r="AN121" s="2301"/>
      <c r="AO121" s="2301"/>
      <c r="AP121" s="2301"/>
      <c r="AQ121" s="2301"/>
      <c r="AR121" s="2301"/>
      <c r="AS121" s="2301"/>
      <c r="AT121" s="2301"/>
      <c r="AU121" s="2301"/>
      <c r="AV121" s="2301"/>
      <c r="AW121" s="2301"/>
      <c r="AX121" s="230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83" t="s">
        <v>1910</v>
      </c>
      <c r="C125" s="2249"/>
      <c r="D125" s="2249"/>
      <c r="E125" s="2249"/>
      <c r="F125" s="2249"/>
      <c r="G125" s="2249"/>
      <c r="H125" s="2249"/>
      <c r="I125" s="2249"/>
      <c r="J125" s="2249"/>
      <c r="K125" s="2249"/>
      <c r="L125" s="2249"/>
      <c r="M125" s="2249"/>
      <c r="N125" s="2249"/>
      <c r="O125" s="2249"/>
      <c r="P125" s="2249"/>
      <c r="Q125" s="2249"/>
      <c r="R125" s="2249"/>
      <c r="S125" s="2249"/>
      <c r="T125" s="2249"/>
      <c r="U125" s="2250"/>
      <c r="V125" s="1207"/>
      <c r="W125" s="1209"/>
      <c r="X125" s="2283" t="s">
        <v>2269</v>
      </c>
      <c r="Y125" s="2249"/>
      <c r="Z125" s="2249"/>
      <c r="AA125" s="2249"/>
      <c r="AB125" s="2249"/>
      <c r="AC125" s="2249"/>
      <c r="AD125" s="2249"/>
      <c r="AE125" s="2249"/>
      <c r="AF125" s="2249"/>
      <c r="AG125" s="2249"/>
      <c r="AH125" s="2249"/>
      <c r="AI125" s="2249"/>
      <c r="AJ125" s="2249"/>
      <c r="AK125" s="2249"/>
      <c r="AL125" s="2249"/>
      <c r="AM125" s="2249"/>
      <c r="AN125" s="2249"/>
      <c r="AO125" s="2249"/>
      <c r="AP125" s="2249"/>
      <c r="AQ125" s="2250"/>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7"/>
      <c r="C126" s="2258"/>
      <c r="D126" s="2258"/>
      <c r="E126" s="2258"/>
      <c r="F126" s="2258"/>
      <c r="G126" s="2258"/>
      <c r="H126" s="2258"/>
      <c r="I126" s="2289" t="s">
        <v>1899</v>
      </c>
      <c r="J126" s="2289"/>
      <c r="K126" s="2289"/>
      <c r="L126" s="2289"/>
      <c r="M126" s="2289"/>
      <c r="N126" s="2289"/>
      <c r="O126" s="2289"/>
      <c r="P126" s="2289" t="s">
        <v>2270</v>
      </c>
      <c r="Q126" s="2289"/>
      <c r="R126" s="2289"/>
      <c r="S126" s="2289"/>
      <c r="T126" s="2289"/>
      <c r="U126" s="2290"/>
      <c r="V126" s="1207"/>
      <c r="W126" s="1207"/>
      <c r="X126" s="2257"/>
      <c r="Y126" s="2258"/>
      <c r="Z126" s="2258"/>
      <c r="AA126" s="2258"/>
      <c r="AB126" s="2258"/>
      <c r="AC126" s="2258"/>
      <c r="AD126" s="2258"/>
      <c r="AE126" s="2289" t="s">
        <v>1899</v>
      </c>
      <c r="AF126" s="2289"/>
      <c r="AG126" s="2289"/>
      <c r="AH126" s="2289"/>
      <c r="AI126" s="2289"/>
      <c r="AJ126" s="2289"/>
      <c r="AK126" s="2289"/>
      <c r="AL126" s="2289" t="s">
        <v>2264</v>
      </c>
      <c r="AM126" s="2289"/>
      <c r="AN126" s="2289"/>
      <c r="AO126" s="2289"/>
      <c r="AP126" s="2289"/>
      <c r="AQ126" s="2290"/>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7"/>
      <c r="C127" s="2258"/>
      <c r="D127" s="2258"/>
      <c r="E127" s="2258"/>
      <c r="F127" s="2258"/>
      <c r="G127" s="2258"/>
      <c r="H127" s="2258"/>
      <c r="I127" s="2289"/>
      <c r="J127" s="2289"/>
      <c r="K127" s="2289"/>
      <c r="L127" s="2289"/>
      <c r="M127" s="2289"/>
      <c r="N127" s="2289"/>
      <c r="O127" s="2289"/>
      <c r="P127" s="2289"/>
      <c r="Q127" s="2289"/>
      <c r="R127" s="2289"/>
      <c r="S127" s="2289"/>
      <c r="T127" s="2289"/>
      <c r="U127" s="2290"/>
      <c r="V127" s="1207"/>
      <c r="W127" s="1207"/>
      <c r="X127" s="2257"/>
      <c r="Y127" s="2258"/>
      <c r="Z127" s="2258"/>
      <c r="AA127" s="2258"/>
      <c r="AB127" s="2258"/>
      <c r="AC127" s="2258"/>
      <c r="AD127" s="2258"/>
      <c r="AE127" s="2289"/>
      <c r="AF127" s="2289"/>
      <c r="AG127" s="2289"/>
      <c r="AH127" s="2289"/>
      <c r="AI127" s="2289"/>
      <c r="AJ127" s="2289"/>
      <c r="AK127" s="2289"/>
      <c r="AL127" s="2289"/>
      <c r="AM127" s="2289"/>
      <c r="AN127" s="2289"/>
      <c r="AO127" s="2289"/>
      <c r="AP127" s="2289"/>
      <c r="AQ127" s="2290"/>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5" t="s">
        <v>2252</v>
      </c>
      <c r="C128" s="2286"/>
      <c r="D128" s="2286"/>
      <c r="E128" s="2286"/>
      <c r="F128" s="2286"/>
      <c r="G128" s="2286"/>
      <c r="H128" s="2286"/>
      <c r="I128" s="2287">
        <v>0</v>
      </c>
      <c r="J128" s="2287"/>
      <c r="K128" s="2287"/>
      <c r="L128" s="2287"/>
      <c r="M128" s="2287"/>
      <c r="N128" s="2287"/>
      <c r="O128" s="2287"/>
      <c r="P128" s="2287">
        <v>0</v>
      </c>
      <c r="Q128" s="2287"/>
      <c r="R128" s="2287"/>
      <c r="S128" s="2287"/>
      <c r="T128" s="2287"/>
      <c r="U128" s="2288"/>
      <c r="V128" s="1207"/>
      <c r="W128" s="1207"/>
      <c r="X128" s="2279" t="s">
        <v>2252</v>
      </c>
      <c r="Y128" s="2280"/>
      <c r="Z128" s="2280"/>
      <c r="AA128" s="2280"/>
      <c r="AB128" s="2280"/>
      <c r="AC128" s="2280"/>
      <c r="AD128" s="2280"/>
      <c r="AE128" s="2281">
        <v>0</v>
      </c>
      <c r="AF128" s="2281"/>
      <c r="AG128" s="2281"/>
      <c r="AH128" s="2281"/>
      <c r="AI128" s="2281"/>
      <c r="AJ128" s="2281"/>
      <c r="AK128" s="2281"/>
      <c r="AL128" s="2281">
        <v>0</v>
      </c>
      <c r="AM128" s="2281"/>
      <c r="AN128" s="2281"/>
      <c r="AO128" s="2281"/>
      <c r="AP128" s="2281"/>
      <c r="AQ128" s="228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9" t="s">
        <v>2253</v>
      </c>
      <c r="C129" s="2280"/>
      <c r="D129" s="2280"/>
      <c r="E129" s="2280"/>
      <c r="F129" s="2280"/>
      <c r="G129" s="2280"/>
      <c r="H129" s="2280"/>
      <c r="I129" s="2281">
        <v>0</v>
      </c>
      <c r="J129" s="2281"/>
      <c r="K129" s="2281"/>
      <c r="L129" s="2281"/>
      <c r="M129" s="2281"/>
      <c r="N129" s="2281"/>
      <c r="O129" s="2281"/>
      <c r="P129" s="2281">
        <v>0</v>
      </c>
      <c r="Q129" s="2281"/>
      <c r="R129" s="2281"/>
      <c r="S129" s="2281"/>
      <c r="T129" s="2281"/>
      <c r="U129" s="228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83" t="s">
        <v>2254</v>
      </c>
      <c r="D131" s="2249"/>
      <c r="E131" s="2249"/>
      <c r="F131" s="2249"/>
      <c r="G131" s="2249"/>
      <c r="H131" s="2249"/>
      <c r="I131" s="2249"/>
      <c r="J131" s="2249"/>
      <c r="K131" s="2249"/>
      <c r="L131" s="2249"/>
      <c r="M131" s="2249"/>
      <c r="N131" s="2249"/>
      <c r="O131" s="2249"/>
      <c r="P131" s="2249"/>
      <c r="Q131" s="2249"/>
      <c r="R131" s="2249"/>
      <c r="S131" s="2249"/>
      <c r="T131" s="2249"/>
      <c r="U131" s="2249"/>
      <c r="V131" s="2249"/>
      <c r="W131" s="2249"/>
      <c r="X131" s="2249"/>
      <c r="Y131" s="2249"/>
      <c r="Z131" s="2249"/>
      <c r="AA131" s="2249"/>
      <c r="AB131" s="2249"/>
      <c r="AC131" s="2249"/>
      <c r="AD131" s="2249"/>
      <c r="AE131" s="2249"/>
      <c r="AF131" s="2249"/>
      <c r="AG131" s="2250"/>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7" t="s">
        <v>1911</v>
      </c>
      <c r="D132" s="2258"/>
      <c r="E132" s="2258"/>
      <c r="F132" s="2258"/>
      <c r="G132" s="2258"/>
      <c r="H132" s="2258"/>
      <c r="I132" s="2258"/>
      <c r="J132" s="2258"/>
      <c r="K132" s="2258"/>
      <c r="L132" s="2258"/>
      <c r="M132" s="2258"/>
      <c r="N132" s="2258"/>
      <c r="O132" s="2258"/>
      <c r="P132" s="2258"/>
      <c r="Q132" s="2258" t="s">
        <v>1912</v>
      </c>
      <c r="R132" s="2258"/>
      <c r="S132" s="2258"/>
      <c r="T132" s="2284" t="s">
        <v>2255</v>
      </c>
      <c r="U132" s="2284"/>
      <c r="V132" s="2284"/>
      <c r="W132" s="2284"/>
      <c r="X132" s="2284"/>
      <c r="Y132" s="2284"/>
      <c r="Z132" s="2284"/>
      <c r="AA132" s="2284"/>
      <c r="AB132" s="2258" t="s">
        <v>1913</v>
      </c>
      <c r="AC132" s="2258"/>
      <c r="AD132" s="2258"/>
      <c r="AE132" s="2258"/>
      <c r="AF132" s="2258"/>
      <c r="AG132" s="2259"/>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6" t="s">
        <v>1914</v>
      </c>
      <c r="D133" s="2267"/>
      <c r="E133" s="2267"/>
      <c r="F133" s="2267"/>
      <c r="G133" s="2267"/>
      <c r="H133" s="2267"/>
      <c r="I133" s="2267"/>
      <c r="J133" s="2267"/>
      <c r="K133" s="2267"/>
      <c r="L133" s="2267"/>
      <c r="M133" s="2267"/>
      <c r="N133" s="2267"/>
      <c r="O133" s="2267"/>
      <c r="P133" s="2267"/>
      <c r="Q133" s="2214">
        <v>55</v>
      </c>
      <c r="R133" s="2214"/>
      <c r="S133" s="2214"/>
      <c r="T133" s="2251"/>
      <c r="U133" s="2251"/>
      <c r="V133" s="2251"/>
      <c r="W133" s="2251"/>
      <c r="X133" s="2251"/>
      <c r="Y133" s="2251"/>
      <c r="Z133" s="2251"/>
      <c r="AA133" s="2251"/>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6" t="s">
        <v>1915</v>
      </c>
      <c r="D134" s="2267"/>
      <c r="E134" s="2267"/>
      <c r="F134" s="2267"/>
      <c r="G134" s="2267"/>
      <c r="H134" s="2267"/>
      <c r="I134" s="2267"/>
      <c r="J134" s="2267"/>
      <c r="K134" s="2267"/>
      <c r="L134" s="2267"/>
      <c r="M134" s="2267"/>
      <c r="N134" s="2267"/>
      <c r="O134" s="2267"/>
      <c r="P134" s="2267"/>
      <c r="Q134" s="2214">
        <v>55</v>
      </c>
      <c r="R134" s="2214"/>
      <c r="S134" s="2214"/>
      <c r="T134" s="2269"/>
      <c r="U134" s="2269"/>
      <c r="V134" s="2269"/>
      <c r="W134" s="2269"/>
      <c r="X134" s="2269"/>
      <c r="Y134" s="2269"/>
      <c r="Z134" s="2269"/>
      <c r="AA134" s="226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6" t="s">
        <v>1916</v>
      </c>
      <c r="D135" s="2267"/>
      <c r="E135" s="2267"/>
      <c r="F135" s="2267"/>
      <c r="G135" s="2267"/>
      <c r="H135" s="2267"/>
      <c r="I135" s="2267"/>
      <c r="J135" s="2267"/>
      <c r="K135" s="2267"/>
      <c r="L135" s="2267"/>
      <c r="M135" s="2267"/>
      <c r="N135" s="2267"/>
      <c r="O135" s="2267"/>
      <c r="P135" s="2267"/>
      <c r="Q135" s="2214">
        <v>55</v>
      </c>
      <c r="R135" s="2214"/>
      <c r="S135" s="2214"/>
      <c r="T135" s="2251"/>
      <c r="U135" s="2251"/>
      <c r="V135" s="2251"/>
      <c r="W135" s="2251"/>
      <c r="X135" s="2251"/>
      <c r="Y135" s="2251"/>
      <c r="Z135" s="2251"/>
      <c r="AA135" s="2251"/>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6" t="s">
        <v>1884</v>
      </c>
      <c r="D136" s="2267"/>
      <c r="E136" s="2267"/>
      <c r="F136" s="2267"/>
      <c r="G136" s="2267"/>
      <c r="H136" s="2267"/>
      <c r="I136" s="2267"/>
      <c r="J136" s="2267"/>
      <c r="K136" s="2267"/>
      <c r="L136" s="2267"/>
      <c r="M136" s="2267"/>
      <c r="N136" s="2267"/>
      <c r="O136" s="2267"/>
      <c r="P136" s="2267"/>
      <c r="Q136" s="2214">
        <v>55</v>
      </c>
      <c r="R136" s="2214"/>
      <c r="S136" s="2214"/>
      <c r="T136" s="2251"/>
      <c r="U136" s="2251"/>
      <c r="V136" s="2251"/>
      <c r="W136" s="2251"/>
      <c r="X136" s="2251"/>
      <c r="Y136" s="2251"/>
      <c r="Z136" s="2251"/>
      <c r="AA136" s="2251"/>
      <c r="AB136" s="2270">
        <v>0</v>
      </c>
      <c r="AC136" s="2270"/>
      <c r="AD136" s="2270"/>
      <c r="AE136" s="2270"/>
      <c r="AF136" s="2270"/>
      <c r="AG136" s="2271"/>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6" t="s">
        <v>170</v>
      </c>
      <c r="D137" s="2267"/>
      <c r="E137" s="2267"/>
      <c r="F137" s="2268" t="s">
        <v>1917</v>
      </c>
      <c r="G137" s="2268"/>
      <c r="H137" s="2268"/>
      <c r="I137" s="2268"/>
      <c r="J137" s="2268"/>
      <c r="K137" s="2268"/>
      <c r="L137" s="2268"/>
      <c r="M137" s="2268"/>
      <c r="N137" s="2268"/>
      <c r="O137" s="2268"/>
      <c r="P137" s="2268"/>
      <c r="Q137" s="2214">
        <v>55</v>
      </c>
      <c r="R137" s="2214"/>
      <c r="S137" s="2214"/>
      <c r="T137" s="2269"/>
      <c r="U137" s="2269"/>
      <c r="V137" s="2269"/>
      <c r="W137" s="2269"/>
      <c r="X137" s="2269"/>
      <c r="Y137" s="2269"/>
      <c r="Z137" s="2269"/>
      <c r="AA137" s="2269"/>
      <c r="AB137" s="2270">
        <v>0</v>
      </c>
      <c r="AC137" s="2270"/>
      <c r="AD137" s="2270"/>
      <c r="AE137" s="2270"/>
      <c r="AF137" s="2270"/>
      <c r="AG137" s="2271"/>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6" t="s">
        <v>170</v>
      </c>
      <c r="D138" s="2267"/>
      <c r="E138" s="2267"/>
      <c r="F138" s="2268" t="s">
        <v>1917</v>
      </c>
      <c r="G138" s="2268"/>
      <c r="H138" s="2268"/>
      <c r="I138" s="2268"/>
      <c r="J138" s="2268"/>
      <c r="K138" s="2268"/>
      <c r="L138" s="2268"/>
      <c r="M138" s="2268"/>
      <c r="N138" s="2268"/>
      <c r="O138" s="2268"/>
      <c r="P138" s="2268"/>
      <c r="Q138" s="2214">
        <v>55</v>
      </c>
      <c r="R138" s="2214"/>
      <c r="S138" s="2214"/>
      <c r="T138" s="2269"/>
      <c r="U138" s="2269"/>
      <c r="V138" s="2269"/>
      <c r="W138" s="2269"/>
      <c r="X138" s="2269"/>
      <c r="Y138" s="2269"/>
      <c r="Z138" s="2269"/>
      <c r="AA138" s="2269"/>
      <c r="AB138" s="2270">
        <v>0</v>
      </c>
      <c r="AC138" s="2270"/>
      <c r="AD138" s="2270"/>
      <c r="AE138" s="2270"/>
      <c r="AF138" s="2270"/>
      <c r="AG138" s="2271"/>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72" t="s">
        <v>170</v>
      </c>
      <c r="D139" s="2273"/>
      <c r="E139" s="2273"/>
      <c r="F139" s="2274" t="s">
        <v>1917</v>
      </c>
      <c r="G139" s="2274"/>
      <c r="H139" s="2274"/>
      <c r="I139" s="2274"/>
      <c r="J139" s="2274"/>
      <c r="K139" s="2274"/>
      <c r="L139" s="2274"/>
      <c r="M139" s="2274"/>
      <c r="N139" s="2274"/>
      <c r="O139" s="2274"/>
      <c r="P139" s="2274"/>
      <c r="Q139" s="2275">
        <v>55</v>
      </c>
      <c r="R139" s="2275"/>
      <c r="S139" s="2275"/>
      <c r="T139" s="2276"/>
      <c r="U139" s="2276"/>
      <c r="V139" s="2276"/>
      <c r="W139" s="2276"/>
      <c r="X139" s="2276"/>
      <c r="Y139" s="2276"/>
      <c r="Z139" s="2276"/>
      <c r="AA139" s="2276"/>
      <c r="AB139" s="2277">
        <v>0</v>
      </c>
      <c r="AC139" s="2277"/>
      <c r="AD139" s="2277"/>
      <c r="AE139" s="2277"/>
      <c r="AF139" s="2277"/>
      <c r="AG139" s="227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7" t="s">
        <v>1918</v>
      </c>
      <c r="D141" s="2248"/>
      <c r="E141" s="2248"/>
      <c r="F141" s="2248"/>
      <c r="G141" s="2248"/>
      <c r="H141" s="2248"/>
      <c r="I141" s="2248"/>
      <c r="J141" s="2248"/>
      <c r="K141" s="2248"/>
      <c r="L141" s="2248"/>
      <c r="M141" s="2248"/>
      <c r="N141" s="2253"/>
      <c r="O141" s="1207"/>
      <c r="P141" s="2254" t="s">
        <v>1919</v>
      </c>
      <c r="Q141" s="2255"/>
      <c r="R141" s="2255"/>
      <c r="S141" s="2255"/>
      <c r="T141" s="2255"/>
      <c r="U141" s="2255"/>
      <c r="V141" s="2255"/>
      <c r="W141" s="2255"/>
      <c r="X141" s="2255"/>
      <c r="Y141" s="2255"/>
      <c r="Z141" s="2255"/>
      <c r="AA141" s="2255"/>
      <c r="AB141" s="2255"/>
      <c r="AC141" s="2255"/>
      <c r="AD141" s="2255"/>
      <c r="AE141" s="2255"/>
      <c r="AF141" s="2255"/>
      <c r="AG141" s="2255"/>
      <c r="AH141" s="2255"/>
      <c r="AI141" s="2255"/>
      <c r="AJ141" s="2255"/>
      <c r="AK141" s="2255"/>
      <c r="AL141" s="2255"/>
      <c r="AM141" s="2255"/>
      <c r="AN141" s="2255"/>
      <c r="AO141" s="2256"/>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7" t="s">
        <v>1920</v>
      </c>
      <c r="D142" s="2258"/>
      <c r="E142" s="2258"/>
      <c r="F142" s="2258"/>
      <c r="G142" s="2258"/>
      <c r="H142" s="2258"/>
      <c r="I142" s="2258" t="s">
        <v>1921</v>
      </c>
      <c r="J142" s="2258"/>
      <c r="K142" s="2258"/>
      <c r="L142" s="2258"/>
      <c r="M142" s="2258"/>
      <c r="N142" s="2259"/>
      <c r="O142" s="1207"/>
      <c r="P142" s="2260" t="s">
        <v>2263</v>
      </c>
      <c r="Q142" s="2261"/>
      <c r="R142" s="2261"/>
      <c r="S142" s="2261"/>
      <c r="T142" s="2261"/>
      <c r="U142" s="2261"/>
      <c r="V142" s="2261"/>
      <c r="W142" s="2261"/>
      <c r="X142" s="2261"/>
      <c r="Y142" s="2261"/>
      <c r="Z142" s="2261"/>
      <c r="AA142" s="2261"/>
      <c r="AB142" s="2261"/>
      <c r="AC142" s="2261"/>
      <c r="AD142" s="2261"/>
      <c r="AE142" s="2261"/>
      <c r="AF142" s="2261"/>
      <c r="AG142" s="2261"/>
      <c r="AH142" s="2261"/>
      <c r="AI142" s="2261"/>
      <c r="AJ142" s="2261"/>
      <c r="AK142" s="2261"/>
      <c r="AL142" s="2261"/>
      <c r="AM142" s="2261"/>
      <c r="AN142" s="2261"/>
      <c r="AO142" s="226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7"/>
      <c r="D143" s="2208"/>
      <c r="E143" s="2208"/>
      <c r="F143" s="2208"/>
      <c r="G143" s="2208"/>
      <c r="H143" s="2208"/>
      <c r="I143" s="2251"/>
      <c r="J143" s="2251"/>
      <c r="K143" s="2251"/>
      <c r="L143" s="2251"/>
      <c r="M143" s="2251"/>
      <c r="N143" s="2252"/>
      <c r="O143" s="1207"/>
      <c r="P143" s="2260"/>
      <c r="Q143" s="2261"/>
      <c r="R143" s="2261"/>
      <c r="S143" s="2261"/>
      <c r="T143" s="2261"/>
      <c r="U143" s="2261"/>
      <c r="V143" s="2261"/>
      <c r="W143" s="2261"/>
      <c r="X143" s="2261"/>
      <c r="Y143" s="2261"/>
      <c r="Z143" s="2261"/>
      <c r="AA143" s="2261"/>
      <c r="AB143" s="2261"/>
      <c r="AC143" s="2261"/>
      <c r="AD143" s="2261"/>
      <c r="AE143" s="2261"/>
      <c r="AF143" s="2261"/>
      <c r="AG143" s="2261"/>
      <c r="AH143" s="2261"/>
      <c r="AI143" s="2261"/>
      <c r="AJ143" s="2261"/>
      <c r="AK143" s="2261"/>
      <c r="AL143" s="2261"/>
      <c r="AM143" s="2261"/>
      <c r="AN143" s="2261"/>
      <c r="AO143" s="226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7"/>
      <c r="D144" s="2208"/>
      <c r="E144" s="2208"/>
      <c r="F144" s="2208"/>
      <c r="G144" s="2208"/>
      <c r="H144" s="2208"/>
      <c r="I144" s="2251"/>
      <c r="J144" s="2251"/>
      <c r="K144" s="2251"/>
      <c r="L144" s="2251"/>
      <c r="M144" s="2251"/>
      <c r="N144" s="2252"/>
      <c r="O144" s="1207"/>
      <c r="P144" s="2260"/>
      <c r="Q144" s="2261"/>
      <c r="R144" s="2261"/>
      <c r="S144" s="2261"/>
      <c r="T144" s="2261"/>
      <c r="U144" s="2261"/>
      <c r="V144" s="2261"/>
      <c r="W144" s="2261"/>
      <c r="X144" s="2261"/>
      <c r="Y144" s="2261"/>
      <c r="Z144" s="2261"/>
      <c r="AA144" s="2261"/>
      <c r="AB144" s="2261"/>
      <c r="AC144" s="2261"/>
      <c r="AD144" s="2261"/>
      <c r="AE144" s="2261"/>
      <c r="AF144" s="2261"/>
      <c r="AG144" s="2261"/>
      <c r="AH144" s="2261"/>
      <c r="AI144" s="2261"/>
      <c r="AJ144" s="2261"/>
      <c r="AK144" s="2261"/>
      <c r="AL144" s="2261"/>
      <c r="AM144" s="2261"/>
      <c r="AN144" s="2261"/>
      <c r="AO144" s="226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7"/>
      <c r="D145" s="2208"/>
      <c r="E145" s="2208"/>
      <c r="F145" s="2208"/>
      <c r="G145" s="2208"/>
      <c r="H145" s="2208"/>
      <c r="I145" s="2251"/>
      <c r="J145" s="2251"/>
      <c r="K145" s="2251"/>
      <c r="L145" s="2251"/>
      <c r="M145" s="2251"/>
      <c r="N145" s="2252"/>
      <c r="O145" s="1207"/>
      <c r="P145" s="2260"/>
      <c r="Q145" s="2261"/>
      <c r="R145" s="2261"/>
      <c r="S145" s="2261"/>
      <c r="T145" s="2261"/>
      <c r="U145" s="2261"/>
      <c r="V145" s="2261"/>
      <c r="W145" s="2261"/>
      <c r="X145" s="2261"/>
      <c r="Y145" s="2261"/>
      <c r="Z145" s="2261"/>
      <c r="AA145" s="2261"/>
      <c r="AB145" s="2261"/>
      <c r="AC145" s="2261"/>
      <c r="AD145" s="2261"/>
      <c r="AE145" s="2261"/>
      <c r="AF145" s="2261"/>
      <c r="AG145" s="2261"/>
      <c r="AH145" s="2261"/>
      <c r="AI145" s="2261"/>
      <c r="AJ145" s="2261"/>
      <c r="AK145" s="2261"/>
      <c r="AL145" s="2261"/>
      <c r="AM145" s="2261"/>
      <c r="AN145" s="2261"/>
      <c r="AO145" s="226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7"/>
      <c r="D146" s="2208"/>
      <c r="E146" s="2208"/>
      <c r="F146" s="2208"/>
      <c r="G146" s="2208"/>
      <c r="H146" s="2208"/>
      <c r="I146" s="2251"/>
      <c r="J146" s="2251"/>
      <c r="K146" s="2251"/>
      <c r="L146" s="2251"/>
      <c r="M146" s="2251"/>
      <c r="N146" s="2252"/>
      <c r="O146" s="1207"/>
      <c r="P146" s="2260"/>
      <c r="Q146" s="2261"/>
      <c r="R146" s="2261"/>
      <c r="S146" s="2261"/>
      <c r="T146" s="2261"/>
      <c r="U146" s="2261"/>
      <c r="V146" s="2261"/>
      <c r="W146" s="2261"/>
      <c r="X146" s="2261"/>
      <c r="Y146" s="2261"/>
      <c r="Z146" s="2261"/>
      <c r="AA146" s="2261"/>
      <c r="AB146" s="2261"/>
      <c r="AC146" s="2261"/>
      <c r="AD146" s="2261"/>
      <c r="AE146" s="2261"/>
      <c r="AF146" s="2261"/>
      <c r="AG146" s="2261"/>
      <c r="AH146" s="2261"/>
      <c r="AI146" s="2261"/>
      <c r="AJ146" s="2261"/>
      <c r="AK146" s="2261"/>
      <c r="AL146" s="2261"/>
      <c r="AM146" s="2261"/>
      <c r="AN146" s="2261"/>
      <c r="AO146" s="226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7"/>
      <c r="D147" s="2208"/>
      <c r="E147" s="2208"/>
      <c r="F147" s="2208"/>
      <c r="G147" s="2208"/>
      <c r="H147" s="2208"/>
      <c r="I147" s="2251"/>
      <c r="J147" s="2251"/>
      <c r="K147" s="2251"/>
      <c r="L147" s="2251"/>
      <c r="M147" s="2251"/>
      <c r="N147" s="2252"/>
      <c r="O147" s="1207"/>
      <c r="P147" s="2260"/>
      <c r="Q147" s="2261"/>
      <c r="R147" s="2261"/>
      <c r="S147" s="2261"/>
      <c r="T147" s="2261"/>
      <c r="U147" s="2261"/>
      <c r="V147" s="2261"/>
      <c r="W147" s="2261"/>
      <c r="X147" s="2261"/>
      <c r="Y147" s="2261"/>
      <c r="Z147" s="2261"/>
      <c r="AA147" s="2261"/>
      <c r="AB147" s="2261"/>
      <c r="AC147" s="2261"/>
      <c r="AD147" s="2261"/>
      <c r="AE147" s="2261"/>
      <c r="AF147" s="2261"/>
      <c r="AG147" s="2261"/>
      <c r="AH147" s="2261"/>
      <c r="AI147" s="2261"/>
      <c r="AJ147" s="2261"/>
      <c r="AK147" s="2261"/>
      <c r="AL147" s="2261"/>
      <c r="AM147" s="2261"/>
      <c r="AN147" s="2261"/>
      <c r="AO147" s="226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7"/>
      <c r="D148" s="2208"/>
      <c r="E148" s="2208"/>
      <c r="F148" s="2208"/>
      <c r="G148" s="2208"/>
      <c r="H148" s="2208"/>
      <c r="I148" s="2251"/>
      <c r="J148" s="2251"/>
      <c r="K148" s="2251"/>
      <c r="L148" s="2251"/>
      <c r="M148" s="2251"/>
      <c r="N148" s="2252"/>
      <c r="O148" s="1207"/>
      <c r="P148" s="2260"/>
      <c r="Q148" s="2261"/>
      <c r="R148" s="2261"/>
      <c r="S148" s="2261"/>
      <c r="T148" s="2261"/>
      <c r="U148" s="2261"/>
      <c r="V148" s="2261"/>
      <c r="W148" s="2261"/>
      <c r="X148" s="2261"/>
      <c r="Y148" s="2261"/>
      <c r="Z148" s="2261"/>
      <c r="AA148" s="2261"/>
      <c r="AB148" s="2261"/>
      <c r="AC148" s="2261"/>
      <c r="AD148" s="2261"/>
      <c r="AE148" s="2261"/>
      <c r="AF148" s="2261"/>
      <c r="AG148" s="2261"/>
      <c r="AH148" s="2261"/>
      <c r="AI148" s="2261"/>
      <c r="AJ148" s="2261"/>
      <c r="AK148" s="2261"/>
      <c r="AL148" s="2261"/>
      <c r="AM148" s="2261"/>
      <c r="AN148" s="2261"/>
      <c r="AO148" s="226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42"/>
      <c r="D149" s="2243"/>
      <c r="E149" s="2243"/>
      <c r="F149" s="2243"/>
      <c r="G149" s="2243"/>
      <c r="H149" s="2243"/>
      <c r="I149" s="2244"/>
      <c r="J149" s="2244"/>
      <c r="K149" s="2244"/>
      <c r="L149" s="2244"/>
      <c r="M149" s="2244"/>
      <c r="N149" s="2245"/>
      <c r="O149" s="1207"/>
      <c r="P149" s="2263"/>
      <c r="Q149" s="2264"/>
      <c r="R149" s="2264"/>
      <c r="S149" s="2264"/>
      <c r="T149" s="2264"/>
      <c r="U149" s="2264"/>
      <c r="V149" s="2264"/>
      <c r="W149" s="2264"/>
      <c r="X149" s="2264"/>
      <c r="Y149" s="2264"/>
      <c r="Z149" s="2264"/>
      <c r="AA149" s="2264"/>
      <c r="AB149" s="2264"/>
      <c r="AC149" s="2264"/>
      <c r="AD149" s="2264"/>
      <c r="AE149" s="2264"/>
      <c r="AF149" s="2264"/>
      <c r="AG149" s="2264"/>
      <c r="AH149" s="2264"/>
      <c r="AI149" s="2264"/>
      <c r="AJ149" s="2264"/>
      <c r="AK149" s="2264"/>
      <c r="AL149" s="2264"/>
      <c r="AM149" s="2264"/>
      <c r="AN149" s="2264"/>
      <c r="AO149" s="226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6" t="s">
        <v>2600</v>
      </c>
      <c r="D151" s="2246"/>
      <c r="E151" s="2246"/>
      <c r="F151" s="2246"/>
      <c r="G151" s="2246"/>
      <c r="H151" s="2246"/>
      <c r="I151" s="2246"/>
      <c r="J151" s="2246"/>
      <c r="K151" s="2246"/>
      <c r="L151" s="2246"/>
      <c r="M151" s="2246"/>
      <c r="N151" s="2246"/>
      <c r="O151" s="2246"/>
      <c r="P151" s="2246"/>
      <c r="Q151" s="2246"/>
      <c r="R151" s="2246"/>
      <c r="S151" s="2246"/>
      <c r="T151" s="2246"/>
      <c r="U151" s="2246"/>
      <c r="V151" s="2246"/>
      <c r="W151" s="2246"/>
      <c r="X151" s="2246"/>
      <c r="Y151" s="2246"/>
      <c r="Z151" s="2246"/>
      <c r="AA151" s="2246"/>
      <c r="AB151" s="2246"/>
      <c r="AC151" s="2246"/>
      <c r="AD151" s="2246"/>
      <c r="AE151" s="2246"/>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6"/>
      <c r="D152" s="2246"/>
      <c r="E152" s="2246"/>
      <c r="F152" s="2246"/>
      <c r="G152" s="2246"/>
      <c r="H152" s="2246"/>
      <c r="I152" s="2246"/>
      <c r="J152" s="2246"/>
      <c r="K152" s="2246"/>
      <c r="L152" s="2246"/>
      <c r="M152" s="2246"/>
      <c r="N152" s="2246"/>
      <c r="O152" s="2246"/>
      <c r="P152" s="2246"/>
      <c r="Q152" s="2246"/>
      <c r="R152" s="2246"/>
      <c r="S152" s="2246"/>
      <c r="T152" s="2246"/>
      <c r="U152" s="2246"/>
      <c r="V152" s="2246"/>
      <c r="W152" s="2246"/>
      <c r="X152" s="2246"/>
      <c r="Y152" s="2246"/>
      <c r="Z152" s="2246"/>
      <c r="AA152" s="2246"/>
      <c r="AB152" s="2246"/>
      <c r="AC152" s="2246"/>
      <c r="AD152" s="2246"/>
      <c r="AE152" s="2246"/>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7" t="s">
        <v>1911</v>
      </c>
      <c r="D153" s="2248"/>
      <c r="E153" s="2248"/>
      <c r="F153" s="2248"/>
      <c r="G153" s="2248"/>
      <c r="H153" s="2248"/>
      <c r="I153" s="2248"/>
      <c r="J153" s="2248"/>
      <c r="K153" s="2248"/>
      <c r="L153" s="2248"/>
      <c r="M153" s="2248"/>
      <c r="N153" s="2248" t="s">
        <v>1922</v>
      </c>
      <c r="O153" s="2248"/>
      <c r="P153" s="2248"/>
      <c r="Q153" s="2248"/>
      <c r="R153" s="2248"/>
      <c r="S153" s="2248"/>
      <c r="T153" s="2248"/>
      <c r="U153" s="2249" t="s">
        <v>1911</v>
      </c>
      <c r="V153" s="2249"/>
      <c r="W153" s="2249"/>
      <c r="X153" s="2249"/>
      <c r="Y153" s="2249"/>
      <c r="Z153" s="2249"/>
      <c r="AA153" s="2249"/>
      <c r="AB153" s="2249"/>
      <c r="AC153" s="2249"/>
      <c r="AD153" s="2249"/>
      <c r="AE153" s="2250"/>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9" t="s">
        <v>2601</v>
      </c>
      <c r="D154" s="2220"/>
      <c r="E154" s="2220"/>
      <c r="F154" s="2220"/>
      <c r="G154" s="2220"/>
      <c r="H154" s="2220"/>
      <c r="I154" s="2220"/>
      <c r="J154" s="2220"/>
      <c r="K154" s="2220"/>
      <c r="L154" s="2220"/>
      <c r="M154" s="2220"/>
      <c r="N154" s="2236">
        <f>'Sources and Uses Budget'!B105</f>
        <v>74400299</v>
      </c>
      <c r="O154" s="2236"/>
      <c r="P154" s="2236"/>
      <c r="Q154" s="2236"/>
      <c r="R154" s="2236"/>
      <c r="S154" s="2236"/>
      <c r="T154" s="2236"/>
      <c r="U154" s="2237"/>
      <c r="V154" s="2237"/>
      <c r="W154" s="2237"/>
      <c r="X154" s="2237"/>
      <c r="Y154" s="2237"/>
      <c r="Z154" s="2237"/>
      <c r="AA154" s="2237"/>
      <c r="AB154" s="2237"/>
      <c r="AC154" s="2237"/>
      <c r="AD154" s="2237"/>
      <c r="AE154" s="2238"/>
      <c r="AF154" s="1207"/>
      <c r="AG154" s="1207"/>
      <c r="AH154" s="1233" t="s">
        <v>2602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9" t="s">
        <v>2603</v>
      </c>
      <c r="D155" s="2220"/>
      <c r="E155" s="2220"/>
      <c r="F155" s="2220"/>
      <c r="G155" s="2220"/>
      <c r="H155" s="2220"/>
      <c r="I155" s="2220"/>
      <c r="J155" s="2220"/>
      <c r="K155" s="2220"/>
      <c r="L155" s="2220"/>
      <c r="M155" s="2220"/>
      <c r="N155" s="2236">
        <f>N154/J29</f>
        <v>614878.50413223135</v>
      </c>
      <c r="O155" s="2236"/>
      <c r="P155" s="2236"/>
      <c r="Q155" s="2236"/>
      <c r="R155" s="2236"/>
      <c r="S155" s="2236"/>
      <c r="T155" s="223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9" t="s">
        <v>2604</v>
      </c>
      <c r="D156" s="2240"/>
      <c r="E156" s="2240"/>
      <c r="F156" s="2240"/>
      <c r="G156" s="2240"/>
      <c r="H156" s="2240"/>
      <c r="I156" s="2240"/>
      <c r="J156" s="2240"/>
      <c r="K156" s="2240"/>
      <c r="L156" s="2240"/>
      <c r="M156" s="2240"/>
      <c r="N156" s="2241">
        <v>0</v>
      </c>
      <c r="O156" s="2241"/>
      <c r="P156" s="2241"/>
      <c r="Q156" s="2241"/>
      <c r="R156" s="2241"/>
      <c r="S156" s="2241"/>
      <c r="T156" s="2241"/>
      <c r="U156" s="2211"/>
      <c r="V156" s="2211"/>
      <c r="W156" s="2211"/>
      <c r="X156" s="2211"/>
      <c r="Y156" s="2211"/>
      <c r="Z156" s="2211"/>
      <c r="AA156" s="2211"/>
      <c r="AB156" s="2211"/>
      <c r="AC156" s="2211"/>
      <c r="AD156" s="2211"/>
      <c r="AE156" s="2212"/>
      <c r="AF156" s="1207"/>
      <c r="AG156" s="1207"/>
      <c r="AH156" s="2221" t="s">
        <v>2271</v>
      </c>
      <c r="AI156" s="2222"/>
      <c r="AJ156" s="2222"/>
      <c r="AK156" s="2222"/>
      <c r="AL156" s="2222"/>
      <c r="AM156" s="2222"/>
      <c r="AN156" s="2222"/>
      <c r="AO156" s="2222"/>
      <c r="AP156" s="2222"/>
      <c r="AQ156" s="2222"/>
      <c r="AR156" s="2222"/>
      <c r="AS156" s="2223">
        <f>SUM(AS152:AW154)</f>
        <v>0</v>
      </c>
      <c r="AT156" s="2223"/>
      <c r="AU156" s="2223"/>
      <c r="AV156" s="2223"/>
      <c r="AW156" s="2224"/>
      <c r="AX156" s="1207"/>
      <c r="AY156" s="1207"/>
      <c r="AZ156" s="1207"/>
      <c r="BA156" s="1207"/>
      <c r="BB156" s="1207"/>
      <c r="BC156" s="1207"/>
      <c r="BD156" s="1207"/>
      <c r="BE156" s="1213"/>
    </row>
    <row r="157" spans="1:57" ht="15.75" customHeight="1" thickBot="1">
      <c r="A157" s="1207"/>
      <c r="B157" s="1207"/>
      <c r="C157" s="2219" t="s">
        <v>2605</v>
      </c>
      <c r="D157" s="2220"/>
      <c r="E157" s="2220"/>
      <c r="F157" s="2220"/>
      <c r="G157" s="2220"/>
      <c r="H157" s="2220"/>
      <c r="I157" s="2220"/>
      <c r="J157" s="2220"/>
      <c r="K157" s="2220"/>
      <c r="L157" s="2220"/>
      <c r="M157" s="2220"/>
      <c r="N157" s="2225">
        <f>SUM('Sources and Uses Budget'!B85:B86)</f>
        <v>2640315</v>
      </c>
      <c r="O157" s="2225"/>
      <c r="P157" s="2225"/>
      <c r="Q157" s="2225"/>
      <c r="R157" s="2225"/>
      <c r="S157" s="2225"/>
      <c r="T157" s="2225"/>
      <c r="U157" s="2211"/>
      <c r="V157" s="2211"/>
      <c r="W157" s="2211"/>
      <c r="X157" s="2211"/>
      <c r="Y157" s="2211"/>
      <c r="Z157" s="2211"/>
      <c r="AA157" s="2211"/>
      <c r="AB157" s="2211"/>
      <c r="AC157" s="2211"/>
      <c r="AD157" s="2211"/>
      <c r="AE157" s="2212"/>
      <c r="AF157" s="1207"/>
      <c r="AG157" s="1207"/>
      <c r="AH157" s="1247" t="s">
        <v>2606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9" t="s">
        <v>2607</v>
      </c>
      <c r="D158" s="2220"/>
      <c r="E158" s="2220"/>
      <c r="F158" s="2220"/>
      <c r="G158" s="2220"/>
      <c r="H158" s="2220"/>
      <c r="I158" s="2220"/>
      <c r="J158" s="2220"/>
      <c r="K158" s="2220"/>
      <c r="L158" s="2220"/>
      <c r="M158" s="2220"/>
      <c r="N158" s="2225">
        <f>'Sources and Uses Budget'!B8</f>
        <v>1965539</v>
      </c>
      <c r="O158" s="2225"/>
      <c r="P158" s="2225"/>
      <c r="Q158" s="2225"/>
      <c r="R158" s="2225"/>
      <c r="S158" s="2225"/>
      <c r="T158" s="2225"/>
      <c r="U158" s="2211"/>
      <c r="V158" s="2211"/>
      <c r="W158" s="2211"/>
      <c r="X158" s="2211"/>
      <c r="Y158" s="2211"/>
      <c r="Z158" s="2211"/>
      <c r="AA158" s="2211"/>
      <c r="AB158" s="2211"/>
      <c r="AC158" s="2211"/>
      <c r="AD158" s="2211"/>
      <c r="AE158" s="2212"/>
      <c r="AF158" s="1207"/>
      <c r="AG158" s="1207"/>
      <c r="AH158" s="2226" t="s">
        <v>2608</v>
      </c>
      <c r="AI158" s="2227"/>
      <c r="AJ158" s="2227"/>
      <c r="AK158" s="2227"/>
      <c r="AL158" s="2227"/>
      <c r="AM158" s="2227"/>
      <c r="AN158" s="2227"/>
      <c r="AO158" s="2227"/>
      <c r="AP158" s="2227"/>
      <c r="AQ158" s="2227"/>
      <c r="AR158" s="2228"/>
      <c r="AS158" s="2232" t="s">
        <v>2609</v>
      </c>
      <c r="AT158" s="2215"/>
      <c r="AU158" s="2215"/>
      <c r="AV158" s="2215"/>
      <c r="AW158" s="2215"/>
      <c r="AX158" s="2233"/>
      <c r="AY158" s="2215" t="s">
        <v>2610</v>
      </c>
      <c r="AZ158" s="2215"/>
      <c r="BA158" s="2215"/>
      <c r="BB158" s="2215"/>
      <c r="BC158" s="2215"/>
      <c r="BD158" s="2216"/>
      <c r="BE158" s="1213"/>
    </row>
    <row r="159" spans="1:57" ht="15.75" customHeight="1">
      <c r="A159" s="1207"/>
      <c r="B159" s="1207"/>
      <c r="C159" s="2219" t="s">
        <v>2611</v>
      </c>
      <c r="D159" s="2220"/>
      <c r="E159" s="2220"/>
      <c r="F159" s="2220"/>
      <c r="G159" s="2220"/>
      <c r="H159" s="2220"/>
      <c r="I159" s="2220"/>
      <c r="J159" s="2220"/>
      <c r="K159" s="2220"/>
      <c r="L159" s="2220"/>
      <c r="M159" s="2220"/>
      <c r="N159" s="2210">
        <v>0</v>
      </c>
      <c r="O159" s="2210"/>
      <c r="P159" s="2210"/>
      <c r="Q159" s="2210"/>
      <c r="R159" s="2210"/>
      <c r="S159" s="2210"/>
      <c r="T159" s="2210"/>
      <c r="U159" s="2211"/>
      <c r="V159" s="2211"/>
      <c r="W159" s="2211"/>
      <c r="X159" s="2211"/>
      <c r="Y159" s="2211"/>
      <c r="Z159" s="2211"/>
      <c r="AA159" s="2211"/>
      <c r="AB159" s="2211"/>
      <c r="AC159" s="2211"/>
      <c r="AD159" s="2211"/>
      <c r="AE159" s="2212"/>
      <c r="AF159" s="1207"/>
      <c r="AG159" s="1207"/>
      <c r="AH159" s="2229"/>
      <c r="AI159" s="2230"/>
      <c r="AJ159" s="2230"/>
      <c r="AK159" s="2230"/>
      <c r="AL159" s="2230"/>
      <c r="AM159" s="2230"/>
      <c r="AN159" s="2230"/>
      <c r="AO159" s="2230"/>
      <c r="AP159" s="2230"/>
      <c r="AQ159" s="2230"/>
      <c r="AR159" s="2231"/>
      <c r="AS159" s="2234"/>
      <c r="AT159" s="2217"/>
      <c r="AU159" s="2217"/>
      <c r="AV159" s="2217"/>
      <c r="AW159" s="2217"/>
      <c r="AX159" s="2235"/>
      <c r="AY159" s="2217"/>
      <c r="AZ159" s="2217"/>
      <c r="BA159" s="2217"/>
      <c r="BB159" s="2217"/>
      <c r="BC159" s="2217"/>
      <c r="BD159" s="2218"/>
      <c r="BE159" s="1213"/>
    </row>
    <row r="160" spans="1:57" ht="15.75" customHeight="1">
      <c r="A160" s="1207"/>
      <c r="B160" s="1207"/>
      <c r="C160" s="2219" t="s">
        <v>2612</v>
      </c>
      <c r="D160" s="2220"/>
      <c r="E160" s="2220"/>
      <c r="F160" s="2220"/>
      <c r="G160" s="2220"/>
      <c r="H160" s="2220"/>
      <c r="I160" s="2220"/>
      <c r="J160" s="2220"/>
      <c r="K160" s="2220"/>
      <c r="L160" s="2220"/>
      <c r="M160" s="2220"/>
      <c r="N160" s="2210">
        <v>0</v>
      </c>
      <c r="O160" s="2210"/>
      <c r="P160" s="2210"/>
      <c r="Q160" s="2210"/>
      <c r="R160" s="2210"/>
      <c r="S160" s="2210"/>
      <c r="T160" s="2210"/>
      <c r="U160" s="2211"/>
      <c r="V160" s="2211"/>
      <c r="W160" s="2211"/>
      <c r="X160" s="2211"/>
      <c r="Y160" s="2211"/>
      <c r="Z160" s="2211"/>
      <c r="AA160" s="2211"/>
      <c r="AB160" s="2211"/>
      <c r="AC160" s="2211"/>
      <c r="AD160" s="2211"/>
      <c r="AE160" s="2212"/>
      <c r="AF160" s="1207"/>
      <c r="AG160" s="1207"/>
      <c r="AH160" s="2186" t="s">
        <v>2272</v>
      </c>
      <c r="AI160" s="2187"/>
      <c r="AJ160" s="2187"/>
      <c r="AK160" s="2187"/>
      <c r="AL160" s="2187"/>
      <c r="AM160" s="2187"/>
      <c r="AN160" s="2187"/>
      <c r="AO160" s="2187"/>
      <c r="AP160" s="2187"/>
      <c r="AQ160" s="2187"/>
      <c r="AR160" s="2187"/>
      <c r="AS160" s="2188">
        <v>0</v>
      </c>
      <c r="AT160" s="2188"/>
      <c r="AU160" s="2188"/>
      <c r="AV160" s="2188"/>
      <c r="AW160" s="2188"/>
      <c r="AX160" s="2188"/>
      <c r="AY160" s="2188">
        <v>0</v>
      </c>
      <c r="AZ160" s="2188"/>
      <c r="BA160" s="2188"/>
      <c r="BB160" s="2188"/>
      <c r="BC160" s="2188"/>
      <c r="BD160" s="2189"/>
      <c r="BE160" s="1213"/>
    </row>
    <row r="161" spans="1:57" ht="15.75" customHeight="1">
      <c r="A161" s="1207"/>
      <c r="B161" s="1207"/>
      <c r="C161" s="2213" t="s">
        <v>301</v>
      </c>
      <c r="D161" s="2214"/>
      <c r="E161" s="2209" t="s">
        <v>1917</v>
      </c>
      <c r="F161" s="2209"/>
      <c r="G161" s="2209"/>
      <c r="H161" s="2209"/>
      <c r="I161" s="2209"/>
      <c r="J161" s="2209"/>
      <c r="K161" s="2209"/>
      <c r="L161" s="2209"/>
      <c r="M161" s="2209"/>
      <c r="N161" s="2210">
        <v>0</v>
      </c>
      <c r="O161" s="2210"/>
      <c r="P161" s="2210"/>
      <c r="Q161" s="2210"/>
      <c r="R161" s="2210"/>
      <c r="S161" s="2210"/>
      <c r="T161" s="2210"/>
      <c r="U161" s="2211"/>
      <c r="V161" s="2211"/>
      <c r="W161" s="2211"/>
      <c r="X161" s="2211"/>
      <c r="Y161" s="2211"/>
      <c r="Z161" s="2211"/>
      <c r="AA161" s="2211"/>
      <c r="AB161" s="2211"/>
      <c r="AC161" s="2211"/>
      <c r="AD161" s="2211"/>
      <c r="AE161" s="2212"/>
      <c r="AF161" s="1207"/>
      <c r="AG161" s="1207"/>
      <c r="AH161" s="2186" t="s">
        <v>2273</v>
      </c>
      <c r="AI161" s="2187"/>
      <c r="AJ161" s="2187"/>
      <c r="AK161" s="2187"/>
      <c r="AL161" s="2187"/>
      <c r="AM161" s="2187"/>
      <c r="AN161" s="2187"/>
      <c r="AO161" s="2187"/>
      <c r="AP161" s="2187"/>
      <c r="AQ161" s="2187"/>
      <c r="AR161" s="2187"/>
      <c r="AS161" s="2188">
        <v>0</v>
      </c>
      <c r="AT161" s="2188"/>
      <c r="AU161" s="2188"/>
      <c r="AV161" s="2188"/>
      <c r="AW161" s="2188"/>
      <c r="AX161" s="2188"/>
      <c r="AY161" s="2188">
        <v>0</v>
      </c>
      <c r="AZ161" s="2188"/>
      <c r="BA161" s="2188"/>
      <c r="BB161" s="2188"/>
      <c r="BC161" s="2188"/>
      <c r="BD161" s="2189"/>
      <c r="BE161" s="1213"/>
    </row>
    <row r="162" spans="1:57" ht="15.75" customHeight="1">
      <c r="A162" s="1207"/>
      <c r="B162" s="1207"/>
      <c r="C162" s="2207" t="s">
        <v>301</v>
      </c>
      <c r="D162" s="2208"/>
      <c r="E162" s="2209" t="s">
        <v>1917</v>
      </c>
      <c r="F162" s="2209"/>
      <c r="G162" s="2209"/>
      <c r="H162" s="2209"/>
      <c r="I162" s="2209"/>
      <c r="J162" s="2209"/>
      <c r="K162" s="2209"/>
      <c r="L162" s="2209"/>
      <c r="M162" s="2209"/>
      <c r="N162" s="2210">
        <v>0</v>
      </c>
      <c r="O162" s="2210"/>
      <c r="P162" s="2210"/>
      <c r="Q162" s="2210"/>
      <c r="R162" s="2210"/>
      <c r="S162" s="2210"/>
      <c r="T162" s="2210"/>
      <c r="U162" s="2211"/>
      <c r="V162" s="2211"/>
      <c r="W162" s="2211"/>
      <c r="X162" s="2211"/>
      <c r="Y162" s="2211"/>
      <c r="Z162" s="2211"/>
      <c r="AA162" s="2211"/>
      <c r="AB162" s="2211"/>
      <c r="AC162" s="2211"/>
      <c r="AD162" s="2211"/>
      <c r="AE162" s="2212"/>
      <c r="AF162" s="1207"/>
      <c r="AG162" s="1207"/>
      <c r="AH162" s="2186" t="s">
        <v>2274</v>
      </c>
      <c r="AI162" s="2187"/>
      <c r="AJ162" s="2187"/>
      <c r="AK162" s="2187"/>
      <c r="AL162" s="2187"/>
      <c r="AM162" s="2187"/>
      <c r="AN162" s="2187"/>
      <c r="AO162" s="2187"/>
      <c r="AP162" s="2187"/>
      <c r="AQ162" s="2187"/>
      <c r="AR162" s="2187"/>
      <c r="AS162" s="2188">
        <v>0</v>
      </c>
      <c r="AT162" s="2188"/>
      <c r="AU162" s="2188"/>
      <c r="AV162" s="2188"/>
      <c r="AW162" s="2188"/>
      <c r="AX162" s="2188"/>
      <c r="AY162" s="2188">
        <v>0</v>
      </c>
      <c r="AZ162" s="2188"/>
      <c r="BA162" s="2188"/>
      <c r="BB162" s="2188"/>
      <c r="BC162" s="2188"/>
      <c r="BD162" s="2189"/>
      <c r="BE162" s="1213"/>
    </row>
    <row r="163" spans="1:57" ht="15.75" customHeight="1" thickBot="1">
      <c r="A163" s="1207"/>
      <c r="B163" s="1207"/>
      <c r="C163" s="2198" t="s">
        <v>301</v>
      </c>
      <c r="D163" s="2199"/>
      <c r="E163" s="2200" t="s">
        <v>1917</v>
      </c>
      <c r="F163" s="2200"/>
      <c r="G163" s="2200"/>
      <c r="H163" s="2200"/>
      <c r="I163" s="2200"/>
      <c r="J163" s="2200"/>
      <c r="K163" s="2200"/>
      <c r="L163" s="2200"/>
      <c r="M163" s="2201"/>
      <c r="N163" s="2202">
        <v>0</v>
      </c>
      <c r="O163" s="2202"/>
      <c r="P163" s="2202"/>
      <c r="Q163" s="2202"/>
      <c r="R163" s="2202"/>
      <c r="S163" s="2202"/>
      <c r="T163" s="2203"/>
      <c r="U163" s="2204"/>
      <c r="V163" s="2205"/>
      <c r="W163" s="2205"/>
      <c r="X163" s="2205"/>
      <c r="Y163" s="2205"/>
      <c r="Z163" s="2205"/>
      <c r="AA163" s="2205"/>
      <c r="AB163" s="2205"/>
      <c r="AC163" s="2205"/>
      <c r="AD163" s="2205"/>
      <c r="AE163" s="2206"/>
      <c r="AF163" s="1207"/>
      <c r="AG163" s="1207"/>
      <c r="AH163" s="2186" t="s">
        <v>2275</v>
      </c>
      <c r="AI163" s="2187"/>
      <c r="AJ163" s="2187"/>
      <c r="AK163" s="2187"/>
      <c r="AL163" s="2187"/>
      <c r="AM163" s="2187"/>
      <c r="AN163" s="2187"/>
      <c r="AO163" s="2187"/>
      <c r="AP163" s="2187"/>
      <c r="AQ163" s="2187"/>
      <c r="AR163" s="2187"/>
      <c r="AS163" s="2188">
        <v>0</v>
      </c>
      <c r="AT163" s="2188"/>
      <c r="AU163" s="2188"/>
      <c r="AV163" s="2188"/>
      <c r="AW163" s="2188"/>
      <c r="AX163" s="2188"/>
      <c r="AY163" s="2188">
        <v>0</v>
      </c>
      <c r="AZ163" s="2188"/>
      <c r="BA163" s="2188"/>
      <c r="BB163" s="2188"/>
      <c r="BC163" s="2188"/>
      <c r="BD163" s="2189"/>
      <c r="BE163" s="1213"/>
    </row>
    <row r="164" spans="1:57" ht="15.75" customHeight="1">
      <c r="A164" s="1207"/>
      <c r="B164" s="1207"/>
      <c r="C164" s="2194" t="s">
        <v>1925</v>
      </c>
      <c r="D164" s="2195"/>
      <c r="E164" s="2195"/>
      <c r="F164" s="2195"/>
      <c r="G164" s="2195"/>
      <c r="H164" s="2195"/>
      <c r="I164" s="2195"/>
      <c r="J164" s="2195"/>
      <c r="K164" s="2195"/>
      <c r="L164" s="2195"/>
      <c r="M164" s="2195"/>
      <c r="N164" s="2196">
        <f>SUM(N156:T163)</f>
        <v>4605854</v>
      </c>
      <c r="O164" s="2196"/>
      <c r="P164" s="2196"/>
      <c r="Q164" s="2196"/>
      <c r="R164" s="2196"/>
      <c r="S164" s="2196"/>
      <c r="T164" s="2197"/>
      <c r="U164" s="1207"/>
      <c r="V164" s="1207"/>
      <c r="W164" s="1207"/>
      <c r="X164" s="1207"/>
      <c r="Y164" s="1207"/>
      <c r="Z164" s="1207"/>
      <c r="AA164" s="1207"/>
      <c r="AB164" s="1207"/>
      <c r="AC164" s="1207"/>
      <c r="AD164" s="1207"/>
      <c r="AE164" s="1207"/>
      <c r="AF164" s="1207"/>
      <c r="AG164" s="1207"/>
      <c r="AH164" s="2186" t="s">
        <v>2276</v>
      </c>
      <c r="AI164" s="2187"/>
      <c r="AJ164" s="2187"/>
      <c r="AK164" s="2187"/>
      <c r="AL164" s="2187"/>
      <c r="AM164" s="2187"/>
      <c r="AN164" s="2187"/>
      <c r="AO164" s="2187"/>
      <c r="AP164" s="2187"/>
      <c r="AQ164" s="2187"/>
      <c r="AR164" s="2187"/>
      <c r="AS164" s="2188">
        <v>0</v>
      </c>
      <c r="AT164" s="2188"/>
      <c r="AU164" s="2188"/>
      <c r="AV164" s="2188"/>
      <c r="AW164" s="2188"/>
      <c r="AX164" s="2188"/>
      <c r="AY164" s="2188">
        <v>0</v>
      </c>
      <c r="AZ164" s="2188"/>
      <c r="BA164" s="2188"/>
      <c r="BB164" s="2188"/>
      <c r="BC164" s="2188"/>
      <c r="BD164" s="2189"/>
      <c r="BE164" s="1213"/>
    </row>
    <row r="165" spans="1:57" ht="15.75" customHeight="1" thickBot="1">
      <c r="A165" s="1207"/>
      <c r="B165" s="1207"/>
      <c r="C165" s="2181" t="s">
        <v>2613</v>
      </c>
      <c r="D165" s="2182"/>
      <c r="E165" s="2182"/>
      <c r="F165" s="2182"/>
      <c r="G165" s="2182"/>
      <c r="H165" s="2182"/>
      <c r="I165" s="2182"/>
      <c r="J165" s="2182"/>
      <c r="K165" s="2182"/>
      <c r="L165" s="2182"/>
      <c r="M165" s="2182"/>
      <c r="N165" s="2183">
        <f>(N154-N164)/J29</f>
        <v>576813.59504132229</v>
      </c>
      <c r="O165" s="2184"/>
      <c r="P165" s="2184"/>
      <c r="Q165" s="2184"/>
      <c r="R165" s="2184"/>
      <c r="S165" s="2184"/>
      <c r="T165" s="2185"/>
      <c r="U165" s="1214"/>
      <c r="V165" s="1207"/>
      <c r="W165" s="1207"/>
      <c r="X165" s="1207"/>
      <c r="Y165" s="1207"/>
      <c r="Z165" s="1207"/>
      <c r="AA165" s="1207"/>
      <c r="AB165" s="1207"/>
      <c r="AC165" s="1207"/>
      <c r="AD165" s="1207"/>
      <c r="AE165" s="1207"/>
      <c r="AF165" s="1207"/>
      <c r="AG165" s="1207"/>
      <c r="AH165" s="2186" t="s">
        <v>2277</v>
      </c>
      <c r="AI165" s="2187"/>
      <c r="AJ165" s="2187"/>
      <c r="AK165" s="2187"/>
      <c r="AL165" s="2187"/>
      <c r="AM165" s="2187"/>
      <c r="AN165" s="2187"/>
      <c r="AO165" s="2187"/>
      <c r="AP165" s="2187"/>
      <c r="AQ165" s="2187"/>
      <c r="AR165" s="2187"/>
      <c r="AS165" s="2188">
        <v>0</v>
      </c>
      <c r="AT165" s="2188"/>
      <c r="AU165" s="2188"/>
      <c r="AV165" s="2188"/>
      <c r="AW165" s="2188"/>
      <c r="AX165" s="2188"/>
      <c r="AY165" s="2188">
        <v>0</v>
      </c>
      <c r="AZ165" s="2188"/>
      <c r="BA165" s="2188"/>
      <c r="BB165" s="2188"/>
      <c r="BC165" s="2188"/>
      <c r="BD165" s="218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90" t="s">
        <v>125</v>
      </c>
      <c r="AI166" s="2191"/>
      <c r="AJ166" s="2191"/>
      <c r="AK166" s="2191"/>
      <c r="AL166" s="2191"/>
      <c r="AM166" s="2191"/>
      <c r="AN166" s="2191"/>
      <c r="AO166" s="2191"/>
      <c r="AP166" s="2191"/>
      <c r="AQ166" s="2191"/>
      <c r="AR166" s="2191"/>
      <c r="AS166" s="2192">
        <f>SUM(AS160:AX165)</f>
        <v>0</v>
      </c>
      <c r="AT166" s="2192"/>
      <c r="AU166" s="2192"/>
      <c r="AV166" s="2192"/>
      <c r="AW166" s="2192"/>
      <c r="AX166" s="2192"/>
      <c r="AY166" s="2192">
        <f>SUM(AY160:BD165)</f>
        <v>0</v>
      </c>
      <c r="AZ166" s="2192"/>
      <c r="BA166" s="2192"/>
      <c r="BB166" s="2192"/>
      <c r="BC166" s="2192"/>
      <c r="BD166" s="219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8" t="s">
        <v>1926</v>
      </c>
      <c r="C168" s="2169"/>
      <c r="D168" s="2169"/>
      <c r="E168" s="2169"/>
      <c r="F168" s="2169"/>
      <c r="G168" s="2169"/>
      <c r="H168" s="2169"/>
      <c r="I168" s="2169"/>
      <c r="J168" s="2169"/>
      <c r="K168" s="2169"/>
      <c r="L168" s="2169"/>
      <c r="M168" s="2169"/>
      <c r="N168" s="2169"/>
      <c r="O168" s="2169"/>
      <c r="P168" s="2169"/>
      <c r="Q168" s="2169"/>
      <c r="R168" s="2169"/>
      <c r="S168" s="2169"/>
      <c r="T168" s="2169"/>
      <c r="U168" s="2169"/>
      <c r="V168" s="2169"/>
      <c r="W168" s="2169"/>
      <c r="X168" s="2169"/>
      <c r="Y168" s="2169"/>
      <c r="Z168" s="2169"/>
      <c r="AA168" s="2169"/>
      <c r="AB168" s="2169"/>
      <c r="AC168" s="2169"/>
      <c r="AD168" s="2169"/>
      <c r="AE168" s="2169"/>
      <c r="AF168" s="2169"/>
      <c r="AG168" s="2169"/>
      <c r="AH168" s="2169"/>
      <c r="AI168" s="2169"/>
      <c r="AJ168" s="2169"/>
      <c r="AK168" s="2169"/>
      <c r="AL168" s="2169"/>
      <c r="AM168" s="2169"/>
      <c r="AN168" s="2169"/>
      <c r="AO168" s="2169"/>
      <c r="AP168" s="2169"/>
      <c r="AQ168" s="2169"/>
      <c r="AR168" s="2169"/>
      <c r="AS168" s="2169"/>
      <c r="AT168" s="2169"/>
      <c r="AU168" s="2169"/>
      <c r="AV168" s="2169"/>
      <c r="AW168" s="2169"/>
      <c r="AX168" s="2169"/>
      <c r="AY168" s="2169"/>
      <c r="AZ168" s="2169"/>
      <c r="BA168" s="2169"/>
      <c r="BB168" s="2169"/>
      <c r="BC168" s="2169"/>
      <c r="BD168" s="2170"/>
      <c r="BE168" s="1213"/>
    </row>
    <row r="169" spans="1:57" ht="15.75" customHeight="1">
      <c r="A169" s="1207"/>
      <c r="B169" s="2171"/>
      <c r="C169" s="2172"/>
      <c r="D169" s="2172"/>
      <c r="E169" s="2172"/>
      <c r="F169" s="2172"/>
      <c r="G169" s="2172"/>
      <c r="H169" s="2172"/>
      <c r="I169" s="2172"/>
      <c r="J169" s="2172"/>
      <c r="K169" s="2172"/>
      <c r="L169" s="2172"/>
      <c r="M169" s="2172"/>
      <c r="N169" s="2172"/>
      <c r="O169" s="2172"/>
      <c r="P169" s="2172"/>
      <c r="Q169" s="2172"/>
      <c r="R169" s="2172"/>
      <c r="S169" s="2172"/>
      <c r="T169" s="2172"/>
      <c r="U169" s="2172"/>
      <c r="V169" s="2172"/>
      <c r="W169" s="2172"/>
      <c r="X169" s="2172"/>
      <c r="Y169" s="2172"/>
      <c r="Z169" s="2172"/>
      <c r="AA169" s="2172"/>
      <c r="AB169" s="2172"/>
      <c r="AC169" s="2172"/>
      <c r="AD169" s="2172"/>
      <c r="AE169" s="2172"/>
      <c r="AF169" s="2172"/>
      <c r="AG169" s="2172"/>
      <c r="AH169" s="2172"/>
      <c r="AI169" s="2172"/>
      <c r="AJ169" s="2172"/>
      <c r="AK169" s="2172"/>
      <c r="AL169" s="2172"/>
      <c r="AM169" s="2172"/>
      <c r="AN169" s="2172"/>
      <c r="AO169" s="2172"/>
      <c r="AP169" s="2172"/>
      <c r="AQ169" s="2172"/>
      <c r="AR169" s="2172"/>
      <c r="AS169" s="2172"/>
      <c r="AT169" s="2172"/>
      <c r="AU169" s="2172"/>
      <c r="AV169" s="2172"/>
      <c r="AW169" s="2172"/>
      <c r="AX169" s="2172"/>
      <c r="AY169" s="2172"/>
      <c r="AZ169" s="2172"/>
      <c r="BA169" s="2172"/>
      <c r="BB169" s="2172"/>
      <c r="BC169" s="2172"/>
      <c r="BD169" s="2173"/>
      <c r="BE169" s="1213"/>
    </row>
    <row r="170" spans="1:57" ht="15.75" customHeight="1">
      <c r="A170" s="1207"/>
      <c r="B170" s="2174" t="s">
        <v>1927</v>
      </c>
      <c r="C170" s="2175"/>
      <c r="D170" s="2175"/>
      <c r="E170" s="2175"/>
      <c r="F170" s="2175"/>
      <c r="G170" s="2175"/>
      <c r="H170" s="2175"/>
      <c r="I170" s="2175"/>
      <c r="J170" s="2175"/>
      <c r="K170" s="2175"/>
      <c r="L170" s="2175"/>
      <c r="M170" s="2175"/>
      <c r="N170" s="2175"/>
      <c r="O170" s="2175"/>
      <c r="P170" s="2175"/>
      <c r="Q170" s="2175"/>
      <c r="R170" s="2175"/>
      <c r="S170" s="2175"/>
      <c r="T170" s="2175"/>
      <c r="U170" s="2175"/>
      <c r="V170" s="2175"/>
      <c r="W170" s="2175"/>
      <c r="X170" s="2175"/>
      <c r="Y170" s="2175"/>
      <c r="Z170" s="2175"/>
      <c r="AA170" s="2175"/>
      <c r="AB170" s="2175"/>
      <c r="AC170" s="2175"/>
      <c r="AD170" s="2175"/>
      <c r="AE170" s="2175"/>
      <c r="AF170" s="2175"/>
      <c r="AG170" s="2175"/>
      <c r="AH170" s="2175"/>
      <c r="AI170" s="2175"/>
      <c r="AJ170" s="2175"/>
      <c r="AK170" s="2175"/>
      <c r="AL170" s="2175"/>
      <c r="AM170" s="2175"/>
      <c r="AN170" s="2175"/>
      <c r="AO170" s="2175"/>
      <c r="AP170" s="2175"/>
      <c r="AQ170" s="2175"/>
      <c r="AR170" s="2175"/>
      <c r="AS170" s="2175"/>
      <c r="AT170" s="2175"/>
      <c r="AU170" s="2175"/>
      <c r="AV170" s="2175"/>
      <c r="AW170" s="2175"/>
      <c r="AX170" s="2175"/>
      <c r="AY170" s="2175"/>
      <c r="AZ170" s="2175"/>
      <c r="BA170" s="2175"/>
      <c r="BB170" s="2175"/>
      <c r="BC170" s="2175"/>
      <c r="BD170" s="2176"/>
      <c r="BE170" s="1213"/>
    </row>
    <row r="171" spans="1:57" ht="15.75" customHeight="1">
      <c r="A171" s="1207"/>
      <c r="B171" s="2174" t="s">
        <v>1928</v>
      </c>
      <c r="C171" s="2175"/>
      <c r="D171" s="2175"/>
      <c r="E171" s="2175"/>
      <c r="F171" s="2175"/>
      <c r="G171" s="2175"/>
      <c r="H171" s="2175"/>
      <c r="I171" s="2175"/>
      <c r="J171" s="2175"/>
      <c r="K171" s="2175"/>
      <c r="L171" s="2175"/>
      <c r="M171" s="2175"/>
      <c r="N171" s="2175"/>
      <c r="O171" s="2175"/>
      <c r="P171" s="2175"/>
      <c r="Q171" s="2175"/>
      <c r="R171" s="2175"/>
      <c r="S171" s="2175"/>
      <c r="T171" s="2175"/>
      <c r="U171" s="2175"/>
      <c r="V171" s="2175"/>
      <c r="W171" s="2175"/>
      <c r="X171" s="2175"/>
      <c r="Y171" s="2175"/>
      <c r="Z171" s="2175"/>
      <c r="AA171" s="2175"/>
      <c r="AB171" s="2175"/>
      <c r="AC171" s="2175"/>
      <c r="AD171" s="2175"/>
      <c r="AE171" s="2175"/>
      <c r="AF171" s="2175"/>
      <c r="AG171" s="2175"/>
      <c r="AH171" s="2175"/>
      <c r="AI171" s="2175"/>
      <c r="AJ171" s="2175"/>
      <c r="AK171" s="2175"/>
      <c r="AL171" s="2175"/>
      <c r="AM171" s="2175"/>
      <c r="AN171" s="2175"/>
      <c r="AO171" s="2175"/>
      <c r="AP171" s="2175"/>
      <c r="AQ171" s="2175"/>
      <c r="AR171" s="2175"/>
      <c r="AS171" s="2175"/>
      <c r="AT171" s="2175"/>
      <c r="AU171" s="2175"/>
      <c r="AV171" s="2175"/>
      <c r="AW171" s="2175"/>
      <c r="AX171" s="2175"/>
      <c r="AY171" s="2175"/>
      <c r="AZ171" s="2175"/>
      <c r="BA171" s="2175"/>
      <c r="BB171" s="2175"/>
      <c r="BC171" s="2175"/>
      <c r="BD171" s="2176"/>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7" t="s">
        <v>1929</v>
      </c>
      <c r="C173" s="2178"/>
      <c r="D173" s="2178"/>
      <c r="E173" s="2178"/>
      <c r="F173" s="2178"/>
      <c r="G173" s="2178"/>
      <c r="H173" s="2178"/>
      <c r="I173" s="2178"/>
      <c r="J173" s="2178"/>
      <c r="K173" s="2178"/>
      <c r="L173" s="2178"/>
      <c r="M173" s="2178"/>
      <c r="N173" s="2178"/>
      <c r="O173" s="2178"/>
      <c r="P173" s="2178"/>
      <c r="Q173" s="2178"/>
      <c r="R173" s="2178"/>
      <c r="S173" s="2178"/>
      <c r="T173" s="2178"/>
      <c r="U173" s="2178"/>
      <c r="V173" s="2178"/>
      <c r="W173" s="2178"/>
      <c r="X173" s="2178"/>
      <c r="Y173" s="2178"/>
      <c r="Z173" s="2178"/>
      <c r="AA173" s="2178"/>
      <c r="AB173" s="2178"/>
      <c r="AC173" s="2178"/>
      <c r="AD173" s="2178"/>
      <c r="AE173" s="2178"/>
      <c r="AF173" s="2178"/>
      <c r="AG173" s="2178"/>
      <c r="AH173" s="2178"/>
      <c r="AI173" s="2178"/>
      <c r="AJ173" s="2178"/>
      <c r="AK173" s="2178"/>
      <c r="AL173" s="2178"/>
      <c r="AM173" s="2178"/>
      <c r="AN173" s="2178"/>
      <c r="AO173" s="2178"/>
      <c r="AP173" s="2178"/>
      <c r="AQ173" s="2178"/>
      <c r="AR173" s="2178"/>
      <c r="AS173" s="2178"/>
      <c r="AT173" s="2178"/>
      <c r="AU173" s="2178"/>
      <c r="AV173" s="2178"/>
      <c r="AW173" s="2178"/>
      <c r="AX173" s="2178"/>
      <c r="AY173" s="2178"/>
      <c r="AZ173" s="2178"/>
      <c r="BA173" s="2178"/>
      <c r="BB173" s="2178"/>
      <c r="BC173" s="2178"/>
      <c r="BD173" s="2179"/>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80" t="s">
        <v>1931</v>
      </c>
      <c r="I177" s="2180"/>
      <c r="J177" s="2180"/>
      <c r="K177" s="2180"/>
      <c r="L177" s="2180"/>
      <c r="M177" s="2180"/>
      <c r="N177" s="2180"/>
      <c r="O177" s="2180"/>
      <c r="P177" s="2180"/>
      <c r="Q177" s="2180"/>
      <c r="R177" s="2180"/>
      <c r="S177" s="2180"/>
      <c r="T177" s="2180"/>
      <c r="U177" s="2180"/>
      <c r="V177" s="2180"/>
      <c r="W177" s="2180"/>
      <c r="X177" s="2180"/>
      <c r="Y177" s="2180"/>
      <c r="Z177" s="2180"/>
      <c r="AA177" s="2180"/>
      <c r="AB177" s="2180"/>
      <c r="AC177" s="2180"/>
      <c r="AD177" s="2180"/>
      <c r="AE177" s="2180"/>
      <c r="AF177" s="2180"/>
      <c r="AG177" s="2180"/>
      <c r="AH177" s="2180"/>
      <c r="AI177" s="2180"/>
      <c r="AJ177" s="2180"/>
      <c r="AK177" s="2180"/>
      <c r="AL177" s="2180"/>
      <c r="AM177" s="2180"/>
      <c r="AN177" s="2180"/>
      <c r="AO177" s="2180"/>
      <c r="AP177" s="2180"/>
      <c r="AQ177" s="2180"/>
      <c r="AR177" s="2180"/>
      <c r="AS177" s="2180"/>
      <c r="AT177" s="2180"/>
      <c r="AU177" s="2180"/>
      <c r="AV177" s="2180"/>
      <c r="AW177" s="2180"/>
      <c r="AX177" s="2180"/>
      <c r="AY177" s="2180"/>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5" t="s">
        <v>2614</v>
      </c>
      <c r="I179" s="2165"/>
      <c r="J179" s="2165"/>
      <c r="K179" s="2165"/>
      <c r="L179" s="2165"/>
      <c r="M179" s="2165"/>
      <c r="N179" s="2165"/>
      <c r="O179" s="2165"/>
      <c r="P179" s="2165"/>
      <c r="Q179" s="2165"/>
      <c r="R179" s="2165"/>
      <c r="S179" s="2165"/>
      <c r="T179" s="2165"/>
      <c r="U179" s="2165"/>
      <c r="V179" s="2165"/>
      <c r="W179" s="2165"/>
      <c r="X179" s="2165"/>
      <c r="Y179" s="2165"/>
      <c r="Z179" s="2165"/>
      <c r="AA179" s="2165"/>
      <c r="AB179" s="2165"/>
      <c r="AC179" s="2165"/>
      <c r="AD179" s="2165"/>
      <c r="AE179" s="2165"/>
      <c r="AF179" s="2165"/>
      <c r="AG179" s="2165"/>
      <c r="AH179" s="2165"/>
      <c r="AI179" s="2165"/>
      <c r="AJ179" s="2165"/>
      <c r="AK179" s="2165"/>
      <c r="AL179" s="2165"/>
      <c r="AM179" s="2165"/>
      <c r="AN179" s="2165"/>
      <c r="AO179" s="2165"/>
      <c r="AP179" s="2165"/>
      <c r="AQ179" s="2165"/>
      <c r="AR179" s="2165"/>
      <c r="AS179" s="2165"/>
      <c r="AT179" s="2165"/>
      <c r="AU179" s="2165"/>
      <c r="AV179" s="2165"/>
      <c r="AW179" s="2165"/>
      <c r="AX179" s="2165"/>
      <c r="AY179" s="2165"/>
      <c r="AZ179" s="2165"/>
      <c r="BA179" s="1207"/>
      <c r="BB179" s="1207"/>
      <c r="BC179" s="1207"/>
      <c r="BD179" s="1213"/>
      <c r="BE179" s="1213"/>
    </row>
    <row r="180" spans="1:57" ht="15.75" customHeight="1">
      <c r="A180" s="1207"/>
      <c r="B180" s="1206"/>
      <c r="C180" s="1207"/>
      <c r="D180" s="1207"/>
      <c r="E180" s="1207"/>
      <c r="F180" s="1207"/>
      <c r="G180" s="1207"/>
      <c r="H180" s="2165"/>
      <c r="I180" s="2165"/>
      <c r="J180" s="2165"/>
      <c r="K180" s="2165"/>
      <c r="L180" s="2165"/>
      <c r="M180" s="2165"/>
      <c r="N180" s="2165"/>
      <c r="O180" s="2165"/>
      <c r="P180" s="2165"/>
      <c r="Q180" s="2165"/>
      <c r="R180" s="2165"/>
      <c r="S180" s="2165"/>
      <c r="T180" s="2165"/>
      <c r="U180" s="2165"/>
      <c r="V180" s="2165"/>
      <c r="W180" s="2165"/>
      <c r="X180" s="2165"/>
      <c r="Y180" s="2165"/>
      <c r="Z180" s="2165"/>
      <c r="AA180" s="2165"/>
      <c r="AB180" s="2165"/>
      <c r="AC180" s="2165"/>
      <c r="AD180" s="2165"/>
      <c r="AE180" s="2165"/>
      <c r="AF180" s="2165"/>
      <c r="AG180" s="2165"/>
      <c r="AH180" s="2165"/>
      <c r="AI180" s="2165"/>
      <c r="AJ180" s="2165"/>
      <c r="AK180" s="2165"/>
      <c r="AL180" s="2165"/>
      <c r="AM180" s="2165"/>
      <c r="AN180" s="2165"/>
      <c r="AO180" s="2165"/>
      <c r="AP180" s="2165"/>
      <c r="AQ180" s="2165"/>
      <c r="AR180" s="2165"/>
      <c r="AS180" s="2165"/>
      <c r="AT180" s="2165"/>
      <c r="AU180" s="2165"/>
      <c r="AV180" s="2165"/>
      <c r="AW180" s="2165"/>
      <c r="AX180" s="2165"/>
      <c r="AY180" s="2165"/>
      <c r="AZ180" s="2165"/>
      <c r="BA180" s="1207"/>
      <c r="BB180" s="1207"/>
      <c r="BC180" s="1207"/>
      <c r="BD180" s="1213"/>
      <c r="BE180" s="1213"/>
    </row>
    <row r="181" spans="1:57" ht="15.75" customHeight="1">
      <c r="A181" s="1207"/>
      <c r="B181" s="1206"/>
      <c r="C181" s="1207"/>
      <c r="D181" s="1207"/>
      <c r="E181" s="1207"/>
      <c r="F181" s="1207"/>
      <c r="G181" s="1207"/>
      <c r="H181" s="2165"/>
      <c r="I181" s="2165"/>
      <c r="J181" s="2165"/>
      <c r="K181" s="2165"/>
      <c r="L181" s="2165"/>
      <c r="M181" s="2165"/>
      <c r="N181" s="2165"/>
      <c r="O181" s="2165"/>
      <c r="P181" s="2165"/>
      <c r="Q181" s="2165"/>
      <c r="R181" s="2165"/>
      <c r="S181" s="2165"/>
      <c r="T181" s="2165"/>
      <c r="U181" s="2165"/>
      <c r="V181" s="2165"/>
      <c r="W181" s="2165"/>
      <c r="X181" s="2165"/>
      <c r="Y181" s="2165"/>
      <c r="Z181" s="2165"/>
      <c r="AA181" s="2165"/>
      <c r="AB181" s="2165"/>
      <c r="AC181" s="2165"/>
      <c r="AD181" s="2165"/>
      <c r="AE181" s="2165"/>
      <c r="AF181" s="2165"/>
      <c r="AG181" s="2165"/>
      <c r="AH181" s="2165"/>
      <c r="AI181" s="2165"/>
      <c r="AJ181" s="2165"/>
      <c r="AK181" s="2165"/>
      <c r="AL181" s="2165"/>
      <c r="AM181" s="2165"/>
      <c r="AN181" s="2165"/>
      <c r="AO181" s="2165"/>
      <c r="AP181" s="2165"/>
      <c r="AQ181" s="2165"/>
      <c r="AR181" s="2165"/>
      <c r="AS181" s="2165"/>
      <c r="AT181" s="2165"/>
      <c r="AU181" s="2165"/>
      <c r="AV181" s="2165"/>
      <c r="AW181" s="2165"/>
      <c r="AX181" s="2165"/>
      <c r="AY181" s="2165"/>
      <c r="AZ181" s="2165"/>
      <c r="BA181" s="1207"/>
      <c r="BB181" s="1207"/>
      <c r="BC181" s="1207"/>
      <c r="BD181" s="1213"/>
      <c r="BE181" s="1213"/>
    </row>
    <row r="182" spans="1:57" ht="15.75" customHeight="1">
      <c r="A182" s="1207"/>
      <c r="B182" s="1206"/>
      <c r="C182" s="1207"/>
      <c r="D182" s="1207"/>
      <c r="E182" s="1207"/>
      <c r="F182" s="1207"/>
      <c r="G182" s="1207"/>
      <c r="H182" s="2165"/>
      <c r="I182" s="2165"/>
      <c r="J182" s="2165"/>
      <c r="K182" s="2165"/>
      <c r="L182" s="2165"/>
      <c r="M182" s="2165"/>
      <c r="N182" s="2165"/>
      <c r="O182" s="2165"/>
      <c r="P182" s="2165"/>
      <c r="Q182" s="2165"/>
      <c r="R182" s="2165"/>
      <c r="S182" s="2165"/>
      <c r="T182" s="2165"/>
      <c r="U182" s="2165"/>
      <c r="V182" s="2165"/>
      <c r="W182" s="2165"/>
      <c r="X182" s="2165"/>
      <c r="Y182" s="2165"/>
      <c r="Z182" s="2165"/>
      <c r="AA182" s="2165"/>
      <c r="AB182" s="2165"/>
      <c r="AC182" s="2165"/>
      <c r="AD182" s="2165"/>
      <c r="AE182" s="2165"/>
      <c r="AF182" s="2165"/>
      <c r="AG182" s="2165"/>
      <c r="AH182" s="2165"/>
      <c r="AI182" s="2165"/>
      <c r="AJ182" s="2165"/>
      <c r="AK182" s="2165"/>
      <c r="AL182" s="2165"/>
      <c r="AM182" s="2165"/>
      <c r="AN182" s="2165"/>
      <c r="AO182" s="2165"/>
      <c r="AP182" s="2165"/>
      <c r="AQ182" s="2165"/>
      <c r="AR182" s="2165"/>
      <c r="AS182" s="2165"/>
      <c r="AT182" s="2165"/>
      <c r="AU182" s="2165"/>
      <c r="AV182" s="2165"/>
      <c r="AW182" s="2165"/>
      <c r="AX182" s="2165"/>
      <c r="AY182" s="2165"/>
      <c r="AZ182" s="216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6" t="s">
        <v>1932</v>
      </c>
      <c r="I184" s="2166"/>
      <c r="J184" s="2166"/>
      <c r="K184" s="2166"/>
      <c r="L184" s="2166"/>
      <c r="M184" s="2166"/>
      <c r="N184" s="2166"/>
      <c r="O184" s="2166"/>
      <c r="P184" s="2166"/>
      <c r="Q184" s="2166"/>
      <c r="R184" s="2166"/>
      <c r="S184" s="2166"/>
      <c r="T184" s="2166"/>
      <c r="U184" s="2166"/>
      <c r="V184" s="2166"/>
      <c r="W184" s="2166"/>
      <c r="X184" s="2166"/>
      <c r="Y184" s="2166"/>
      <c r="Z184" s="2166"/>
      <c r="AA184" s="2166"/>
      <c r="AB184" s="2166"/>
      <c r="AC184" s="2166"/>
      <c r="AD184" s="2166"/>
      <c r="AE184" s="2166"/>
      <c r="AF184" s="2166"/>
      <c r="AG184" s="2166"/>
      <c r="AH184" s="2166"/>
      <c r="AI184" s="2166"/>
      <c r="AJ184" s="2166"/>
      <c r="AK184" s="2166"/>
      <c r="AL184" s="2166"/>
      <c r="AM184" s="2166"/>
      <c r="AN184" s="2166"/>
      <c r="AO184" s="2166"/>
      <c r="AP184" s="2166"/>
      <c r="AQ184" s="2166"/>
      <c r="AR184" s="2166"/>
      <c r="AS184" s="2166"/>
      <c r="AT184" s="2166"/>
      <c r="AU184" s="2166"/>
      <c r="AV184" s="216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6" t="s">
        <v>1933</v>
      </c>
      <c r="I186" s="2156"/>
      <c r="J186" s="2156"/>
      <c r="K186" s="2156"/>
      <c r="L186" s="1222"/>
      <c r="M186" s="1222"/>
      <c r="N186" s="1222"/>
      <c r="O186" s="1222"/>
      <c r="P186" s="1222"/>
      <c r="Q186" s="1222"/>
      <c r="R186" s="1222"/>
      <c r="S186" s="2167"/>
      <c r="T186" s="2163"/>
      <c r="U186" s="2163"/>
      <c r="V186" s="2163"/>
      <c r="W186" s="2163"/>
      <c r="X186" s="2163"/>
      <c r="Y186" s="2163"/>
      <c r="Z186" s="2163"/>
      <c r="AA186" s="2163"/>
      <c r="AB186" s="2163"/>
      <c r="AC186" s="2163"/>
      <c r="AD186" s="2163"/>
      <c r="AE186" s="2163"/>
      <c r="AF186" s="2163"/>
      <c r="AG186" s="2163"/>
      <c r="AH186" s="2163"/>
      <c r="AI186" s="2163"/>
      <c r="AJ186" s="216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6" t="s">
        <v>1934</v>
      </c>
      <c r="I188" s="2156"/>
      <c r="J188" s="2156"/>
      <c r="K188" s="1255"/>
      <c r="L188" s="1222"/>
      <c r="M188" s="1222"/>
      <c r="N188" s="1222"/>
      <c r="O188" s="1222"/>
      <c r="P188" s="1222"/>
      <c r="Q188" s="1222"/>
      <c r="R188" s="1222"/>
      <c r="S188" s="2157"/>
      <c r="T188" s="2158"/>
      <c r="U188" s="2158"/>
      <c r="V188" s="2158"/>
      <c r="W188" s="2158"/>
      <c r="X188" s="2158"/>
      <c r="Y188" s="2158"/>
      <c r="Z188" s="2158"/>
      <c r="AA188" s="2158"/>
      <c r="AB188" s="2158"/>
      <c r="AC188" s="2158"/>
      <c r="AD188" s="2158"/>
      <c r="AE188" s="2158"/>
      <c r="AF188" s="2158"/>
      <c r="AG188" s="2158"/>
      <c r="AH188" s="2158"/>
      <c r="AI188" s="2158"/>
      <c r="AJ188" s="215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6" t="s">
        <v>444</v>
      </c>
      <c r="I190" s="2156"/>
      <c r="J190" s="1255"/>
      <c r="K190" s="1255"/>
      <c r="L190" s="1222"/>
      <c r="M190" s="1222"/>
      <c r="N190" s="1222"/>
      <c r="O190" s="1222"/>
      <c r="P190" s="1222"/>
      <c r="Q190" s="1222"/>
      <c r="R190" s="1222"/>
      <c r="S190" s="2157"/>
      <c r="T190" s="2158"/>
      <c r="U190" s="2158"/>
      <c r="V190" s="2158"/>
      <c r="W190" s="2158"/>
      <c r="X190" s="2158"/>
      <c r="Y190" s="2158"/>
      <c r="Z190" s="2158"/>
      <c r="AA190" s="2158"/>
      <c r="AB190" s="2158"/>
      <c r="AC190" s="2158"/>
      <c r="AD190" s="2158"/>
      <c r="AE190" s="2158"/>
      <c r="AF190" s="2158"/>
      <c r="AG190" s="2158"/>
      <c r="AH190" s="2158"/>
      <c r="AI190" s="2158"/>
      <c r="AJ190" s="215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60" t="s">
        <v>1935</v>
      </c>
      <c r="I192" s="2160"/>
      <c r="J192" s="2160"/>
      <c r="K192" s="2160"/>
      <c r="L192" s="2160"/>
      <c r="M192" s="2160"/>
      <c r="N192" s="2160"/>
      <c r="O192" s="2160"/>
      <c r="P192" s="1222"/>
      <c r="Q192" s="1222"/>
      <c r="R192" s="1222"/>
      <c r="S192" s="2157"/>
      <c r="T192" s="2158"/>
      <c r="U192" s="2158"/>
      <c r="V192" s="2158"/>
      <c r="W192" s="2158"/>
      <c r="X192" s="2158"/>
      <c r="Y192" s="2158"/>
      <c r="Z192" s="2158"/>
      <c r="AA192" s="2158"/>
      <c r="AB192" s="2158"/>
      <c r="AC192" s="2158"/>
      <c r="AD192" s="2158"/>
      <c r="AE192" s="2158"/>
      <c r="AF192" s="2158"/>
      <c r="AG192" s="2158"/>
      <c r="AH192" s="2158"/>
      <c r="AI192" s="2158"/>
      <c r="AJ192" s="215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61" t="s">
        <v>1936</v>
      </c>
      <c r="I194" s="2161"/>
      <c r="J194" s="1222"/>
      <c r="K194" s="1222"/>
      <c r="L194" s="1222"/>
      <c r="M194" s="1222"/>
      <c r="N194" s="1222"/>
      <c r="O194" s="1222"/>
      <c r="P194" s="1222"/>
      <c r="Q194" s="1222"/>
      <c r="R194" s="1222"/>
      <c r="S194" s="2162"/>
      <c r="T194" s="2163"/>
      <c r="U194" s="2163"/>
      <c r="V194" s="2163"/>
      <c r="W194" s="2163"/>
      <c r="X194" s="2163"/>
      <c r="Y194" s="2163"/>
      <c r="Z194" s="2163"/>
      <c r="AA194" s="2163"/>
      <c r="AB194" s="2163"/>
      <c r="AC194" s="2163"/>
      <c r="AD194" s="2163"/>
      <c r="AE194" s="2163"/>
      <c r="AF194" s="2163"/>
      <c r="AG194" s="2163"/>
      <c r="AH194" s="2163"/>
      <c r="AI194" s="2163"/>
      <c r="AJ194" s="216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58" zoomScaleNormal="100" zoomScaleSheetLayoutView="100" workbookViewId="0">
      <selection activeCell="AB51" sqref="AB51"/>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26" t="s">
        <v>1446</v>
      </c>
      <c r="B1" s="2526"/>
      <c r="C1" s="2526"/>
      <c r="D1" s="2526"/>
      <c r="E1" s="2526"/>
      <c r="F1" s="2526"/>
      <c r="G1" s="2526"/>
      <c r="H1" s="2526"/>
      <c r="I1" s="2526"/>
      <c r="J1" s="2526"/>
      <c r="K1" s="2526"/>
      <c r="L1" s="2526"/>
      <c r="M1" s="2526"/>
      <c r="N1" s="2526"/>
      <c r="O1" s="2526"/>
      <c r="P1" s="2526"/>
      <c r="Q1" s="2526"/>
      <c r="R1" s="2526"/>
      <c r="S1" s="2526"/>
      <c r="T1" s="2526"/>
      <c r="U1" s="2526"/>
      <c r="V1" s="2526"/>
      <c r="W1" s="2526"/>
      <c r="X1" s="2526"/>
      <c r="Y1" s="2526"/>
      <c r="Z1" s="2526"/>
      <c r="AA1" s="2526"/>
      <c r="AB1" s="2526"/>
      <c r="AC1" s="2526"/>
      <c r="AD1" s="2526"/>
      <c r="AE1" s="2526"/>
      <c r="AF1" s="2526"/>
      <c r="AG1" s="2526"/>
      <c r="AH1" s="2526"/>
      <c r="AI1" s="2526"/>
      <c r="AJ1" s="2526"/>
      <c r="AK1" s="2526"/>
      <c r="AL1" s="2526"/>
      <c r="AM1" s="2526"/>
      <c r="AN1" s="2526"/>
    </row>
    <row r="2" spans="1:40" ht="12.95" customHeight="1" thickBot="1">
      <c r="A2" s="2527"/>
      <c r="B2" s="2527"/>
      <c r="C2" s="2527"/>
      <c r="D2" s="2527"/>
      <c r="E2" s="2527"/>
      <c r="F2" s="2527"/>
      <c r="G2" s="2527"/>
      <c r="H2" s="2527"/>
      <c r="I2" s="2527"/>
      <c r="J2" s="2527"/>
      <c r="K2" s="2527"/>
      <c r="L2" s="2527"/>
      <c r="M2" s="2527"/>
      <c r="N2" s="2527"/>
      <c r="O2" s="2527"/>
      <c r="P2" s="2527"/>
      <c r="Q2" s="2527"/>
      <c r="R2" s="2527"/>
      <c r="S2" s="2527"/>
      <c r="T2" s="2527"/>
      <c r="U2" s="2527"/>
      <c r="V2" s="2527"/>
      <c r="W2" s="2527"/>
      <c r="X2" s="2527"/>
      <c r="Y2" s="2527"/>
      <c r="Z2" s="2527"/>
      <c r="AA2" s="2527"/>
      <c r="AB2" s="2527"/>
      <c r="AC2" s="2527"/>
      <c r="AD2" s="2527"/>
      <c r="AE2" s="2527"/>
      <c r="AF2" s="2527"/>
      <c r="AG2" s="2527"/>
      <c r="AH2" s="2527"/>
      <c r="AI2" s="2527"/>
      <c r="AJ2" s="2527"/>
      <c r="AK2" s="2527"/>
      <c r="AL2" s="2527"/>
      <c r="AM2" s="2527"/>
      <c r="AN2" s="2527"/>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320</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06" t="str">
        <f xml:space="preserve"> IF(T25=100%,'Sources and Basis Breakdown'!G2,'Sources and Basis Breakdown'!F2)</f>
        <v>30% PVC for New Const/
Rehabilitation
DDA/QCT
Building(s)</v>
      </c>
      <c r="U7" s="2506"/>
      <c r="V7" s="2506"/>
      <c r="W7" s="2506"/>
      <c r="X7" s="2506"/>
      <c r="Y7" s="2506" t="str">
        <f>IF(T25=100%," ",'Sources and Basis Breakdown'!G2)</f>
        <v>30% PVC for New Const/
Rehabilitation
NON-DDA/
NON-QCT Building(s)</v>
      </c>
      <c r="Z7" s="2506"/>
      <c r="AA7" s="2506"/>
      <c r="AB7" s="2506"/>
      <c r="AC7" s="2506"/>
      <c r="AD7" s="2506" t="str">
        <f xml:space="preserve"> IF(T25=100%, 'Sources and Basis Breakdown'!J2,'Sources and Basis Breakdown'!I2)</f>
        <v>30% PVC for Acquisition
DDA/QCT Building(s)</v>
      </c>
      <c r="AE7" s="2506"/>
      <c r="AF7" s="2506"/>
      <c r="AG7" s="2506"/>
      <c r="AH7" s="2506"/>
      <c r="AI7" s="2506" t="str">
        <f>IF(T25=100%," ",'Sources and Basis Breakdown'!J2)</f>
        <v>30% PVC for Acquisition
NON-DDA/
NON-QCT Building(s)</v>
      </c>
      <c r="AJ7" s="2506"/>
      <c r="AK7" s="2506"/>
      <c r="AL7" s="2506"/>
      <c r="AM7" s="2506"/>
    </row>
    <row r="8" spans="1:40" ht="12.95" customHeight="1">
      <c r="B8" s="439"/>
      <c r="T8" s="2506"/>
      <c r="U8" s="2506"/>
      <c r="V8" s="2506"/>
      <c r="W8" s="2506"/>
      <c r="X8" s="2506"/>
      <c r="Y8" s="2506"/>
      <c r="Z8" s="2506"/>
      <c r="AA8" s="2506"/>
      <c r="AB8" s="2506"/>
      <c r="AC8" s="2506"/>
      <c r="AD8" s="2506"/>
      <c r="AE8" s="2506"/>
      <c r="AF8" s="2506"/>
      <c r="AG8" s="2506"/>
      <c r="AH8" s="2506"/>
      <c r="AI8" s="2506"/>
      <c r="AJ8" s="2506"/>
      <c r="AK8" s="2506"/>
      <c r="AL8" s="2506"/>
      <c r="AM8" s="2506"/>
    </row>
    <row r="9" spans="1:40" ht="12.95" customHeight="1">
      <c r="B9" s="439"/>
      <c r="T9" s="2506"/>
      <c r="U9" s="2506"/>
      <c r="V9" s="2506"/>
      <c r="W9" s="2506"/>
      <c r="X9" s="2506"/>
      <c r="Y9" s="2506"/>
      <c r="Z9" s="2506"/>
      <c r="AA9" s="2506"/>
      <c r="AB9" s="2506"/>
      <c r="AC9" s="2506"/>
      <c r="AD9" s="2506"/>
      <c r="AE9" s="2506"/>
      <c r="AF9" s="2506"/>
      <c r="AG9" s="2506"/>
      <c r="AH9" s="2506"/>
      <c r="AI9" s="2506"/>
      <c r="AJ9" s="2506"/>
      <c r="AK9" s="2506"/>
      <c r="AL9" s="2506"/>
      <c r="AM9" s="2506"/>
    </row>
    <row r="10" spans="1:40" ht="12.95" customHeight="1">
      <c r="B10" s="440"/>
      <c r="C10" s="441"/>
      <c r="D10" s="441"/>
      <c r="E10" s="441"/>
      <c r="F10" s="441"/>
      <c r="G10" s="441"/>
      <c r="H10" s="441"/>
      <c r="I10" s="441"/>
      <c r="J10" s="441"/>
      <c r="K10" s="441"/>
      <c r="L10" s="441"/>
      <c r="M10" s="441"/>
      <c r="N10" s="441"/>
      <c r="O10" s="441"/>
      <c r="P10" s="441"/>
      <c r="Q10" s="441"/>
      <c r="R10" s="441"/>
      <c r="S10" s="441"/>
      <c r="T10" s="2506"/>
      <c r="U10" s="2506"/>
      <c r="V10" s="2506"/>
      <c r="W10" s="2506"/>
      <c r="X10" s="2506"/>
      <c r="Y10" s="2506"/>
      <c r="Z10" s="2506"/>
      <c r="AA10" s="2506"/>
      <c r="AB10" s="2506"/>
      <c r="AC10" s="2506"/>
      <c r="AD10" s="2506"/>
      <c r="AE10" s="2506"/>
      <c r="AF10" s="2506"/>
      <c r="AG10" s="2506"/>
      <c r="AH10" s="2506"/>
      <c r="AI10" s="2506"/>
      <c r="AJ10" s="2506"/>
      <c r="AK10" s="2506"/>
      <c r="AL10" s="2506"/>
      <c r="AM10" s="2506"/>
    </row>
    <row r="11" spans="1:40" ht="12.95" customHeight="1">
      <c r="B11" s="2489" t="s">
        <v>376</v>
      </c>
      <c r="C11" s="2490"/>
      <c r="D11" s="2490"/>
      <c r="E11" s="2490"/>
      <c r="F11" s="2490"/>
      <c r="G11" s="2490"/>
      <c r="H11" s="2490"/>
      <c r="I11" s="2490"/>
      <c r="J11" s="2490"/>
      <c r="K11" s="2490"/>
      <c r="L11" s="2490"/>
      <c r="M11" s="2490"/>
      <c r="N11" s="2490"/>
      <c r="O11" s="2490"/>
      <c r="P11" s="2490"/>
      <c r="Q11" s="2490"/>
      <c r="R11" s="2490"/>
      <c r="S11" s="2491"/>
      <c r="T11" s="2528">
        <f>IF('Sources and Basis Breakdown'!F107=0,'Sources and Basis Breakdown'!E107,'Sources and Basis Breakdown'!F107)</f>
        <v>70310363</v>
      </c>
      <c r="U11" s="2529"/>
      <c r="V11" s="2529"/>
      <c r="W11" s="2529"/>
      <c r="X11" s="2529"/>
      <c r="Y11" s="2528">
        <f>IF(Y7=" ",0,IF('Sources and Basis Breakdown'!G107+'Sources and Basis Breakdown'!F107='Sources and Basis Breakdown'!E107,'Sources and Basis Breakdown'!G107,0))</f>
        <v>0</v>
      </c>
      <c r="Z11" s="2529"/>
      <c r="AA11" s="2529"/>
      <c r="AB11" s="2529"/>
      <c r="AC11" s="2529"/>
      <c r="AD11" s="2529">
        <f>IF('Sources and Basis Breakdown'!I107=0,'Sources and Basis Breakdown'!H107,'Sources and Basis Breakdown'!I107)</f>
        <v>0</v>
      </c>
      <c r="AE11" s="2529"/>
      <c r="AF11" s="2529"/>
      <c r="AG11" s="2529"/>
      <c r="AH11" s="2529"/>
      <c r="AI11" s="2529">
        <f>IF(Y7=" ",0,IF('Sources and Basis Breakdown'!I107+'Sources and Basis Breakdown'!J107='Sources and Basis Breakdown'!H107,'Sources and Basis Breakdown'!J107,0))</f>
        <v>0</v>
      </c>
      <c r="AJ11" s="2529"/>
      <c r="AK11" s="2529"/>
      <c r="AL11" s="2529"/>
      <c r="AM11" s="2529"/>
    </row>
    <row r="12" spans="1:40" ht="12.95" customHeight="1">
      <c r="B12" s="2530" t="s">
        <v>506</v>
      </c>
      <c r="C12" s="1279"/>
      <c r="D12" s="1279"/>
      <c r="E12" s="1279"/>
      <c r="F12" s="1279"/>
      <c r="G12" s="1279"/>
      <c r="H12" s="1279"/>
      <c r="I12" s="1279"/>
      <c r="J12" s="1279"/>
      <c r="K12" s="1279"/>
      <c r="L12" s="1279"/>
      <c r="M12" s="1279"/>
      <c r="N12" s="1279"/>
      <c r="O12" s="1279"/>
      <c r="P12" s="1279"/>
      <c r="Q12" s="1279"/>
      <c r="R12" s="1279"/>
      <c r="S12" s="2531"/>
      <c r="T12" s="2521"/>
      <c r="U12" s="2522"/>
      <c r="V12" s="2522"/>
      <c r="W12" s="2522"/>
      <c r="X12" s="2523"/>
      <c r="Y12" s="2521"/>
      <c r="Z12" s="2522"/>
      <c r="AA12" s="2522"/>
      <c r="AB12" s="2522"/>
      <c r="AC12" s="2523"/>
      <c r="AD12" s="2521"/>
      <c r="AE12" s="2522"/>
      <c r="AF12" s="2522"/>
      <c r="AG12" s="2522"/>
      <c r="AH12" s="2523"/>
      <c r="AI12" s="2521"/>
      <c r="AJ12" s="2522"/>
      <c r="AK12" s="2522"/>
      <c r="AL12" s="2522"/>
      <c r="AM12" s="2523"/>
    </row>
    <row r="13" spans="1:40" ht="12.95" customHeight="1">
      <c r="B13" s="468"/>
      <c r="C13" s="2532" t="s">
        <v>507</v>
      </c>
      <c r="D13" s="2532"/>
      <c r="E13" s="2532"/>
      <c r="F13" s="2532"/>
      <c r="G13" s="2532"/>
      <c r="H13" s="2532"/>
      <c r="I13" s="2532"/>
      <c r="J13" s="2532"/>
      <c r="K13" s="2532"/>
      <c r="L13" s="2532"/>
      <c r="M13" s="2532"/>
      <c r="N13" s="2532"/>
      <c r="O13" s="2532"/>
      <c r="P13" s="2532"/>
      <c r="Q13" s="2532"/>
      <c r="R13" s="2532"/>
      <c r="S13" s="2533"/>
      <c r="T13" s="2524"/>
      <c r="U13" s="2525"/>
      <c r="V13" s="2525"/>
      <c r="W13" s="2525"/>
      <c r="X13" s="2525"/>
      <c r="Y13" s="2524"/>
      <c r="Z13" s="2525"/>
      <c r="AA13" s="2525"/>
      <c r="AB13" s="2525"/>
      <c r="AC13" s="2525"/>
      <c r="AD13" s="2525"/>
      <c r="AE13" s="2525"/>
      <c r="AF13" s="2525"/>
      <c r="AG13" s="2525"/>
      <c r="AH13" s="2525"/>
      <c r="AI13" s="2525"/>
      <c r="AJ13" s="2525"/>
      <c r="AK13" s="2525"/>
      <c r="AL13" s="2525"/>
      <c r="AM13" s="2525"/>
    </row>
    <row r="14" spans="1:40" ht="12.95" customHeight="1">
      <c r="B14" s="468"/>
      <c r="C14" s="2532" t="s">
        <v>508</v>
      </c>
      <c r="D14" s="2532"/>
      <c r="E14" s="2532"/>
      <c r="F14" s="2532"/>
      <c r="G14" s="2532"/>
      <c r="H14" s="2532"/>
      <c r="I14" s="2532"/>
      <c r="J14" s="2532"/>
      <c r="K14" s="2532"/>
      <c r="L14" s="2532"/>
      <c r="M14" s="2532"/>
      <c r="N14" s="2532"/>
      <c r="O14" s="2532"/>
      <c r="P14" s="2532"/>
      <c r="Q14" s="2532"/>
      <c r="R14" s="2532"/>
      <c r="S14" s="2533"/>
      <c r="T14" s="2514"/>
      <c r="U14" s="2515"/>
      <c r="V14" s="2515"/>
      <c r="W14" s="2515"/>
      <c r="X14" s="2515"/>
      <c r="Y14" s="2514"/>
      <c r="Z14" s="2515"/>
      <c r="AA14" s="2515"/>
      <c r="AB14" s="2515"/>
      <c r="AC14" s="2515"/>
      <c r="AD14" s="2515"/>
      <c r="AE14" s="2515"/>
      <c r="AF14" s="2515"/>
      <c r="AG14" s="2515"/>
      <c r="AH14" s="2515"/>
      <c r="AI14" s="2515"/>
      <c r="AJ14" s="2515"/>
      <c r="AK14" s="2515"/>
      <c r="AL14" s="2515"/>
      <c r="AM14" s="2515"/>
    </row>
    <row r="15" spans="1:40" ht="12.95" customHeight="1">
      <c r="B15" s="468"/>
      <c r="C15" s="2532" t="s">
        <v>509</v>
      </c>
      <c r="D15" s="2532"/>
      <c r="E15" s="2532"/>
      <c r="F15" s="2532"/>
      <c r="G15" s="2532"/>
      <c r="H15" s="2532"/>
      <c r="I15" s="2532"/>
      <c r="J15" s="2532"/>
      <c r="K15" s="2532"/>
      <c r="L15" s="2532"/>
      <c r="M15" s="2532"/>
      <c r="N15" s="2532"/>
      <c r="O15" s="2532"/>
      <c r="P15" s="2532"/>
      <c r="Q15" s="2532"/>
      <c r="R15" s="2532"/>
      <c r="S15" s="2533"/>
      <c r="T15" s="2514"/>
      <c r="U15" s="2515"/>
      <c r="V15" s="2515"/>
      <c r="W15" s="2515"/>
      <c r="X15" s="2515"/>
      <c r="Y15" s="2514"/>
      <c r="Z15" s="2515"/>
      <c r="AA15" s="2515"/>
      <c r="AB15" s="2515"/>
      <c r="AC15" s="2515"/>
      <c r="AD15" s="2515"/>
      <c r="AE15" s="2515"/>
      <c r="AF15" s="2515"/>
      <c r="AG15" s="2515"/>
      <c r="AH15" s="2515"/>
      <c r="AI15" s="2515"/>
      <c r="AJ15" s="2515"/>
      <c r="AK15" s="2515"/>
      <c r="AL15" s="2515"/>
      <c r="AM15" s="2515"/>
    </row>
    <row r="16" spans="1:40" ht="12.95" customHeight="1">
      <c r="B16" s="468"/>
      <c r="C16" s="2532" t="s">
        <v>830</v>
      </c>
      <c r="D16" s="2532"/>
      <c r="E16" s="2532"/>
      <c r="F16" s="2532"/>
      <c r="G16" s="2532"/>
      <c r="H16" s="2532"/>
      <c r="I16" s="2532"/>
      <c r="J16" s="2532"/>
      <c r="K16" s="2532"/>
      <c r="L16" s="2532"/>
      <c r="M16" s="2532"/>
      <c r="N16" s="2532"/>
      <c r="O16" s="2532"/>
      <c r="P16" s="2532"/>
      <c r="Q16" s="2532"/>
      <c r="R16" s="2532"/>
      <c r="S16" s="2533"/>
      <c r="T16" s="2514"/>
      <c r="U16" s="2515"/>
      <c r="V16" s="2515"/>
      <c r="W16" s="2515"/>
      <c r="X16" s="2515"/>
      <c r="Y16" s="2514"/>
      <c r="Z16" s="2515"/>
      <c r="AA16" s="2515"/>
      <c r="AB16" s="2515"/>
      <c r="AC16" s="2515"/>
      <c r="AD16" s="2515"/>
      <c r="AE16" s="2515"/>
      <c r="AF16" s="2515"/>
      <c r="AG16" s="2515"/>
      <c r="AH16" s="2515"/>
      <c r="AI16" s="2515"/>
      <c r="AJ16" s="2515"/>
      <c r="AK16" s="2515"/>
      <c r="AL16" s="2515"/>
      <c r="AM16" s="2515"/>
    </row>
    <row r="17" spans="1:40" ht="12.95" customHeight="1">
      <c r="B17" s="468"/>
      <c r="C17" s="2532" t="s">
        <v>510</v>
      </c>
      <c r="D17" s="2532"/>
      <c r="E17" s="2532"/>
      <c r="F17" s="2532"/>
      <c r="G17" s="2532"/>
      <c r="H17" s="2532"/>
      <c r="I17" s="2532"/>
      <c r="J17" s="2532"/>
      <c r="K17" s="2532"/>
      <c r="L17" s="2532"/>
      <c r="M17" s="2532"/>
      <c r="N17" s="2532"/>
      <c r="O17" s="2532"/>
      <c r="P17" s="2532"/>
      <c r="Q17" s="2532"/>
      <c r="R17" s="2532"/>
      <c r="S17" s="2533"/>
      <c r="T17" s="2514"/>
      <c r="U17" s="2515"/>
      <c r="V17" s="2515"/>
      <c r="W17" s="2515"/>
      <c r="X17" s="2515"/>
      <c r="Y17" s="2514"/>
      <c r="Z17" s="2515"/>
      <c r="AA17" s="2515"/>
      <c r="AB17" s="2515"/>
      <c r="AC17" s="2515"/>
      <c r="AD17" s="2515"/>
      <c r="AE17" s="2515"/>
      <c r="AF17" s="2515"/>
      <c r="AG17" s="2515"/>
      <c r="AH17" s="2515"/>
      <c r="AI17" s="2515"/>
      <c r="AJ17" s="2515"/>
      <c r="AK17" s="2515"/>
      <c r="AL17" s="2515"/>
      <c r="AM17" s="2515"/>
    </row>
    <row r="18" spans="1:40" ht="12.95" customHeight="1">
      <c r="A18"/>
      <c r="B18" s="1203"/>
      <c r="C18" s="1694" t="s">
        <v>1000</v>
      </c>
      <c r="D18" s="1694"/>
      <c r="E18" s="1694"/>
      <c r="F18" s="1694"/>
      <c r="G18" s="1694"/>
      <c r="H18" s="1694"/>
      <c r="I18" s="1694"/>
      <c r="J18" s="1694"/>
      <c r="K18" s="1694"/>
      <c r="L18" s="1694"/>
      <c r="M18" s="1694"/>
      <c r="N18" s="1694"/>
      <c r="O18" s="1694"/>
      <c r="P18" s="1694"/>
      <c r="Q18" s="1694"/>
      <c r="R18" s="1694"/>
      <c r="S18" s="1695"/>
      <c r="T18" s="2514"/>
      <c r="U18" s="2515"/>
      <c r="V18" s="2515"/>
      <c r="W18" s="2515"/>
      <c r="X18" s="2515"/>
      <c r="Y18" s="2514"/>
      <c r="Z18" s="2515"/>
      <c r="AA18" s="2515"/>
      <c r="AB18" s="2515"/>
      <c r="AC18" s="2515"/>
      <c r="AD18" s="2515"/>
      <c r="AE18" s="2515"/>
      <c r="AF18" s="2515"/>
      <c r="AG18" s="2515"/>
      <c r="AH18" s="2515"/>
      <c r="AI18" s="2515"/>
      <c r="AJ18" s="2515"/>
      <c r="AK18" s="2515"/>
      <c r="AL18" s="2515"/>
      <c r="AM18" s="2515"/>
    </row>
    <row r="19" spans="1:40" ht="12.95" customHeight="1">
      <c r="B19" s="1203"/>
      <c r="C19" s="1694" t="s">
        <v>1000</v>
      </c>
      <c r="D19" s="1694"/>
      <c r="E19" s="1694"/>
      <c r="F19" s="1694"/>
      <c r="G19" s="1694"/>
      <c r="H19" s="1694"/>
      <c r="I19" s="1694"/>
      <c r="J19" s="1694"/>
      <c r="K19" s="1694"/>
      <c r="L19" s="1694"/>
      <c r="M19" s="1694"/>
      <c r="N19" s="1694"/>
      <c r="O19" s="1694"/>
      <c r="P19" s="1694"/>
      <c r="Q19" s="1694"/>
      <c r="R19" s="1694"/>
      <c r="S19" s="1695"/>
      <c r="T19" s="2514"/>
      <c r="U19" s="2515"/>
      <c r="V19" s="2515"/>
      <c r="W19" s="2515"/>
      <c r="X19" s="2515"/>
      <c r="Y19" s="2514"/>
      <c r="Z19" s="2515"/>
      <c r="AA19" s="2515"/>
      <c r="AB19" s="2515"/>
      <c r="AC19" s="2515"/>
      <c r="AD19" s="2515"/>
      <c r="AE19" s="2515"/>
      <c r="AF19" s="2515"/>
      <c r="AG19" s="2515"/>
      <c r="AH19" s="2515"/>
      <c r="AI19" s="2515"/>
      <c r="AJ19" s="2515"/>
      <c r="AK19" s="2515"/>
      <c r="AL19" s="2515"/>
      <c r="AM19" s="2515"/>
    </row>
    <row r="20" spans="1:40" ht="12.95" customHeight="1">
      <c r="B20" s="2489" t="s">
        <v>511</v>
      </c>
      <c r="C20" s="2490"/>
      <c r="D20" s="2490"/>
      <c r="E20" s="2490"/>
      <c r="F20" s="2490"/>
      <c r="G20" s="2490"/>
      <c r="H20" s="2490"/>
      <c r="I20" s="2490"/>
      <c r="J20" s="2490"/>
      <c r="K20" s="2490"/>
      <c r="L20" s="2490"/>
      <c r="M20" s="2490"/>
      <c r="N20" s="2490"/>
      <c r="O20" s="2490"/>
      <c r="P20" s="2490"/>
      <c r="Q20" s="2490"/>
      <c r="R20" s="2490"/>
      <c r="S20" s="2491"/>
      <c r="T20" s="2505">
        <f>SUM(T13:X19)</f>
        <v>0</v>
      </c>
      <c r="U20" s="2483"/>
      <c r="V20" s="2483"/>
      <c r="W20" s="2483"/>
      <c r="X20" s="2483"/>
      <c r="Y20" s="2505">
        <f>SUM(Y13:AC19)</f>
        <v>0</v>
      </c>
      <c r="Z20" s="2483"/>
      <c r="AA20" s="2483"/>
      <c r="AB20" s="2483"/>
      <c r="AC20" s="2483"/>
      <c r="AD20" s="2493">
        <f>SUM(AD13:AH19)</f>
        <v>0</v>
      </c>
      <c r="AE20" s="2504"/>
      <c r="AF20" s="2504"/>
      <c r="AG20" s="2504"/>
      <c r="AH20" s="2505"/>
      <c r="AI20" s="2493">
        <f>SUM(AI13:AM19)</f>
        <v>0</v>
      </c>
      <c r="AJ20" s="2504"/>
      <c r="AK20" s="2504"/>
      <c r="AL20" s="2504"/>
      <c r="AM20" s="2505"/>
    </row>
    <row r="21" spans="1:40" ht="12.95" customHeight="1">
      <c r="B21" s="2489" t="s">
        <v>1422</v>
      </c>
      <c r="C21" s="2490"/>
      <c r="D21" s="2490"/>
      <c r="E21" s="2490"/>
      <c r="F21" s="2490"/>
      <c r="G21" s="2490"/>
      <c r="H21" s="2490"/>
      <c r="I21" s="2490"/>
      <c r="J21" s="2490"/>
      <c r="K21" s="2490"/>
      <c r="L21" s="2490"/>
      <c r="M21" s="2490"/>
      <c r="N21" s="2490"/>
      <c r="O21" s="2490"/>
      <c r="P21" s="2490"/>
      <c r="Q21" s="2490"/>
      <c r="R21" s="2490"/>
      <c r="S21" s="2491"/>
      <c r="T21" s="2514"/>
      <c r="U21" s="2515"/>
      <c r="V21" s="2515"/>
      <c r="W21" s="2515"/>
      <c r="X21" s="2515"/>
      <c r="Y21" s="2514"/>
      <c r="Z21" s="2515"/>
      <c r="AA21" s="2515"/>
      <c r="AB21" s="2515"/>
      <c r="AC21" s="2515"/>
      <c r="AD21" s="2521"/>
      <c r="AE21" s="2522"/>
      <c r="AF21" s="2522"/>
      <c r="AG21" s="2522"/>
      <c r="AH21" s="2523"/>
      <c r="AI21" s="2521"/>
      <c r="AJ21" s="2522"/>
      <c r="AK21" s="2522"/>
      <c r="AL21" s="2522"/>
      <c r="AM21" s="2523"/>
    </row>
    <row r="22" spans="1:40" ht="12.95" customHeight="1">
      <c r="B22" s="2489" t="s">
        <v>512</v>
      </c>
      <c r="C22" s="2490"/>
      <c r="D22" s="2490"/>
      <c r="E22" s="2490"/>
      <c r="F22" s="2490"/>
      <c r="G22" s="2490"/>
      <c r="H22" s="2490"/>
      <c r="I22" s="2490"/>
      <c r="J22" s="2490"/>
      <c r="K22" s="2490"/>
      <c r="L22" s="2490"/>
      <c r="M22" s="2490"/>
      <c r="N22" s="2490"/>
      <c r="O22" s="2490"/>
      <c r="P22" s="2490"/>
      <c r="Q22" s="2490"/>
      <c r="R22" s="2490"/>
      <c r="S22" s="2491"/>
      <c r="T22" s="2510">
        <f>(T20+T21)*-1</f>
        <v>0</v>
      </c>
      <c r="U22" s="2511"/>
      <c r="V22" s="2511"/>
      <c r="W22" s="2511"/>
      <c r="X22" s="2511"/>
      <c r="Y22" s="2510">
        <f>(Y20+Y21)*-1</f>
        <v>0</v>
      </c>
      <c r="Z22" s="2511"/>
      <c r="AA22" s="2511"/>
      <c r="AB22" s="2511"/>
      <c r="AC22" s="2511"/>
      <c r="AD22" s="2512">
        <f>(AD20)*-1</f>
        <v>0</v>
      </c>
      <c r="AE22" s="2513"/>
      <c r="AF22" s="2513"/>
      <c r="AG22" s="2513"/>
      <c r="AH22" s="2510"/>
      <c r="AI22" s="2512">
        <f>(AI20)*-1</f>
        <v>0</v>
      </c>
      <c r="AJ22" s="2513"/>
      <c r="AK22" s="2513"/>
      <c r="AL22" s="2513"/>
      <c r="AM22" s="2510"/>
    </row>
    <row r="23" spans="1:40" ht="12.95" customHeight="1">
      <c r="B23" s="2489" t="s">
        <v>513</v>
      </c>
      <c r="C23" s="2490"/>
      <c r="D23" s="2490"/>
      <c r="E23" s="2490"/>
      <c r="F23" s="2490"/>
      <c r="G23" s="2490"/>
      <c r="H23" s="2490"/>
      <c r="I23" s="2490"/>
      <c r="J23" s="2490"/>
      <c r="K23" s="2490"/>
      <c r="L23" s="2490"/>
      <c r="M23" s="2490"/>
      <c r="N23" s="2490"/>
      <c r="O23" s="2490"/>
      <c r="P23" s="2490"/>
      <c r="Q23" s="2490"/>
      <c r="R23" s="2490"/>
      <c r="S23" s="2491"/>
      <c r="T23" s="2505">
        <f>T11+T22</f>
        <v>70310363</v>
      </c>
      <c r="U23" s="2483"/>
      <c r="V23" s="2483"/>
      <c r="W23" s="2483"/>
      <c r="X23" s="2483"/>
      <c r="Y23" s="2505">
        <f>Y11+Y22</f>
        <v>0</v>
      </c>
      <c r="Z23" s="2483"/>
      <c r="AA23" s="2483"/>
      <c r="AB23" s="2483"/>
      <c r="AC23" s="2483"/>
      <c r="AD23" s="2505">
        <f>AD11+AD22</f>
        <v>0</v>
      </c>
      <c r="AE23" s="2483"/>
      <c r="AF23" s="2483"/>
      <c r="AG23" s="2483"/>
      <c r="AH23" s="2483"/>
      <c r="AI23" s="2505">
        <f>AI11+AI22</f>
        <v>0</v>
      </c>
      <c r="AJ23" s="2483"/>
      <c r="AK23" s="2483"/>
      <c r="AL23" s="2483"/>
      <c r="AM23" s="2483"/>
    </row>
    <row r="24" spans="1:40" ht="12.95" customHeight="1">
      <c r="B24" s="2489" t="s">
        <v>1001</v>
      </c>
      <c r="C24" s="2490"/>
      <c r="D24" s="2490"/>
      <c r="E24" s="2490"/>
      <c r="F24" s="2490"/>
      <c r="G24" s="2490"/>
      <c r="H24" s="2490"/>
      <c r="I24" s="2490"/>
      <c r="J24" s="2490"/>
      <c r="K24" s="2490"/>
      <c r="L24" s="2490"/>
      <c r="M24" s="2490"/>
      <c r="N24" s="2490"/>
      <c r="O24" s="2490"/>
      <c r="P24" s="2490"/>
      <c r="Q24" s="2490"/>
      <c r="R24" s="2490"/>
      <c r="S24" s="2491"/>
      <c r="T24" s="2493">
        <f>Application!AJ1018</f>
        <v>109947760.31999999</v>
      </c>
      <c r="U24" s="2504"/>
      <c r="V24" s="2504"/>
      <c r="W24" s="2504"/>
      <c r="X24" s="2504"/>
      <c r="Y24" s="2504"/>
      <c r="Z24" s="2504"/>
      <c r="AA24" s="2504"/>
      <c r="AB24" s="2504"/>
      <c r="AC24" s="2504"/>
      <c r="AD24" s="2504"/>
      <c r="AE24" s="2504"/>
      <c r="AF24" s="2504"/>
      <c r="AG24" s="2504"/>
      <c r="AH24" s="2504"/>
      <c r="AI24" s="2504"/>
      <c r="AJ24" s="2504"/>
      <c r="AK24" s="2504"/>
      <c r="AL24" s="2504"/>
      <c r="AM24" s="2505"/>
    </row>
    <row r="25" spans="1:40" ht="12.95" customHeight="1">
      <c r="B25" s="2536" t="s">
        <v>1423</v>
      </c>
      <c r="C25" s="2537"/>
      <c r="D25" s="2537"/>
      <c r="E25" s="2537"/>
      <c r="F25" s="2537"/>
      <c r="G25" s="2537"/>
      <c r="H25" s="2537"/>
      <c r="I25" s="2537"/>
      <c r="J25" s="2537"/>
      <c r="K25" s="2537"/>
      <c r="L25" s="2537"/>
      <c r="M25" s="2537"/>
      <c r="N25" s="2537"/>
      <c r="O25" s="2537"/>
      <c r="P25" s="2537"/>
      <c r="Q25" s="2537"/>
      <c r="R25" s="2537"/>
      <c r="S25" s="2538"/>
      <c r="T25" s="2518">
        <f>IF(OR(Application!T195="yes",Application!T194="yes"),1.3,1)</f>
        <v>1.3</v>
      </c>
      <c r="U25" s="2519"/>
      <c r="V25" s="2519"/>
      <c r="W25" s="2519"/>
      <c r="X25" s="2519"/>
      <c r="Y25" s="2518">
        <v>1</v>
      </c>
      <c r="Z25" s="2519"/>
      <c r="AA25" s="2519"/>
      <c r="AB25" s="2519"/>
      <c r="AC25" s="2519"/>
      <c r="AD25" s="2518">
        <v>1</v>
      </c>
      <c r="AE25" s="2519"/>
      <c r="AF25" s="2519"/>
      <c r="AG25" s="2519"/>
      <c r="AH25" s="2520"/>
      <c r="AI25" s="2518">
        <v>1</v>
      </c>
      <c r="AJ25" s="2519"/>
      <c r="AK25" s="2519"/>
      <c r="AL25" s="2519"/>
      <c r="AM25" s="2520"/>
    </row>
    <row r="26" spans="1:40" ht="12.95" customHeight="1">
      <c r="B26" s="2489" t="s">
        <v>514</v>
      </c>
      <c r="C26" s="2490"/>
      <c r="D26" s="2490"/>
      <c r="E26" s="2490"/>
      <c r="F26" s="2490"/>
      <c r="G26" s="2490"/>
      <c r="H26" s="2490"/>
      <c r="I26" s="2490"/>
      <c r="J26" s="2490"/>
      <c r="K26" s="2490"/>
      <c r="L26" s="2490"/>
      <c r="M26" s="2490"/>
      <c r="N26" s="2490"/>
      <c r="O26" s="2490"/>
      <c r="P26" s="2490"/>
      <c r="Q26" s="2490"/>
      <c r="R26" s="2490"/>
      <c r="S26" s="2491"/>
      <c r="T26" s="2505">
        <f>T23*T25</f>
        <v>91403471.900000006</v>
      </c>
      <c r="U26" s="2483"/>
      <c r="V26" s="2483"/>
      <c r="W26" s="2483"/>
      <c r="X26" s="2483"/>
      <c r="Y26" s="2505">
        <f>Y23*Y25</f>
        <v>0</v>
      </c>
      <c r="Z26" s="2483"/>
      <c r="AA26" s="2483"/>
      <c r="AB26" s="2483"/>
      <c r="AC26" s="2483"/>
      <c r="AD26" s="2505">
        <f>AD23*AD25</f>
        <v>0</v>
      </c>
      <c r="AE26" s="2483"/>
      <c r="AF26" s="2483"/>
      <c r="AG26" s="2483"/>
      <c r="AH26" s="2483"/>
      <c r="AI26" s="2505">
        <f>AI23*AI25</f>
        <v>0</v>
      </c>
      <c r="AJ26" s="2483"/>
      <c r="AK26" s="2483"/>
      <c r="AL26" s="2483"/>
      <c r="AM26" s="2483"/>
    </row>
    <row r="27" spans="1:40" ht="12.95" customHeight="1">
      <c r="A27" s="442"/>
      <c r="B27" s="2539" t="s">
        <v>427</v>
      </c>
      <c r="C27" s="2540"/>
      <c r="D27" s="2540"/>
      <c r="E27" s="2540"/>
      <c r="F27" s="2540"/>
      <c r="G27" s="2540"/>
      <c r="H27" s="2540"/>
      <c r="I27" s="2540"/>
      <c r="J27" s="2540"/>
      <c r="K27" s="2540"/>
      <c r="L27" s="2540"/>
      <c r="M27" s="2540"/>
      <c r="N27" s="2540"/>
      <c r="O27" s="2540"/>
      <c r="P27" s="2540"/>
      <c r="Q27" s="2540"/>
      <c r="R27" s="2540"/>
      <c r="S27" s="2541"/>
      <c r="T27" s="2516">
        <f>Application!$AG$444</f>
        <v>1</v>
      </c>
      <c r="U27" s="2517"/>
      <c r="V27" s="2517"/>
      <c r="W27" s="2517"/>
      <c r="X27" s="2517"/>
      <c r="Y27" s="2516">
        <f>Application!$AG$444</f>
        <v>1</v>
      </c>
      <c r="Z27" s="2517"/>
      <c r="AA27" s="2517"/>
      <c r="AB27" s="2517"/>
      <c r="AC27" s="2517"/>
      <c r="AD27" s="2516">
        <f>Application!$AG$444</f>
        <v>1</v>
      </c>
      <c r="AE27" s="2517"/>
      <c r="AF27" s="2517"/>
      <c r="AG27" s="2517"/>
      <c r="AH27" s="2517"/>
      <c r="AI27" s="2516">
        <f>Application!$AG$444</f>
        <v>1</v>
      </c>
      <c r="AJ27" s="2517"/>
      <c r="AK27" s="2517"/>
      <c r="AL27" s="2517"/>
      <c r="AM27" s="2517"/>
    </row>
    <row r="28" spans="1:40" ht="12.95" customHeight="1">
      <c r="A28" s="436"/>
      <c r="B28" s="2489" t="s">
        <v>515</v>
      </c>
      <c r="C28" s="2490"/>
      <c r="D28" s="2490"/>
      <c r="E28" s="2490"/>
      <c r="F28" s="2490"/>
      <c r="G28" s="2490"/>
      <c r="H28" s="2490"/>
      <c r="I28" s="2490"/>
      <c r="J28" s="2490"/>
      <c r="K28" s="2490"/>
      <c r="L28" s="2490"/>
      <c r="M28" s="2490"/>
      <c r="N28" s="2490"/>
      <c r="O28" s="2490"/>
      <c r="P28" s="2490"/>
      <c r="Q28" s="2490"/>
      <c r="R28" s="2490"/>
      <c r="S28" s="2491"/>
      <c r="T28" s="2505">
        <f>IF(ISERROR((T26*T27)),0,(T26*T27))</f>
        <v>91403471.900000006</v>
      </c>
      <c r="U28" s="2483"/>
      <c r="V28" s="2483"/>
      <c r="W28" s="2483"/>
      <c r="X28" s="2483"/>
      <c r="Y28" s="2505">
        <f>IF(ISERROR((Y26*Y27)),0,(Y26*Y27))</f>
        <v>0</v>
      </c>
      <c r="Z28" s="2483"/>
      <c r="AA28" s="2483"/>
      <c r="AB28" s="2483"/>
      <c r="AC28" s="2483"/>
      <c r="AD28" s="2505">
        <f>IF(ISERROR((AD26*AD27)),0,(AD26*AD27))</f>
        <v>0</v>
      </c>
      <c r="AE28" s="2483"/>
      <c r="AF28" s="2483"/>
      <c r="AG28" s="2483"/>
      <c r="AH28" s="2483"/>
      <c r="AI28" s="2505">
        <f>IF(ISERROR((AI26*AI27)),0,(AI26*AI27))</f>
        <v>0</v>
      </c>
      <c r="AJ28" s="2483"/>
      <c r="AK28" s="2483"/>
      <c r="AL28" s="2483"/>
      <c r="AM28" s="2483"/>
    </row>
    <row r="29" spans="1:40" ht="12.95" customHeight="1">
      <c r="B29" s="2489" t="s">
        <v>532</v>
      </c>
      <c r="C29" s="2490"/>
      <c r="D29" s="2490"/>
      <c r="E29" s="2490"/>
      <c r="F29" s="2490"/>
      <c r="G29" s="2490"/>
      <c r="H29" s="2490"/>
      <c r="I29" s="2490"/>
      <c r="J29" s="2490"/>
      <c r="K29" s="2490"/>
      <c r="L29" s="2490"/>
      <c r="M29" s="2490"/>
      <c r="N29" s="2490"/>
      <c r="O29" s="2490"/>
      <c r="P29" s="2490"/>
      <c r="Q29" s="2490"/>
      <c r="R29" s="2490"/>
      <c r="S29" s="2491"/>
      <c r="T29" s="2493">
        <f>T28+Y28+AD28+AI28</f>
        <v>91403471.900000006</v>
      </c>
      <c r="U29" s="2504"/>
      <c r="V29" s="2504"/>
      <c r="W29" s="2504"/>
      <c r="X29" s="2504"/>
      <c r="Y29" s="2504"/>
      <c r="Z29" s="2504"/>
      <c r="AA29" s="2504"/>
      <c r="AB29" s="2504"/>
      <c r="AC29" s="2504"/>
      <c r="AD29" s="2504"/>
      <c r="AE29" s="2504"/>
      <c r="AF29" s="2504"/>
      <c r="AG29" s="2504"/>
      <c r="AH29" s="2504"/>
      <c r="AI29" s="2504"/>
      <c r="AJ29" s="2504"/>
      <c r="AK29" s="2504"/>
      <c r="AL29" s="2504"/>
      <c r="AM29" s="2505"/>
    </row>
    <row r="30" spans="1:40" ht="12.95" customHeight="1">
      <c r="B30" s="2509" t="s">
        <v>1425</v>
      </c>
      <c r="C30" s="2509"/>
      <c r="D30" s="2509"/>
      <c r="E30" s="2509"/>
      <c r="F30" s="2509"/>
      <c r="G30" s="2509"/>
      <c r="H30" s="2509"/>
      <c r="I30" s="2509"/>
      <c r="J30" s="2509"/>
      <c r="K30" s="2509"/>
      <c r="L30" s="2509"/>
      <c r="M30" s="2509"/>
      <c r="N30" s="2509"/>
      <c r="O30" s="2509"/>
      <c r="P30" s="2509"/>
      <c r="Q30" s="2509"/>
      <c r="R30" s="2509"/>
      <c r="S30" s="2509"/>
      <c r="T30" s="2509"/>
      <c r="U30" s="2509"/>
      <c r="V30" s="2509"/>
      <c r="W30" s="2509"/>
      <c r="X30" s="2509"/>
      <c r="Y30" s="2509"/>
      <c r="Z30" s="2509"/>
      <c r="AA30" s="2509"/>
      <c r="AB30" s="2509"/>
      <c r="AC30" s="2509"/>
      <c r="AD30" s="2509"/>
      <c r="AE30" s="2509"/>
      <c r="AF30" s="2509"/>
      <c r="AG30" s="2509"/>
      <c r="AH30" s="2509"/>
      <c r="AI30" s="2509"/>
      <c r="AJ30" s="2509"/>
      <c r="AK30" s="2509"/>
      <c r="AL30" s="2509"/>
      <c r="AM30" s="2509"/>
    </row>
    <row r="31" spans="1:40" ht="12.95" customHeight="1">
      <c r="B31" s="2509" t="s">
        <v>1424</v>
      </c>
      <c r="C31" s="2509"/>
      <c r="D31" s="2509"/>
      <c r="E31" s="2509"/>
      <c r="F31" s="2509"/>
      <c r="G31" s="2509"/>
      <c r="H31" s="2509"/>
      <c r="I31" s="2509"/>
      <c r="J31" s="2509"/>
      <c r="K31" s="2509"/>
      <c r="L31" s="2509"/>
      <c r="M31" s="2509"/>
      <c r="N31" s="2509"/>
      <c r="O31" s="2509"/>
      <c r="P31" s="2509"/>
      <c r="Q31" s="2509"/>
      <c r="R31" s="2509"/>
      <c r="S31" s="2509"/>
      <c r="T31" s="2509"/>
      <c r="U31" s="2509"/>
      <c r="V31" s="2509"/>
      <c r="W31" s="2509"/>
      <c r="X31" s="2509"/>
      <c r="Y31" s="2509"/>
      <c r="Z31" s="2509"/>
      <c r="AA31" s="2509"/>
      <c r="AB31" s="2509"/>
      <c r="AC31" s="2509"/>
      <c r="AD31" s="2509"/>
      <c r="AE31" s="2509"/>
      <c r="AF31" s="2509"/>
      <c r="AG31" s="2509"/>
      <c r="AH31" s="2509"/>
      <c r="AI31" s="2509"/>
      <c r="AJ31" s="2509"/>
      <c r="AK31" s="2509"/>
      <c r="AL31" s="2509"/>
      <c r="AM31" s="2509"/>
      <c r="AN31" s="553"/>
    </row>
    <row r="32" spans="1:40" ht="12.95"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6" t="s">
        <v>1293</v>
      </c>
      <c r="Z35" s="2506"/>
      <c r="AA35" s="2506"/>
      <c r="AB35" s="2506"/>
      <c r="AC35" s="2506"/>
      <c r="AD35" s="2507" t="s">
        <v>370</v>
      </c>
      <c r="AE35" s="2507"/>
      <c r="AF35" s="2507"/>
      <c r="AG35" s="2507"/>
      <c r="AH35" s="2507"/>
    </row>
    <row r="36" spans="1:76" ht="12.95" customHeight="1">
      <c r="B36" s="439"/>
      <c r="X36" s="444"/>
      <c r="Y36" s="2506"/>
      <c r="Z36" s="2506"/>
      <c r="AA36" s="2506"/>
      <c r="AB36" s="2506"/>
      <c r="AC36" s="2506"/>
      <c r="AD36" s="2507"/>
      <c r="AE36" s="2507"/>
      <c r="AF36" s="2507"/>
      <c r="AG36" s="2507"/>
      <c r="AH36" s="2507"/>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6"/>
      <c r="Z37" s="2506"/>
      <c r="AA37" s="2506"/>
      <c r="AB37" s="2506"/>
      <c r="AC37" s="2506"/>
      <c r="AD37" s="2507"/>
      <c r="AE37" s="2507"/>
      <c r="AF37" s="2507"/>
      <c r="AG37" s="2507"/>
      <c r="AH37" s="2507"/>
    </row>
    <row r="38" spans="1:76" ht="12.95" customHeight="1">
      <c r="A38" s="436"/>
      <c r="B38" s="2489" t="s">
        <v>515</v>
      </c>
      <c r="C38" s="2490"/>
      <c r="D38" s="2490"/>
      <c r="E38" s="2490"/>
      <c r="F38" s="2490"/>
      <c r="G38" s="2490"/>
      <c r="H38" s="2490"/>
      <c r="I38" s="2490"/>
      <c r="J38" s="2490"/>
      <c r="K38" s="2490"/>
      <c r="L38" s="2490"/>
      <c r="M38" s="2490"/>
      <c r="N38" s="2490"/>
      <c r="O38" s="2490"/>
      <c r="P38" s="2490"/>
      <c r="Q38" s="2490"/>
      <c r="R38" s="2490"/>
      <c r="S38" s="2490"/>
      <c r="T38" s="2490"/>
      <c r="U38" s="2490"/>
      <c r="V38" s="2490"/>
      <c r="W38" s="2490"/>
      <c r="X38" s="2491"/>
      <c r="Y38" s="2483">
        <f>IF(T24&gt;=(T23+Y23+AD23+AI23),T28+Y28,0)</f>
        <v>91403471.900000006</v>
      </c>
      <c r="Z38" s="2483"/>
      <c r="AA38" s="2483"/>
      <c r="AB38" s="2483"/>
      <c r="AC38" s="2483"/>
      <c r="AD38" s="2483">
        <f>IF(T24&gt;=(T23+Y23+AD23+AI23),AD28+AI28,0)</f>
        <v>0</v>
      </c>
      <c r="AE38" s="2483"/>
      <c r="AF38" s="2483"/>
      <c r="AG38" s="2483"/>
      <c r="AH38" s="2483"/>
    </row>
    <row r="39" spans="1:76" ht="12.95" customHeight="1">
      <c r="B39" s="2489" t="s">
        <v>1953</v>
      </c>
      <c r="C39" s="2490"/>
      <c r="D39" s="2490"/>
      <c r="E39" s="2490"/>
      <c r="F39" s="2490"/>
      <c r="G39" s="2490"/>
      <c r="H39" s="2490"/>
      <c r="I39" s="2490"/>
      <c r="J39" s="2490"/>
      <c r="K39" s="2490"/>
      <c r="L39" s="2490"/>
      <c r="M39" s="2490"/>
      <c r="N39" s="2490"/>
      <c r="O39" s="2490"/>
      <c r="P39" s="2490"/>
      <c r="Q39" s="2490"/>
      <c r="R39" s="2490"/>
      <c r="S39" s="2490"/>
      <c r="T39" s="2490"/>
      <c r="U39" s="2490"/>
      <c r="V39" s="2490"/>
      <c r="W39" s="2490"/>
      <c r="X39" s="2491"/>
      <c r="Y39" s="2508">
        <v>0.04</v>
      </c>
      <c r="Z39" s="2508"/>
      <c r="AA39" s="2508"/>
      <c r="AB39" s="2508"/>
      <c r="AC39" s="2508"/>
      <c r="AD39" s="2508">
        <v>0.04</v>
      </c>
      <c r="AE39" s="2508"/>
      <c r="AF39" s="2508"/>
      <c r="AG39" s="2508"/>
      <c r="AH39" s="2508"/>
    </row>
    <row r="40" spans="1:76" ht="12.95" customHeight="1">
      <c r="A40" s="436"/>
      <c r="B40" s="2489" t="s">
        <v>651</v>
      </c>
      <c r="C40" s="2490"/>
      <c r="D40" s="2490"/>
      <c r="E40" s="2490"/>
      <c r="F40" s="2490"/>
      <c r="G40" s="2490"/>
      <c r="H40" s="2490"/>
      <c r="I40" s="2490"/>
      <c r="J40" s="2490"/>
      <c r="K40" s="2490"/>
      <c r="L40" s="2490"/>
      <c r="M40" s="2490"/>
      <c r="N40" s="2490"/>
      <c r="O40" s="2490"/>
      <c r="P40" s="2490"/>
      <c r="Q40" s="2490"/>
      <c r="R40" s="2490"/>
      <c r="S40" s="2490"/>
      <c r="T40" s="2490"/>
      <c r="U40" s="2490"/>
      <c r="V40" s="2490"/>
      <c r="W40" s="2490"/>
      <c r="X40" s="2491"/>
      <c r="Y40" s="2483">
        <f>ROUND(Y38*Y39,0)</f>
        <v>3656139</v>
      </c>
      <c r="Z40" s="2483"/>
      <c r="AA40" s="2483"/>
      <c r="AB40" s="2483"/>
      <c r="AC40" s="2483"/>
      <c r="AD40" s="2505">
        <f>ROUND(AD38*AD39,0)</f>
        <v>0</v>
      </c>
      <c r="AE40" s="2483"/>
      <c r="AF40" s="2483"/>
      <c r="AG40" s="2483"/>
      <c r="AH40" s="2483"/>
    </row>
    <row r="41" spans="1:76" ht="12.95" customHeight="1">
      <c r="B41" s="2489" t="s">
        <v>652</v>
      </c>
      <c r="C41" s="2490"/>
      <c r="D41" s="2490"/>
      <c r="E41" s="2490"/>
      <c r="F41" s="2490"/>
      <c r="G41" s="2490"/>
      <c r="H41" s="2490"/>
      <c r="I41" s="2490"/>
      <c r="J41" s="2490"/>
      <c r="K41" s="2490"/>
      <c r="L41" s="2490"/>
      <c r="M41" s="2490"/>
      <c r="N41" s="2490"/>
      <c r="O41" s="2490"/>
      <c r="P41" s="2490"/>
      <c r="Q41" s="2490"/>
      <c r="R41" s="2490"/>
      <c r="S41" s="2490"/>
      <c r="T41" s="2490"/>
      <c r="U41" s="2490"/>
      <c r="V41" s="2490"/>
      <c r="W41" s="2490"/>
      <c r="X41" s="2491"/>
      <c r="Y41" s="2493">
        <f>Y40+AD40</f>
        <v>3656139</v>
      </c>
      <c r="Z41" s="2504"/>
      <c r="AA41" s="2504"/>
      <c r="AB41" s="2504"/>
      <c r="AC41" s="2504"/>
      <c r="AD41" s="2504"/>
      <c r="AE41" s="2504"/>
      <c r="AF41" s="2504"/>
      <c r="AG41" s="2504"/>
      <c r="AH41" s="2505"/>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03" t="s">
        <v>1436</v>
      </c>
      <c r="B44" s="2503"/>
      <c r="C44" s="2503"/>
      <c r="D44" s="2503"/>
      <c r="E44" s="2503"/>
      <c r="F44" s="2503"/>
      <c r="G44" s="2503"/>
      <c r="H44" s="2503"/>
      <c r="I44" s="2503"/>
      <c r="J44" s="2503"/>
      <c r="K44" s="2503"/>
      <c r="L44" s="2503"/>
      <c r="M44" s="2503"/>
      <c r="N44" s="2503"/>
      <c r="O44" s="2503"/>
      <c r="P44" s="2503"/>
      <c r="Q44" s="2503"/>
      <c r="R44" s="2503"/>
      <c r="S44" s="2503"/>
      <c r="T44" s="2503"/>
      <c r="U44" s="2503"/>
      <c r="V44" s="2503"/>
      <c r="W44" s="2503"/>
      <c r="X44" s="2503"/>
      <c r="Y44" s="2503"/>
      <c r="Z44" s="2503"/>
      <c r="AA44" s="2503"/>
      <c r="AB44" s="2503"/>
      <c r="AC44" s="2503"/>
      <c r="AD44" s="2503"/>
      <c r="AE44" s="2503"/>
      <c r="AF44" s="2503"/>
      <c r="AG44" s="2503"/>
      <c r="AH44" s="2503"/>
      <c r="AI44" s="2503"/>
      <c r="AJ44" s="2503"/>
      <c r="AK44" s="2503"/>
      <c r="AL44" s="2503"/>
      <c r="AM44" s="2503"/>
      <c r="AN44" s="2503"/>
      <c r="AO44" s="2503"/>
      <c r="AP44" s="2503"/>
      <c r="AQ44" s="2503"/>
      <c r="AR44" s="2503"/>
      <c r="AS44" s="2503"/>
      <c r="AT44" s="2503"/>
      <c r="AU44" s="2503"/>
      <c r="AV44" s="2503"/>
      <c r="AW44" s="2503"/>
      <c r="AX44" s="2503"/>
      <c r="AY44" s="2503"/>
      <c r="AZ44" s="2503"/>
      <c r="BA44" s="2503"/>
      <c r="BB44" s="2503"/>
      <c r="BC44" s="2503"/>
      <c r="BD44" s="2503"/>
      <c r="BE44" s="2503"/>
      <c r="BF44" s="2503"/>
      <c r="BG44" s="2503"/>
      <c r="BH44" s="2503"/>
      <c r="BI44" s="2503"/>
      <c r="BJ44" s="2503"/>
      <c r="BK44" s="2503"/>
      <c r="BL44" s="2503"/>
      <c r="BM44" s="2503"/>
      <c r="BN44" s="2503"/>
      <c r="BO44" s="2503"/>
      <c r="BP44" s="2503"/>
      <c r="BQ44" s="2503"/>
      <c r="BR44" s="2503"/>
      <c r="BS44" s="2503"/>
      <c r="BT44" s="2503"/>
      <c r="BU44" s="2503"/>
      <c r="BV44" s="2503"/>
      <c r="BW44" s="2503"/>
      <c r="BX44" s="2503"/>
    </row>
    <row r="45" spans="1:76" s="218" customFormat="1" ht="12.95" customHeight="1" thickTop="1"/>
    <row r="46" spans="1:76" ht="12.95" customHeight="1">
      <c r="A46" s="436" t="s">
        <v>595</v>
      </c>
      <c r="C46" s="436" t="s">
        <v>283</v>
      </c>
    </row>
    <row r="47" spans="1:76" ht="12.95" customHeight="1">
      <c r="D47" s="436" t="s">
        <v>284</v>
      </c>
      <c r="AB47" s="2497">
        <f>'Sources and Uses Budget'!B105-MAX(IF('Sources and Uses Budget'!B15="",0,'Sources and Uses Budget'!B15),IF(Application!AG393="",0,Application!AG393))</f>
        <v>74400299</v>
      </c>
      <c r="AC47" s="2498"/>
      <c r="AD47" s="2498"/>
      <c r="AE47" s="2498"/>
      <c r="AF47" s="2499"/>
    </row>
    <row r="48" spans="1:76" ht="12.95" customHeight="1">
      <c r="D48" s="436" t="s">
        <v>21</v>
      </c>
      <c r="AB48" s="2497">
        <f>Application!AO635-MAX(IF('Sources and Uses Budget'!B15="",0,'Sources and Uses Budget'!B15),IF(Application!AG393="",0,Application!AG393))</f>
        <v>24686635</v>
      </c>
      <c r="AC48" s="2498"/>
      <c r="AD48" s="2498"/>
      <c r="AE48" s="2498"/>
      <c r="AF48" s="2499"/>
    </row>
    <row r="49" spans="1:76" ht="12.95" customHeight="1">
      <c r="D49" s="436" t="s">
        <v>92</v>
      </c>
      <c r="AB49" s="2497">
        <f>AB47-AB48</f>
        <v>49713664</v>
      </c>
      <c r="AC49" s="2498"/>
      <c r="AD49" s="2498"/>
      <c r="AE49" s="2498"/>
      <c r="AF49" s="2499"/>
    </row>
    <row r="50" spans="1:76" ht="12.95" customHeight="1">
      <c r="D50" s="436" t="s">
        <v>690</v>
      </c>
      <c r="AA50" s="447"/>
      <c r="AB50" s="2485">
        <v>0.91</v>
      </c>
      <c r="AC50" s="2486"/>
      <c r="AD50" s="2486"/>
      <c r="AE50" s="2486"/>
      <c r="AF50" s="2487"/>
    </row>
    <row r="51" spans="1:76" s="449" customFormat="1" ht="12.95" customHeight="1">
      <c r="A51" s="434"/>
      <c r="B51" s="434"/>
      <c r="C51" s="434"/>
      <c r="D51" s="434"/>
      <c r="E51" s="2496" t="s">
        <v>2114</v>
      </c>
      <c r="F51" s="2496"/>
      <c r="G51" s="2496"/>
      <c r="H51" s="2496"/>
      <c r="I51" s="2496"/>
      <c r="J51" s="2496"/>
      <c r="K51" s="2496"/>
      <c r="L51" s="2496"/>
      <c r="M51" s="2496"/>
      <c r="N51" s="2496"/>
      <c r="O51" s="2496"/>
      <c r="P51" s="2496"/>
      <c r="Q51" s="2496"/>
      <c r="R51" s="2496"/>
      <c r="S51" s="2496"/>
      <c r="T51" s="2496"/>
      <c r="U51" s="2496"/>
      <c r="V51" s="2496"/>
      <c r="W51" s="2496"/>
      <c r="X51" s="2496"/>
      <c r="Y51" s="2496"/>
      <c r="Z51" s="2496"/>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96"/>
      <c r="F52" s="2496"/>
      <c r="G52" s="2496"/>
      <c r="H52" s="2496"/>
      <c r="I52" s="2496"/>
      <c r="J52" s="2496"/>
      <c r="K52" s="2496"/>
      <c r="L52" s="2496"/>
      <c r="M52" s="2496"/>
      <c r="N52" s="2496"/>
      <c r="O52" s="2496"/>
      <c r="P52" s="2496"/>
      <c r="Q52" s="2496"/>
      <c r="R52" s="2496"/>
      <c r="S52" s="2496"/>
      <c r="T52" s="2496"/>
      <c r="U52" s="2496"/>
      <c r="V52" s="2496"/>
      <c r="W52" s="2496"/>
      <c r="X52" s="2496"/>
      <c r="Y52" s="2496"/>
      <c r="Z52" s="2496"/>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333</v>
      </c>
      <c r="AB54" s="2497">
        <f>ROUND(IF(ISERROR((AB49/AB50)),0,(AB49/AB50)),0)</f>
        <v>54630400</v>
      </c>
      <c r="AC54" s="2498"/>
      <c r="AD54" s="2498"/>
      <c r="AE54" s="2498"/>
      <c r="AF54" s="2499"/>
    </row>
    <row r="55" spans="1:76" ht="12.95" customHeight="1">
      <c r="D55" s="436" t="s">
        <v>334</v>
      </c>
      <c r="AB55" s="2497">
        <f>(AB54/10)</f>
        <v>5463040</v>
      </c>
      <c r="AC55" s="2498"/>
      <c r="AD55" s="2498"/>
      <c r="AE55" s="2498"/>
      <c r="AF55" s="2499"/>
    </row>
    <row r="56" spans="1:76" ht="12.95" customHeight="1">
      <c r="D56" s="436" t="s">
        <v>768</v>
      </c>
      <c r="AB56" s="2500">
        <f>(IF((Y41&lt;AB55),Y41,AB55))</f>
        <v>3656139</v>
      </c>
      <c r="AC56" s="2501"/>
      <c r="AD56" s="2501"/>
      <c r="AE56" s="2501"/>
      <c r="AF56" s="2502"/>
    </row>
    <row r="57" spans="1:76" ht="12.95" customHeight="1">
      <c r="D57" s="436" t="s">
        <v>767</v>
      </c>
      <c r="AB57" s="2497">
        <f>ROUND((10*AB56*AB50),0)</f>
        <v>33270865</v>
      </c>
      <c r="AC57" s="2498"/>
      <c r="AD57" s="2498"/>
      <c r="AE57" s="2498"/>
      <c r="AF57" s="2499"/>
    </row>
    <row r="58" spans="1:76" ht="12.95" customHeight="1">
      <c r="D58" s="436"/>
      <c r="AB58" s="455"/>
      <c r="AC58" s="455"/>
      <c r="AD58" s="455"/>
      <c r="AE58" s="455"/>
      <c r="AF58" s="455"/>
    </row>
    <row r="59" spans="1:76" ht="12.95" customHeight="1">
      <c r="D59" s="436" t="s">
        <v>766</v>
      </c>
      <c r="AB59" s="2481">
        <f>AB49-AB57</f>
        <v>16442799</v>
      </c>
      <c r="AC59" s="2481"/>
      <c r="AD59" s="2481"/>
      <c r="AE59" s="2481"/>
      <c r="AF59" s="2481"/>
    </row>
    <row r="60" spans="1:76" ht="12.95" customHeight="1">
      <c r="D60" s="436"/>
      <c r="AB60" s="455"/>
      <c r="AC60" s="455"/>
      <c r="AD60" s="455"/>
      <c r="AE60" s="455"/>
      <c r="AF60" s="455"/>
    </row>
    <row r="61" spans="1:76" s="218" customFormat="1" ht="12.95" customHeight="1" thickBot="1">
      <c r="A61" s="2503" t="str">
        <f>IF(Application!AP204="yes","Farmworker State Credit", "State Credit" )</f>
        <v>State Credit</v>
      </c>
      <c r="B61" s="2503"/>
      <c r="C61" s="2503"/>
      <c r="D61" s="2503"/>
      <c r="E61" s="2503"/>
      <c r="F61" s="2503"/>
      <c r="G61" s="2503"/>
      <c r="H61" s="2503"/>
      <c r="I61" s="2503"/>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3"/>
      <c r="AQ61" s="2503"/>
      <c r="AR61" s="2503"/>
      <c r="AS61" s="2503"/>
      <c r="AT61" s="2503"/>
      <c r="AU61" s="2503"/>
      <c r="AV61" s="2503"/>
      <c r="AW61" s="2503"/>
      <c r="AX61" s="2503"/>
      <c r="AY61" s="2503"/>
      <c r="AZ61" s="2503"/>
      <c r="BA61" s="2503"/>
      <c r="BB61" s="2503"/>
      <c r="BC61" s="2503"/>
      <c r="BD61" s="2503"/>
      <c r="BE61" s="2503"/>
      <c r="BF61" s="2503"/>
      <c r="BG61" s="2503"/>
      <c r="BH61" s="2503"/>
      <c r="BI61" s="2503"/>
      <c r="BJ61" s="2503"/>
      <c r="BK61" s="2503"/>
      <c r="BL61" s="2503"/>
      <c r="BM61" s="2503"/>
      <c r="BN61" s="2503"/>
      <c r="BO61" s="2503"/>
      <c r="BP61" s="2503"/>
      <c r="BQ61" s="2503"/>
      <c r="BR61" s="2503"/>
      <c r="BS61" s="2503"/>
      <c r="BT61" s="2503"/>
      <c r="BU61" s="2503"/>
      <c r="BV61" s="2503"/>
      <c r="BW61" s="2503"/>
      <c r="BX61" s="2503"/>
    </row>
    <row r="62" spans="1:76" s="218" customFormat="1" ht="12.95" customHeight="1" thickTop="1"/>
    <row r="63" spans="1:76" ht="12.95" customHeight="1">
      <c r="A63" s="436" t="s">
        <v>598</v>
      </c>
      <c r="C63" s="219" t="s">
        <v>1406</v>
      </c>
      <c r="Y63" s="2492" t="s">
        <v>1024</v>
      </c>
      <c r="Z63" s="2492"/>
      <c r="AA63" s="2492"/>
      <c r="AB63" s="2492"/>
      <c r="AC63" s="2492"/>
      <c r="AD63" s="2492" t="s">
        <v>370</v>
      </c>
      <c r="AE63" s="2492"/>
      <c r="AF63" s="2492"/>
      <c r="AG63" s="2492"/>
      <c r="AH63" s="2492"/>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93">
        <f>IF(Application!Z204="(select)",0,((T23*T27)+Y28))</f>
        <v>70310363</v>
      </c>
      <c r="Z64" s="2494"/>
      <c r="AA64" s="2494"/>
      <c r="AB64" s="2494"/>
      <c r="AC64" s="2495"/>
      <c r="AD64" s="2493">
        <f>IF(AND(OR(Application!D210="At-Risk",Application!D210="At-Risk and Special Needs"),Application!M357="yes"),AD28+AI28,0)</f>
        <v>0</v>
      </c>
      <c r="AE64" s="2494"/>
      <c r="AF64" s="2494"/>
      <c r="AG64" s="2494"/>
      <c r="AH64" s="2495"/>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82">
        <f>IF(Application!AP204="yes",0.75,IF(Application!Z203="15% set-aside",0.13,IF(Application!Z203="15% set-aside with qualifying low value rehab",0.95,0.3)))</f>
        <v>0.3</v>
      </c>
      <c r="Z67" s="2482"/>
      <c r="AA67" s="2482"/>
      <c r="AB67" s="2482"/>
      <c r="AC67" s="2482"/>
      <c r="AD67" s="2482">
        <f>IF(Application!Z203="15% set-aside with qualifying low value rehab", 0.95,0.13)</f>
        <v>0.13</v>
      </c>
      <c r="AE67" s="2482"/>
      <c r="AF67" s="2482"/>
      <c r="AG67" s="2482"/>
      <c r="AH67" s="2482"/>
    </row>
    <row r="68" spans="1:36" ht="12.95" customHeight="1">
      <c r="C68" s="436"/>
      <c r="D68" s="219" t="s">
        <v>1408</v>
      </c>
      <c r="Y68" s="2483">
        <f>ROUND(Y64*Y67,0)</f>
        <v>21093109</v>
      </c>
      <c r="Z68" s="2484"/>
      <c r="AA68" s="2484"/>
      <c r="AB68" s="2484"/>
      <c r="AC68" s="2484"/>
      <c r="AD68" s="2483">
        <f>ROUND(AD64*AD67,0)</f>
        <v>0</v>
      </c>
      <c r="AE68" s="2484"/>
      <c r="AF68" s="2484"/>
      <c r="AG68" s="2484"/>
      <c r="AH68" s="2484"/>
    </row>
    <row r="69" spans="1:36" ht="12.95" customHeight="1">
      <c r="C69" s="436"/>
      <c r="E69" s="436"/>
      <c r="AB69" s="454"/>
      <c r="AC69" s="454"/>
      <c r="AD69" s="454"/>
      <c r="AE69" s="454"/>
      <c r="AF69" s="454"/>
    </row>
    <row r="70" spans="1:36" ht="12.95" customHeight="1">
      <c r="A70" s="436" t="s">
        <v>599</v>
      </c>
      <c r="C70" s="219" t="s">
        <v>285</v>
      </c>
    </row>
    <row r="71" spans="1:36" ht="12.95" customHeight="1">
      <c r="A71" s="436"/>
      <c r="C71" s="436"/>
      <c r="D71" s="219" t="s">
        <v>1409</v>
      </c>
      <c r="AB71" s="2485">
        <v>0.78</v>
      </c>
      <c r="AC71" s="2486"/>
      <c r="AD71" s="2486"/>
      <c r="AE71" s="2486"/>
      <c r="AF71" s="2487"/>
    </row>
    <row r="72" spans="1:36" ht="12.95" customHeight="1">
      <c r="A72" s="436"/>
      <c r="C72" s="436"/>
      <c r="D72" s="436"/>
      <c r="E72" s="2488" t="s">
        <v>1410</v>
      </c>
      <c r="F72" s="2488"/>
      <c r="G72" s="2488"/>
      <c r="H72" s="2488"/>
      <c r="I72" s="2488"/>
      <c r="J72" s="2488"/>
      <c r="K72" s="2488"/>
      <c r="L72" s="2488"/>
      <c r="M72" s="2488"/>
      <c r="N72" s="2488"/>
      <c r="O72" s="2488"/>
      <c r="P72" s="2488"/>
      <c r="Q72" s="2488"/>
      <c r="R72" s="2488"/>
      <c r="S72" s="2488"/>
      <c r="T72" s="2488"/>
      <c r="U72" s="2488"/>
      <c r="V72" s="2488"/>
      <c r="W72" s="2488"/>
      <c r="X72" s="2488"/>
      <c r="Y72" s="2488"/>
      <c r="Z72" s="2488"/>
      <c r="AA72" s="2488"/>
      <c r="AB72" s="472"/>
      <c r="AC72" s="472"/>
    </row>
    <row r="73" spans="1:36" ht="12.95" customHeight="1">
      <c r="A73" s="436"/>
      <c r="C73" s="436"/>
      <c r="D73" s="436"/>
      <c r="E73" s="2488"/>
      <c r="F73" s="2488"/>
      <c r="G73" s="2488"/>
      <c r="H73" s="2488"/>
      <c r="I73" s="2488"/>
      <c r="J73" s="2488"/>
      <c r="K73" s="2488"/>
      <c r="L73" s="2488"/>
      <c r="M73" s="2488"/>
      <c r="N73" s="2488"/>
      <c r="O73" s="2488"/>
      <c r="P73" s="2488"/>
      <c r="Q73" s="2488"/>
      <c r="R73" s="2488"/>
      <c r="S73" s="2488"/>
      <c r="T73" s="2488"/>
      <c r="U73" s="2488"/>
      <c r="V73" s="2488"/>
      <c r="W73" s="2488"/>
      <c r="X73" s="2488"/>
      <c r="Y73" s="2488"/>
      <c r="Z73" s="2488"/>
      <c r="AA73" s="2488"/>
      <c r="AB73" s="472"/>
      <c r="AC73" s="472"/>
    </row>
    <row r="74" spans="1:36" ht="12.95" customHeight="1">
      <c r="A74" s="436"/>
      <c r="C74" s="436"/>
      <c r="D74" s="436"/>
      <c r="E74" s="2488"/>
      <c r="F74" s="2488"/>
      <c r="G74" s="2488"/>
      <c r="H74" s="2488"/>
      <c r="I74" s="2488"/>
      <c r="J74" s="2488"/>
      <c r="K74" s="2488"/>
      <c r="L74" s="2488"/>
      <c r="M74" s="2488"/>
      <c r="N74" s="2488"/>
      <c r="O74" s="2488"/>
      <c r="P74" s="2488"/>
      <c r="Q74" s="2488"/>
      <c r="R74" s="2488"/>
      <c r="S74" s="2488"/>
      <c r="T74" s="2488"/>
      <c r="U74" s="2488"/>
      <c r="V74" s="2488"/>
      <c r="W74" s="2488"/>
      <c r="X74" s="2488"/>
      <c r="Y74" s="2488"/>
      <c r="Z74" s="2488"/>
      <c r="AA74" s="2488"/>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476">
        <f>ROUND(IF(ISERROR((AB59/AB71)),0,(AB59/AB71)),0)</f>
        <v>21080512</v>
      </c>
      <c r="AC76" s="2476"/>
      <c r="AD76" s="2476"/>
      <c r="AE76" s="2476"/>
      <c r="AF76" s="2476"/>
    </row>
    <row r="77" spans="1:36" ht="12.95" customHeight="1">
      <c r="C77" s="436"/>
      <c r="D77" s="219" t="s">
        <v>1412</v>
      </c>
      <c r="AB77" s="2477">
        <f>IF((Y68+AD68&lt;AB76),Y68+AD68,AB76)</f>
        <v>21080512</v>
      </c>
      <c r="AC77" s="2478"/>
      <c r="AD77" s="2478"/>
      <c r="AE77" s="2478"/>
      <c r="AF77" s="2479"/>
    </row>
    <row r="78" spans="1:36" ht="12.95" customHeight="1">
      <c r="C78" s="436"/>
      <c r="D78" s="219" t="s">
        <v>1413</v>
      </c>
      <c r="AB78" s="2480">
        <f>AB77*AB71</f>
        <v>16442799.360000001</v>
      </c>
      <c r="AC78" s="2480"/>
      <c r="AD78" s="2480"/>
      <c r="AE78" s="2480"/>
      <c r="AF78" s="2480"/>
    </row>
    <row r="79" spans="1:36" ht="12.95" customHeight="1">
      <c r="C79" s="436"/>
      <c r="D79" s="436"/>
      <c r="AB79" s="457"/>
      <c r="AC79" s="457"/>
      <c r="AD79" s="457"/>
      <c r="AE79" s="457"/>
      <c r="AF79" s="457"/>
    </row>
    <row r="80" spans="1:36" ht="12.95" customHeight="1">
      <c r="D80" s="436" t="s">
        <v>766</v>
      </c>
      <c r="AB80" s="2481">
        <f>AB49-(AB57+AB78)</f>
        <v>-0.35999999940395355</v>
      </c>
      <c r="AC80" s="2481"/>
      <c r="AD80" s="2481"/>
      <c r="AE80" s="2481"/>
      <c r="AF80" s="2481"/>
    </row>
    <row r="81" spans="1:78" ht="12.95" customHeight="1">
      <c r="F81" s="557"/>
      <c r="J81" s="557" t="str">
        <f>IF(AB80&gt;0,"FUNDING GAP MUST NOT EXCEED ZERO","")</f>
        <v/>
      </c>
    </row>
    <row r="82" spans="1:78" ht="12.95" customHeight="1">
      <c r="D82" s="558"/>
    </row>
    <row r="83" spans="1:78" ht="12.95" customHeight="1" thickBot="1">
      <c r="A83" s="2503"/>
      <c r="B83" s="2503"/>
      <c r="C83" s="2503"/>
      <c r="D83" s="2503"/>
      <c r="E83" s="2503"/>
      <c r="F83" s="2503"/>
      <c r="G83" s="2503"/>
      <c r="H83" s="2503"/>
      <c r="I83" s="2503"/>
      <c r="J83" s="2503"/>
      <c r="K83" s="2503"/>
      <c r="L83" s="2503"/>
      <c r="M83" s="2503"/>
      <c r="N83" s="2503"/>
      <c r="O83" s="2503"/>
      <c r="P83" s="2503"/>
      <c r="Q83" s="2503"/>
      <c r="R83" s="2503"/>
      <c r="S83" s="2503"/>
      <c r="T83" s="2503"/>
      <c r="U83" s="2503"/>
      <c r="V83" s="2503"/>
      <c r="W83" s="2503"/>
      <c r="X83" s="2503"/>
      <c r="Y83" s="2503"/>
      <c r="Z83" s="2503"/>
      <c r="AA83" s="2503"/>
      <c r="AB83" s="2503"/>
      <c r="AC83" s="2503"/>
      <c r="AD83" s="2503"/>
      <c r="AE83" s="2503"/>
      <c r="AF83" s="2503"/>
      <c r="AG83" s="2503"/>
      <c r="AH83" s="2503"/>
      <c r="AI83" s="2503"/>
      <c r="AJ83" s="2503"/>
      <c r="AK83" s="2503"/>
      <c r="AL83" s="2503"/>
      <c r="AM83" s="2503"/>
      <c r="AN83" s="2503"/>
      <c r="AO83" s="2503"/>
      <c r="AP83" s="2503"/>
      <c r="AQ83" s="2503"/>
      <c r="AR83" s="2503"/>
      <c r="AS83" s="2503"/>
      <c r="AT83" s="2503"/>
      <c r="AU83" s="2503"/>
      <c r="AV83" s="2503"/>
      <c r="AW83" s="2503"/>
      <c r="AX83" s="2503"/>
      <c r="AY83" s="2503"/>
      <c r="AZ83" s="2503"/>
      <c r="BA83" s="2503"/>
      <c r="BB83" s="2503"/>
      <c r="BC83" s="2503"/>
      <c r="BD83" s="2503"/>
      <c r="BE83" s="2503"/>
      <c r="BF83" s="2503"/>
      <c r="BG83" s="2503"/>
      <c r="BH83" s="2503"/>
      <c r="BI83" s="2503"/>
      <c r="BJ83" s="2503"/>
      <c r="BK83" s="2503"/>
      <c r="BL83" s="2503"/>
      <c r="BM83" s="2503"/>
      <c r="BN83" s="2503"/>
      <c r="BO83" s="2503"/>
      <c r="BP83" s="2503"/>
      <c r="BQ83" s="2503"/>
      <c r="BR83" s="2503"/>
      <c r="BS83" s="2503"/>
      <c r="BT83" s="2503"/>
      <c r="BU83" s="2503"/>
      <c r="BV83" s="2503"/>
      <c r="BW83" s="2503"/>
      <c r="BX83" s="2503"/>
    </row>
    <row r="84" spans="1:78" ht="12.95" customHeight="1" thickTop="1"/>
    <row r="85" spans="1:78" ht="12.95" customHeight="1">
      <c r="A85" s="436"/>
      <c r="C85" s="219"/>
    </row>
    <row r="86" spans="1:78" ht="12.95" customHeight="1">
      <c r="D86" s="219"/>
      <c r="AB86" s="2535"/>
      <c r="AC86" s="2535"/>
      <c r="AD86" s="2535"/>
      <c r="AE86" s="2535"/>
      <c r="AF86" s="2535"/>
    </row>
    <row r="87" spans="1:78" ht="12.95" customHeight="1" thickBot="1">
      <c r="D87" s="219"/>
      <c r="AB87" s="2534"/>
      <c r="AC87" s="2534"/>
      <c r="AD87" s="2534"/>
      <c r="AE87" s="2534"/>
      <c r="AF87" s="2534"/>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5" zoomScaleNormal="100" zoomScaleSheetLayoutView="100" workbookViewId="0">
      <selection sqref="A1:J31"/>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42" t="s">
        <v>942</v>
      </c>
      <c r="B1" s="2542"/>
      <c r="C1" s="2542"/>
      <c r="D1" s="2542"/>
      <c r="E1" s="2542"/>
      <c r="F1" s="2542"/>
      <c r="G1" s="2542"/>
      <c r="H1" s="2542"/>
      <c r="I1" s="2542"/>
      <c r="J1" s="2542"/>
      <c r="K1" s="218"/>
      <c r="L1" s="218"/>
    </row>
    <row r="2" spans="1:12">
      <c r="A2" s="225"/>
      <c r="B2" s="225"/>
      <c r="C2" s="225"/>
      <c r="D2" s="225"/>
      <c r="E2" s="225"/>
      <c r="F2" s="225"/>
      <c r="G2" s="225"/>
      <c r="H2" s="225"/>
      <c r="I2" s="225"/>
      <c r="J2" s="225"/>
    </row>
    <row r="3" spans="1:12" ht="99.75">
      <c r="A3" s="458" t="s">
        <v>943</v>
      </c>
      <c r="B3" s="458" t="s">
        <v>944</v>
      </c>
      <c r="C3" s="458" t="s">
        <v>2343</v>
      </c>
      <c r="D3" s="1199" t="s">
        <v>945</v>
      </c>
      <c r="E3" s="218"/>
      <c r="F3" s="1199" t="s">
        <v>946</v>
      </c>
      <c r="G3" s="458" t="s">
        <v>947</v>
      </c>
      <c r="H3" s="459"/>
      <c r="I3" s="458" t="s">
        <v>948</v>
      </c>
      <c r="J3" s="458" t="s">
        <v>949</v>
      </c>
      <c r="K3" s="218"/>
      <c r="L3" s="328"/>
    </row>
    <row r="4" spans="1:12">
      <c r="A4" s="460" t="str">
        <f>Application!B714</f>
        <v>1 Bedroom</v>
      </c>
      <c r="B4" s="1130">
        <f>Application!G714</f>
        <v>13</v>
      </c>
      <c r="C4" s="1131" t="s">
        <v>386</v>
      </c>
      <c r="D4" s="460">
        <f>Application!O714</f>
        <v>416</v>
      </c>
      <c r="E4" s="461"/>
      <c r="F4" s="1132">
        <f>1216-Application!Q816</f>
        <v>1140</v>
      </c>
      <c r="G4" s="460">
        <f>F4*B4</f>
        <v>14820</v>
      </c>
      <c r="H4" s="461"/>
      <c r="I4" s="460">
        <f>IF(F4=0," ",(F4-D4))</f>
        <v>724</v>
      </c>
      <c r="J4" s="460">
        <f>IF(F4=0," ",(I4*B4))</f>
        <v>9412</v>
      </c>
      <c r="K4" s="218"/>
      <c r="L4" s="328"/>
    </row>
    <row r="5" spans="1:12">
      <c r="A5" s="460" t="str">
        <f>Application!B715</f>
        <v>1 Bedroom</v>
      </c>
      <c r="B5" s="1130">
        <f>Application!G715</f>
        <v>2</v>
      </c>
      <c r="C5" s="1131" t="s">
        <v>386</v>
      </c>
      <c r="D5" s="460">
        <f>Application!O715</f>
        <v>416</v>
      </c>
      <c r="E5" s="461"/>
      <c r="F5" s="1132">
        <f>1216-Application!Q816</f>
        <v>1140</v>
      </c>
      <c r="G5" s="460">
        <f t="shared" ref="G5:G28" si="0">F5*B5</f>
        <v>2280</v>
      </c>
      <c r="H5" s="461"/>
      <c r="I5" s="460">
        <f t="shared" ref="I5:I28" si="1">IF(F5=0," ",(F5-D5))</f>
        <v>724</v>
      </c>
      <c r="J5" s="460">
        <f t="shared" ref="J5:J28" si="2">IF(F5=0," ",(I5*B5))</f>
        <v>1448</v>
      </c>
      <c r="K5" s="218"/>
      <c r="L5" s="328"/>
    </row>
    <row r="6" spans="1:12">
      <c r="A6" s="460" t="str">
        <f>Application!B716</f>
        <v>2 Bedrooms</v>
      </c>
      <c r="B6" s="1130">
        <f>Application!G716</f>
        <v>21</v>
      </c>
      <c r="C6" s="1131" t="s">
        <v>386</v>
      </c>
      <c r="D6" s="460">
        <f>Application!O716</f>
        <v>488</v>
      </c>
      <c r="E6" s="461"/>
      <c r="F6" s="1132">
        <f>1529-Application!U816</f>
        <v>1427</v>
      </c>
      <c r="G6" s="460">
        <f t="shared" si="0"/>
        <v>29967</v>
      </c>
      <c r="H6" s="461"/>
      <c r="I6" s="460">
        <f t="shared" si="1"/>
        <v>939</v>
      </c>
      <c r="J6" s="460">
        <f t="shared" si="2"/>
        <v>19719</v>
      </c>
      <c r="K6" s="218"/>
      <c r="L6" s="328"/>
    </row>
    <row r="7" spans="1:12">
      <c r="A7" s="460" t="str">
        <f>Application!B717</f>
        <v>2 Bedrooms</v>
      </c>
      <c r="B7" s="1130">
        <f>Application!G717</f>
        <v>54</v>
      </c>
      <c r="C7" s="1131"/>
      <c r="D7" s="460">
        <f>Application!O717</f>
        <v>1058</v>
      </c>
      <c r="E7" s="461"/>
      <c r="F7" s="1132"/>
      <c r="G7" s="460">
        <f t="shared" si="0"/>
        <v>0</v>
      </c>
      <c r="H7" s="461"/>
      <c r="I7" s="460" t="str">
        <f t="shared" si="1"/>
        <v xml:space="preserve"> </v>
      </c>
      <c r="J7" s="460" t="str">
        <f t="shared" si="2"/>
        <v xml:space="preserve"> </v>
      </c>
      <c r="K7" s="218"/>
      <c r="L7" s="328"/>
    </row>
    <row r="8" spans="1:12">
      <c r="A8" s="460" t="str">
        <f>Application!B718</f>
        <v>3 Bedrooms</v>
      </c>
      <c r="B8" s="1130">
        <f>Application!G718</f>
        <v>7</v>
      </c>
      <c r="C8" s="1131" t="s">
        <v>386</v>
      </c>
      <c r="D8" s="460">
        <f>Application!O718</f>
        <v>556</v>
      </c>
      <c r="E8" s="461"/>
      <c r="F8" s="1132">
        <f>2108-Application!Y816</f>
        <v>1978</v>
      </c>
      <c r="G8" s="460">
        <f t="shared" si="0"/>
        <v>13846</v>
      </c>
      <c r="H8" s="461"/>
      <c r="I8" s="460">
        <f t="shared" si="1"/>
        <v>1422</v>
      </c>
      <c r="J8" s="460">
        <f t="shared" si="2"/>
        <v>9954</v>
      </c>
      <c r="K8" s="218"/>
      <c r="L8" s="328"/>
    </row>
    <row r="9" spans="1:12">
      <c r="A9" s="460" t="str">
        <f>Application!B719</f>
        <v>3 Bedrooms</v>
      </c>
      <c r="B9" s="1130">
        <f>Application!G719</f>
        <v>21</v>
      </c>
      <c r="C9" s="1131"/>
      <c r="D9" s="460">
        <f>Application!O719</f>
        <v>1234</v>
      </c>
      <c r="E9" s="461"/>
      <c r="F9" s="1132"/>
      <c r="G9" s="460">
        <f t="shared" si="0"/>
        <v>0</v>
      </c>
      <c r="H9" s="461"/>
      <c r="I9" s="460" t="str">
        <f t="shared" si="1"/>
        <v xml:space="preserve"> </v>
      </c>
      <c r="J9" s="460" t="str">
        <f t="shared" si="2"/>
        <v xml:space="preserve"> </v>
      </c>
      <c r="K9" s="218"/>
      <c r="L9" s="328"/>
    </row>
    <row r="10" spans="1:12">
      <c r="A10" s="460" t="str">
        <f>Application!B720</f>
        <v>3 Bedrooms</v>
      </c>
      <c r="B10" s="1130">
        <f>Application!G720</f>
        <v>2</v>
      </c>
      <c r="C10" s="1131" t="s">
        <v>386</v>
      </c>
      <c r="D10" s="460">
        <f>Application!O720</f>
        <v>556</v>
      </c>
      <c r="E10" s="461"/>
      <c r="F10" s="1132">
        <f>2108-Application!Y816</f>
        <v>1978</v>
      </c>
      <c r="G10" s="460">
        <f t="shared" si="0"/>
        <v>3956</v>
      </c>
      <c r="H10" s="461"/>
      <c r="I10" s="460">
        <f t="shared" si="1"/>
        <v>1422</v>
      </c>
      <c r="J10" s="460">
        <f t="shared" si="2"/>
        <v>2844</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104538</v>
      </c>
      <c r="E30" s="461"/>
      <c r="F30" s="461"/>
      <c r="G30" s="464">
        <f>SUM(G4:G28)*12</f>
        <v>778428</v>
      </c>
      <c r="H30" s="465"/>
      <c r="I30" s="463"/>
      <c r="J30" s="464">
        <f>SUM(J4:J28)*12</f>
        <v>520524</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1" zoomScaleNormal="100" zoomScaleSheetLayoutView="100" workbookViewId="0">
      <selection activeCell="E49" sqref="E49"/>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2519</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1254456</v>
      </c>
      <c r="G4" s="235">
        <f>E4*$C$4</f>
        <v>1285817.3999999999</v>
      </c>
      <c r="I4" s="235">
        <f>G4*$C$4</f>
        <v>1317962.8349999997</v>
      </c>
      <c r="K4" s="235">
        <f>I4*$C$4</f>
        <v>1350911.9058749997</v>
      </c>
      <c r="M4" s="235">
        <f>K4*$C$4</f>
        <v>1384684.7035218745</v>
      </c>
      <c r="O4" s="235">
        <f>M4*$C$4</f>
        <v>1419301.8211099212</v>
      </c>
      <c r="Q4" s="235">
        <f>O4*$C$4</f>
        <v>1454784.366637669</v>
      </c>
      <c r="S4" s="235">
        <f>Q4*$C$4</f>
        <v>1491153.9758036106</v>
      </c>
      <c r="U4" s="235">
        <f>S4*$C$4</f>
        <v>1528432.8251987009</v>
      </c>
      <c r="W4" s="235">
        <f>U4*$C$4</f>
        <v>1566643.6458286683</v>
      </c>
      <c r="Y4" s="235">
        <f>W4*$C$4</f>
        <v>1605809.7369743849</v>
      </c>
      <c r="AA4" s="235">
        <f>Y4*$C$4</f>
        <v>1645954.9803987443</v>
      </c>
      <c r="AC4" s="235">
        <f>AA4*$C$4</f>
        <v>1687103.8549087129</v>
      </c>
      <c r="AE4" s="235">
        <f>AC4*$C$4</f>
        <v>1729281.4512814307</v>
      </c>
      <c r="AG4" s="235">
        <f>AE4*$C$4</f>
        <v>1772513.4875634662</v>
      </c>
    </row>
    <row r="5" spans="1:34" s="225" customFormat="1" ht="14.25">
      <c r="B5" s="225" t="s">
        <v>866</v>
      </c>
      <c r="C5" s="254">
        <f>IF(Application!$D$210="Special Needs",0.1,0.05)</f>
        <v>0.05</v>
      </c>
      <c r="E5" s="237">
        <f>-E4*$C$5</f>
        <v>-62722.8</v>
      </c>
      <c r="F5" s="237"/>
      <c r="G5" s="237">
        <f>-G4*$C$5</f>
        <v>-64290.869999999995</v>
      </c>
      <c r="H5" s="237"/>
      <c r="I5" s="237">
        <f>-I4*$C$5</f>
        <v>-65898.141749999995</v>
      </c>
      <c r="J5" s="237"/>
      <c r="K5" s="237">
        <f>-K4*$C$5</f>
        <v>-67545.595293749982</v>
      </c>
      <c r="L5" s="237"/>
      <c r="M5" s="237">
        <f>-M4*$C$5</f>
        <v>-69234.235176093731</v>
      </c>
      <c r="N5" s="237"/>
      <c r="O5" s="237">
        <f>-O4*$C$5</f>
        <v>-70965.091055496057</v>
      </c>
      <c r="P5" s="237"/>
      <c r="Q5" s="237">
        <f>-Q4*$C$5</f>
        <v>-72739.218331883458</v>
      </c>
      <c r="R5" s="237"/>
      <c r="S5" s="237">
        <f>-S4*$C$5</f>
        <v>-74557.698790180541</v>
      </c>
      <c r="T5" s="237"/>
      <c r="U5" s="237">
        <f>-U4*$C$5</f>
        <v>-76421.641259935044</v>
      </c>
      <c r="V5" s="237"/>
      <c r="W5" s="237">
        <f>-W4*$C$5</f>
        <v>-78332.182291433419</v>
      </c>
      <c r="X5" s="237"/>
      <c r="Y5" s="237">
        <f>-Y4*$C$5</f>
        <v>-80290.486848719243</v>
      </c>
      <c r="Z5" s="237"/>
      <c r="AA5" s="237">
        <f>-AA4*$C$5</f>
        <v>-82297.749019937226</v>
      </c>
      <c r="AB5" s="237"/>
      <c r="AC5" s="237">
        <f>-AC4*$C$5</f>
        <v>-84355.192745435648</v>
      </c>
      <c r="AD5" s="237"/>
      <c r="AE5" s="237">
        <f>-AE4*$C$5</f>
        <v>-86464.072564071539</v>
      </c>
      <c r="AF5" s="237"/>
      <c r="AG5" s="237">
        <f>-AG4*$C$5</f>
        <v>-88625.674378173309</v>
      </c>
    </row>
    <row r="6" spans="1:34" s="225" customFormat="1" ht="14.25">
      <c r="A6" s="225" t="s">
        <v>864</v>
      </c>
      <c r="C6" s="253">
        <v>1.0249999999999999</v>
      </c>
      <c r="E6" s="238">
        <f>Application!Z793</f>
        <v>520524</v>
      </c>
      <c r="F6" s="238"/>
      <c r="G6" s="238">
        <f>E6*$C$6</f>
        <v>533537.1</v>
      </c>
      <c r="H6" s="238"/>
      <c r="I6" s="238">
        <f>G6*$C$6</f>
        <v>546875.52749999997</v>
      </c>
      <c r="J6" s="238"/>
      <c r="K6" s="238">
        <f>I6*$C$6</f>
        <v>560547.41568749992</v>
      </c>
      <c r="L6" s="238"/>
      <c r="M6" s="238">
        <f>K6*$C$6</f>
        <v>574561.10107968736</v>
      </c>
      <c r="N6" s="238"/>
      <c r="O6" s="238">
        <f>M6*$C$6</f>
        <v>588925.1286066795</v>
      </c>
      <c r="P6" s="238"/>
      <c r="Q6" s="238">
        <f>O6*$C$6</f>
        <v>603648.25682184647</v>
      </c>
      <c r="R6" s="238"/>
      <c r="S6" s="238">
        <f>Q6*$C$6</f>
        <v>618739.46324239264</v>
      </c>
      <c r="T6" s="238"/>
      <c r="U6" s="238">
        <f>S6*$C$6</f>
        <v>634207.94982345239</v>
      </c>
      <c r="V6" s="238"/>
      <c r="W6" s="238">
        <f>U6*$C$6</f>
        <v>650063.1485690386</v>
      </c>
      <c r="X6" s="238"/>
      <c r="Y6" s="238">
        <f>W6*$C$6</f>
        <v>666314.72728326451</v>
      </c>
      <c r="Z6" s="238"/>
      <c r="AA6" s="238">
        <f>Y6*$C$6</f>
        <v>682972.59546534601</v>
      </c>
      <c r="AB6" s="238"/>
      <c r="AC6" s="238">
        <f>AA6*$C$6</f>
        <v>700046.91035197955</v>
      </c>
      <c r="AD6" s="238"/>
      <c r="AE6" s="238">
        <f>AC6*$C$6</f>
        <v>717548.08311077894</v>
      </c>
      <c r="AF6" s="238"/>
      <c r="AG6" s="238">
        <f>AE6*$C$6</f>
        <v>735486.78518854838</v>
      </c>
    </row>
    <row r="7" spans="1:34" s="225" customFormat="1" ht="14.25">
      <c r="B7" s="225" t="s">
        <v>866</v>
      </c>
      <c r="C7" s="254">
        <f>IF(Application!$D$210="Special Needs",0.1,0.05)</f>
        <v>0.05</v>
      </c>
      <c r="E7" s="237">
        <f>-E6*$C$7</f>
        <v>-26026.2</v>
      </c>
      <c r="F7" s="237"/>
      <c r="G7" s="237">
        <f>-G6*$C$7</f>
        <v>-26676.855</v>
      </c>
      <c r="H7" s="237"/>
      <c r="I7" s="237">
        <f>-I6*$C$7</f>
        <v>-27343.776375000001</v>
      </c>
      <c r="J7" s="237"/>
      <c r="K7" s="237">
        <f>-K6*$C$7</f>
        <v>-28027.370784374998</v>
      </c>
      <c r="L7" s="237"/>
      <c r="M7" s="237">
        <f>-M6*$C$7</f>
        <v>-28728.055053984368</v>
      </c>
      <c r="N7" s="237"/>
      <c r="O7" s="237">
        <f>-O6*$C$7</f>
        <v>-29446.256430333975</v>
      </c>
      <c r="P7" s="237"/>
      <c r="Q7" s="237">
        <f>-Q6*$C$7</f>
        <v>-30182.412841092326</v>
      </c>
      <c r="R7" s="237"/>
      <c r="S7" s="237">
        <f>-S6*$C$7</f>
        <v>-30936.973162119633</v>
      </c>
      <c r="T7" s="237"/>
      <c r="U7" s="237">
        <f>-U6*$C$7</f>
        <v>-31710.397491172622</v>
      </c>
      <c r="V7" s="237"/>
      <c r="W7" s="237">
        <f>-W6*$C$7</f>
        <v>-32503.15742845193</v>
      </c>
      <c r="X7" s="237"/>
      <c r="Y7" s="237">
        <f>-Y6*$C$7</f>
        <v>-33315.736364163226</v>
      </c>
      <c r="Z7" s="237"/>
      <c r="AA7" s="237">
        <f>-AA6*$C$7</f>
        <v>-34148.629773267305</v>
      </c>
      <c r="AB7" s="237"/>
      <c r="AC7" s="237">
        <f>-AC6*$C$7</f>
        <v>-35002.34551759898</v>
      </c>
      <c r="AD7" s="237"/>
      <c r="AE7" s="237">
        <f>-AE6*$C$7</f>
        <v>-35877.404155538949</v>
      </c>
      <c r="AF7" s="237"/>
      <c r="AG7" s="237">
        <f>-AG6*$C$7</f>
        <v>-36774.339259427419</v>
      </c>
    </row>
    <row r="8" spans="1:34" s="225" customFormat="1" ht="14.25">
      <c r="A8" s="225" t="s">
        <v>289</v>
      </c>
      <c r="C8" s="253">
        <v>1.0249999999999999</v>
      </c>
      <c r="E8" s="238">
        <f>Application!Z801</f>
        <v>15972</v>
      </c>
      <c r="F8" s="238"/>
      <c r="G8" s="238">
        <f>E8*$C$8</f>
        <v>16371.3</v>
      </c>
      <c r="H8" s="238"/>
      <c r="I8" s="238">
        <f>G8*$C$8</f>
        <v>16780.582499999997</v>
      </c>
      <c r="J8" s="238"/>
      <c r="K8" s="238">
        <f>I8*$C$8</f>
        <v>17200.097062499994</v>
      </c>
      <c r="L8" s="238"/>
      <c r="M8" s="238">
        <f>K8*$C$8</f>
        <v>17630.099489062493</v>
      </c>
      <c r="N8" s="238"/>
      <c r="O8" s="238">
        <f>M8*$C$8</f>
        <v>18070.851976289054</v>
      </c>
      <c r="P8" s="238"/>
      <c r="Q8" s="238">
        <f>O8*$C$8</f>
        <v>18522.623275696278</v>
      </c>
      <c r="R8" s="238"/>
      <c r="S8" s="238">
        <f>Q8*$C$8</f>
        <v>18985.688857588684</v>
      </c>
      <c r="T8" s="238"/>
      <c r="U8" s="238">
        <f>S8*$C$8</f>
        <v>19460.331079028401</v>
      </c>
      <c r="V8" s="238"/>
      <c r="W8" s="238">
        <f>U8*$C$8</f>
        <v>19946.839356004111</v>
      </c>
      <c r="X8" s="238"/>
      <c r="Y8" s="238">
        <f>W8*$C$8</f>
        <v>20445.510339904213</v>
      </c>
      <c r="Z8" s="238"/>
      <c r="AA8" s="238">
        <f>Y8*$C$8</f>
        <v>20956.648098401816</v>
      </c>
      <c r="AB8" s="238"/>
      <c r="AC8" s="238">
        <f>AA8*$C$8</f>
        <v>21480.564300861861</v>
      </c>
      <c r="AD8" s="238"/>
      <c r="AE8" s="238">
        <f>AC8*$C$8</f>
        <v>22017.578408383404</v>
      </c>
      <c r="AF8" s="238"/>
      <c r="AG8" s="238">
        <f>AE8*$C$8</f>
        <v>22568.017868592986</v>
      </c>
    </row>
    <row r="9" spans="1:34" s="225" customFormat="1" ht="14.25">
      <c r="B9" s="225" t="s">
        <v>866</v>
      </c>
      <c r="C9" s="254">
        <f>IF(Application!$D$210="Special Needs",0.1,0.05)</f>
        <v>0.05</v>
      </c>
      <c r="E9" s="237">
        <f>-E8*$C$9</f>
        <v>-798.6</v>
      </c>
      <c r="F9" s="237"/>
      <c r="G9" s="237">
        <f>-G8*$C$9</f>
        <v>-818.56500000000005</v>
      </c>
      <c r="H9" s="237"/>
      <c r="I9" s="237">
        <f>-I8*$C$9</f>
        <v>-839.02912499999991</v>
      </c>
      <c r="J9" s="237"/>
      <c r="K9" s="237">
        <f>-K8*$C$9</f>
        <v>-860.00485312499973</v>
      </c>
      <c r="L9" s="237"/>
      <c r="M9" s="237">
        <f>-M8*$C$9</f>
        <v>-881.50497445312476</v>
      </c>
      <c r="N9" s="237"/>
      <c r="O9" s="237">
        <f>-O8*$C$9</f>
        <v>-903.54259881445273</v>
      </c>
      <c r="P9" s="237"/>
      <c r="Q9" s="237">
        <f>-Q8*$C$9</f>
        <v>-926.13116378481391</v>
      </c>
      <c r="R9" s="237"/>
      <c r="S9" s="237">
        <f>-S8*$C$9</f>
        <v>-949.28444287943421</v>
      </c>
      <c r="T9" s="237"/>
      <c r="U9" s="237">
        <f>-U8*$C$9</f>
        <v>-973.01655395142006</v>
      </c>
      <c r="V9" s="237"/>
      <c r="W9" s="237">
        <f>-W8*$C$9</f>
        <v>-997.34196780020557</v>
      </c>
      <c r="X9" s="237"/>
      <c r="Y9" s="237">
        <f>-Y8*$C$9</f>
        <v>-1022.2755169952106</v>
      </c>
      <c r="Z9" s="237"/>
      <c r="AA9" s="237">
        <f>-AA8*$C$9</f>
        <v>-1047.8324049200908</v>
      </c>
      <c r="AB9" s="237"/>
      <c r="AC9" s="237">
        <f>-AC8*$C$9</f>
        <v>-1074.028215043093</v>
      </c>
      <c r="AD9" s="237"/>
      <c r="AE9" s="237">
        <f>-AE8*$C$9</f>
        <v>-1100.8789204191703</v>
      </c>
      <c r="AF9" s="237"/>
      <c r="AG9" s="237">
        <f>-AG8*$C$9</f>
        <v>-1128.4008934296494</v>
      </c>
    </row>
    <row r="10" spans="1:34" s="225" customFormat="1" ht="14.25">
      <c r="A10" s="1196" t="s">
        <v>2524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1701404.4</v>
      </c>
      <c r="G11" s="239">
        <f>SUM(G4:G10)</f>
        <v>1743939.51</v>
      </c>
      <c r="I11" s="239">
        <f>SUM(I4:I10)</f>
        <v>1787537.9977500001</v>
      </c>
      <c r="K11" s="239">
        <f>SUM(K4:K10)</f>
        <v>1832226.4476937498</v>
      </c>
      <c r="M11" s="239">
        <f>SUM(M4:M10)</f>
        <v>1878032.1088860936</v>
      </c>
      <c r="O11" s="239">
        <f>SUM(O4:O10)</f>
        <v>1924982.911608245</v>
      </c>
      <c r="Q11" s="239">
        <f>SUM(Q4:Q10)</f>
        <v>1973107.4843984512</v>
      </c>
      <c r="S11" s="239">
        <f>SUM(S4:S10)</f>
        <v>2022435.1715084123</v>
      </c>
      <c r="U11" s="239">
        <f>SUM(U4:U10)</f>
        <v>2072996.0507961225</v>
      </c>
      <c r="W11" s="239">
        <f>SUM(W4:W10)</f>
        <v>2124820.9520660257</v>
      </c>
      <c r="Y11" s="239">
        <f>SUM(Y4:Y10)</f>
        <v>2177941.4758676761</v>
      </c>
      <c r="AA11" s="239">
        <f>SUM(AA4:AA10)</f>
        <v>2232390.0127643677</v>
      </c>
      <c r="AC11" s="239">
        <f>SUM(AC4:AC10)</f>
        <v>2288199.7630834761</v>
      </c>
      <c r="AE11" s="239">
        <f>SUM(AE4:AE10)</f>
        <v>2345404.7571605635</v>
      </c>
      <c r="AG11" s="239">
        <f>SUM(AG4:AG10)</f>
        <v>2404039.8760895766</v>
      </c>
    </row>
    <row r="12" spans="1:34">
      <c r="C12" s="249"/>
      <c r="E12" s="1260"/>
      <c r="F12" s="1260"/>
      <c r="G12" s="1260" t="s">
        <v>2777</v>
      </c>
      <c r="H12" s="1260"/>
      <c r="I12" s="1260"/>
      <c r="J12" s="1260"/>
      <c r="K12" s="1260"/>
      <c r="L12" s="1260"/>
      <c r="M12" s="1260"/>
      <c r="N12" s="1260"/>
      <c r="O12" s="1260"/>
      <c r="P12" s="230"/>
      <c r="Q12" s="126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f>SUM(E6:AG6,)</f>
        <v>9333998.1927305143</v>
      </c>
      <c r="H13" s="230"/>
      <c r="I13" s="230"/>
      <c r="J13" s="230"/>
      <c r="K13" s="230"/>
      <c r="L13" s="230"/>
      <c r="M13" s="230"/>
      <c r="N13" s="230"/>
      <c r="O13" s="230"/>
      <c r="P13" s="230"/>
      <c r="Q13" s="1261"/>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78885</v>
      </c>
      <c r="G15" s="235">
        <f>E15*$C$14</f>
        <v>81645.974999999991</v>
      </c>
      <c r="I15" s="235">
        <f>G15*$C$14</f>
        <v>84503.584124999979</v>
      </c>
      <c r="K15" s="235">
        <f>I15*$C$14</f>
        <v>87461.209569374972</v>
      </c>
      <c r="M15" s="235">
        <f>K15*$C$14</f>
        <v>90522.351904303083</v>
      </c>
      <c r="O15" s="235">
        <f>M15*$C$14</f>
        <v>93690.634220953682</v>
      </c>
      <c r="Q15" s="235">
        <f>O15*$C$14</f>
        <v>96969.806418687047</v>
      </c>
      <c r="S15" s="235">
        <f>Q15*$C$14</f>
        <v>100363.74964334109</v>
      </c>
      <c r="U15" s="235">
        <f>S15*$C$14</f>
        <v>103876.48088085801</v>
      </c>
      <c r="W15" s="235">
        <f>U15*$C$14</f>
        <v>107512.15771168804</v>
      </c>
      <c r="Y15" s="235">
        <f>W15*$C$14</f>
        <v>111275.08323159711</v>
      </c>
      <c r="AA15" s="235">
        <f>Y15*$C$14</f>
        <v>115169.71114470299</v>
      </c>
      <c r="AC15" s="235">
        <f>AA15*$C$14</f>
        <v>119200.65103476758</v>
      </c>
      <c r="AE15" s="235">
        <f>AC15*$C$14</f>
        <v>123372.67382098443</v>
      </c>
      <c r="AG15" s="235">
        <f>AE15*$C$14</f>
        <v>127690.71740471887</v>
      </c>
    </row>
    <row r="16" spans="1:34" s="225" customFormat="1" ht="14.25">
      <c r="A16" s="225" t="s">
        <v>345</v>
      </c>
      <c r="C16" s="249"/>
      <c r="E16" s="238">
        <f>Application!W833</f>
        <v>74253</v>
      </c>
      <c r="F16" s="238"/>
      <c r="G16" s="238">
        <f t="shared" ref="G16:AG21" si="0">E16*$C$14</f>
        <v>76851.854999999996</v>
      </c>
      <c r="H16" s="238"/>
      <c r="I16" s="238">
        <f t="shared" si="0"/>
        <v>79541.669924999995</v>
      </c>
      <c r="J16" s="238"/>
      <c r="K16" s="238">
        <f t="shared" si="0"/>
        <v>82325.628372374995</v>
      </c>
      <c r="L16" s="238"/>
      <c r="M16" s="238">
        <f t="shared" si="0"/>
        <v>85207.025365408117</v>
      </c>
      <c r="N16" s="238"/>
      <c r="O16" s="238">
        <f t="shared" si="0"/>
        <v>88189.271253197396</v>
      </c>
      <c r="P16" s="238"/>
      <c r="Q16" s="238">
        <f t="shared" si="0"/>
        <v>91275.895747059301</v>
      </c>
      <c r="R16" s="238"/>
      <c r="S16" s="238">
        <f t="shared" si="0"/>
        <v>94470.552098206375</v>
      </c>
      <c r="T16" s="238"/>
      <c r="U16" s="238">
        <f t="shared" si="0"/>
        <v>97777.021421643585</v>
      </c>
      <c r="V16" s="238"/>
      <c r="W16" s="238">
        <f t="shared" si="0"/>
        <v>101199.21717140111</v>
      </c>
      <c r="X16" s="238"/>
      <c r="Y16" s="238">
        <f t="shared" si="0"/>
        <v>104741.18977240013</v>
      </c>
      <c r="Z16" s="238"/>
      <c r="AA16" s="238">
        <f t="shared" si="0"/>
        <v>108407.13141443413</v>
      </c>
      <c r="AB16" s="238"/>
      <c r="AC16" s="238">
        <f t="shared" si="0"/>
        <v>112201.38101393932</v>
      </c>
      <c r="AD16" s="238"/>
      <c r="AE16" s="238">
        <f t="shared" si="0"/>
        <v>116128.42934942718</v>
      </c>
      <c r="AF16" s="238"/>
      <c r="AG16" s="238">
        <f t="shared" si="0"/>
        <v>120192.92437665713</v>
      </c>
    </row>
    <row r="17" spans="1:33" s="225" customFormat="1" ht="14.25">
      <c r="A17" s="225" t="s">
        <v>570</v>
      </c>
      <c r="C17" s="249"/>
      <c r="E17" s="238">
        <f>Application!W839</f>
        <v>99830</v>
      </c>
      <c r="F17" s="238"/>
      <c r="G17" s="238">
        <f t="shared" si="0"/>
        <v>103324.04999999999</v>
      </c>
      <c r="H17" s="238"/>
      <c r="I17" s="238">
        <f t="shared" si="0"/>
        <v>106940.39174999998</v>
      </c>
      <c r="J17" s="238"/>
      <c r="K17" s="238">
        <f t="shared" si="0"/>
        <v>110683.30546124997</v>
      </c>
      <c r="L17" s="238"/>
      <c r="M17" s="238">
        <f t="shared" si="0"/>
        <v>114557.22115239371</v>
      </c>
      <c r="N17" s="238"/>
      <c r="O17" s="238">
        <f t="shared" si="0"/>
        <v>118566.72389272749</v>
      </c>
      <c r="P17" s="238"/>
      <c r="Q17" s="238">
        <f t="shared" si="0"/>
        <v>122716.55922897294</v>
      </c>
      <c r="R17" s="238"/>
      <c r="S17" s="238">
        <f t="shared" si="0"/>
        <v>127011.63880198698</v>
      </c>
      <c r="T17" s="238"/>
      <c r="U17" s="238">
        <f t="shared" si="0"/>
        <v>131457.04616005652</v>
      </c>
      <c r="V17" s="238"/>
      <c r="W17" s="238">
        <f t="shared" si="0"/>
        <v>136058.04277565848</v>
      </c>
      <c r="X17" s="238"/>
      <c r="Y17" s="238">
        <f t="shared" si="0"/>
        <v>140820.07427280652</v>
      </c>
      <c r="Z17" s="238"/>
      <c r="AA17" s="238">
        <f t="shared" si="0"/>
        <v>145748.77687235473</v>
      </c>
      <c r="AB17" s="238"/>
      <c r="AC17" s="238">
        <f t="shared" si="0"/>
        <v>150849.98406288715</v>
      </c>
      <c r="AD17" s="238"/>
      <c r="AE17" s="238">
        <f t="shared" si="0"/>
        <v>156129.7335050882</v>
      </c>
      <c r="AF17" s="238"/>
      <c r="AG17" s="238">
        <f t="shared" si="0"/>
        <v>161594.27417776626</v>
      </c>
    </row>
    <row r="18" spans="1:33" s="225" customFormat="1" ht="14.25">
      <c r="A18" s="225" t="s">
        <v>870</v>
      </c>
      <c r="C18" s="249"/>
      <c r="E18" s="238">
        <f>Application!W846</f>
        <v>220351</v>
      </c>
      <c r="F18" s="238"/>
      <c r="G18" s="238">
        <f t="shared" si="0"/>
        <v>228063.28499999997</v>
      </c>
      <c r="H18" s="238"/>
      <c r="I18" s="238">
        <f t="shared" si="0"/>
        <v>236045.49997499996</v>
      </c>
      <c r="J18" s="238"/>
      <c r="K18" s="238">
        <f t="shared" si="0"/>
        <v>244307.09247412495</v>
      </c>
      <c r="L18" s="238"/>
      <c r="M18" s="238">
        <f t="shared" si="0"/>
        <v>252857.84071071929</v>
      </c>
      <c r="N18" s="238"/>
      <c r="O18" s="238">
        <f t="shared" si="0"/>
        <v>261707.86513559445</v>
      </c>
      <c r="P18" s="238"/>
      <c r="Q18" s="238">
        <f t="shared" si="0"/>
        <v>270867.64041534025</v>
      </c>
      <c r="R18" s="238"/>
      <c r="S18" s="238">
        <f t="shared" si="0"/>
        <v>280348.00782987714</v>
      </c>
      <c r="T18" s="238"/>
      <c r="U18" s="238">
        <f t="shared" si="0"/>
        <v>290160.18810392282</v>
      </c>
      <c r="V18" s="238"/>
      <c r="W18" s="238">
        <f t="shared" si="0"/>
        <v>300315.79468756012</v>
      </c>
      <c r="X18" s="238"/>
      <c r="Y18" s="238">
        <f t="shared" si="0"/>
        <v>310826.84750162472</v>
      </c>
      <c r="Z18" s="238"/>
      <c r="AA18" s="238">
        <f t="shared" si="0"/>
        <v>321705.78716418159</v>
      </c>
      <c r="AB18" s="238"/>
      <c r="AC18" s="238">
        <f t="shared" si="0"/>
        <v>332965.48971492791</v>
      </c>
      <c r="AD18" s="238"/>
      <c r="AE18" s="238">
        <f t="shared" si="0"/>
        <v>344619.28185495036</v>
      </c>
      <c r="AF18" s="238"/>
      <c r="AG18" s="238">
        <f t="shared" si="0"/>
        <v>356680.95671987359</v>
      </c>
    </row>
    <row r="19" spans="1:33" s="225" customFormat="1" ht="14.25">
      <c r="A19" s="225" t="s">
        <v>156</v>
      </c>
      <c r="C19" s="249"/>
      <c r="E19" s="238">
        <f>Application!W847</f>
        <v>113590</v>
      </c>
      <c r="F19" s="238"/>
      <c r="G19" s="238">
        <f t="shared" si="0"/>
        <v>117565.65</v>
      </c>
      <c r="H19" s="238"/>
      <c r="I19" s="238">
        <f t="shared" si="0"/>
        <v>121680.44774999998</v>
      </c>
      <c r="J19" s="238"/>
      <c r="K19" s="238">
        <f t="shared" si="0"/>
        <v>125939.26342124997</v>
      </c>
      <c r="L19" s="238"/>
      <c r="M19" s="238">
        <f t="shared" si="0"/>
        <v>130347.13764099371</v>
      </c>
      <c r="N19" s="238"/>
      <c r="O19" s="238">
        <f t="shared" si="0"/>
        <v>134909.28745842847</v>
      </c>
      <c r="P19" s="238"/>
      <c r="Q19" s="238">
        <f t="shared" si="0"/>
        <v>139631.11251947345</v>
      </c>
      <c r="R19" s="238"/>
      <c r="S19" s="238">
        <f t="shared" si="0"/>
        <v>144518.201457655</v>
      </c>
      <c r="T19" s="238"/>
      <c r="U19" s="238">
        <f t="shared" si="0"/>
        <v>149576.33850867292</v>
      </c>
      <c r="V19" s="238"/>
      <c r="W19" s="238">
        <f t="shared" si="0"/>
        <v>154811.51035647647</v>
      </c>
      <c r="X19" s="238"/>
      <c r="Y19" s="238">
        <f t="shared" si="0"/>
        <v>160229.91321895312</v>
      </c>
      <c r="Z19" s="238"/>
      <c r="AA19" s="238">
        <f t="shared" si="0"/>
        <v>165837.96018161648</v>
      </c>
      <c r="AB19" s="238"/>
      <c r="AC19" s="238">
        <f t="shared" si="0"/>
        <v>171642.28878797306</v>
      </c>
      <c r="AD19" s="238"/>
      <c r="AE19" s="238">
        <f t="shared" si="0"/>
        <v>177649.76889555209</v>
      </c>
      <c r="AF19" s="238"/>
      <c r="AG19" s="238">
        <f t="shared" si="0"/>
        <v>183867.5108068964</v>
      </c>
    </row>
    <row r="20" spans="1:33" s="225" customFormat="1" ht="14.25">
      <c r="A20" s="225" t="s">
        <v>391</v>
      </c>
      <c r="C20" s="249"/>
      <c r="E20" s="238">
        <f>Application!W856</f>
        <v>143266</v>
      </c>
      <c r="F20" s="238"/>
      <c r="G20" s="238">
        <f t="shared" si="0"/>
        <v>148280.31</v>
      </c>
      <c r="H20" s="238"/>
      <c r="I20" s="238">
        <f t="shared" si="0"/>
        <v>153470.12084999998</v>
      </c>
      <c r="J20" s="238"/>
      <c r="K20" s="238">
        <f t="shared" si="0"/>
        <v>158841.57507974998</v>
      </c>
      <c r="L20" s="238"/>
      <c r="M20" s="238">
        <f t="shared" si="0"/>
        <v>164401.03020754122</v>
      </c>
      <c r="N20" s="238"/>
      <c r="O20" s="238">
        <f t="shared" si="0"/>
        <v>170155.06626480515</v>
      </c>
      <c r="P20" s="238"/>
      <c r="Q20" s="238">
        <f t="shared" si="0"/>
        <v>176110.49358407332</v>
      </c>
      <c r="R20" s="238"/>
      <c r="S20" s="238">
        <f t="shared" si="0"/>
        <v>182274.36085951587</v>
      </c>
      <c r="T20" s="238"/>
      <c r="U20" s="238">
        <f t="shared" si="0"/>
        <v>188653.96348959891</v>
      </c>
      <c r="V20" s="238"/>
      <c r="W20" s="238">
        <f t="shared" si="0"/>
        <v>195256.85221173486</v>
      </c>
      <c r="X20" s="238"/>
      <c r="Y20" s="238">
        <f t="shared" si="0"/>
        <v>202090.84203914556</v>
      </c>
      <c r="Z20" s="238"/>
      <c r="AA20" s="238">
        <f t="shared" si="0"/>
        <v>209164.02151051562</v>
      </c>
      <c r="AB20" s="238"/>
      <c r="AC20" s="238">
        <f t="shared" si="0"/>
        <v>216484.76226338366</v>
      </c>
      <c r="AD20" s="238"/>
      <c r="AE20" s="238">
        <f t="shared" si="0"/>
        <v>224061.72894260206</v>
      </c>
      <c r="AF20" s="238"/>
      <c r="AG20" s="238">
        <f t="shared" si="0"/>
        <v>231903.8894555931</v>
      </c>
    </row>
    <row r="21" spans="1:33" s="225" customFormat="1" ht="14.25">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871</v>
      </c>
      <c r="C22" s="249"/>
      <c r="E22" s="239">
        <f>SUM(E15:E21)</f>
        <v>730175</v>
      </c>
      <c r="G22" s="239">
        <f>SUM(G15:G21)</f>
        <v>755731.125</v>
      </c>
      <c r="I22" s="239">
        <f>SUM(I15:I21)</f>
        <v>782181.71437499975</v>
      </c>
      <c r="K22" s="239">
        <f>SUM(K15:K21)</f>
        <v>809558.07437812467</v>
      </c>
      <c r="M22" s="239">
        <f>SUM(M15:M21)</f>
        <v>837892.60698135907</v>
      </c>
      <c r="O22" s="239">
        <f>SUM(O15:O21)</f>
        <v>867218.84822570649</v>
      </c>
      <c r="Q22" s="239">
        <f>SUM(Q15:Q21)</f>
        <v>897571.50791360624</v>
      </c>
      <c r="S22" s="239">
        <f>SUM(S15:S21)</f>
        <v>928986.51069058245</v>
      </c>
      <c r="U22" s="239">
        <f>SUM(U15:U21)</f>
        <v>961501.03856475279</v>
      </c>
      <c r="W22" s="239">
        <f>SUM(W15:W21)</f>
        <v>995153.57491451909</v>
      </c>
      <c r="Y22" s="239">
        <f>SUM(Y15:Y21)</f>
        <v>1029983.9500365271</v>
      </c>
      <c r="AA22" s="239">
        <f>SUM(AA15:AA21)</f>
        <v>1066033.3882878055</v>
      </c>
      <c r="AC22" s="239">
        <f>SUM(AC15:AC21)</f>
        <v>1103344.5568778787</v>
      </c>
      <c r="AE22" s="239">
        <f>SUM(AE15:AE21)</f>
        <v>1141961.6163686044</v>
      </c>
      <c r="AG22" s="239">
        <f>SUM(AG15:AG21)</f>
        <v>1181930.2729415053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48972</v>
      </c>
      <c r="F27" s="238"/>
      <c r="G27" s="238">
        <f>E27*$C$27</f>
        <v>50686.02</v>
      </c>
      <c r="H27" s="238"/>
      <c r="I27" s="238">
        <f>G27*$C$27</f>
        <v>52460.030699999996</v>
      </c>
      <c r="J27" s="238"/>
      <c r="K27" s="238">
        <f>I27*$C$27</f>
        <v>54296.131774499991</v>
      </c>
      <c r="L27" s="238"/>
      <c r="M27" s="238">
        <f>K27*$C$27</f>
        <v>56196.496386607483</v>
      </c>
      <c r="N27" s="238"/>
      <c r="O27" s="238">
        <f>M27*$C$27</f>
        <v>58163.37376013874</v>
      </c>
      <c r="P27" s="238"/>
      <c r="Q27" s="238">
        <f>O27*$C$27</f>
        <v>60199.09184174359</v>
      </c>
      <c r="R27" s="238"/>
      <c r="S27" s="238">
        <f>Q27*$C$27</f>
        <v>62306.060056204609</v>
      </c>
      <c r="T27" s="238"/>
      <c r="U27" s="238">
        <f>S27*$C$27</f>
        <v>64486.772158171763</v>
      </c>
      <c r="V27" s="238"/>
      <c r="W27" s="238">
        <f>U27*$C$27</f>
        <v>66743.809183707766</v>
      </c>
      <c r="X27" s="238"/>
      <c r="Y27" s="238">
        <f>W27*$C$27</f>
        <v>69079.842505137538</v>
      </c>
      <c r="Z27" s="238"/>
      <c r="AA27" s="238">
        <f>Y27*$C$27</f>
        <v>71497.636992817352</v>
      </c>
      <c r="AB27" s="238"/>
      <c r="AC27" s="238">
        <f>AA27*$C$27</f>
        <v>74000.054287565959</v>
      </c>
      <c r="AD27" s="238"/>
      <c r="AE27" s="238">
        <f>AC27*$C$27</f>
        <v>76590.056187630762</v>
      </c>
      <c r="AF27" s="238"/>
      <c r="AG27" s="238">
        <f>AE27*$C$27</f>
        <v>79270.708154197826</v>
      </c>
    </row>
    <row r="28" spans="1:33" s="225" customFormat="1" ht="14.25">
      <c r="A28" s="225" t="s">
        <v>874</v>
      </c>
      <c r="C28" s="253"/>
      <c r="E28" s="238">
        <f>Application!AC873</f>
        <v>39325</v>
      </c>
      <c r="F28" s="238"/>
      <c r="G28" s="238">
        <f>$E$28</f>
        <v>39325</v>
      </c>
      <c r="H28" s="238"/>
      <c r="I28" s="238">
        <f>$E$28</f>
        <v>39325</v>
      </c>
      <c r="J28" s="238"/>
      <c r="K28" s="238">
        <f>$E$28</f>
        <v>39325</v>
      </c>
      <c r="L28" s="238"/>
      <c r="M28" s="238">
        <f>$E$28</f>
        <v>39325</v>
      </c>
      <c r="N28" s="238"/>
      <c r="O28" s="238">
        <f>$E$28</f>
        <v>39325</v>
      </c>
      <c r="P28" s="238"/>
      <c r="Q28" s="238">
        <f>$E$28</f>
        <v>39325</v>
      </c>
      <c r="R28" s="238"/>
      <c r="S28" s="238">
        <f>$E$28</f>
        <v>39325</v>
      </c>
      <c r="T28" s="238"/>
      <c r="U28" s="238">
        <f>$E$28</f>
        <v>39325</v>
      </c>
      <c r="V28" s="238"/>
      <c r="W28" s="238">
        <f>$E$28</f>
        <v>39325</v>
      </c>
      <c r="X28" s="238"/>
      <c r="Y28" s="238">
        <f>$E$28</f>
        <v>39325</v>
      </c>
      <c r="Z28" s="238"/>
      <c r="AA28" s="238">
        <f>$E$28</f>
        <v>39325</v>
      </c>
      <c r="AB28" s="238"/>
      <c r="AC28" s="238">
        <f>$E$28</f>
        <v>39325</v>
      </c>
      <c r="AD28" s="238"/>
      <c r="AE28" s="238">
        <f>$E$28</f>
        <v>39325</v>
      </c>
      <c r="AF28" s="238"/>
      <c r="AG28" s="238">
        <f>$E$28</f>
        <v>39325</v>
      </c>
    </row>
    <row r="29" spans="1:33" s="225" customFormat="1" ht="14.25">
      <c r="A29" s="225" t="s">
        <v>1941</v>
      </c>
      <c r="C29" s="253"/>
      <c r="E29" s="238">
        <f>Application!AC874</f>
        <v>17000</v>
      </c>
      <c r="F29" s="238"/>
      <c r="G29" s="238">
        <f>$E$29</f>
        <v>17000</v>
      </c>
      <c r="H29" s="238"/>
      <c r="I29" s="238">
        <f>$E$29</f>
        <v>17000</v>
      </c>
      <c r="J29" s="238"/>
      <c r="K29" s="238">
        <f>$E$29</f>
        <v>17000</v>
      </c>
      <c r="L29" s="238"/>
      <c r="M29" s="238">
        <f>$E$29</f>
        <v>17000</v>
      </c>
      <c r="N29" s="238"/>
      <c r="O29" s="238">
        <f>$E$29</f>
        <v>17000</v>
      </c>
      <c r="P29" s="238"/>
      <c r="Q29" s="238">
        <f>$E$29</f>
        <v>17000</v>
      </c>
      <c r="R29" s="238"/>
      <c r="S29" s="238">
        <f>$E$29</f>
        <v>17000</v>
      </c>
      <c r="T29" s="238"/>
      <c r="U29" s="238">
        <f>$E$29</f>
        <v>17000</v>
      </c>
      <c r="V29" s="238"/>
      <c r="W29" s="238">
        <f>$E$29</f>
        <v>17000</v>
      </c>
      <c r="X29" s="238"/>
      <c r="Y29" s="238">
        <f>$E$29</f>
        <v>17000</v>
      </c>
      <c r="Z29" s="238"/>
      <c r="AA29" s="238">
        <f>$E$29</f>
        <v>17000</v>
      </c>
      <c r="AB29" s="238"/>
      <c r="AC29" s="238">
        <f>$E$29</f>
        <v>17000</v>
      </c>
      <c r="AD29" s="238"/>
      <c r="AE29" s="238">
        <f>$E$29</f>
        <v>17000</v>
      </c>
      <c r="AF29" s="238"/>
      <c r="AG29" s="238">
        <f>$E$29</f>
        <v>17000</v>
      </c>
    </row>
    <row r="30" spans="1:33" s="225" customFormat="1" ht="14.25">
      <c r="A30" s="225" t="s">
        <v>872</v>
      </c>
      <c r="C30" s="253">
        <v>1.02</v>
      </c>
      <c r="E30" s="238">
        <f>Application!AC875</f>
        <v>7056</v>
      </c>
      <c r="F30" s="238"/>
      <c r="G30" s="238">
        <f>E30*$C$30</f>
        <v>7197.12</v>
      </c>
      <c r="H30" s="238"/>
      <c r="I30" s="238">
        <f>G30*$C$30</f>
        <v>7341.0623999999998</v>
      </c>
      <c r="J30" s="238"/>
      <c r="K30" s="238">
        <f>I30*$C$30</f>
        <v>7487.883648</v>
      </c>
      <c r="L30" s="238"/>
      <c r="M30" s="238">
        <f>K30*$C$30</f>
        <v>7637.6413209600005</v>
      </c>
      <c r="N30" s="238"/>
      <c r="O30" s="238">
        <f>M30*$C$30</f>
        <v>7790.3941473792011</v>
      </c>
      <c r="P30" s="238"/>
      <c r="Q30" s="238">
        <f>O30*$C$30</f>
        <v>7946.2020303267855</v>
      </c>
      <c r="R30" s="238"/>
      <c r="S30" s="238">
        <f>Q30*$C$30</f>
        <v>8105.126070933321</v>
      </c>
      <c r="T30" s="238"/>
      <c r="U30" s="238">
        <f>S30*$C$30</f>
        <v>8267.2285923519867</v>
      </c>
      <c r="V30" s="238"/>
      <c r="W30" s="238">
        <f>U30*$C$30</f>
        <v>8432.573164199026</v>
      </c>
      <c r="X30" s="238"/>
      <c r="Y30" s="238">
        <f>W30*$C$30</f>
        <v>8601.2246274830068</v>
      </c>
      <c r="Z30" s="238"/>
      <c r="AA30" s="238">
        <f>Y30*$C$30</f>
        <v>8773.2491200326676</v>
      </c>
      <c r="AB30" s="238"/>
      <c r="AC30" s="238">
        <f>AA30*$C$30</f>
        <v>8948.7141024333214</v>
      </c>
      <c r="AD30" s="238"/>
      <c r="AE30" s="238">
        <f>AC30*$C$30</f>
        <v>9127.6883844819877</v>
      </c>
      <c r="AF30" s="238"/>
      <c r="AG30" s="238">
        <f>AE30*$C$30</f>
        <v>9310.2421521716278</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842528</v>
      </c>
      <c r="G35" s="239">
        <f>SUM(G22:G33)</f>
        <v>869939.26500000001</v>
      </c>
      <c r="I35" s="239">
        <f>SUM(I22:I33)</f>
        <v>898307.8074749998</v>
      </c>
      <c r="K35" s="239">
        <f>SUM(K22:K33)</f>
        <v>927667.08980062464</v>
      </c>
      <c r="M35" s="239">
        <f>SUM(M22:M33)</f>
        <v>958051.74468892661</v>
      </c>
      <c r="O35" s="239">
        <f>SUM(O22:O33)</f>
        <v>989497.61613322445</v>
      </c>
      <c r="Q35" s="239">
        <f>SUM(Q22:Q33)</f>
        <v>1022041.8017856766</v>
      </c>
      <c r="S35" s="239">
        <f>SUM(S22:S33)</f>
        <v>1055722.6968177203</v>
      </c>
      <c r="U35" s="239">
        <f>SUM(U22:U33)</f>
        <v>1090580.0393152765</v>
      </c>
      <c r="W35" s="239">
        <f>SUM(W22:W33)</f>
        <v>1126654.9572624259</v>
      </c>
      <c r="Y35" s="239">
        <f>SUM(Y22:Y33)</f>
        <v>1163990.0171691475</v>
      </c>
      <c r="AA35" s="239">
        <f>SUM(AA22:AA33)</f>
        <v>1202629.2744006554</v>
      </c>
      <c r="AC35" s="239">
        <f>SUM(AC22:AC33)</f>
        <v>1242618.3252678779</v>
      </c>
      <c r="AE35" s="239">
        <f>SUM(AE22:AE33)</f>
        <v>1284004.3609407172</v>
      </c>
      <c r="AG35" s="239">
        <f>SUM(AG22:AG33)</f>
        <v>1326836.2232478748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858876.39999999991</v>
      </c>
      <c r="G37" s="239">
        <f>G11-G35</f>
        <v>874000.245</v>
      </c>
      <c r="I37" s="239">
        <f>I11-I35</f>
        <v>889230.19027500029</v>
      </c>
      <c r="K37" s="239">
        <f>K11-K35</f>
        <v>904559.35789312515</v>
      </c>
      <c r="M37" s="239">
        <f>M11-M35</f>
        <v>919980.36419716699</v>
      </c>
      <c r="O37" s="239">
        <f>O11-O35</f>
        <v>935485.29547502054</v>
      </c>
      <c r="Q37" s="239">
        <f>Q11-Q35</f>
        <v>951065.68261277454</v>
      </c>
      <c r="S37" s="239">
        <f>S11-S35</f>
        <v>966712.47469069203</v>
      </c>
      <c r="U37" s="239">
        <f>U11-U35</f>
        <v>982416.01148084598</v>
      </c>
      <c r="W37" s="239">
        <f>W11-W35</f>
        <v>998165.99480359978</v>
      </c>
      <c r="Y37" s="239">
        <f>Y11-Y35</f>
        <v>1013951.4586985286</v>
      </c>
      <c r="AA37" s="239">
        <f>AA11-AA35</f>
        <v>1029760.7383637123</v>
      </c>
      <c r="AC37" s="239">
        <f>AC11-AC35</f>
        <v>1045581.4378155982</v>
      </c>
      <c r="AE37" s="239">
        <f>AE11-AE35</f>
        <v>1061400.3962198463</v>
      </c>
      <c r="AG37" s="239">
        <f>AG11-AG35</f>
        <v>1077203.6528417019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PNC Bank - Permanent Loan</v>
      </c>
      <c r="B40" s="242"/>
      <c r="C40" s="236"/>
      <c r="E40" s="238">
        <f>Application!AF623</f>
        <v>742040</v>
      </c>
      <c r="F40" s="238"/>
      <c r="G40" s="238">
        <f>$E$40</f>
        <v>742040</v>
      </c>
      <c r="H40" s="238"/>
      <c r="I40" s="238">
        <f>$E$40</f>
        <v>742040</v>
      </c>
      <c r="J40" s="238"/>
      <c r="K40" s="238">
        <f>$E$40</f>
        <v>742040</v>
      </c>
      <c r="L40" s="238"/>
      <c r="M40" s="238">
        <f>$E$40</f>
        <v>742040</v>
      </c>
      <c r="N40" s="238"/>
      <c r="O40" s="238">
        <f>$E$40</f>
        <v>742040</v>
      </c>
      <c r="P40" s="238"/>
      <c r="Q40" s="238">
        <f>$E$40</f>
        <v>742040</v>
      </c>
      <c r="R40" s="238"/>
      <c r="S40" s="238">
        <f>$E$40</f>
        <v>742040</v>
      </c>
      <c r="T40" s="238"/>
      <c r="U40" s="238">
        <f>$E$40</f>
        <v>742040</v>
      </c>
      <c r="V40" s="238"/>
      <c r="W40" s="238">
        <f>$E$40</f>
        <v>742040</v>
      </c>
      <c r="X40" s="238"/>
      <c r="Y40" s="238">
        <f>$E$40</f>
        <v>742040</v>
      </c>
      <c r="Z40" s="238"/>
      <c r="AA40" s="238">
        <f>$E$40</f>
        <v>742040</v>
      </c>
      <c r="AB40" s="238"/>
      <c r="AC40" s="238">
        <f>$E$40</f>
        <v>742040</v>
      </c>
      <c r="AD40" s="238"/>
      <c r="AE40" s="238">
        <f>$E$40</f>
        <v>742040</v>
      </c>
      <c r="AF40" s="238"/>
      <c r="AG40" s="238">
        <f>$E$40</f>
        <v>742040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742040</v>
      </c>
      <c r="G43" s="239">
        <f>SUM(G40:G42)</f>
        <v>742040</v>
      </c>
      <c r="I43" s="239">
        <f>SUM(I40:I42)</f>
        <v>742040</v>
      </c>
      <c r="K43" s="239">
        <f>SUM(K40:K42)</f>
        <v>742040</v>
      </c>
      <c r="M43" s="239">
        <f>SUM(M40:M42)</f>
        <v>742040</v>
      </c>
      <c r="O43" s="239">
        <f>SUM(O40:O42)</f>
        <v>742040</v>
      </c>
      <c r="Q43" s="239">
        <f>SUM(Q40:Q42)</f>
        <v>742040</v>
      </c>
      <c r="S43" s="239">
        <f>SUM(S40:S42)</f>
        <v>742040</v>
      </c>
      <c r="U43" s="239">
        <f>SUM(U40:U42)</f>
        <v>742040</v>
      </c>
      <c r="W43" s="239">
        <f>SUM(W40:W42)</f>
        <v>742040</v>
      </c>
      <c r="Y43" s="239">
        <f>SUM(Y40:Y42)</f>
        <v>742040</v>
      </c>
      <c r="AA43" s="239">
        <f>SUM(AA40:AA42)</f>
        <v>742040</v>
      </c>
      <c r="AC43" s="239">
        <f>SUM(AC40:AC42)</f>
        <v>742040</v>
      </c>
      <c r="AE43" s="239">
        <f>SUM(AE40:AE42)</f>
        <v>742040</v>
      </c>
      <c r="AG43" s="239">
        <f>SUM(AG40:AG42)</f>
        <v>742040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116836.39999999991</v>
      </c>
      <c r="G45" s="239">
        <f>G37-G43</f>
        <v>131960.245</v>
      </c>
      <c r="I45" s="239">
        <f>I37-I43</f>
        <v>147190.19027500029</v>
      </c>
      <c r="K45" s="239">
        <f>K37-K43</f>
        <v>162519.35789312515</v>
      </c>
      <c r="M45" s="239">
        <f>M37-M43</f>
        <v>177940.36419716699</v>
      </c>
      <c r="O45" s="239">
        <f>O37-O43</f>
        <v>193445.29547502054</v>
      </c>
      <c r="Q45" s="239">
        <f>Q37-Q43</f>
        <v>209025.68261277454</v>
      </c>
      <c r="S45" s="239">
        <f>S37-S43</f>
        <v>224672.47469069203</v>
      </c>
      <c r="U45" s="239">
        <f>U37-U43</f>
        <v>240376.01148084598</v>
      </c>
      <c r="W45" s="239">
        <f>W37-W43</f>
        <v>256125.99480359978</v>
      </c>
      <c r="Y45" s="239">
        <f>Y37-Y43</f>
        <v>271911.45869852859</v>
      </c>
      <c r="AA45" s="239">
        <f>AA37-AA43</f>
        <v>287720.73836371233</v>
      </c>
      <c r="AC45" s="239">
        <f>AC37-AC43</f>
        <v>303541.43781559821</v>
      </c>
      <c r="AE45" s="239">
        <f>AE37-AE43</f>
        <v>319360.39621984633</v>
      </c>
      <c r="AG45" s="239">
        <f>AG37-AG43</f>
        <v>335163.65284170187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6.5237035945128571E-2</v>
      </c>
      <c r="G47" s="243">
        <f>G45/(G4+G6+G8)</f>
        <v>7.1884507479276036E-2</v>
      </c>
      <c r="I47" s="243">
        <f>I45/(I4+I6+I8)</f>
        <v>7.8225291399263791E-2</v>
      </c>
      <c r="K47" s="243">
        <f>K45/(K4+K6+K8)</f>
        <v>8.4265452118544693E-2</v>
      </c>
      <c r="M47" s="243">
        <f>M45/(M4+M6+M8)</f>
        <v>9.0010892352406266E-2</v>
      </c>
      <c r="O47" s="243">
        <f>O45/(O4+O6+O8)</f>
        <v>9.5467356927202332E-2</v>
      </c>
      <c r="Q47" s="243">
        <f>Q45/(Q4+Q6+Q8)</f>
        <v>0.10064043649536707</v>
      </c>
      <c r="S47" s="243">
        <f>S45/(S4+S6+S8)</f>
        <v>0.10553557115848924</v>
      </c>
      <c r="U47" s="243">
        <f>U45/(U4+U6+U8)</f>
        <v>0.11015805400068386</v>
      </c>
      <c r="W47" s="243">
        <f>W45/(W4+W6+W8)</f>
        <v>0.11451303453443119</v>
      </c>
      <c r="Y47" s="243">
        <f>Y45/(Y4+Y6+Y8)</f>
        <v>0.11860552206100536</v>
      </c>
      <c r="AA47" s="243">
        <f>AA45/(AA4+AA6+AA8)</f>
        <v>0.12244038894756408</v>
      </c>
      <c r="AC47" s="243">
        <f>AC45/(AC4+AC6+AC8)</f>
        <v>0.126022373822918</v>
      </c>
      <c r="AE47" s="243">
        <f>AE45/(AE4+AE6+AE8)</f>
        <v>0.12935608469394955</v>
      </c>
      <c r="AG47" s="243">
        <f>AG45/(AG4+AG6+AG8)</f>
        <v>0.13244600198459963</v>
      </c>
    </row>
    <row r="48" spans="1:33" s="243" customFormat="1" ht="14.25">
      <c r="A48" s="243" t="s">
        <v>880</v>
      </c>
      <c r="C48" s="236"/>
      <c r="E48" s="243">
        <f>E45/E43</f>
        <v>0.15745296749501361</v>
      </c>
      <c r="G48" s="243">
        <f>G45/G43</f>
        <v>0.17783440919626975</v>
      </c>
      <c r="I48" s="243">
        <f>I45/I43</f>
        <v>0.19835883547382929</v>
      </c>
      <c r="K48" s="243">
        <f>K45/K43</f>
        <v>0.219016977377399</v>
      </c>
      <c r="M48" s="243">
        <f>M45/M43</f>
        <v>0.23979888442289768</v>
      </c>
      <c r="O48" s="243">
        <f>O45/O43</f>
        <v>0.26069389180505165</v>
      </c>
      <c r="Q48" s="243">
        <f>Q45/Q43</f>
        <v>0.28169058623898247</v>
      </c>
      <c r="S48" s="243">
        <f>S45/S43</f>
        <v>0.30277677037719264</v>
      </c>
      <c r="U48" s="243">
        <f>U45/U43</f>
        <v>0.3239394257463829</v>
      </c>
      <c r="W48" s="243">
        <f>W45/W43</f>
        <v>0.34516467414640689</v>
      </c>
      <c r="Y48" s="243">
        <f>Y45/Y43</f>
        <v>0.36643773745152364</v>
      </c>
      <c r="AA48" s="243">
        <f>AA45/AA43</f>
        <v>0.38774289575186288</v>
      </c>
      <c r="AC48" s="243">
        <f>AC45/AC43</f>
        <v>0.40906344377068382</v>
      </c>
      <c r="AE48" s="243">
        <f>AE45/AE43</f>
        <v>0.43038164549060204</v>
      </c>
      <c r="AG48" s="243">
        <f>AG45/AG43</f>
        <v>0.45167868691944085</v>
      </c>
    </row>
    <row r="49" spans="1:35" s="244" customFormat="1" ht="14.25">
      <c r="A49" s="244" t="s">
        <v>878</v>
      </c>
      <c r="C49" s="245"/>
      <c r="E49" s="244">
        <f>E37/E43</f>
        <v>1.1574529674950136</v>
      </c>
      <c r="G49" s="244">
        <f>G37/G43</f>
        <v>1.1778344091962698</v>
      </c>
      <c r="I49" s="244">
        <f>I37/I43</f>
        <v>1.1983588354738293</v>
      </c>
      <c r="K49" s="244">
        <f>K37/K43</f>
        <v>1.2190169773773989</v>
      </c>
      <c r="M49" s="244">
        <f>M37/M43</f>
        <v>1.2397988844228978</v>
      </c>
      <c r="O49" s="244">
        <f>O37/O43</f>
        <v>1.2606938918050516</v>
      </c>
      <c r="Q49" s="244">
        <f>Q37/Q43</f>
        <v>1.2816905862389825</v>
      </c>
      <c r="S49" s="244">
        <f>S37/S43</f>
        <v>1.3027767703771926</v>
      </c>
      <c r="U49" s="244">
        <f>U37/U43</f>
        <v>1.323939425746383</v>
      </c>
      <c r="W49" s="244">
        <f>W37/W43</f>
        <v>1.3451646741464069</v>
      </c>
      <c r="Y49" s="244">
        <f>Y37/Y43</f>
        <v>1.3664377374515235</v>
      </c>
      <c r="AA49" s="244">
        <f>AA37/AA43</f>
        <v>1.3877428957518629</v>
      </c>
      <c r="AC49" s="244">
        <f>AC37/AC43</f>
        <v>1.4090634437706837</v>
      </c>
      <c r="AE49" s="244">
        <f>AE37/AE43</f>
        <v>1.430381645490602</v>
      </c>
      <c r="AG49" s="244">
        <f>AG37/AG43</f>
        <v>1.4516786869194409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5" t="s">
        <v>1327</v>
      </c>
      <c r="B52" s="2545"/>
      <c r="C52" s="254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1.03</v>
      </c>
      <c r="E53" s="1001">
        <v>15000</v>
      </c>
      <c r="G53" s="997">
        <f>E53*$C$53</f>
        <v>15450</v>
      </c>
      <c r="I53" s="997">
        <f>G53*$C$53</f>
        <v>15913.5</v>
      </c>
      <c r="K53" s="997">
        <f>I53*$C$53</f>
        <v>16390.904999999999</v>
      </c>
      <c r="M53" s="997">
        <f>K53*$C$53</f>
        <v>16882.632149999998</v>
      </c>
      <c r="O53" s="997">
        <f>M53*$C$53</f>
        <v>17389.1111145</v>
      </c>
      <c r="Q53" s="997">
        <f>O53*$C$53</f>
        <v>17910.784447934999</v>
      </c>
      <c r="S53" s="997">
        <f>Q53*$C$53</f>
        <v>18448.10798137305</v>
      </c>
      <c r="U53" s="997">
        <f>S53*$C$53</f>
        <v>19001.551220814243</v>
      </c>
      <c r="W53" s="997">
        <f>U53*$C$53</f>
        <v>19571.597757438671</v>
      </c>
      <c r="Y53" s="997">
        <f>W53*$C$53</f>
        <v>20158.745690161832</v>
      </c>
      <c r="AA53" s="997">
        <f>Y53*$C$53</f>
        <v>20763.508060866687</v>
      </c>
      <c r="AC53" s="997">
        <f>AA53*$C$53</f>
        <v>21386.413302692687</v>
      </c>
      <c r="AE53" s="997">
        <f>AC53*$C$53</f>
        <v>22028.005701773469</v>
      </c>
      <c r="AG53" s="997">
        <f>AE53*$C$53</f>
        <v>22688.845872826674</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t="s">
        <v>2747</v>
      </c>
      <c r="B56" s="1003"/>
      <c r="C56" s="995"/>
      <c r="E56" s="1002">
        <v>10000</v>
      </c>
      <c r="F56" s="997"/>
      <c r="G56" s="997">
        <f t="shared" si="1"/>
        <v>10300</v>
      </c>
      <c r="H56" s="997"/>
      <c r="I56" s="997">
        <f t="shared" si="1"/>
        <v>10609</v>
      </c>
      <c r="J56" s="997"/>
      <c r="K56" s="997">
        <f t="shared" si="1"/>
        <v>10927.27</v>
      </c>
      <c r="L56" s="997"/>
      <c r="M56" s="997">
        <f t="shared" si="1"/>
        <v>11255.088100000001</v>
      </c>
      <c r="N56" s="997"/>
      <c r="O56" s="997">
        <f t="shared" si="1"/>
        <v>11592.740743</v>
      </c>
      <c r="P56" s="997"/>
      <c r="Q56" s="997">
        <f t="shared" si="1"/>
        <v>11940.52296529</v>
      </c>
      <c r="R56" s="997"/>
      <c r="S56" s="997">
        <f t="shared" si="1"/>
        <v>12298.7386542487</v>
      </c>
      <c r="T56" s="997"/>
      <c r="U56" s="997">
        <f t="shared" si="1"/>
        <v>12667.700813876161</v>
      </c>
      <c r="V56" s="997"/>
      <c r="W56" s="997">
        <f t="shared" si="1"/>
        <v>13047.731838292446</v>
      </c>
      <c r="X56" s="997"/>
      <c r="Y56" s="997">
        <f t="shared" si="1"/>
        <v>13439.163793441219</v>
      </c>
      <c r="Z56" s="997"/>
      <c r="AA56" s="997">
        <f t="shared" si="1"/>
        <v>13842.338707244457</v>
      </c>
      <c r="AB56" s="997"/>
      <c r="AC56" s="997">
        <f t="shared" si="1"/>
        <v>14257.60886846179</v>
      </c>
      <c r="AD56" s="997"/>
      <c r="AE56" s="997">
        <f t="shared" si="1"/>
        <v>14685.337134515645</v>
      </c>
      <c r="AF56" s="997"/>
      <c r="AG56" s="997">
        <f t="shared" si="1"/>
        <v>15125.897248551115</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25000</v>
      </c>
      <c r="F58" s="997"/>
      <c r="G58" s="997">
        <f>SUM(G53:G57)</f>
        <v>25750</v>
      </c>
      <c r="H58" s="997"/>
      <c r="I58" s="997">
        <f>SUM(I53:I57)</f>
        <v>26522.5</v>
      </c>
      <c r="J58" s="997"/>
      <c r="K58" s="997">
        <f>SUM(K53:K57)</f>
        <v>27318.174999999999</v>
      </c>
      <c r="L58" s="997"/>
      <c r="M58" s="997">
        <f>SUM(M53:M57)</f>
        <v>28137.720249999998</v>
      </c>
      <c r="N58" s="997"/>
      <c r="O58" s="997">
        <f>SUM(O53:O57)</f>
        <v>28981.851857499998</v>
      </c>
      <c r="P58" s="997"/>
      <c r="Q58" s="997">
        <f>SUM(Q53:Q57)</f>
        <v>29851.307413224997</v>
      </c>
      <c r="R58" s="997"/>
      <c r="S58" s="997">
        <f>SUM(S53:S57)</f>
        <v>30746.84663562175</v>
      </c>
      <c r="T58" s="997"/>
      <c r="U58" s="997">
        <f>SUM(U53:U57)</f>
        <v>31669.252034690406</v>
      </c>
      <c r="V58" s="997"/>
      <c r="W58" s="997">
        <f>SUM(W53:W57)</f>
        <v>32619.329595731117</v>
      </c>
      <c r="X58" s="997"/>
      <c r="Y58" s="997">
        <f>SUM(Y53:Y57)</f>
        <v>33597.909483603049</v>
      </c>
      <c r="Z58" s="997"/>
      <c r="AA58" s="997">
        <f>SUM(AA53:AA57)</f>
        <v>34605.846768111143</v>
      </c>
      <c r="AB58" s="997"/>
      <c r="AC58" s="997">
        <f>SUM(AC53:AC57)</f>
        <v>35644.022171154473</v>
      </c>
      <c r="AD58" s="997"/>
      <c r="AE58" s="997">
        <f>SUM(AE53:AE57)</f>
        <v>36713.342836289114</v>
      </c>
      <c r="AF58" s="997"/>
      <c r="AG58" s="997">
        <f>SUM(AG53:AG57)</f>
        <v>37814.743121377789</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91836.399999999907</v>
      </c>
      <c r="G60" s="999">
        <f>G45-G58</f>
        <v>106210.245</v>
      </c>
      <c r="I60" s="999">
        <f>I45-I58</f>
        <v>120667.69027500029</v>
      </c>
      <c r="K60" s="999">
        <f>K45-K58</f>
        <v>135201.18289312517</v>
      </c>
      <c r="M60" s="999">
        <f>M45-M58</f>
        <v>149802.64394716697</v>
      </c>
      <c r="O60" s="999">
        <f>O45-O58</f>
        <v>164463.44361752053</v>
      </c>
      <c r="Q60" s="999">
        <f>Q45-Q58</f>
        <v>179174.37519954954</v>
      </c>
      <c r="S60" s="999">
        <f>S45-S58</f>
        <v>193925.62805507029</v>
      </c>
      <c r="U60" s="999">
        <f>U45-U58</f>
        <v>208706.75944615557</v>
      </c>
      <c r="W60" s="999">
        <f>W45-W58</f>
        <v>223506.66520786867</v>
      </c>
      <c r="Y60" s="999">
        <f>Y45-Y58</f>
        <v>238313.54921492553</v>
      </c>
      <c r="AA60" s="999">
        <f>AA45-AA58</f>
        <v>253114.89159560119</v>
      </c>
      <c r="AC60" s="999">
        <f>AC45-AC58</f>
        <v>267897.41564444371</v>
      </c>
      <c r="AE60" s="999">
        <f>AE45-AE58</f>
        <v>282647.05338355724</v>
      </c>
      <c r="AG60" s="999">
        <f>AG45-AG58</f>
        <v>297348.9097203241</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1">
        <f>E60*$C$62</f>
        <v>91836.399999999907</v>
      </c>
      <c r="G62" s="999">
        <f>G60*$C$62</f>
        <v>106210.245</v>
      </c>
      <c r="I62" s="999">
        <f>I60*$C$62</f>
        <v>120667.69027500029</v>
      </c>
      <c r="K62" s="999">
        <f>K60*$C$62</f>
        <v>135201.18289312517</v>
      </c>
      <c r="M62" s="999">
        <f>M60*$C$62</f>
        <v>149802.64394716697</v>
      </c>
      <c r="O62" s="999">
        <f>O60*$C$62</f>
        <v>164463.44361752053</v>
      </c>
      <c r="Q62" s="999">
        <f>Q60*$C$62</f>
        <v>179174.37519954954</v>
      </c>
      <c r="S62" s="999">
        <f>S60*$C$62</f>
        <v>193925.62805507029</v>
      </c>
      <c r="U62" s="999">
        <f>U60*$C$62</f>
        <v>208706.75944615557</v>
      </c>
      <c r="W62" s="999">
        <f>W60*$C$62</f>
        <v>223506.66520786867</v>
      </c>
      <c r="Y62" s="999">
        <f>Y60*$C$62</f>
        <v>238313.54921492553</v>
      </c>
      <c r="AA62" s="999">
        <v>61486</v>
      </c>
    </row>
    <row r="63" spans="1:35" s="999" customFormat="1">
      <c r="A63" s="2545" t="s">
        <v>1327</v>
      </c>
      <c r="B63" s="2545"/>
      <c r="C63" s="2545"/>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2748</v>
      </c>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AC60/2</f>
        <v>133948.70782222186</v>
      </c>
      <c r="AE66" s="997">
        <f>AE60/2</f>
        <v>141323.52669177862</v>
      </c>
      <c r="AG66" s="997">
        <f>AG60/2</f>
        <v>148674.45486016205</v>
      </c>
    </row>
    <row r="67" spans="1:35" s="997" customFormat="1">
      <c r="A67" s="1002" t="s">
        <v>2711</v>
      </c>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AC60/2</f>
        <v>133948.70782222186</v>
      </c>
      <c r="AE67" s="997">
        <f>AE60/2</f>
        <v>141323.52669177862</v>
      </c>
      <c r="AG67" s="997">
        <f>AG60/2</f>
        <v>148674.45486016205</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267897.41564444371</v>
      </c>
      <c r="AE70" s="997">
        <f>SUM(AE66:AE69)</f>
        <v>282647.05338355724</v>
      </c>
      <c r="AG70" s="997">
        <f>SUM(AG66:AG69)</f>
        <v>297348.9097203241</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191628.89159560119</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43" t="s">
        <v>1983</v>
      </c>
      <c r="B77" s="2544"/>
      <c r="C77" s="2544"/>
      <c r="D77" s="2544"/>
      <c r="E77" s="2544"/>
      <c r="F77" s="2544"/>
      <c r="G77" s="2544"/>
      <c r="H77" s="2544"/>
      <c r="I77" s="2544"/>
      <c r="J77" s="2544"/>
      <c r="K77" s="2544"/>
      <c r="L77" s="2544"/>
      <c r="M77" s="2544"/>
      <c r="N77" s="2544"/>
      <c r="O77" s="2544"/>
      <c r="P77" s="2544"/>
      <c r="Q77" s="2544"/>
      <c r="R77" s="2544"/>
      <c r="S77" s="2544"/>
      <c r="T77" s="2544"/>
      <c r="U77" s="2544"/>
      <c r="V77" s="2544"/>
      <c r="W77" s="2544"/>
      <c r="X77" s="2544"/>
      <c r="Y77" s="2544"/>
      <c r="Z77" s="2544"/>
      <c r="AA77" s="2544"/>
      <c r="AB77" s="2544"/>
      <c r="AC77" s="2544"/>
      <c r="AD77" s="2544"/>
      <c r="AE77" s="2544"/>
      <c r="AF77" s="2544"/>
      <c r="AG77" s="254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1965539</v>
      </c>
      <c r="C5" s="286">
        <f>'Sources and Uses Budget'!$C4</f>
        <v>1965539</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1965539</v>
      </c>
      <c r="C9" s="290">
        <f>SUM(C5:C8)</f>
        <v>1965539</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4486695</v>
      </c>
      <c r="C11" s="286">
        <f>'Sources and Uses Budget'!$C10</f>
        <v>4486695</v>
      </c>
      <c r="D11" s="290">
        <f t="shared" si="0"/>
        <v>0</v>
      </c>
      <c r="E11" s="288"/>
      <c r="F11" s="287"/>
      <c r="G11" s="384"/>
    </row>
    <row r="12" spans="1:7" s="381" customFormat="1">
      <c r="A12" s="397" t="s">
        <v>605</v>
      </c>
      <c r="B12" s="290">
        <f>SUM(B10:B11)</f>
        <v>4486695</v>
      </c>
      <c r="C12" s="290">
        <f>SUM(C10:C11)</f>
        <v>4486695</v>
      </c>
      <c r="D12" s="290">
        <f t="shared" si="0"/>
        <v>0</v>
      </c>
      <c r="E12" s="288"/>
      <c r="F12" s="287"/>
      <c r="G12" s="384"/>
    </row>
    <row r="13" spans="1:7" s="381" customFormat="1">
      <c r="A13" s="397" t="s">
        <v>85</v>
      </c>
      <c r="B13" s="290">
        <f>SUM(B9+B12)</f>
        <v>6452234</v>
      </c>
      <c r="C13" s="290">
        <f>SUM(C9+C12)</f>
        <v>6452234</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Solar &amp; Performance Bond</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8953428</v>
      </c>
      <c r="C30" s="286">
        <f>'Sources and Uses Budget'!$C29</f>
        <v>8953428</v>
      </c>
      <c r="D30" s="290">
        <f t="shared" si="0"/>
        <v>0</v>
      </c>
      <c r="E30" s="288"/>
      <c r="F30" s="287"/>
      <c r="G30" s="384"/>
    </row>
    <row r="31" spans="1:7" s="381" customFormat="1">
      <c r="A31" s="145" t="s">
        <v>608</v>
      </c>
      <c r="B31" s="286">
        <f>'Sources and Uses Budget'!$C30</f>
        <v>33184657</v>
      </c>
      <c r="C31" s="286">
        <f>'Sources and Uses Budget'!$C30</f>
        <v>33184657</v>
      </c>
      <c r="D31" s="290">
        <f t="shared" si="0"/>
        <v>0</v>
      </c>
      <c r="E31" s="288"/>
      <c r="F31" s="287"/>
      <c r="G31" s="384"/>
    </row>
    <row r="32" spans="1:7" s="381" customFormat="1">
      <c r="A32" s="145" t="s">
        <v>609</v>
      </c>
      <c r="B32" s="286">
        <f>'Sources and Uses Budget'!$C31</f>
        <v>2831381</v>
      </c>
      <c r="C32" s="286">
        <f>'Sources and Uses Budget'!$C31</f>
        <v>2831381</v>
      </c>
      <c r="D32" s="290">
        <f t="shared" si="0"/>
        <v>0</v>
      </c>
      <c r="E32" s="288"/>
      <c r="F32" s="287"/>
      <c r="G32" s="384"/>
    </row>
    <row r="33" spans="1:7" s="381" customFormat="1">
      <c r="A33" s="145" t="s">
        <v>138</v>
      </c>
      <c r="B33" s="286">
        <f>'Sources and Uses Budget'!$C32</f>
        <v>3775174</v>
      </c>
      <c r="C33" s="286">
        <f>'Sources and Uses Budget'!$C32</f>
        <v>3775174</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42700</v>
      </c>
      <c r="C35" s="286">
        <f>'Sources and Uses Budget'!$C34</f>
        <v>42700</v>
      </c>
      <c r="D35" s="290">
        <f t="shared" si="0"/>
        <v>0</v>
      </c>
      <c r="E35" s="288"/>
      <c r="F35" s="287"/>
      <c r="G35" s="384"/>
    </row>
    <row r="36" spans="1:7" s="381" customFormat="1">
      <c r="A36" s="145" t="s">
        <v>141</v>
      </c>
      <c r="B36" s="286">
        <f>'Sources and Uses Budget'!$C35</f>
        <v>537962</v>
      </c>
      <c r="C36" s="286">
        <f>'Sources and Uses Budget'!$C35</f>
        <v>537962</v>
      </c>
      <c r="D36" s="290">
        <f t="shared" si="0"/>
        <v>0</v>
      </c>
      <c r="E36" s="288"/>
      <c r="F36" s="287"/>
      <c r="G36" s="384"/>
    </row>
    <row r="37" spans="1:7" s="381" customFormat="1">
      <c r="A37" s="304" t="s">
        <v>1822</v>
      </c>
      <c r="B37" s="286">
        <f>'Sources and Uses Budget'!$C36</f>
        <v>475000</v>
      </c>
      <c r="C37" s="286">
        <f>'Sources and Uses Budget'!$C36</f>
        <v>475000</v>
      </c>
      <c r="D37" s="290"/>
      <c r="E37" s="288"/>
      <c r="F37" s="287"/>
      <c r="G37" s="384"/>
    </row>
    <row r="38" spans="1:7" s="381" customFormat="1">
      <c r="A38" s="155" t="str">
        <f>'Sources and Uses Budget'!A37</f>
        <v>Solar &amp; Performance Bond</v>
      </c>
      <c r="B38" s="286">
        <f>'Sources and Uses Budget'!$C37</f>
        <v>1372877</v>
      </c>
      <c r="C38" s="286">
        <f>'Sources and Uses Budget'!$C37</f>
        <v>1372877</v>
      </c>
      <c r="D38" s="290">
        <f t="shared" si="0"/>
        <v>0</v>
      </c>
      <c r="E38" s="288"/>
      <c r="F38" s="287"/>
      <c r="G38" s="384"/>
    </row>
    <row r="39" spans="1:7" s="381" customFormat="1">
      <c r="A39" s="291" t="s">
        <v>144</v>
      </c>
      <c r="B39" s="290">
        <f>SUM(B30:B38)</f>
        <v>51173179</v>
      </c>
      <c r="C39" s="290">
        <f>SUM(C30:C38)</f>
        <v>51173179</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1100000</v>
      </c>
      <c r="C41" s="286">
        <f>'Sources and Uses Budget'!$C40</f>
        <v>1100000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1100000</v>
      </c>
      <c r="C43" s="290">
        <f>SUM(C41:C42)</f>
        <v>1100000</v>
      </c>
      <c r="D43" s="290">
        <f t="shared" si="0"/>
        <v>0</v>
      </c>
      <c r="E43" s="288"/>
      <c r="F43" s="287"/>
      <c r="G43" s="384"/>
    </row>
    <row r="44" spans="1:7" s="381" customFormat="1">
      <c r="A44" s="291" t="s">
        <v>149</v>
      </c>
      <c r="B44" s="286">
        <f>'Sources and Uses Budget'!$C43</f>
        <v>0</v>
      </c>
      <c r="C44" s="286">
        <f>'Sources and Uses Budget'!$C43</f>
        <v>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2990909</v>
      </c>
      <c r="C46" s="286">
        <f>'Sources and Uses Budget'!$C45</f>
        <v>2990909</v>
      </c>
      <c r="D46" s="290">
        <f t="shared" si="0"/>
        <v>0</v>
      </c>
      <c r="E46" s="288"/>
      <c r="F46" s="287"/>
      <c r="G46" s="384"/>
    </row>
    <row r="47" spans="1:7" s="381" customFormat="1">
      <c r="A47" s="145" t="s">
        <v>152</v>
      </c>
      <c r="B47" s="286">
        <f>'Sources and Uses Budget'!$C46</f>
        <v>503341</v>
      </c>
      <c r="C47" s="286">
        <f>'Sources and Uses Budget'!$C46</f>
        <v>503341</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60000</v>
      </c>
      <c r="C51" s="286">
        <f>'Sources and Uses Budget'!$C50</f>
        <v>60000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ht="24">
      <c r="A54" s="155" t="str">
        <f>'Sources and Uses Budget'!A53</f>
        <v>Capitalized SLP Fee, Due Diligence Fee &amp; MGP Due Diligence Fee</v>
      </c>
      <c r="B54" s="286">
        <f>'Sources and Uses Budget'!$C53</f>
        <v>240000</v>
      </c>
      <c r="C54" s="286">
        <f>'Sources and Uses Budget'!$C53</f>
        <v>240000</v>
      </c>
      <c r="D54" s="290">
        <f t="shared" si="0"/>
        <v>0</v>
      </c>
      <c r="E54" s="288"/>
      <c r="F54" s="287"/>
      <c r="G54" s="384"/>
    </row>
    <row r="55" spans="1:7" s="382" customFormat="1">
      <c r="A55" s="291" t="s">
        <v>158</v>
      </c>
      <c r="B55" s="293">
        <f>SUM(B46:B54)</f>
        <v>3794250</v>
      </c>
      <c r="C55" s="293">
        <f>SUM(C46:C54)</f>
        <v>3794250</v>
      </c>
      <c r="D55" s="290">
        <f t="shared" si="0"/>
        <v>0</v>
      </c>
      <c r="E55" s="288"/>
      <c r="F55" s="287"/>
      <c r="G55" s="385"/>
    </row>
    <row r="56" spans="1:7" s="381" customFormat="1">
      <c r="A56" s="284" t="s">
        <v>419</v>
      </c>
      <c r="B56" s="284"/>
      <c r="C56" s="284"/>
      <c r="D56" s="284"/>
      <c r="E56" s="303"/>
      <c r="F56" s="284"/>
      <c r="G56" s="384"/>
    </row>
    <row r="57" spans="1:7" s="381" customFormat="1">
      <c r="A57" s="289" t="s">
        <v>159</v>
      </c>
      <c r="B57" s="286">
        <f>'Sources and Uses Budget'!$C56</f>
        <v>51764</v>
      </c>
      <c r="C57" s="286">
        <f>'Sources and Uses Budget'!$C56</f>
        <v>51764</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CDLAC Fees + Bond Issuance</v>
      </c>
      <c r="B62" s="286">
        <f>'Sources and Uses Budget'!$C61</f>
        <v>230867</v>
      </c>
      <c r="C62" s="286">
        <f>'Sources and Uses Budget'!$C61</f>
        <v>230867</v>
      </c>
      <c r="D62" s="290">
        <f t="shared" si="0"/>
        <v>0</v>
      </c>
      <c r="E62" s="288"/>
      <c r="F62" s="287"/>
      <c r="G62" s="384"/>
    </row>
    <row r="63" spans="1:7" s="381" customFormat="1" ht="13.7" customHeight="1">
      <c r="A63" s="291" t="s">
        <v>302</v>
      </c>
      <c r="B63" s="290">
        <f>SUM(B57:B62)</f>
        <v>282631</v>
      </c>
      <c r="C63" s="290">
        <f>SUM(C57:C62)</f>
        <v>282631</v>
      </c>
      <c r="D63" s="290">
        <f t="shared" si="0"/>
        <v>0</v>
      </c>
      <c r="E63" s="288"/>
      <c r="F63" s="287"/>
      <c r="G63" s="384"/>
    </row>
    <row r="64" spans="1:7" s="381" customFormat="1">
      <c r="A64" s="294" t="s">
        <v>303</v>
      </c>
      <c r="B64" s="290">
        <f>SUM(B9+B12+B14+B15+B17+B26+B28+B39+B43+B44+B55+B63)</f>
        <v>62802294</v>
      </c>
      <c r="C64" s="290">
        <f>SUM(C9+C12+C14+C15+C17+C26+C28+C39+C43+C44+C55+C63)</f>
        <v>62802294</v>
      </c>
      <c r="D64" s="290">
        <f t="shared" si="0"/>
        <v>0</v>
      </c>
      <c r="E64" s="288"/>
      <c r="F64" s="287"/>
      <c r="G64" s="384"/>
    </row>
    <row r="65" spans="1:7" s="381" customFormat="1" ht="24">
      <c r="A65" s="141" t="s">
        <v>1826</v>
      </c>
      <c r="B65" s="284"/>
      <c r="C65" s="284"/>
      <c r="D65" s="284"/>
      <c r="E65" s="303"/>
      <c r="F65" s="284"/>
      <c r="G65" s="384"/>
    </row>
    <row r="66" spans="1:7" s="381" customFormat="1">
      <c r="A66" s="145" t="s">
        <v>171</v>
      </c>
      <c r="B66" s="286">
        <f>'Sources and Uses Budget'!$C65</f>
        <v>70000</v>
      </c>
      <c r="C66" s="286">
        <f>'Sources and Uses Budget'!$C65</f>
        <v>70000</v>
      </c>
      <c r="D66" s="290">
        <f t="shared" si="0"/>
        <v>0</v>
      </c>
      <c r="E66" s="288"/>
      <c r="F66" s="287"/>
      <c r="G66" s="384"/>
    </row>
    <row r="67" spans="1:7" s="381" customFormat="1" ht="24">
      <c r="A67" s="304" t="s">
        <v>1823</v>
      </c>
      <c r="B67" s="286">
        <f>'Sources and Uses Budget'!$C66</f>
        <v>0</v>
      </c>
      <c r="C67" s="286">
        <f>'Sources and Uses Budget'!$C66</f>
        <v>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Borrower Attorney</v>
      </c>
      <c r="B70" s="286">
        <f>'Sources and Uses Budget'!$C69</f>
        <v>120000</v>
      </c>
      <c r="C70" s="286">
        <f>'Sources and Uses Budget'!$C69</f>
        <v>120000</v>
      </c>
      <c r="D70" s="290">
        <f t="shared" si="0"/>
        <v>0</v>
      </c>
      <c r="E70" s="288"/>
      <c r="F70" s="287"/>
      <c r="G70" s="384"/>
    </row>
    <row r="71" spans="1:7" s="381" customFormat="1">
      <c r="A71" s="149" t="s">
        <v>1827</v>
      </c>
      <c r="B71" s="290">
        <f>SUM(B66:B70)</f>
        <v>190000</v>
      </c>
      <c r="C71" s="290">
        <f>SUM(C66:C70)</f>
        <v>190000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391291</v>
      </c>
      <c r="C76" s="286">
        <f>'Sources and Uses Budget'!$C75</f>
        <v>391291</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391291</v>
      </c>
      <c r="C78" s="290">
        <f>SUM(C73:C77)</f>
        <v>391291</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2716711</v>
      </c>
      <c r="C80" s="286">
        <f>'Sources and Uses Budget'!$C79</f>
        <v>2716711</v>
      </c>
      <c r="D80" s="290">
        <f t="shared" si="1"/>
        <v>0</v>
      </c>
      <c r="E80" s="288"/>
      <c r="F80" s="287"/>
      <c r="G80" s="384"/>
    </row>
    <row r="81" spans="1:7" s="381" customFormat="1">
      <c r="A81" s="545" t="s">
        <v>58</v>
      </c>
      <c r="B81" s="286">
        <f>'Sources and Uses Budget'!$C80</f>
        <v>406940</v>
      </c>
      <c r="C81" s="286">
        <f>'Sources and Uses Budget'!$C80</f>
        <v>406940</v>
      </c>
      <c r="D81" s="290">
        <f>C81-B81</f>
        <v>0</v>
      </c>
      <c r="E81" s="288"/>
      <c r="F81" s="287"/>
      <c r="G81" s="384"/>
    </row>
    <row r="82" spans="1:7" s="381" customFormat="1">
      <c r="A82" s="291" t="s">
        <v>1352</v>
      </c>
      <c r="B82" s="290">
        <f>SUM(B80:B81)</f>
        <v>3123651</v>
      </c>
      <c r="C82" s="290">
        <f>SUM(C80:C81)</f>
        <v>3123651</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88225</v>
      </c>
      <c r="C84" s="286">
        <f>'Sources and Uses Budget'!$C83</f>
        <v>88225</v>
      </c>
      <c r="D84" s="290">
        <f t="shared" si="1"/>
        <v>0</v>
      </c>
      <c r="E84" s="288"/>
      <c r="F84" s="287"/>
      <c r="G84" s="384"/>
    </row>
    <row r="85" spans="1:7" s="381" customFormat="1">
      <c r="A85" s="289" t="s">
        <v>791</v>
      </c>
      <c r="B85" s="286">
        <f>'Sources and Uses Budget'!$C84</f>
        <v>0</v>
      </c>
      <c r="C85" s="286">
        <f>'Sources and Uses Budget'!$C84</f>
        <v>0</v>
      </c>
      <c r="D85" s="290">
        <f t="shared" si="1"/>
        <v>0</v>
      </c>
      <c r="E85" s="288"/>
      <c r="F85" s="287"/>
      <c r="G85" s="384"/>
    </row>
    <row r="86" spans="1:7" s="381" customFormat="1">
      <c r="A86" s="289" t="s">
        <v>792</v>
      </c>
      <c r="B86" s="286">
        <f>'Sources and Uses Budget'!$C85</f>
        <v>2127315</v>
      </c>
      <c r="C86" s="286">
        <f>'Sources and Uses Budget'!$C85</f>
        <v>2127315</v>
      </c>
      <c r="D86" s="290">
        <f t="shared" si="1"/>
        <v>0</v>
      </c>
      <c r="E86" s="288"/>
      <c r="F86" s="287"/>
      <c r="G86" s="384"/>
    </row>
    <row r="87" spans="1:7" s="381" customFormat="1">
      <c r="A87" s="289" t="s">
        <v>793</v>
      </c>
      <c r="B87" s="286">
        <f>'Sources and Uses Budget'!$C86</f>
        <v>513000</v>
      </c>
      <c r="C87" s="286">
        <f>'Sources and Uses Budget'!$C86</f>
        <v>513000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125000</v>
      </c>
      <c r="C89" s="286">
        <f>'Sources and Uses Budget'!$C88</f>
        <v>125000</v>
      </c>
      <c r="D89" s="290">
        <f t="shared" si="1"/>
        <v>0</v>
      </c>
      <c r="E89" s="288"/>
      <c r="F89" s="287"/>
      <c r="G89" s="384"/>
    </row>
    <row r="90" spans="1:7" s="381" customFormat="1">
      <c r="A90" s="289" t="s">
        <v>796</v>
      </c>
      <c r="B90" s="286">
        <f>'Sources and Uses Budget'!$C89</f>
        <v>70000</v>
      </c>
      <c r="C90" s="286">
        <f>'Sources and Uses Budget'!$C89</f>
        <v>70000</v>
      </c>
      <c r="D90" s="290">
        <f t="shared" si="1"/>
        <v>0</v>
      </c>
      <c r="E90" s="288"/>
      <c r="F90" s="287"/>
      <c r="G90" s="384"/>
    </row>
    <row r="91" spans="1:7" s="381" customFormat="1">
      <c r="A91" s="289" t="s">
        <v>797</v>
      </c>
      <c r="B91" s="286">
        <f>'Sources and Uses Budget'!$C90</f>
        <v>15000</v>
      </c>
      <c r="C91" s="286">
        <f>'Sources and Uses Budget'!$C90</f>
        <v>15000</v>
      </c>
      <c r="D91" s="290">
        <f t="shared" si="1"/>
        <v>0</v>
      </c>
      <c r="E91" s="288"/>
      <c r="F91" s="287"/>
      <c r="G91" s="384"/>
    </row>
    <row r="92" spans="1:7" s="381" customFormat="1">
      <c r="A92" s="289" t="s">
        <v>373</v>
      </c>
      <c r="B92" s="286">
        <f>'Sources and Uses Budget'!$C91</f>
        <v>80000</v>
      </c>
      <c r="C92" s="286">
        <f>'Sources and Uses Budget'!$C91</f>
        <v>80000</v>
      </c>
      <c r="D92" s="290">
        <f t="shared" si="1"/>
        <v>0</v>
      </c>
      <c r="E92" s="288"/>
      <c r="F92" s="287"/>
      <c r="G92" s="384"/>
    </row>
    <row r="93" spans="1:7" s="381" customFormat="1">
      <c r="A93" s="545" t="s">
        <v>1354</v>
      </c>
      <c r="B93" s="286">
        <f>'Sources and Uses Budget'!$C92</f>
        <v>5000</v>
      </c>
      <c r="C93" s="286">
        <f>'Sources and Uses Budget'!$C92</f>
        <v>5000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3023540</v>
      </c>
      <c r="C97" s="290">
        <f>SUM(C84:C96)</f>
        <v>3023540</v>
      </c>
      <c r="D97" s="290">
        <f t="shared" si="1"/>
        <v>0</v>
      </c>
      <c r="E97" s="288"/>
      <c r="F97" s="287"/>
      <c r="G97" s="384"/>
    </row>
    <row r="98" spans="1:7" s="381" customFormat="1">
      <c r="A98" s="291" t="s">
        <v>799</v>
      </c>
      <c r="B98" s="290">
        <f>SUM(B64+B71+B78+B82+B97)</f>
        <v>69530776</v>
      </c>
      <c r="C98" s="290">
        <f>SUM(C64+C71+C78+C82+C97)</f>
        <v>69530776</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4869523</v>
      </c>
      <c r="C100" s="286">
        <f>'Sources and Uses Budget'!$C99</f>
        <v>4869523</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4869523</v>
      </c>
      <c r="C105" s="290">
        <f>SUM(C100:C104)</f>
        <v>4869523</v>
      </c>
      <c r="D105" s="290">
        <f t="shared" si="1"/>
        <v>0</v>
      </c>
      <c r="E105" s="288"/>
      <c r="F105" s="287"/>
      <c r="G105" s="384"/>
    </row>
    <row r="106" spans="1:7" s="381" customFormat="1">
      <c r="A106" s="291" t="s">
        <v>804</v>
      </c>
      <c r="B106" s="293">
        <f>SUM(B98+B105)</f>
        <v>74400299</v>
      </c>
      <c r="C106" s="293">
        <f>SUM(C98+C105)</f>
        <v>74400299</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1105</v>
      </c>
      <c r="B2" s="1298"/>
      <c r="C2" s="1272"/>
      <c r="D2" s="1272"/>
      <c r="E2" s="1272"/>
      <c r="F2" s="1272"/>
      <c r="G2" s="1272"/>
    </row>
    <row r="3" spans="1:9" s="173" customFormat="1">
      <c r="A3" s="1298" t="s">
        <v>1042</v>
      </c>
      <c r="B3" s="1298"/>
      <c r="C3" s="1272"/>
      <c r="D3" s="1272"/>
      <c r="E3" s="1272"/>
      <c r="F3" s="1272"/>
      <c r="G3" s="1272"/>
      <c r="I3" t="s">
        <v>308</v>
      </c>
    </row>
    <row r="4" spans="1:9">
      <c r="I4" s="3" t="s">
        <v>1106</v>
      </c>
    </row>
    <row r="5" spans="1:9">
      <c r="A5" s="1300" t="s">
        <v>1043</v>
      </c>
      <c r="B5" s="1300"/>
      <c r="C5" s="1272"/>
      <c r="D5" s="1272"/>
      <c r="E5" s="1272"/>
      <c r="F5" s="1272"/>
      <c r="G5" s="1272"/>
      <c r="I5" s="3" t="s">
        <v>1107</v>
      </c>
    </row>
    <row r="6" spans="1:9">
      <c r="A6" s="1300" t="s">
        <v>845</v>
      </c>
      <c r="B6" s="1300"/>
      <c r="C6" s="1272"/>
      <c r="D6" s="1272"/>
      <c r="E6" s="1272"/>
      <c r="F6" s="1272"/>
      <c r="G6" s="1272"/>
      <c r="I6" t="s">
        <v>600</v>
      </c>
    </row>
    <row r="7" spans="1:9" ht="11.85"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79" t="s">
        <v>1205</v>
      </c>
      <c r="B11" s="1279"/>
      <c r="C11" s="1279"/>
      <c r="D11" s="1279"/>
      <c r="E11" s="1279"/>
      <c r="F11" s="1279"/>
      <c r="G11" s="1279"/>
    </row>
    <row r="12" spans="1:9">
      <c r="A12" s="172"/>
      <c r="B12" s="172"/>
      <c r="E12" s="2"/>
    </row>
    <row r="13" spans="1:9" ht="13.15" customHeight="1">
      <c r="C13" s="172"/>
      <c r="D13" s="1312" t="s">
        <v>1204</v>
      </c>
      <c r="E13" s="1312"/>
      <c r="F13" s="1312"/>
    </row>
    <row r="14" spans="1:9">
      <c r="C14" s="172"/>
      <c r="D14" s="1312"/>
      <c r="E14" s="1312"/>
      <c r="F14" s="1312"/>
    </row>
    <row r="15" spans="1:9">
      <c r="A15" s="175"/>
      <c r="B15" s="175"/>
      <c r="C15" s="175"/>
      <c r="D15" s="1275" t="s">
        <v>1187</v>
      </c>
      <c r="E15" s="1275"/>
      <c r="F15" s="1275"/>
    </row>
    <row r="16" spans="1:9">
      <c r="A16" s="175"/>
      <c r="B16" s="175"/>
      <c r="C16" s="175"/>
      <c r="D16" s="218"/>
    </row>
    <row r="17" spans="1:6" ht="14.25">
      <c r="A17" s="176"/>
      <c r="B17" s="469" t="s">
        <v>308</v>
      </c>
      <c r="C17" s="175"/>
      <c r="D17" s="1264" t="s">
        <v>1188</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9" t="s">
        <v>308</v>
      </c>
      <c r="D21" s="1307" t="s">
        <v>1189</v>
      </c>
      <c r="E21" s="1307"/>
      <c r="F21" s="1307"/>
    </row>
    <row r="22" spans="1:6" ht="14.25">
      <c r="A22" s="176"/>
      <c r="B22" s="176"/>
      <c r="D22" s="35"/>
    </row>
    <row r="23" spans="1:6" ht="14.25">
      <c r="A23" s="176"/>
      <c r="B23" s="469" t="s">
        <v>308</v>
      </c>
      <c r="D23" s="1264" t="s">
        <v>1190</v>
      </c>
      <c r="E23" s="1264"/>
      <c r="F23" s="1264"/>
    </row>
    <row r="24" spans="1:6" ht="14.25">
      <c r="A24" s="176"/>
      <c r="B24" s="176"/>
      <c r="D24" s="1264"/>
      <c r="E24" s="1264"/>
      <c r="F24" s="1264"/>
    </row>
    <row r="25" spans="1:6"/>
    <row r="26" spans="1:6" ht="14.25">
      <c r="A26" s="176"/>
      <c r="B26" s="469" t="s">
        <v>308</v>
      </c>
      <c r="D26" s="1264" t="s">
        <v>1191</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9" t="s">
        <v>308</v>
      </c>
      <c r="D32" s="1264" t="s">
        <v>1192</v>
      </c>
      <c r="E32" s="1264"/>
      <c r="F32" s="1264"/>
    </row>
    <row r="33" spans="1:6">
      <c r="D33" s="1264"/>
      <c r="E33" s="1264"/>
      <c r="F33" s="1264"/>
    </row>
    <row r="34" spans="1:6" ht="14.25">
      <c r="A34" s="176"/>
      <c r="B34" s="176"/>
      <c r="D34" s="220"/>
    </row>
    <row r="35" spans="1:6" ht="14.45" customHeight="1">
      <c r="A35" s="176"/>
      <c r="B35" s="469" t="s">
        <v>308</v>
      </c>
      <c r="D35" s="1264" t="s">
        <v>1193</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9" t="s">
        <v>308</v>
      </c>
      <c r="D39" s="1264" t="s">
        <v>1194</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5"/>
      <c r="E44" s="475"/>
      <c r="F44" s="475"/>
    </row>
    <row r="45" spans="1:6" ht="14.25">
      <c r="A45" s="176"/>
      <c r="B45" s="469" t="s">
        <v>308</v>
      </c>
      <c r="D45" s="1264" t="s">
        <v>1195</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9" t="s">
        <v>308</v>
      </c>
      <c r="D50" s="1264" t="s">
        <v>1196</v>
      </c>
      <c r="E50" s="1264"/>
      <c r="F50" s="1264"/>
    </row>
    <row r="51" spans="1:7" ht="14.25">
      <c r="A51" s="176"/>
      <c r="B51" s="176"/>
      <c r="D51" s="1264"/>
      <c r="E51" s="1264"/>
      <c r="F51" s="1264"/>
    </row>
    <row r="52" spans="1:7" ht="14.25">
      <c r="A52" s="176"/>
      <c r="B52" s="176"/>
      <c r="D52" s="1264"/>
      <c r="E52" s="1264"/>
      <c r="F52" s="1264"/>
    </row>
    <row r="53" spans="1:7" ht="14.25">
      <c r="A53" s="176"/>
      <c r="B53" s="176"/>
      <c r="C53" s="386"/>
      <c r="D53" s="3"/>
      <c r="E53" s="3"/>
      <c r="F53" s="3"/>
      <c r="G53" s="3"/>
    </row>
    <row r="54" spans="1:7" ht="14.25">
      <c r="A54" s="176"/>
      <c r="B54" s="469" t="s">
        <v>308</v>
      </c>
      <c r="C54" s="386"/>
      <c r="D54" s="1264" t="s">
        <v>1197</v>
      </c>
      <c r="E54" s="1264"/>
      <c r="F54" s="1264"/>
      <c r="G54" s="3"/>
    </row>
    <row r="55" spans="1:7" ht="14.25">
      <c r="A55" s="176"/>
      <c r="B55" s="176"/>
      <c r="C55" s="386"/>
      <c r="D55" s="1264"/>
      <c r="E55" s="1264"/>
      <c r="F55" s="1264"/>
      <c r="G55" s="3"/>
    </row>
    <row r="56" spans="1:7">
      <c r="D56" s="220"/>
    </row>
    <row r="57" spans="1:7" ht="14.25">
      <c r="A57" s="176"/>
      <c r="B57" s="469" t="s">
        <v>308</v>
      </c>
      <c r="D57" s="1264" t="s">
        <v>1198</v>
      </c>
      <c r="E57" s="1264"/>
      <c r="F57" s="1264"/>
    </row>
    <row r="58" spans="1:7">
      <c r="D58" s="1264"/>
      <c r="E58" s="1264"/>
      <c r="F58" s="1264"/>
    </row>
    <row r="59" spans="1:7">
      <c r="D59" s="1264"/>
      <c r="E59" s="1264"/>
      <c r="F59" s="1264"/>
    </row>
    <row r="60" spans="1:7">
      <c r="D60" s="3"/>
    </row>
    <row r="61" spans="1:7" ht="14.25">
      <c r="A61" s="176"/>
      <c r="B61" s="469" t="s">
        <v>308</v>
      </c>
      <c r="D61" s="1264" t="s">
        <v>1199</v>
      </c>
      <c r="E61" s="1264"/>
      <c r="F61" s="1264"/>
    </row>
    <row r="62" spans="1:7">
      <c r="D62" s="1264"/>
      <c r="E62" s="1264"/>
      <c r="F62" s="1264"/>
    </row>
    <row r="63" spans="1:7"/>
    <row r="64" spans="1:7" ht="14.25">
      <c r="A64" s="176"/>
      <c r="B64" s="469" t="s">
        <v>308</v>
      </c>
      <c r="D64" s="1264" t="s">
        <v>1200</v>
      </c>
      <c r="E64" s="1264"/>
      <c r="F64" s="1264"/>
    </row>
    <row r="65" spans="1:7">
      <c r="D65" s="1264"/>
      <c r="E65" s="1264"/>
      <c r="F65" s="1264"/>
    </row>
    <row r="66" spans="1:7">
      <c r="D66" s="1264"/>
      <c r="E66" s="1264"/>
      <c r="F66" s="1264"/>
    </row>
    <row r="67" spans="1:7">
      <c r="D67"/>
    </row>
    <row r="68" spans="1:7" ht="14.25">
      <c r="A68" s="176"/>
      <c r="B68" s="469" t="s">
        <v>308</v>
      </c>
      <c r="D68" s="1264" t="s">
        <v>1201</v>
      </c>
      <c r="E68" s="1264"/>
      <c r="F68" s="1264"/>
    </row>
    <row r="69" spans="1:7">
      <c r="D69" s="1264"/>
      <c r="E69" s="1264"/>
      <c r="F69" s="1264"/>
    </row>
    <row r="70" spans="1:7" ht="14.25">
      <c r="A70" s="176"/>
      <c r="B70" s="176"/>
      <c r="D70" s="35"/>
    </row>
    <row r="71" spans="1:7">
      <c r="A71" s="1279" t="s">
        <v>1108</v>
      </c>
      <c r="B71" s="1279"/>
      <c r="C71" s="1279"/>
      <c r="D71" s="1279"/>
      <c r="E71" s="1279"/>
      <c r="F71" s="1279"/>
      <c r="G71" s="1279"/>
    </row>
    <row r="72" spans="1:7"/>
    <row r="73" spans="1:7">
      <c r="C73" s="177"/>
      <c r="D73" s="1297" t="s">
        <v>1206</v>
      </c>
      <c r="E73" s="1297"/>
      <c r="F73" s="1297"/>
    </row>
    <row r="74" spans="1:7">
      <c r="A74" s="35"/>
      <c r="B74" s="35"/>
      <c r="D74" s="1264" t="s">
        <v>1233</v>
      </c>
      <c r="E74" s="1264"/>
      <c r="F74" s="1264"/>
    </row>
    <row r="75" spans="1:7">
      <c r="A75" s="35"/>
      <c r="B75" s="35"/>
    </row>
    <row r="76" spans="1:7" ht="14.25">
      <c r="A76" s="176"/>
      <c r="B76" s="469" t="s">
        <v>308</v>
      </c>
      <c r="D76" s="1264" t="s">
        <v>1207</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5"/>
      <c r="E82" s="475"/>
      <c r="F82" s="475"/>
    </row>
    <row r="83" spans="1:6" ht="14.45" customHeight="1">
      <c r="A83" s="176"/>
      <c r="B83" s="469" t="s">
        <v>308</v>
      </c>
      <c r="D83" s="1273" t="s">
        <v>1306</v>
      </c>
      <c r="E83" s="1273"/>
      <c r="F83" s="1273"/>
    </row>
    <row r="84" spans="1:6" ht="14.25">
      <c r="A84" s="176"/>
      <c r="B84" s="176"/>
      <c r="D84" s="1273"/>
      <c r="E84" s="1273"/>
      <c r="F84" s="1273"/>
    </row>
    <row r="85" spans="1:6" ht="14.25">
      <c r="A85" s="176"/>
      <c r="B85" s="176"/>
      <c r="D85" s="1273"/>
      <c r="E85" s="1273"/>
      <c r="F85" s="1273"/>
    </row>
    <row r="86" spans="1:6" ht="14.25">
      <c r="A86" s="176"/>
      <c r="B86" s="176"/>
      <c r="D86" s="1273"/>
      <c r="E86" s="1273"/>
      <c r="F86" s="1273"/>
    </row>
    <row r="87" spans="1:6" ht="14.25">
      <c r="A87" s="176"/>
      <c r="B87" s="176"/>
      <c r="D87" s="1273"/>
      <c r="E87" s="1273"/>
      <c r="F87" s="1273"/>
    </row>
    <row r="88" spans="1:6" ht="14.25">
      <c r="A88" s="176"/>
      <c r="B88" s="176"/>
      <c r="D88" s="1273"/>
      <c r="E88" s="1273"/>
      <c r="F88" s="1273"/>
    </row>
    <row r="89" spans="1:6" ht="14.25">
      <c r="A89" s="176"/>
      <c r="B89" s="176"/>
      <c r="D89" s="1273"/>
      <c r="E89" s="1273"/>
      <c r="F89" s="1273"/>
    </row>
    <row r="90" spans="1:6" ht="14.25">
      <c r="A90" s="176"/>
      <c r="B90" s="176"/>
      <c r="D90" s="1273"/>
      <c r="E90" s="1273"/>
      <c r="F90" s="1273"/>
    </row>
    <row r="91" spans="1:6" ht="14.25">
      <c r="A91" s="176"/>
      <c r="B91" s="176"/>
      <c r="D91" s="1273"/>
      <c r="E91" s="1273"/>
      <c r="F91" s="1273"/>
    </row>
    <row r="92" spans="1:6" ht="14.25">
      <c r="A92" s="176"/>
      <c r="B92" s="176"/>
      <c r="D92" s="1273"/>
      <c r="E92" s="1273"/>
      <c r="F92" s="1273"/>
    </row>
    <row r="93" spans="1:6" ht="14.25">
      <c r="A93" s="176"/>
      <c r="B93" s="176"/>
      <c r="D93" s="1273"/>
      <c r="E93" s="1273"/>
      <c r="F93" s="1273"/>
    </row>
    <row r="94" spans="1:6" ht="14.25">
      <c r="A94" s="176"/>
      <c r="B94" s="176"/>
      <c r="D94" s="1273"/>
      <c r="E94" s="1273"/>
      <c r="F94" s="1273"/>
    </row>
    <row r="95" spans="1:6" ht="14.25">
      <c r="A95" s="176"/>
      <c r="B95" s="176"/>
      <c r="D95" s="1273"/>
      <c r="E95" s="1273"/>
      <c r="F95" s="1273"/>
    </row>
    <row r="96" spans="1:6" ht="14.25">
      <c r="A96" s="176"/>
      <c r="B96" s="176"/>
      <c r="D96" s="1273"/>
      <c r="E96" s="1273"/>
      <c r="F96" s="1273"/>
    </row>
    <row r="97" spans="1:11" ht="14.25">
      <c r="A97" s="176"/>
      <c r="B97" s="469" t="s">
        <v>308</v>
      </c>
      <c r="D97" s="1264" t="s">
        <v>1208</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5"/>
      <c r="E105" s="475"/>
      <c r="F105" s="475"/>
    </row>
    <row r="106" spans="1:11" ht="14.25">
      <c r="A106" s="176"/>
      <c r="B106" s="469" t="s">
        <v>308</v>
      </c>
      <c r="C106" s="179"/>
      <c r="D106" s="1301" t="s">
        <v>1209</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308</v>
      </c>
      <c r="C114"/>
      <c r="D114" s="1302" t="s">
        <v>1210</v>
      </c>
      <c r="E114" s="1302"/>
      <c r="F114" s="1302"/>
      <c r="G114"/>
    </row>
    <row r="115" spans="1:7" ht="14.25">
      <c r="A115" s="176"/>
      <c r="B115" s="176"/>
      <c r="C115"/>
      <c r="D115" s="1302"/>
      <c r="E115" s="1302"/>
      <c r="F115" s="1302"/>
      <c r="G115"/>
    </row>
    <row r="116" spans="1:7"/>
    <row r="117" spans="1:7" ht="14.25">
      <c r="A117" s="176"/>
      <c r="B117" s="469" t="s">
        <v>308</v>
      </c>
      <c r="D117" s="1264" t="s">
        <v>1211</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9" t="s">
        <v>308</v>
      </c>
      <c r="D123" s="1264" t="s">
        <v>1212</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9" t="s">
        <v>308</v>
      </c>
      <c r="D136" s="1264" t="s">
        <v>1320</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9" t="s">
        <v>308</v>
      </c>
      <c r="C156" s="218"/>
      <c r="D156" s="1273" t="s">
        <v>1213</v>
      </c>
      <c r="E156" s="1273"/>
      <c r="F156" s="1273"/>
      <c r="G156" s="218"/>
    </row>
    <row r="157" spans="1:7" ht="13.7" customHeight="1">
      <c r="A157" s="256"/>
      <c r="B157" s="256"/>
      <c r="C157" s="218"/>
      <c r="D157" s="1273"/>
      <c r="E157" s="1273"/>
      <c r="F157" s="1273"/>
      <c r="G157" s="218"/>
    </row>
    <row r="158" spans="1:7" ht="13.7" customHeight="1">
      <c r="A158" s="256"/>
      <c r="B158" s="256"/>
      <c r="C158" s="218"/>
      <c r="D158" s="218"/>
      <c r="E158" s="218"/>
      <c r="F158" s="218"/>
      <c r="G158" s="218"/>
    </row>
    <row r="159" spans="1:7" ht="13.7" customHeight="1">
      <c r="A159" s="256"/>
      <c r="B159" s="469" t="s">
        <v>308</v>
      </c>
      <c r="C159" s="218"/>
      <c r="D159" s="1273" t="s">
        <v>1214</v>
      </c>
      <c r="E159" s="1273"/>
      <c r="F159" s="1273"/>
      <c r="G159" s="218"/>
    </row>
    <row r="160" spans="1:7" ht="13.7" customHeight="1">
      <c r="A160" s="256"/>
      <c r="B160" s="256"/>
      <c r="C160" s="218"/>
      <c r="D160" s="1273"/>
      <c r="E160" s="1273"/>
      <c r="F160" s="1273"/>
      <c r="G160" s="218"/>
    </row>
    <row r="161" spans="1:7" ht="13.7" customHeight="1">
      <c r="A161" s="256"/>
      <c r="B161" s="256"/>
      <c r="C161" s="218"/>
      <c r="D161" s="1273"/>
      <c r="E161" s="1273"/>
      <c r="F161" s="1273"/>
      <c r="G161" s="218"/>
    </row>
    <row r="162" spans="1:7" ht="13.7" customHeight="1">
      <c r="A162" s="256"/>
      <c r="B162" s="256"/>
      <c r="C162" s="218"/>
      <c r="D162" s="1273"/>
      <c r="E162" s="1273"/>
      <c r="F162" s="1273"/>
      <c r="G162" s="218"/>
    </row>
    <row r="163" spans="1:7" ht="13.7" customHeight="1">
      <c r="D163" s="35"/>
      <c r="E163" s="35"/>
      <c r="F163" s="35"/>
    </row>
    <row r="164" spans="1:7" ht="13.7" customHeight="1">
      <c r="B164" s="469" t="s">
        <v>308</v>
      </c>
      <c r="D164" s="1278" t="s">
        <v>1215</v>
      </c>
      <c r="E164" s="1278"/>
      <c r="F164" s="1278"/>
    </row>
    <row r="165" spans="1:7" ht="13.7" customHeight="1">
      <c r="D165" s="1278"/>
      <c r="E165" s="1278"/>
      <c r="F165" s="1278"/>
    </row>
    <row r="166" spans="1:7" ht="13.7" customHeight="1">
      <c r="D166" s="1278"/>
      <c r="E166" s="1278"/>
      <c r="F166" s="1278"/>
    </row>
    <row r="167" spans="1:7" ht="13.7" customHeight="1">
      <c r="A167" s="13"/>
      <c r="B167" s="13"/>
      <c r="E167" s="35"/>
      <c r="F167" s="35"/>
    </row>
    <row r="168" spans="1:7">
      <c r="A168" s="1279" t="s">
        <v>1109</v>
      </c>
      <c r="B168" s="1279"/>
      <c r="C168" s="1279"/>
      <c r="D168" s="1279"/>
      <c r="E168" s="1279"/>
      <c r="F168" s="1279"/>
      <c r="G168" s="1279"/>
    </row>
    <row r="169" spans="1:7" ht="12" customHeight="1">
      <c r="D169" s="35"/>
      <c r="E169" s="35"/>
      <c r="F169" s="35"/>
    </row>
    <row r="170" spans="1:7">
      <c r="B170" s="1296" t="s">
        <v>449</v>
      </c>
      <c r="C170" s="1296"/>
      <c r="D170" s="1296"/>
      <c r="E170" s="1296"/>
      <c r="F170" s="1296"/>
    </row>
    <row r="171" spans="1:7" ht="12" customHeight="1">
      <c r="A171" s="172"/>
      <c r="B171" s="172"/>
      <c r="C171" s="172"/>
    </row>
    <row r="172" spans="1:7">
      <c r="A172" s="1279" t="s">
        <v>1110</v>
      </c>
      <c r="B172" s="1279"/>
      <c r="C172" s="1279"/>
      <c r="D172" s="1279"/>
      <c r="E172" s="1279"/>
      <c r="F172" s="1279"/>
      <c r="G172" s="1279"/>
    </row>
    <row r="173" spans="1:7" ht="12" customHeight="1">
      <c r="A173" s="2"/>
      <c r="B173" s="2"/>
      <c r="E173" s="2"/>
    </row>
    <row r="174" spans="1:7" ht="13.15" customHeight="1">
      <c r="A174" s="2"/>
      <c r="B174" s="2"/>
      <c r="D174" s="1293" t="s">
        <v>1218</v>
      </c>
      <c r="E174" s="1293"/>
      <c r="F174" s="1293"/>
    </row>
    <row r="175" spans="1:7">
      <c r="A175" s="2"/>
      <c r="B175" s="2"/>
      <c r="D175" s="1293"/>
      <c r="E175" s="1293"/>
      <c r="F175" s="1293"/>
    </row>
    <row r="176" spans="1:7">
      <c r="A176" s="2"/>
      <c r="B176" s="2"/>
      <c r="D176" s="1294" t="s">
        <v>1219</v>
      </c>
      <c r="E176" s="1294"/>
      <c r="F176" s="1294"/>
    </row>
    <row r="177" spans="1:7" ht="12" customHeight="1">
      <c r="A177" s="2"/>
      <c r="B177" s="2"/>
      <c r="E177" s="2"/>
    </row>
    <row r="178" spans="1:7" ht="14.25">
      <c r="A178" s="176"/>
      <c r="B178" s="469" t="s">
        <v>308</v>
      </c>
      <c r="D178" s="1291" t="s">
        <v>1217</v>
      </c>
      <c r="E178" s="1291"/>
      <c r="F178" s="1291"/>
    </row>
    <row r="179" spans="1:7" ht="14.25">
      <c r="A179" s="176"/>
      <c r="B179" s="176"/>
      <c r="D179" s="1291"/>
      <c r="E179" s="1291"/>
      <c r="F179" s="1291"/>
    </row>
    <row r="180" spans="1:7" ht="14.25">
      <c r="A180" s="176"/>
      <c r="B180" s="176"/>
      <c r="D180" s="1291"/>
      <c r="E180" s="1291"/>
      <c r="F180" s="1291"/>
    </row>
    <row r="181" spans="1:7">
      <c r="D181" s="1291"/>
      <c r="E181" s="1291"/>
      <c r="F181" s="1291"/>
    </row>
    <row r="182" spans="1:7">
      <c r="D182" s="220"/>
    </row>
    <row r="183" spans="1:7">
      <c r="D183" s="1295" t="s">
        <v>1126</v>
      </c>
      <c r="E183" s="1295"/>
      <c r="F183" s="1295"/>
    </row>
    <row r="184" spans="1:7">
      <c r="D184" s="1295"/>
      <c r="E184" s="1295"/>
      <c r="F184" s="1295"/>
    </row>
    <row r="185" spans="1:7">
      <c r="D185" s="476"/>
      <c r="E185" s="476"/>
      <c r="F185" s="476"/>
    </row>
    <row r="186" spans="1:7" ht="14.25">
      <c r="A186" s="176"/>
      <c r="B186" s="469" t="s">
        <v>308</v>
      </c>
      <c r="C186" s="386"/>
      <c r="D186" s="1264" t="s">
        <v>1216</v>
      </c>
      <c r="E186" s="1264"/>
      <c r="F186" s="1264"/>
      <c r="G186" s="3"/>
    </row>
    <row r="187" spans="1:7" ht="14.45" customHeight="1">
      <c r="A187" s="176"/>
      <c r="B187"/>
      <c r="C187" s="386"/>
      <c r="D187" s="1264"/>
      <c r="E187" s="1264"/>
      <c r="F187" s="1264"/>
      <c r="G187" s="3"/>
    </row>
    <row r="188" spans="1:7" ht="14.25">
      <c r="A188" s="176"/>
      <c r="B188" s="386"/>
      <c r="C188" s="386"/>
      <c r="D188" s="1264"/>
      <c r="E188" s="1264"/>
      <c r="F188" s="1264"/>
      <c r="G188" s="3"/>
    </row>
    <row r="189" spans="1:7" ht="14.25">
      <c r="A189" s="176"/>
      <c r="B189" s="386"/>
      <c r="C189" s="386"/>
      <c r="D189" s="1264"/>
      <c r="E189" s="1264"/>
      <c r="F189" s="1264"/>
      <c r="G189" s="3"/>
    </row>
    <row r="190" spans="1:7">
      <c r="D190" s="476"/>
      <c r="E190" s="476"/>
      <c r="F190" s="476"/>
    </row>
    <row r="191" spans="1:7">
      <c r="A191" s="1279" t="s">
        <v>1111</v>
      </c>
      <c r="B191" s="1279"/>
      <c r="C191" s="1279"/>
      <c r="D191" s="1279"/>
      <c r="E191" s="1279"/>
      <c r="F191" s="1279"/>
      <c r="G191" s="1279"/>
    </row>
    <row r="192" spans="1:7" ht="12" customHeight="1">
      <c r="D192" s="35"/>
      <c r="E192" s="35"/>
      <c r="F192" s="35"/>
    </row>
    <row r="193" spans="1:6">
      <c r="C193" s="177"/>
      <c r="D193" s="1280" t="s">
        <v>209</v>
      </c>
      <c r="E193" s="1280"/>
      <c r="F193" s="1280"/>
    </row>
    <row r="194" spans="1:6">
      <c r="A194" s="172"/>
      <c r="B194" s="172"/>
      <c r="C194" s="172"/>
      <c r="D194" s="1275" t="s">
        <v>1240</v>
      </c>
      <c r="E194" s="1283"/>
      <c r="F194" s="1283"/>
    </row>
    <row r="195" spans="1:6" ht="12" customHeight="1">
      <c r="A195" s="13"/>
      <c r="B195" s="13"/>
      <c r="C195" s="13"/>
    </row>
    <row r="196" spans="1:6" ht="13.15" customHeight="1">
      <c r="A196" s="13"/>
      <c r="C196" s="13"/>
      <c r="D196" s="1280" t="s">
        <v>555</v>
      </c>
      <c r="E196" s="1280"/>
      <c r="F196" s="1280"/>
    </row>
    <row r="197" spans="1:6" ht="14.25">
      <c r="A197" s="176"/>
      <c r="B197" s="469" t="s">
        <v>308</v>
      </c>
      <c r="D197" s="1264" t="s">
        <v>1234</v>
      </c>
      <c r="E197" s="1264"/>
      <c r="F197" s="1264"/>
    </row>
    <row r="198" spans="1:6" ht="14.25">
      <c r="A198" s="176"/>
      <c r="B198" s="176"/>
      <c r="D198" s="1264"/>
      <c r="E198" s="1264"/>
      <c r="F198" s="1264"/>
    </row>
    <row r="199" spans="1:6"/>
    <row r="200" spans="1:6" ht="14.25">
      <c r="A200" s="176"/>
      <c r="B200" s="469" t="s">
        <v>308</v>
      </c>
      <c r="D200" s="1264" t="s">
        <v>1235</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1236</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9" t="s">
        <v>308</v>
      </c>
      <c r="D210" s="1264" t="s">
        <v>1237</v>
      </c>
      <c r="E210" s="1264"/>
      <c r="F210" s="1264"/>
    </row>
    <row r="211" spans="1:7" ht="14.25">
      <c r="A211" s="176"/>
      <c r="B211" s="176"/>
      <c r="D211" s="1264"/>
      <c r="E211" s="1264"/>
      <c r="F211" s="1264"/>
    </row>
    <row r="212" spans="1:7" ht="14.25">
      <c r="A212" s="176"/>
      <c r="B212" s="176"/>
      <c r="D212" s="1296" t="s">
        <v>927</v>
      </c>
      <c r="E212" s="1296"/>
      <c r="F212" s="1296"/>
    </row>
    <row r="213" spans="1:7" ht="14.25">
      <c r="A213" s="176"/>
      <c r="B213" s="176"/>
      <c r="D213" s="35"/>
      <c r="E213" s="35"/>
      <c r="F213" s="35"/>
    </row>
    <row r="214" spans="1:7" ht="14.45" customHeight="1">
      <c r="A214" s="176"/>
      <c r="B214" s="469" t="s">
        <v>308</v>
      </c>
      <c r="D214" s="1264" t="s">
        <v>1239</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9" t="s">
        <v>308</v>
      </c>
      <c r="D220" s="1264" t="s">
        <v>1238</v>
      </c>
      <c r="E220" s="1264"/>
      <c r="F220" s="1264"/>
    </row>
    <row r="221" spans="1:7" ht="14.25">
      <c r="A221" s="176"/>
      <c r="B221" s="176"/>
      <c r="D221" s="1264"/>
      <c r="E221" s="1264"/>
      <c r="F221" s="1264"/>
    </row>
    <row r="222" spans="1:7">
      <c r="D222" s="19"/>
    </row>
    <row r="223" spans="1:7">
      <c r="A223" s="1279" t="s">
        <v>1112</v>
      </c>
      <c r="B223" s="1279"/>
      <c r="C223" s="1279"/>
      <c r="D223" s="1279"/>
      <c r="E223" s="1279"/>
      <c r="F223" s="1279"/>
      <c r="G223" s="1279"/>
    </row>
    <row r="224" spans="1:7">
      <c r="D224" s="19"/>
    </row>
    <row r="225" spans="1:6">
      <c r="C225" s="177"/>
      <c r="D225" s="1280" t="s">
        <v>1241</v>
      </c>
      <c r="E225" s="1280"/>
      <c r="F225" s="1280"/>
    </row>
    <row r="226" spans="1:6">
      <c r="A226" s="172"/>
      <c r="B226" s="172"/>
      <c r="C226" s="172"/>
      <c r="D226" s="35"/>
      <c r="E226" s="35"/>
      <c r="F226" s="35"/>
    </row>
    <row r="227" spans="1:6">
      <c r="A227" s="175"/>
      <c r="B227" s="175"/>
      <c r="C227" s="175"/>
      <c r="D227" s="1280" t="s">
        <v>270</v>
      </c>
      <c r="E227" s="1280"/>
      <c r="F227" s="1280"/>
    </row>
    <row r="228" spans="1:6" ht="14.25">
      <c r="A228" s="176"/>
      <c r="B228" s="469" t="s">
        <v>308</v>
      </c>
      <c r="D228" s="1282" t="s">
        <v>1242</v>
      </c>
      <c r="E228" s="1282"/>
      <c r="F228" s="1282"/>
    </row>
    <row r="229" spans="1:6" ht="14.25">
      <c r="A229" s="176"/>
      <c r="B229" s="176"/>
      <c r="D229" s="1282"/>
      <c r="E229" s="1282"/>
      <c r="F229" s="1282"/>
    </row>
    <row r="230" spans="1:6">
      <c r="D230" s="35"/>
      <c r="E230" s="35"/>
      <c r="F230" s="35"/>
    </row>
    <row r="231" spans="1:6" ht="14.45" customHeight="1">
      <c r="A231" s="176"/>
      <c r="B231" s="469" t="s">
        <v>308</v>
      </c>
      <c r="D231" s="1264" t="s">
        <v>1243</v>
      </c>
      <c r="E231" s="1264"/>
      <c r="F231" s="1264"/>
    </row>
    <row r="232" spans="1:6">
      <c r="D232" s="1264"/>
      <c r="E232" s="1264"/>
      <c r="F232" s="1264"/>
    </row>
    <row r="233" spans="1:6">
      <c r="D233" s="1283" t="s">
        <v>918</v>
      </c>
      <c r="E233" s="1283"/>
      <c r="F233" s="1283"/>
    </row>
    <row r="234" spans="1:6">
      <c r="D234" s="35"/>
      <c r="E234" s="35"/>
      <c r="F234" s="35"/>
    </row>
    <row r="235" spans="1:6" ht="14.45" customHeight="1">
      <c r="A235" s="176"/>
      <c r="B235" s="469" t="s">
        <v>308</v>
      </c>
      <c r="D235" s="1264" t="s">
        <v>1245</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9" t="s">
        <v>308</v>
      </c>
      <c r="D241" s="1264" t="s">
        <v>1244</v>
      </c>
      <c r="E241" s="1264"/>
      <c r="F241" s="1264"/>
    </row>
    <row r="242" spans="1:7">
      <c r="D242" s="1264"/>
      <c r="E242" s="1264"/>
      <c r="F242" s="1264"/>
    </row>
    <row r="243" spans="1:7">
      <c r="D243" s="1264"/>
      <c r="E243" s="1264"/>
      <c r="F243" s="1264"/>
    </row>
    <row r="244" spans="1:7">
      <c r="D244" s="178"/>
      <c r="E244" s="35"/>
      <c r="F244" s="35"/>
    </row>
    <row r="245" spans="1:7">
      <c r="A245" s="1279" t="s">
        <v>1113</v>
      </c>
      <c r="B245" s="1279"/>
      <c r="C245" s="1279"/>
      <c r="D245" s="1279"/>
      <c r="E245" s="1279"/>
      <c r="F245" s="1279"/>
      <c r="G245" s="1279"/>
    </row>
    <row r="246" spans="1:7">
      <c r="D246" s="178"/>
      <c r="E246" s="35"/>
      <c r="F246" s="35"/>
    </row>
    <row r="247" spans="1:7">
      <c r="C247" s="172"/>
      <c r="D247" s="1297" t="s">
        <v>1246</v>
      </c>
      <c r="E247" s="1297"/>
      <c r="F247" s="1297"/>
    </row>
    <row r="248" spans="1:7">
      <c r="C248" s="172"/>
      <c r="D248" s="1297"/>
      <c r="E248" s="1297"/>
      <c r="F248" s="1297"/>
    </row>
    <row r="249" spans="1:7">
      <c r="A249" s="175"/>
      <c r="B249" s="175"/>
      <c r="C249" s="175"/>
      <c r="D249" s="2"/>
      <c r="E249" s="3"/>
      <c r="F249" s="3"/>
    </row>
    <row r="250" spans="1:7">
      <c r="C250" s="175"/>
      <c r="D250" s="1280" t="s">
        <v>210</v>
      </c>
      <c r="E250" s="1280"/>
      <c r="F250" s="1280"/>
    </row>
    <row r="251" spans="1:7" ht="15.75" customHeight="1">
      <c r="A251" s="176"/>
      <c r="B251" s="176"/>
      <c r="D251" s="1286" t="s">
        <v>1247</v>
      </c>
      <c r="E251" s="1286"/>
      <c r="F251" s="1286"/>
    </row>
    <row r="252" spans="1:7">
      <c r="E252" s="35"/>
      <c r="F252" s="35"/>
    </row>
    <row r="253" spans="1:7" ht="14.25">
      <c r="A253" s="176"/>
      <c r="B253" s="469" t="s">
        <v>308</v>
      </c>
      <c r="D253" s="1264" t="s">
        <v>1248</v>
      </c>
      <c r="E253" s="1264"/>
      <c r="F253" s="1264"/>
    </row>
    <row r="254" spans="1:7" ht="14.25">
      <c r="A254" s="176"/>
      <c r="B254" s="176"/>
      <c r="D254" s="1264"/>
      <c r="E254" s="1264"/>
      <c r="F254" s="1264"/>
    </row>
    <row r="255" spans="1:7">
      <c r="D255" s="35"/>
      <c r="E255" s="35"/>
      <c r="F255" s="35"/>
    </row>
    <row r="256" spans="1:7" ht="14.25">
      <c r="A256" s="176"/>
      <c r="B256" s="469" t="s">
        <v>308</v>
      </c>
      <c r="D256" s="1264" t="s">
        <v>1249</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9" t="s">
        <v>308</v>
      </c>
      <c r="D260" s="1264" t="s">
        <v>1250</v>
      </c>
      <c r="E260" s="1264"/>
      <c r="F260" s="1264"/>
    </row>
    <row r="261" spans="1:7" ht="14.25">
      <c r="A261" s="176"/>
      <c r="B261" s="176"/>
      <c r="D261" s="1264"/>
      <c r="E261" s="1264"/>
      <c r="F261" s="1264"/>
    </row>
    <row r="262" spans="1:7">
      <c r="A262" s="13"/>
      <c r="B262" s="13"/>
      <c r="E262" s="35"/>
      <c r="F262" s="35"/>
    </row>
    <row r="263" spans="1:7">
      <c r="A263" s="1279" t="s">
        <v>1114</v>
      </c>
      <c r="B263" s="1279"/>
      <c r="C263" s="1279"/>
      <c r="D263" s="1279"/>
      <c r="E263" s="1279"/>
      <c r="F263" s="1279"/>
      <c r="G263" s="1279"/>
    </row>
    <row r="264" spans="1:7">
      <c r="A264" s="13"/>
      <c r="B264" s="13"/>
      <c r="D264" s="35"/>
      <c r="E264" s="35"/>
      <c r="F264" s="35"/>
    </row>
    <row r="265" spans="1:7">
      <c r="C265" s="13"/>
      <c r="D265" s="1280" t="s">
        <v>691</v>
      </c>
      <c r="E265" s="1280"/>
      <c r="F265" s="1280"/>
    </row>
    <row r="266" spans="1:7">
      <c r="C266" s="13"/>
      <c r="D266" s="1275" t="s">
        <v>1251</v>
      </c>
      <c r="E266" s="1275"/>
      <c r="F266" s="1275"/>
    </row>
    <row r="267" spans="1:7">
      <c r="C267" s="13"/>
      <c r="D267" s="173"/>
    </row>
    <row r="268" spans="1:7">
      <c r="B268" s="469" t="s">
        <v>308</v>
      </c>
      <c r="D268" s="1275" t="s">
        <v>1252</v>
      </c>
      <c r="E268" s="1275"/>
      <c r="F268" s="1275"/>
    </row>
    <row r="269" spans="1:7" ht="14.25">
      <c r="A269" s="176"/>
      <c r="B269" s="176"/>
      <c r="D269" s="342"/>
      <c r="E269" s="343"/>
      <c r="F269" s="343"/>
    </row>
    <row r="270" spans="1:7" ht="13.15" customHeight="1">
      <c r="B270" s="469" t="s">
        <v>308</v>
      </c>
      <c r="D270" s="1284" t="s">
        <v>1253</v>
      </c>
      <c r="E270" s="1284"/>
      <c r="F270" s="1284"/>
    </row>
    <row r="271" spans="1:7" ht="14.25">
      <c r="A271" s="176"/>
      <c r="B271" s="176"/>
      <c r="D271" s="1284"/>
      <c r="E271" s="1284"/>
      <c r="F271" s="1284"/>
    </row>
    <row r="272" spans="1:7" ht="14.25">
      <c r="A272" s="176"/>
      <c r="B272" s="176"/>
      <c r="D272" s="1284"/>
      <c r="E272" s="1284"/>
      <c r="F272" s="1284"/>
    </row>
    <row r="273" spans="1:6" ht="14.25">
      <c r="A273" s="176"/>
      <c r="B273" s="176"/>
      <c r="D273" s="1284"/>
      <c r="E273" s="1284"/>
      <c r="F273" s="1284"/>
    </row>
    <row r="274" spans="1:6" ht="14.25">
      <c r="A274" s="176"/>
      <c r="B274" s="176"/>
      <c r="D274" s="1284"/>
      <c r="E274" s="1284"/>
      <c r="F274" s="1284"/>
    </row>
    <row r="275" spans="1:6" ht="14.25">
      <c r="A275" s="176"/>
      <c r="B275" s="176"/>
      <c r="D275" s="342"/>
      <c r="E275" s="343"/>
      <c r="F275" s="343"/>
    </row>
    <row r="276" spans="1:6" ht="13.15" customHeight="1">
      <c r="B276" s="469" t="s">
        <v>308</v>
      </c>
      <c r="D276" s="1284" t="s">
        <v>1254</v>
      </c>
      <c r="E276" s="1284"/>
      <c r="F276" s="1284"/>
    </row>
    <row r="277" spans="1:6">
      <c r="D277" s="1284"/>
      <c r="E277" s="1284"/>
      <c r="F277" s="1284"/>
    </row>
    <row r="278" spans="1:6" ht="14.25">
      <c r="A278" s="176"/>
      <c r="B278" s="176"/>
      <c r="D278" s="342"/>
      <c r="E278" s="343"/>
      <c r="F278" s="343"/>
    </row>
    <row r="279" spans="1:6">
      <c r="B279" s="469" t="s">
        <v>308</v>
      </c>
      <c r="D279" s="1275" t="s">
        <v>1255</v>
      </c>
      <c r="E279" s="1275"/>
      <c r="F279" s="1275"/>
    </row>
    <row r="280" spans="1:6">
      <c r="E280" s="35"/>
      <c r="F280" s="35"/>
    </row>
    <row r="281" spans="1:6" ht="14.25">
      <c r="A281" s="176"/>
      <c r="B281" s="469" t="s">
        <v>308</v>
      </c>
      <c r="D281" s="1264" t="s">
        <v>1256</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9" t="s">
        <v>308</v>
      </c>
      <c r="D297" s="1264" t="s">
        <v>1257</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9" t="s">
        <v>308</v>
      </c>
      <c r="D307" s="1264" t="s">
        <v>1258</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5"/>
      <c r="E313" s="475"/>
      <c r="F313" s="475"/>
      <c r="G313"/>
    </row>
    <row r="314" spans="1:7" ht="13.5" thickBot="1">
      <c r="D314" s="1287" t="s">
        <v>1019</v>
      </c>
      <c r="E314" s="1287"/>
      <c r="F314" s="1287"/>
      <c r="G314"/>
    </row>
    <row r="315" spans="1:7" ht="13.5" thickTop="1">
      <c r="D315" s="1288" t="s">
        <v>1259</v>
      </c>
      <c r="E315" s="1288"/>
      <c r="F315" s="1288"/>
      <c r="G315"/>
    </row>
    <row r="316" spans="1:7">
      <c r="A316" s="218"/>
      <c r="B316" s="218"/>
      <c r="C316" s="218"/>
      <c r="D316" s="220"/>
      <c r="E316" s="220"/>
      <c r="F316" s="35"/>
      <c r="G316"/>
    </row>
    <row r="317" spans="1:7" ht="14.25">
      <c r="A317" s="176"/>
      <c r="B317" s="469" t="s">
        <v>308</v>
      </c>
      <c r="C317" s="218"/>
      <c r="D317" s="1277" t="s">
        <v>1260</v>
      </c>
      <c r="E317" s="1277"/>
      <c r="F317" s="1277"/>
      <c r="G317"/>
    </row>
    <row r="318" spans="1:7">
      <c r="A318" s="218"/>
      <c r="B318" s="218"/>
      <c r="C318" s="218"/>
      <c r="D318" s="220"/>
      <c r="E318" s="220"/>
      <c r="F318" s="35"/>
      <c r="G318"/>
    </row>
    <row r="319" spans="1:7">
      <c r="A319" s="218"/>
      <c r="B319" s="469" t="s">
        <v>308</v>
      </c>
      <c r="C319" s="218"/>
      <c r="D319" s="1273" t="s">
        <v>1261</v>
      </c>
      <c r="E319" s="1273"/>
      <c r="F319" s="1273"/>
      <c r="G319"/>
    </row>
    <row r="320" spans="1:7">
      <c r="A320" s="218"/>
      <c r="B320" s="218"/>
      <c r="C320" s="218"/>
      <c r="D320" s="1273"/>
      <c r="E320" s="1273"/>
      <c r="F320" s="1273"/>
      <c r="G320"/>
    </row>
    <row r="321" spans="1:7">
      <c r="A321" s="218"/>
      <c r="B321" s="218"/>
      <c r="C321" s="218"/>
      <c r="D321" s="1273"/>
      <c r="E321" s="1273"/>
      <c r="F321" s="1273"/>
      <c r="G321"/>
    </row>
    <row r="322" spans="1:7">
      <c r="A322" s="218"/>
      <c r="B322" s="218"/>
      <c r="C322" s="218"/>
      <c r="D322" s="1273"/>
      <c r="E322" s="1273"/>
      <c r="F322" s="1273"/>
      <c r="G322"/>
    </row>
    <row r="323" spans="1:7">
      <c r="A323" s="218"/>
      <c r="B323" s="218"/>
      <c r="C323" s="218"/>
      <c r="D323" s="1273"/>
      <c r="E323" s="1273"/>
      <c r="F323" s="1273"/>
      <c r="G323"/>
    </row>
    <row r="324" spans="1:7">
      <c r="A324" s="218"/>
      <c r="B324" s="218"/>
      <c r="C324" s="218"/>
      <c r="D324" s="1273"/>
      <c r="E324" s="1273"/>
      <c r="F324" s="1273"/>
      <c r="G324"/>
    </row>
    <row r="325" spans="1:7">
      <c r="A325" s="218"/>
      <c r="B325" s="218"/>
      <c r="C325" s="218"/>
      <c r="D325" s="1273"/>
      <c r="E325" s="1273"/>
      <c r="F325" s="1273"/>
      <c r="G325"/>
    </row>
    <row r="326" spans="1:7">
      <c r="A326" s="218"/>
      <c r="B326" s="218"/>
      <c r="C326" s="218"/>
      <c r="D326" s="1273"/>
      <c r="E326" s="1273"/>
      <c r="F326" s="1273"/>
      <c r="G326"/>
    </row>
    <row r="327" spans="1:7">
      <c r="A327" s="218"/>
      <c r="B327" s="218"/>
      <c r="C327" s="218"/>
      <c r="D327" s="1273"/>
      <c r="E327" s="1273"/>
      <c r="F327" s="1273"/>
      <c r="G327"/>
    </row>
    <row r="328" spans="1:7">
      <c r="A328" s="218"/>
      <c r="B328" s="218"/>
      <c r="C328" s="218"/>
      <c r="D328" s="1273"/>
      <c r="E328" s="1273"/>
      <c r="F328" s="1273"/>
      <c r="G328"/>
    </row>
    <row r="329" spans="1:7">
      <c r="A329" s="218"/>
      <c r="B329" s="218"/>
      <c r="C329" s="218"/>
      <c r="D329" s="1273"/>
      <c r="E329" s="1273"/>
      <c r="F329" s="1273"/>
      <c r="G329"/>
    </row>
    <row r="330" spans="1:7">
      <c r="A330" s="218"/>
      <c r="B330" s="218"/>
      <c r="C330" s="218"/>
      <c r="D330"/>
      <c r="E330" s="220"/>
      <c r="F330" s="35"/>
      <c r="G330"/>
    </row>
    <row r="331" spans="1:7" ht="14.25">
      <c r="A331" s="176"/>
      <c r="B331" s="469" t="s">
        <v>308</v>
      </c>
      <c r="C331" s="218"/>
      <c r="D331" s="1273" t="s">
        <v>1262</v>
      </c>
      <c r="E331" s="1273"/>
      <c r="F331" s="1273"/>
      <c r="G331"/>
    </row>
    <row r="332" spans="1:7">
      <c r="A332" s="218"/>
      <c r="B332" s="218"/>
      <c r="C332" s="218"/>
      <c r="D332" s="1273"/>
      <c r="E332" s="1273"/>
      <c r="F332" s="1273"/>
      <c r="G332"/>
    </row>
    <row r="333" spans="1:7">
      <c r="A333" s="218"/>
      <c r="B333" s="218"/>
      <c r="C333" s="218"/>
      <c r="D333" s="1273"/>
      <c r="E333" s="1273"/>
      <c r="F333" s="1273"/>
      <c r="G333"/>
    </row>
    <row r="334" spans="1:7">
      <c r="A334" s="218"/>
      <c r="B334" s="218"/>
      <c r="C334" s="218"/>
      <c r="D334" s="1273"/>
      <c r="E334" s="1273"/>
      <c r="F334" s="1273"/>
      <c r="G334"/>
    </row>
    <row r="335" spans="1:7">
      <c r="A335" s="218"/>
      <c r="B335" s="218"/>
      <c r="C335" s="218"/>
      <c r="D335" s="220"/>
      <c r="E335" s="220"/>
      <c r="F335" s="35"/>
      <c r="G335"/>
    </row>
    <row r="336" spans="1:7">
      <c r="A336" s="218"/>
      <c r="B336" s="218"/>
      <c r="C336" s="218"/>
      <c r="D336" s="1273" t="s">
        <v>1263</v>
      </c>
      <c r="E336" s="1273"/>
      <c r="F336" s="1273"/>
      <c r="G336"/>
    </row>
    <row r="337" spans="1:7">
      <c r="A337" s="218"/>
      <c r="B337" s="218"/>
      <c r="C337" s="218"/>
      <c r="D337" s="1273"/>
      <c r="E337" s="1273"/>
      <c r="F337" s="1273"/>
      <c r="G337"/>
    </row>
    <row r="338" spans="1:7">
      <c r="A338" s="218"/>
      <c r="B338" s="218"/>
      <c r="C338" s="218"/>
      <c r="D338" s="1273"/>
      <c r="E338" s="1273"/>
      <c r="F338" s="1273"/>
      <c r="G338"/>
    </row>
    <row r="339" spans="1:7">
      <c r="A339" s="218"/>
      <c r="B339" s="218"/>
      <c r="C339" s="218"/>
      <c r="D339" s="1273"/>
      <c r="E339" s="1273"/>
      <c r="F339" s="1273"/>
      <c r="G339"/>
    </row>
    <row r="340" spans="1:7" ht="18" customHeight="1">
      <c r="A340" s="218"/>
      <c r="B340" s="218"/>
      <c r="C340" s="218"/>
      <c r="D340" s="1273"/>
      <c r="E340" s="1273"/>
      <c r="F340" s="1273"/>
      <c r="G340"/>
    </row>
    <row r="341" spans="1:7">
      <c r="A341" s="218"/>
      <c r="B341" s="218"/>
      <c r="C341" s="218"/>
      <c r="D341" s="1273"/>
      <c r="E341" s="1273"/>
      <c r="F341" s="1273"/>
      <c r="G341"/>
    </row>
    <row r="342" spans="1:7">
      <c r="A342" s="218"/>
      <c r="B342" s="218"/>
      <c r="C342" s="218"/>
      <c r="D342" s="1273"/>
      <c r="E342" s="1273"/>
      <c r="F342" s="1273"/>
      <c r="G342"/>
    </row>
    <row r="343" spans="1:7">
      <c r="A343" s="218"/>
      <c r="B343" s="218"/>
      <c r="C343" s="218"/>
      <c r="D343" s="1273"/>
      <c r="E343" s="1273"/>
      <c r="F343" s="1273"/>
      <c r="G343"/>
    </row>
    <row r="344" spans="1:7" ht="8.25" customHeight="1">
      <c r="A344" s="218"/>
      <c r="B344" s="218"/>
      <c r="C344" s="218"/>
      <c r="D344" s="1273"/>
      <c r="E344" s="1273"/>
      <c r="F344" s="1273"/>
      <c r="G344"/>
    </row>
    <row r="345" spans="1:7" ht="13.15" customHeight="1">
      <c r="A345" s="218"/>
      <c r="B345" s="218"/>
      <c r="C345" s="218"/>
      <c r="D345" s="1273" t="s">
        <v>1264</v>
      </c>
      <c r="E345" s="1273"/>
      <c r="F345" s="1273"/>
      <c r="G345"/>
    </row>
    <row r="346" spans="1:7">
      <c r="A346" s="218"/>
      <c r="B346" s="218"/>
      <c r="C346" s="218"/>
      <c r="D346" s="1273"/>
      <c r="E346" s="1273"/>
      <c r="F346" s="1273"/>
      <c r="G346"/>
    </row>
    <row r="347" spans="1:7">
      <c r="A347" s="218"/>
      <c r="B347" s="218"/>
      <c r="C347" s="218"/>
      <c r="D347" s="1273"/>
      <c r="E347" s="1273"/>
      <c r="F347" s="1273"/>
      <c r="G347"/>
    </row>
    <row r="348" spans="1:7">
      <c r="A348" s="218"/>
      <c r="B348" s="218"/>
      <c r="C348" s="218"/>
      <c r="D348" s="1273"/>
      <c r="E348" s="1273"/>
      <c r="F348" s="1273"/>
      <c r="G348"/>
    </row>
    <row r="349" spans="1:7">
      <c r="A349" s="218"/>
      <c r="B349" s="218"/>
      <c r="C349" s="218"/>
      <c r="D349" s="1273"/>
      <c r="E349" s="1273"/>
      <c r="F349" s="1273"/>
      <c r="G349"/>
    </row>
    <row r="350" spans="1:7">
      <c r="A350" s="218"/>
      <c r="B350" s="218"/>
      <c r="C350" s="218"/>
      <c r="D350" s="1273"/>
      <c r="E350" s="1273"/>
      <c r="F350" s="1273"/>
      <c r="G350"/>
    </row>
    <row r="351" spans="1:7">
      <c r="A351" s="218"/>
      <c r="B351" s="218"/>
      <c r="C351" s="218"/>
      <c r="D351" s="1273"/>
      <c r="E351" s="1273"/>
      <c r="F351" s="1273"/>
      <c r="G351"/>
    </row>
    <row r="352" spans="1:7">
      <c r="A352" s="218"/>
      <c r="B352" s="218"/>
      <c r="C352" s="218"/>
      <c r="D352" s="1273"/>
      <c r="E352" s="1273"/>
      <c r="F352" s="1273"/>
      <c r="G352"/>
    </row>
    <row r="353" spans="1:7">
      <c r="A353" s="218"/>
      <c r="B353" s="218"/>
      <c r="C353" s="218"/>
      <c r="D353" s="1273"/>
      <c r="E353" s="1273"/>
      <c r="F353" s="1273"/>
      <c r="G353"/>
    </row>
    <row r="354" spans="1:7">
      <c r="A354" s="218"/>
      <c r="B354" s="218"/>
      <c r="C354" s="218"/>
      <c r="D354" s="1273"/>
      <c r="E354" s="1273"/>
      <c r="F354" s="1273"/>
      <c r="G354"/>
    </row>
    <row r="355" spans="1:7">
      <c r="A355" s="218"/>
      <c r="B355" s="218"/>
      <c r="C355" s="218"/>
      <c r="D355" s="1273"/>
      <c r="E355" s="1273"/>
      <c r="F355" s="1273"/>
      <c r="G355"/>
    </row>
    <row r="356" spans="1:7">
      <c r="A356" s="218"/>
      <c r="B356" s="218"/>
      <c r="C356" s="218"/>
      <c r="D356" s="1273"/>
      <c r="E356" s="1273"/>
      <c r="F356" s="1273"/>
      <c r="G356"/>
    </row>
    <row r="357" spans="1:7">
      <c r="A357" s="218"/>
      <c r="B357" s="218"/>
      <c r="C357" s="348"/>
      <c r="D357" s="1273"/>
      <c r="E357" s="1273"/>
      <c r="F357" s="1273"/>
      <c r="G357"/>
    </row>
    <row r="358" spans="1:7">
      <c r="A358" s="218"/>
      <c r="B358" s="218"/>
      <c r="C358" s="348"/>
      <c r="D358" s="1273"/>
      <c r="E358" s="1273"/>
      <c r="F358" s="1273"/>
      <c r="G358"/>
    </row>
    <row r="359" spans="1:7">
      <c r="A359" s="218"/>
      <c r="B359" s="218"/>
      <c r="C359" s="218"/>
      <c r="D359" s="1273"/>
      <c r="E359" s="1273"/>
      <c r="F359" s="1273"/>
      <c r="G359"/>
    </row>
    <row r="360" spans="1:7">
      <c r="A360" s="218"/>
      <c r="B360" s="218"/>
      <c r="C360" s="348"/>
      <c r="D360" s="1273"/>
      <c r="E360" s="1273"/>
      <c r="F360" s="1273"/>
      <c r="G360"/>
    </row>
    <row r="361" spans="1:7">
      <c r="A361" s="218"/>
      <c r="B361" s="218"/>
      <c r="C361" s="348"/>
      <c r="D361" s="1273"/>
      <c r="E361" s="1273"/>
      <c r="F361" s="1273"/>
      <c r="G361"/>
    </row>
    <row r="362" spans="1:7">
      <c r="A362" s="218"/>
      <c r="B362" s="218"/>
      <c r="C362" s="348"/>
      <c r="D362" s="1273"/>
      <c r="E362" s="1273"/>
      <c r="F362" s="1273"/>
      <c r="G362"/>
    </row>
    <row r="363" spans="1:7">
      <c r="A363" s="218"/>
      <c r="B363" s="218"/>
      <c r="C363" s="218"/>
      <c r="D363" s="220"/>
      <c r="E363" s="220"/>
      <c r="F363" s="35"/>
      <c r="G363"/>
    </row>
    <row r="364" spans="1:7">
      <c r="A364" s="218"/>
      <c r="B364" s="469" t="s">
        <v>308</v>
      </c>
      <c r="C364" s="218"/>
      <c r="D364" s="1273" t="s">
        <v>1265</v>
      </c>
      <c r="E364" s="1273"/>
      <c r="F364" s="1273"/>
      <c r="G364"/>
    </row>
    <row r="365" spans="1:7">
      <c r="A365" s="218"/>
      <c r="B365" s="218"/>
      <c r="C365" s="218"/>
      <c r="D365" s="1273"/>
      <c r="E365" s="1273"/>
      <c r="F365" s="1273"/>
      <c r="G365"/>
    </row>
    <row r="366" spans="1:7">
      <c r="A366" s="218"/>
      <c r="B366" s="218"/>
      <c r="C366" s="218"/>
      <c r="D366" s="220"/>
      <c r="E366" s="220"/>
      <c r="F366" s="35"/>
      <c r="G366"/>
    </row>
    <row r="367" spans="1:7" ht="14.25">
      <c r="A367" s="176"/>
      <c r="B367" s="469" t="s">
        <v>308</v>
      </c>
      <c r="C367" s="218"/>
      <c r="D367" s="1273" t="s">
        <v>1266</v>
      </c>
      <c r="E367" s="1273"/>
      <c r="F367" s="1273"/>
      <c r="G367"/>
    </row>
    <row r="368" spans="1:7" ht="14.25">
      <c r="A368" s="347"/>
      <c r="B368" s="347"/>
      <c r="C368" s="218"/>
      <c r="D368" s="1273"/>
      <c r="E368" s="1273"/>
      <c r="F368" s="1273"/>
      <c r="G368"/>
    </row>
    <row r="369" spans="1:7" ht="14.25">
      <c r="A369" s="347"/>
      <c r="B369" s="347"/>
      <c r="C369" s="218"/>
      <c r="D369" s="1273"/>
      <c r="E369" s="1273"/>
      <c r="F369" s="1273"/>
      <c r="G369"/>
    </row>
    <row r="370" spans="1:7" ht="14.25">
      <c r="A370" s="347"/>
      <c r="B370" s="347"/>
      <c r="C370" s="218"/>
      <c r="D370" s="1273"/>
      <c r="E370" s="1273"/>
      <c r="F370" s="1273"/>
      <c r="G370"/>
    </row>
    <row r="371" spans="1:7" ht="14.25">
      <c r="A371" s="347"/>
      <c r="B371" s="347"/>
      <c r="C371" s="218"/>
      <c r="D371" s="1273"/>
      <c r="E371" s="1273"/>
      <c r="F371" s="1273"/>
      <c r="G371"/>
    </row>
    <row r="372" spans="1:7">
      <c r="D372" s="35"/>
      <c r="E372" s="35"/>
      <c r="F372" s="35"/>
      <c r="G372"/>
    </row>
    <row r="373" spans="1:7" ht="14.25">
      <c r="A373" s="176"/>
      <c r="B373" s="469" t="s">
        <v>308</v>
      </c>
      <c r="C373" s="179"/>
      <c r="D373" s="1264" t="s">
        <v>1267</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9" t="s">
        <v>308</v>
      </c>
      <c r="C405" s="179"/>
      <c r="D405" s="1275" t="s">
        <v>1268</v>
      </c>
      <c r="E405" s="1275"/>
      <c r="F405" s="1275"/>
    </row>
    <row r="406" spans="1:7">
      <c r="D406" s="1285" t="s">
        <v>1039</v>
      </c>
      <c r="E406" s="1285"/>
      <c r="F406" s="1285"/>
    </row>
    <row r="407" spans="1:7">
      <c r="D407" s="1264" t="s">
        <v>1269</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9" t="s">
        <v>308</v>
      </c>
      <c r="C412" s="179"/>
      <c r="D412" s="1264" t="s">
        <v>1270</v>
      </c>
      <c r="E412" s="1264"/>
      <c r="F412" s="1264"/>
      <c r="G412"/>
    </row>
    <row r="413" spans="1:7">
      <c r="D413" s="1264"/>
      <c r="E413" s="1264"/>
      <c r="F413" s="1264"/>
      <c r="G413"/>
    </row>
    <row r="414" spans="1:7">
      <c r="D414" s="1264"/>
      <c r="E414" s="1264"/>
      <c r="F414" s="1264"/>
      <c r="G414"/>
    </row>
    <row r="415" spans="1:7">
      <c r="D415" s="475"/>
      <c r="E415" s="475"/>
      <c r="F415" s="475"/>
      <c r="G415"/>
    </row>
    <row r="416" spans="1:7" ht="14.25">
      <c r="B416" s="469" t="s">
        <v>308</v>
      </c>
      <c r="C416" s="176"/>
      <c r="D416" s="1264" t="s">
        <v>1271</v>
      </c>
      <c r="E416" s="1264"/>
      <c r="F416" s="1264"/>
      <c r="G416"/>
    </row>
    <row r="417" spans="1:7">
      <c r="D417" s="1264"/>
      <c r="E417" s="1264"/>
      <c r="F417" s="1264"/>
      <c r="G417"/>
    </row>
    <row r="418" spans="1:7">
      <c r="D418" s="35"/>
      <c r="E418" s="35"/>
      <c r="F418" s="35"/>
      <c r="G418"/>
    </row>
    <row r="419" spans="1:7" ht="14.25">
      <c r="B419" s="469" t="s">
        <v>308</v>
      </c>
      <c r="C419" s="176"/>
      <c r="D419" s="1264" t="s">
        <v>1272</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9"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9"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9" t="s">
        <v>308</v>
      </c>
      <c r="C430"/>
      <c r="D430" s="1264"/>
      <c r="E430" s="1264"/>
      <c r="F430" s="1264"/>
      <c r="G430"/>
    </row>
    <row r="431" spans="1:7">
      <c r="A431"/>
      <c r="B431"/>
      <c r="C431"/>
      <c r="D431" s="1264"/>
      <c r="E431" s="1264"/>
      <c r="F431" s="1264"/>
      <c r="G431"/>
    </row>
    <row r="432" spans="1:7">
      <c r="A432"/>
      <c r="B432" s="469" t="s">
        <v>308</v>
      </c>
      <c r="C432"/>
      <c r="D432" s="1264"/>
      <c r="E432" s="1264"/>
      <c r="F432" s="1264"/>
      <c r="G432"/>
    </row>
    <row r="433" spans="1:7">
      <c r="A433"/>
      <c r="B433"/>
      <c r="C433"/>
      <c r="D433" s="475"/>
      <c r="E433" s="475"/>
      <c r="F433" s="475"/>
      <c r="G433"/>
    </row>
    <row r="434" spans="1:7">
      <c r="A434"/>
      <c r="B434" s="469" t="s">
        <v>308</v>
      </c>
      <c r="C434"/>
      <c r="D434" s="1264" t="s">
        <v>1273</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9" t="s">
        <v>308</v>
      </c>
      <c r="D440" s="1275" t="s">
        <v>1274</v>
      </c>
      <c r="E440" s="1275"/>
      <c r="F440" s="1275"/>
    </row>
    <row r="441" spans="1:7">
      <c r="A441" s="35"/>
      <c r="B441" s="35"/>
    </row>
    <row r="442" spans="1:7">
      <c r="A442" s="1279" t="s">
        <v>1115</v>
      </c>
      <c r="B442" s="1279"/>
      <c r="C442" s="1279"/>
      <c r="D442" s="1279"/>
      <c r="E442" s="1279"/>
      <c r="F442" s="1279"/>
      <c r="G442" s="1279"/>
    </row>
    <row r="443" spans="1:7">
      <c r="A443" s="35"/>
      <c r="B443" s="35"/>
    </row>
    <row r="444" spans="1:7">
      <c r="D444" s="1276" t="s">
        <v>912</v>
      </c>
      <c r="E444" s="1276"/>
      <c r="F444" s="1276"/>
    </row>
    <row r="445" spans="1:7" ht="14.25">
      <c r="A445" s="176"/>
      <c r="B445" s="176"/>
      <c r="D445" s="1277" t="s">
        <v>1275</v>
      </c>
      <c r="E445" s="1277"/>
      <c r="F445" s="1277"/>
    </row>
    <row r="446" spans="1:7" ht="14.25">
      <c r="A446" s="176"/>
      <c r="B446" s="176"/>
      <c r="D446" s="482"/>
      <c r="E446" s="3"/>
      <c r="F446" s="3"/>
    </row>
    <row r="447" spans="1:7" ht="14.25">
      <c r="A447" s="176"/>
      <c r="B447" s="469" t="s">
        <v>308</v>
      </c>
      <c r="D447" s="1273" t="s">
        <v>1276</v>
      </c>
      <c r="E447" s="1273"/>
      <c r="F447" s="1273"/>
    </row>
    <row r="448" spans="1:7" ht="14.25">
      <c r="A448" s="176"/>
      <c r="B448" s="176"/>
      <c r="D448" s="1273"/>
      <c r="E448" s="1273"/>
      <c r="F448" s="1273"/>
    </row>
    <row r="449" spans="1:7" ht="14.25">
      <c r="A449" s="176"/>
      <c r="B449" s="176"/>
      <c r="D449" s="118"/>
      <c r="E449" s="3"/>
      <c r="F449" s="3"/>
    </row>
    <row r="450" spans="1:7">
      <c r="B450" s="469" t="s">
        <v>308</v>
      </c>
      <c r="D450" s="1278" t="s">
        <v>1277</v>
      </c>
      <c r="E450" s="1278"/>
      <c r="F450" s="1278"/>
    </row>
    <row r="451" spans="1:7" ht="14.25">
      <c r="A451" s="176"/>
      <c r="D451" s="1278"/>
      <c r="E451" s="1278"/>
      <c r="F451" s="1278"/>
    </row>
    <row r="452" spans="1:7" ht="14.25">
      <c r="A452" s="176"/>
      <c r="B452" s="176"/>
      <c r="D452" s="1278"/>
      <c r="E452" s="1278"/>
      <c r="F452" s="1278"/>
    </row>
    <row r="453" spans="1:7" ht="14.25">
      <c r="A453" s="176"/>
      <c r="B453" s="176"/>
      <c r="D453" s="1278"/>
      <c r="E453" s="1278"/>
      <c r="F453" s="1278"/>
    </row>
    <row r="454" spans="1:7">
      <c r="D454" s="3"/>
      <c r="E454" s="3"/>
      <c r="F454" s="3"/>
      <c r="G454"/>
    </row>
    <row r="455" spans="1:7" ht="14.25">
      <c r="A455" s="176"/>
      <c r="B455" s="469" t="s">
        <v>308</v>
      </c>
      <c r="D455" s="1264" t="s">
        <v>1278</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9" t="s">
        <v>308</v>
      </c>
      <c r="D459" s="1275" t="s">
        <v>1279</v>
      </c>
      <c r="E459" s="1275"/>
      <c r="F459" s="1275"/>
      <c r="G459"/>
    </row>
    <row r="460" spans="1:7" ht="14.25">
      <c r="A460" s="176"/>
      <c r="B460" s="176"/>
      <c r="D460" s="118"/>
      <c r="E460" s="3"/>
      <c r="F460" s="3"/>
      <c r="G460"/>
    </row>
    <row r="461" spans="1:7" ht="14.25">
      <c r="A461" s="176"/>
      <c r="B461" s="469" t="s">
        <v>308</v>
      </c>
      <c r="D461" s="1264" t="s">
        <v>1280</v>
      </c>
      <c r="E461" s="1264"/>
      <c r="F461" s="1264"/>
      <c r="G461"/>
    </row>
    <row r="462" spans="1:7" ht="14.25">
      <c r="A462" s="176"/>
      <c r="D462" s="1264"/>
      <c r="E462" s="1264"/>
      <c r="F462" s="1264"/>
      <c r="G462"/>
    </row>
    <row r="463" spans="1:7">
      <c r="A463" s="13"/>
      <c r="B463" s="13"/>
      <c r="D463" s="482"/>
      <c r="E463" s="3"/>
      <c r="F463" s="3"/>
      <c r="G463"/>
    </row>
    <row r="464" spans="1:7">
      <c r="A464" s="13"/>
      <c r="B464" s="469" t="s">
        <v>308</v>
      </c>
      <c r="D464" s="1275" t="s">
        <v>1281</v>
      </c>
      <c r="E464" s="1275"/>
      <c r="F464" s="1275"/>
      <c r="G464"/>
    </row>
    <row r="465" spans="1:7" ht="14.25">
      <c r="A465" s="176"/>
      <c r="B465" s="176"/>
      <c r="D465" s="35"/>
    </row>
    <row r="466" spans="1:7">
      <c r="A466" s="1279" t="s">
        <v>1116</v>
      </c>
      <c r="B466" s="1279"/>
      <c r="C466" s="1279"/>
      <c r="D466" s="1279"/>
      <c r="E466" s="1279"/>
      <c r="F466" s="1279"/>
      <c r="G466" s="1279"/>
    </row>
    <row r="467" spans="1:7" ht="12" customHeight="1">
      <c r="A467" s="176"/>
      <c r="B467" s="176"/>
      <c r="D467" s="35"/>
    </row>
    <row r="468" spans="1:7">
      <c r="C468" s="172"/>
      <c r="D468" s="1280" t="s">
        <v>817</v>
      </c>
      <c r="E468" s="1280"/>
      <c r="F468" s="1280"/>
    </row>
    <row r="469" spans="1:7" ht="13.15" customHeight="1">
      <c r="A469" s="175"/>
      <c r="B469" s="175"/>
      <c r="C469" s="175"/>
      <c r="D469" s="1281" t="s">
        <v>1159</v>
      </c>
      <c r="E469" s="1281"/>
      <c r="F469" s="1281"/>
    </row>
    <row r="470" spans="1:7">
      <c r="A470" s="175"/>
      <c r="B470" s="175"/>
      <c r="C470" s="175"/>
      <c r="D470" s="1281"/>
      <c r="E470" s="1281"/>
      <c r="F470" s="1281"/>
    </row>
    <row r="471" spans="1:7">
      <c r="A471" s="175"/>
      <c r="B471" s="175"/>
      <c r="C471" s="175"/>
      <c r="D471" s="1281"/>
      <c r="E471" s="1281"/>
      <c r="F471" s="1281"/>
    </row>
    <row r="472" spans="1:7">
      <c r="A472" s="175"/>
      <c r="B472" s="175"/>
      <c r="C472" s="175"/>
      <c r="D472" s="1281"/>
      <c r="E472" s="1281"/>
      <c r="F472" s="1281"/>
    </row>
    <row r="473" spans="1:7">
      <c r="A473" s="175"/>
      <c r="B473" s="175"/>
      <c r="C473" s="175"/>
      <c r="D473" s="1281"/>
      <c r="E473" s="1281"/>
      <c r="F473" s="1281"/>
    </row>
    <row r="474" spans="1:7">
      <c r="A474" s="175"/>
      <c r="B474" s="175"/>
      <c r="C474" s="175"/>
      <c r="D474" s="326"/>
      <c r="F474" s="35"/>
    </row>
    <row r="475" spans="1:7" ht="14.45" customHeight="1">
      <c r="A475" s="176"/>
      <c r="B475" s="469" t="s">
        <v>308</v>
      </c>
      <c r="C475" s="175"/>
      <c r="D475" s="1295" t="s">
        <v>1150</v>
      </c>
      <c r="E475" s="1295"/>
      <c r="F475" s="1295"/>
    </row>
    <row r="476" spans="1:7">
      <c r="A476" s="175"/>
      <c r="B476" s="175"/>
      <c r="C476" s="175"/>
      <c r="D476" s="1295"/>
      <c r="E476" s="1295"/>
      <c r="F476" s="1295"/>
    </row>
    <row r="477" spans="1:7">
      <c r="A477" s="175"/>
      <c r="B477" s="175"/>
      <c r="C477" s="175"/>
      <c r="D477" s="1295"/>
      <c r="E477" s="1295"/>
      <c r="F477" s="1295"/>
    </row>
    <row r="478" spans="1:7">
      <c r="A478" s="175"/>
      <c r="B478" s="175"/>
      <c r="C478" s="175"/>
      <c r="D478" s="1295"/>
      <c r="E478" s="1295"/>
      <c r="F478" s="1295"/>
    </row>
    <row r="479" spans="1:7">
      <c r="A479" s="175"/>
      <c r="B479" s="175"/>
      <c r="C479" s="175"/>
      <c r="D479" s="1295"/>
      <c r="E479" s="1295"/>
      <c r="F479" s="1295"/>
    </row>
    <row r="480" spans="1:7">
      <c r="A480" s="175"/>
      <c r="B480" s="175"/>
      <c r="C480" s="175"/>
      <c r="D480" s="220"/>
      <c r="F480" s="35"/>
    </row>
    <row r="481" spans="1:6" ht="14.45" customHeight="1">
      <c r="A481" s="176"/>
      <c r="B481" s="469" t="s">
        <v>308</v>
      </c>
      <c r="C481" s="175"/>
      <c r="D481" s="1295" t="s">
        <v>1153</v>
      </c>
      <c r="E481" s="1295"/>
      <c r="F481" s="1295"/>
    </row>
    <row r="482" spans="1:6">
      <c r="A482" s="175"/>
      <c r="B482" s="175"/>
      <c r="C482" s="175"/>
      <c r="D482" s="1295"/>
      <c r="E482" s="1295"/>
      <c r="F482" s="1295"/>
    </row>
    <row r="483" spans="1:6">
      <c r="A483" s="175"/>
      <c r="B483" s="175"/>
      <c r="C483" s="175"/>
      <c r="D483" s="1295"/>
      <c r="E483" s="1295"/>
      <c r="F483" s="1295"/>
    </row>
    <row r="484" spans="1:6">
      <c r="A484" s="175"/>
      <c r="B484" s="175"/>
      <c r="C484" s="175"/>
      <c r="D484" s="1295"/>
      <c r="E484" s="1295"/>
      <c r="F484" s="1295"/>
    </row>
    <row r="485" spans="1:6" ht="9.9499999999999993" customHeight="1">
      <c r="A485" s="175"/>
      <c r="B485" s="175"/>
      <c r="C485" s="175"/>
      <c r="D485" s="220"/>
      <c r="F485" s="35"/>
    </row>
    <row r="486" spans="1:6" ht="14.45" customHeight="1">
      <c r="A486" s="176"/>
      <c r="B486" s="469" t="s">
        <v>308</v>
      </c>
      <c r="C486" s="175"/>
      <c r="D486" s="1295" t="s">
        <v>1151</v>
      </c>
      <c r="E486" s="1295"/>
      <c r="F486" s="1295"/>
    </row>
    <row r="487" spans="1:6">
      <c r="A487" s="175"/>
      <c r="B487" s="175"/>
      <c r="C487" s="175"/>
      <c r="D487" s="1295"/>
      <c r="E487" s="1295"/>
      <c r="F487" s="1295"/>
    </row>
    <row r="488" spans="1:6">
      <c r="A488" s="175"/>
      <c r="B488" s="175"/>
      <c r="C488" s="175"/>
      <c r="D488" s="1295"/>
      <c r="E488" s="1295"/>
      <c r="F488" s="1295"/>
    </row>
    <row r="489" spans="1:6">
      <c r="A489" s="175"/>
      <c r="B489" s="175"/>
      <c r="C489" s="175"/>
      <c r="D489" s="476"/>
      <c r="E489" s="476"/>
      <c r="F489" s="476"/>
    </row>
    <row r="490" spans="1:6" ht="14.45" customHeight="1">
      <c r="A490" s="176"/>
      <c r="B490" s="469" t="s">
        <v>308</v>
      </c>
      <c r="C490" s="175"/>
      <c r="D490" s="1295" t="s">
        <v>1152</v>
      </c>
      <c r="E490" s="1295"/>
      <c r="F490" s="1295"/>
    </row>
    <row r="491" spans="1:6">
      <c r="A491" s="175"/>
      <c r="B491" s="175"/>
      <c r="C491" s="175"/>
      <c r="D491" s="1295"/>
      <c r="E491" s="1295"/>
      <c r="F491" s="1295"/>
    </row>
    <row r="492" spans="1:6">
      <c r="A492" s="175"/>
      <c r="B492" s="175"/>
      <c r="C492" s="175"/>
      <c r="D492" s="1295"/>
      <c r="E492" s="1295"/>
      <c r="F492" s="1295"/>
    </row>
    <row r="493" spans="1:6">
      <c r="A493" s="175"/>
      <c r="B493" s="175"/>
      <c r="C493" s="175"/>
      <c r="D493" s="1295"/>
      <c r="E493" s="1295"/>
      <c r="F493" s="1295"/>
    </row>
    <row r="494" spans="1:6">
      <c r="A494" s="175"/>
      <c r="B494" s="175"/>
      <c r="C494" s="175"/>
      <c r="D494" s="1295"/>
      <c r="E494" s="1295"/>
      <c r="F494" s="1295"/>
    </row>
    <row r="495" spans="1:6">
      <c r="A495" s="175"/>
      <c r="B495" s="175"/>
      <c r="C495" s="175"/>
      <c r="D495" s="1295"/>
      <c r="E495" s="1295"/>
      <c r="F495" s="1295"/>
    </row>
    <row r="496" spans="1:6">
      <c r="A496" s="175"/>
      <c r="B496" s="175"/>
      <c r="C496" s="175"/>
      <c r="D496" s="1295"/>
      <c r="E496" s="1295"/>
      <c r="F496" s="1295"/>
    </row>
    <row r="497" spans="1:7">
      <c r="A497" s="175"/>
      <c r="B497" s="175"/>
      <c r="C497" s="175"/>
      <c r="D497" s="1295"/>
      <c r="E497" s="1295"/>
      <c r="F497" s="1295"/>
    </row>
    <row r="498" spans="1:7">
      <c r="A498" s="175"/>
      <c r="B498" s="175"/>
      <c r="C498" s="175"/>
      <c r="D498" s="1295"/>
      <c r="E498" s="1295"/>
      <c r="F498" s="1295"/>
    </row>
    <row r="499" spans="1:7">
      <c r="A499" s="175"/>
      <c r="B499" s="175"/>
      <c r="C499" s="175"/>
      <c r="D499" s="220"/>
      <c r="F499" s="35"/>
    </row>
    <row r="500" spans="1:7" ht="13.15" customHeight="1">
      <c r="A500" s="175"/>
      <c r="B500" s="469" t="s">
        <v>308</v>
      </c>
      <c r="C500" s="175"/>
      <c r="D500" s="1273" t="s">
        <v>1296</v>
      </c>
      <c r="E500" s="1273"/>
      <c r="F500" s="1273"/>
    </row>
    <row r="501" spans="1:7">
      <c r="A501" s="175"/>
      <c r="B501" s="175"/>
      <c r="C501" s="175"/>
      <c r="D501" s="1273"/>
      <c r="E501" s="1273"/>
      <c r="F501" s="1273"/>
    </row>
    <row r="502" spans="1:7">
      <c r="A502" s="175"/>
      <c r="B502" s="175"/>
      <c r="C502" s="175"/>
      <c r="D502" s="1273"/>
      <c r="E502" s="1273"/>
      <c r="F502" s="1273"/>
    </row>
    <row r="503" spans="1:7">
      <c r="A503" s="175"/>
      <c r="B503" s="175"/>
      <c r="C503" s="175"/>
      <c r="D503" s="1273"/>
      <c r="E503" s="1273"/>
      <c r="F503" s="1273"/>
    </row>
    <row r="504" spans="1:7">
      <c r="A504" s="175"/>
      <c r="B504" s="175"/>
      <c r="C504" s="175"/>
      <c r="D504" s="1273"/>
      <c r="E504" s="1273"/>
      <c r="F504" s="1273"/>
    </row>
    <row r="505" spans="1:7">
      <c r="A505" s="175"/>
      <c r="B505" s="175"/>
      <c r="C505" s="175"/>
      <c r="D505" s="486"/>
      <c r="E505" s="486"/>
      <c r="F505" s="486"/>
    </row>
    <row r="506" spans="1:7" ht="14.45" customHeight="1">
      <c r="A506" s="176"/>
      <c r="B506" s="469" t="s">
        <v>308</v>
      </c>
      <c r="D506" s="1295" t="s">
        <v>1154</v>
      </c>
      <c r="E506" s="1295"/>
      <c r="F506" s="1295"/>
    </row>
    <row r="507" spans="1:7">
      <c r="D507" s="1295"/>
      <c r="E507" s="1295"/>
      <c r="F507" s="1295"/>
    </row>
    <row r="508" spans="1:7">
      <c r="D508" s="1295"/>
      <c r="E508" s="1295"/>
      <c r="F508" s="1295"/>
    </row>
    <row r="509" spans="1:7" ht="12" customHeight="1">
      <c r="A509" s="35"/>
      <c r="B509" s="35"/>
      <c r="C509" s="179"/>
      <c r="D509" s="35"/>
      <c r="F509" s="57"/>
    </row>
    <row r="510" spans="1:7">
      <c r="A510" s="1279" t="s">
        <v>1117</v>
      </c>
      <c r="B510" s="1279"/>
      <c r="C510" s="1279"/>
      <c r="D510" s="1279"/>
      <c r="E510" s="1279"/>
      <c r="F510" s="1279"/>
      <c r="G510" s="1279"/>
    </row>
    <row r="511" spans="1:7">
      <c r="A511" s="35"/>
      <c r="B511" s="35"/>
      <c r="C511" s="179"/>
      <c r="F511" s="57"/>
    </row>
    <row r="512" spans="1:7">
      <c r="B512" s="1296" t="s">
        <v>449</v>
      </c>
      <c r="C512" s="1296"/>
      <c r="D512" s="1296"/>
      <c r="E512" s="1296"/>
      <c r="F512" s="1296"/>
    </row>
    <row r="513" spans="1:7">
      <c r="A513" s="35"/>
      <c r="B513" s="35"/>
      <c r="C513" s="179"/>
      <c r="D513" s="35"/>
      <c r="F513" s="35"/>
    </row>
    <row r="514" spans="1:7">
      <c r="A514" s="1310" t="s">
        <v>1118</v>
      </c>
      <c r="B514" s="1310"/>
      <c r="C514" s="1310"/>
      <c r="D514" s="1310"/>
      <c r="E514" s="1310"/>
      <c r="F514" s="1310"/>
      <c r="G514" s="1310"/>
    </row>
    <row r="515" spans="1:7">
      <c r="A515" s="35"/>
      <c r="B515" s="35"/>
      <c r="C515" s="179"/>
      <c r="D515" s="35"/>
      <c r="F515" s="35"/>
    </row>
    <row r="516" spans="1:7">
      <c r="C516" s="179"/>
      <c r="D516" s="1280" t="s">
        <v>692</v>
      </c>
      <c r="E516" s="1280"/>
      <c r="F516" s="1280"/>
    </row>
    <row r="517" spans="1:7">
      <c r="C517" s="179"/>
      <c r="D517" s="1275" t="s">
        <v>1175</v>
      </c>
      <c r="E517" s="1275"/>
      <c r="F517" s="1275"/>
    </row>
    <row r="518" spans="1:7">
      <c r="C518" s="179"/>
      <c r="D518" s="118"/>
      <c r="E518" s="118"/>
      <c r="F518" s="118"/>
    </row>
    <row r="519" spans="1:7" ht="13.15" customHeight="1">
      <c r="A519" s="176"/>
      <c r="B519" s="469" t="s">
        <v>308</v>
      </c>
      <c r="C519" s="179"/>
      <c r="D519" s="1275" t="s">
        <v>913</v>
      </c>
      <c r="E519" s="1275"/>
      <c r="F519" s="1275"/>
      <c r="G519"/>
    </row>
    <row r="520" spans="1:7" ht="13.15" customHeight="1">
      <c r="A520" s="179"/>
      <c r="B520" s="179"/>
      <c r="C520" s="179"/>
      <c r="D520" s="118"/>
      <c r="E520"/>
      <c r="F520"/>
      <c r="G520"/>
    </row>
    <row r="521" spans="1:7" ht="14.25">
      <c r="A521" s="176"/>
      <c r="B521" s="469" t="s">
        <v>308</v>
      </c>
      <c r="C521" s="179"/>
      <c r="D521" s="1264" t="s">
        <v>1176</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9" t="s">
        <v>308</v>
      </c>
      <c r="C524" s="179"/>
      <c r="D524" s="1264" t="s">
        <v>1177</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9" t="s">
        <v>308</v>
      </c>
      <c r="C527" s="179"/>
      <c r="D527" s="1264" t="s">
        <v>1178</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9" t="s">
        <v>308</v>
      </c>
      <c r="C530" s="179"/>
      <c r="D530" s="1264" t="s">
        <v>1179</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9" t="s">
        <v>308</v>
      </c>
      <c r="C534" s="179"/>
      <c r="D534" s="1264" t="s">
        <v>1297</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9" t="s">
        <v>308</v>
      </c>
      <c r="C537" s="179"/>
      <c r="D537" s="1264" t="s">
        <v>1180</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9" t="s">
        <v>308</v>
      </c>
      <c r="C540" s="179"/>
      <c r="D540" s="1264" t="s">
        <v>1181</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9" t="s">
        <v>308</v>
      </c>
      <c r="C543" s="179"/>
      <c r="D543" s="1275" t="s">
        <v>1182</v>
      </c>
      <c r="E543" s="1275"/>
      <c r="F543" s="1275"/>
    </row>
    <row r="544" spans="1:7">
      <c r="A544" s="13"/>
      <c r="B544" s="13"/>
      <c r="C544" s="179"/>
      <c r="D544" s="1275" t="s">
        <v>846</v>
      </c>
      <c r="E544" s="1275"/>
      <c r="F544" s="1275"/>
    </row>
    <row r="545" spans="1:7">
      <c r="A545" s="13"/>
      <c r="B545" s="13"/>
      <c r="C545" s="179"/>
      <c r="D545" s="3"/>
      <c r="E545" s="1286" t="s">
        <v>1183</v>
      </c>
      <c r="F545" s="1286"/>
    </row>
    <row r="546" spans="1:7" ht="14.25">
      <c r="A546" s="176"/>
      <c r="B546" s="176"/>
      <c r="C546" s="179"/>
      <c r="E546" s="35"/>
      <c r="F546" s="35"/>
    </row>
    <row r="547" spans="1:7" ht="14.25">
      <c r="A547" s="176"/>
      <c r="B547" s="469" t="s">
        <v>308</v>
      </c>
      <c r="C547" s="179"/>
      <c r="D547" s="1275" t="s">
        <v>1184</v>
      </c>
      <c r="E547" s="1275"/>
      <c r="F547" s="1275"/>
    </row>
    <row r="548" spans="1:7">
      <c r="C548" s="179"/>
      <c r="D548" s="1264" t="s">
        <v>1185</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9" t="s">
        <v>308</v>
      </c>
      <c r="C552" s="179"/>
      <c r="D552" s="1264" t="s">
        <v>1186</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79" t="s">
        <v>1119</v>
      </c>
      <c r="B557" s="1279"/>
      <c r="C557" s="1279"/>
      <c r="D557" s="1279"/>
      <c r="E557" s="1279"/>
      <c r="F557" s="1279"/>
      <c r="G557" s="1279"/>
    </row>
    <row r="558" spans="1:7">
      <c r="A558" s="179"/>
      <c r="B558" s="179"/>
      <c r="C558" s="179"/>
      <c r="E558" s="35"/>
      <c r="F558" s="35"/>
    </row>
    <row r="559" spans="1:7" ht="12.75" customHeight="1">
      <c r="C559" s="172"/>
      <c r="D559" s="1297" t="s">
        <v>211</v>
      </c>
      <c r="E559" s="1297"/>
      <c r="F559" s="1297"/>
    </row>
    <row r="560" spans="1:7">
      <c r="A560" s="175"/>
      <c r="B560" s="175"/>
      <c r="C560" s="175"/>
      <c r="D560" s="1278" t="s">
        <v>1135</v>
      </c>
      <c r="E560" s="1278"/>
      <c r="F560" s="1278"/>
    </row>
    <row r="561" spans="1:6">
      <c r="A561"/>
      <c r="B561"/>
      <c r="C561" s="175"/>
      <c r="D561" s="255"/>
    </row>
    <row r="562" spans="1:6">
      <c r="A562" s="175"/>
      <c r="B562" s="469" t="s">
        <v>308</v>
      </c>
      <c r="D562" s="1278" t="s">
        <v>919</v>
      </c>
      <c r="E562" s="1278"/>
      <c r="F562" s="1278"/>
    </row>
    <row r="563" spans="1:6">
      <c r="A563" s="13"/>
      <c r="B563" s="13"/>
      <c r="D563" s="218"/>
    </row>
    <row r="564" spans="1:6">
      <c r="A564" s="13"/>
      <c r="B564" s="469" t="s">
        <v>308</v>
      </c>
      <c r="D564" s="1278" t="s">
        <v>1136</v>
      </c>
      <c r="E564" s="1278"/>
      <c r="F564" s="1278"/>
    </row>
    <row r="565" spans="1:6">
      <c r="A565" s="13"/>
      <c r="B565" s="13"/>
      <c r="D565" s="1278"/>
      <c r="E565" s="1278"/>
      <c r="F565" s="1278"/>
    </row>
    <row r="566" spans="1:6">
      <c r="A566" s="13"/>
      <c r="B566" s="13"/>
      <c r="D566" s="1278"/>
      <c r="E566" s="1278"/>
      <c r="F566" s="1278"/>
    </row>
    <row r="567" spans="1:6">
      <c r="A567" s="13"/>
      <c r="B567" s="13"/>
      <c r="D567" s="255"/>
    </row>
    <row r="568" spans="1:6">
      <c r="A568" s="13"/>
      <c r="B568" s="469" t="s">
        <v>308</v>
      </c>
      <c r="D568" s="1278" t="s">
        <v>1137</v>
      </c>
      <c r="E568" s="1278"/>
      <c r="F568" s="1278"/>
    </row>
    <row r="569" spans="1:6">
      <c r="A569" s="13"/>
      <c r="B569" s="13"/>
      <c r="D569" s="1278"/>
      <c r="E569" s="1278"/>
      <c r="F569" s="1278"/>
    </row>
    <row r="570" spans="1:6">
      <c r="A570" s="13"/>
      <c r="B570" s="13"/>
      <c r="D570" s="1278"/>
      <c r="E570" s="1278"/>
      <c r="F570" s="1278"/>
    </row>
    <row r="571" spans="1:6">
      <c r="A571" s="13"/>
      <c r="B571" s="13"/>
      <c r="D571" s="1278"/>
      <c r="E571" s="1278"/>
      <c r="F571" s="1278"/>
    </row>
    <row r="572" spans="1:6">
      <c r="A572" s="13"/>
      <c r="B572" s="13"/>
      <c r="D572" s="474"/>
      <c r="E572" s="474"/>
      <c r="F572" s="474"/>
    </row>
    <row r="573" spans="1:6">
      <c r="A573" s="13"/>
      <c r="B573" s="469" t="s">
        <v>308</v>
      </c>
      <c r="D573" s="1278" t="s">
        <v>1138</v>
      </c>
      <c r="E573" s="1278"/>
      <c r="F573" s="1278"/>
    </row>
    <row r="574" spans="1:6">
      <c r="A574" s="13"/>
      <c r="B574" s="13"/>
      <c r="D574" s="1278"/>
      <c r="E574" s="1278"/>
      <c r="F574" s="1278"/>
    </row>
    <row r="575" spans="1:6">
      <c r="A575" s="13"/>
      <c r="B575" s="13"/>
      <c r="D575" s="255"/>
    </row>
    <row r="576" spans="1:6">
      <c r="A576" s="13"/>
      <c r="B576" s="469" t="s">
        <v>308</v>
      </c>
      <c r="D576" s="1278" t="s">
        <v>1139</v>
      </c>
      <c r="E576" s="1278"/>
      <c r="F576" s="1278"/>
    </row>
    <row r="577" spans="1:7">
      <c r="A577" s="13"/>
      <c r="B577" s="13"/>
      <c r="D577" s="1278"/>
      <c r="E577" s="1278"/>
      <c r="F577" s="1278"/>
    </row>
    <row r="578" spans="1:7">
      <c r="A578" s="13"/>
      <c r="B578" s="13"/>
      <c r="D578" s="255"/>
    </row>
    <row r="579" spans="1:7" ht="14.25">
      <c r="A579" s="176"/>
      <c r="B579" s="469" t="s">
        <v>308</v>
      </c>
      <c r="D579" s="1278" t="s">
        <v>914</v>
      </c>
      <c r="E579" s="1278"/>
      <c r="F579" s="1278"/>
    </row>
    <row r="580" spans="1:7" ht="14.25">
      <c r="A580" s="176"/>
      <c r="B580" s="176"/>
      <c r="D580" s="255"/>
    </row>
    <row r="581" spans="1:7" ht="14.25">
      <c r="A581" s="176"/>
      <c r="B581" s="469" t="s">
        <v>308</v>
      </c>
      <c r="D581" s="1278" t="s">
        <v>1140</v>
      </c>
      <c r="E581" s="1278"/>
      <c r="F581" s="1278"/>
    </row>
    <row r="582" spans="1:7" ht="14.25">
      <c r="A582" s="176"/>
      <c r="B582" s="176"/>
      <c r="D582" s="1278"/>
      <c r="E582" s="1278"/>
      <c r="F582" s="1278"/>
    </row>
    <row r="583" spans="1:7">
      <c r="D583" s="1278"/>
      <c r="E583" s="1278"/>
      <c r="F583" s="1278"/>
    </row>
    <row r="584" spans="1:7">
      <c r="D584" s="1278"/>
      <c r="E584" s="1278"/>
      <c r="F584" s="1278"/>
    </row>
    <row r="585" spans="1:7">
      <c r="D585" s="1278"/>
      <c r="E585" s="1278"/>
      <c r="F585" s="1278"/>
    </row>
    <row r="586" spans="1:7">
      <c r="D586" s="1278"/>
      <c r="E586" s="1278"/>
      <c r="F586" s="1278"/>
    </row>
    <row r="587" spans="1:7"/>
    <row r="588" spans="1:7">
      <c r="A588" s="1279" t="s">
        <v>1120</v>
      </c>
      <c r="B588" s="1279"/>
      <c r="C588" s="1279"/>
      <c r="D588" s="1279"/>
      <c r="E588" s="1279"/>
      <c r="F588" s="1279"/>
      <c r="G588" s="1279"/>
    </row>
    <row r="589" spans="1:7"/>
    <row r="590" spans="1:7">
      <c r="D590" s="1290" t="s">
        <v>1220</v>
      </c>
      <c r="E590" s="1290"/>
      <c r="F590" s="1290"/>
    </row>
    <row r="591" spans="1:7">
      <c r="D591" s="1313" t="s">
        <v>1221</v>
      </c>
      <c r="E591" s="1313"/>
      <c r="F591" s="1313"/>
    </row>
    <row r="592" spans="1:7">
      <c r="D592" s="479"/>
      <c r="E592" s="434"/>
      <c r="F592" s="434"/>
    </row>
    <row r="593" spans="1:7" ht="14.25">
      <c r="A593" s="176"/>
      <c r="B593" s="469" t="s">
        <v>308</v>
      </c>
      <c r="D593" s="1291" t="s">
        <v>1222</v>
      </c>
      <c r="E593" s="1291"/>
      <c r="F593" s="1291"/>
    </row>
    <row r="594" spans="1:7">
      <c r="D594" s="1291"/>
      <c r="E594" s="1291"/>
      <c r="F594" s="1291"/>
    </row>
    <row r="595" spans="1:7">
      <c r="D595" s="1291"/>
      <c r="E595" s="1291"/>
      <c r="F595" s="1291"/>
    </row>
    <row r="596" spans="1:7"/>
    <row r="597" spans="1:7">
      <c r="A597" s="1279" t="s">
        <v>1121</v>
      </c>
      <c r="B597" s="1279"/>
      <c r="C597" s="1279"/>
      <c r="D597" s="1279"/>
      <c r="E597" s="1279"/>
      <c r="F597" s="1279"/>
      <c r="G597" s="1279"/>
    </row>
    <row r="598" spans="1:7">
      <c r="A598" s="35"/>
      <c r="B598" s="35"/>
    </row>
    <row r="599" spans="1:7">
      <c r="A599" s="172"/>
      <c r="B599" s="172"/>
      <c r="C599" s="172"/>
      <c r="D599" s="1314" t="s">
        <v>1223</v>
      </c>
      <c r="E599" s="1314"/>
      <c r="F599" s="1314"/>
    </row>
    <row r="600" spans="1:7">
      <c r="A600" s="172"/>
      <c r="B600" s="172"/>
      <c r="C600" s="172"/>
      <c r="D600" s="1314"/>
      <c r="E600" s="1314"/>
      <c r="F600" s="1314"/>
    </row>
    <row r="601" spans="1:7">
      <c r="C601" s="175"/>
      <c r="D601" s="1313" t="s">
        <v>1224</v>
      </c>
      <c r="E601" s="1313"/>
      <c r="F601" s="1313"/>
    </row>
    <row r="602" spans="1:7">
      <c r="C602" s="175"/>
      <c r="D602" s="479"/>
      <c r="E602" s="479"/>
      <c r="F602" s="479"/>
    </row>
    <row r="603" spans="1:7">
      <c r="A603" s="13"/>
      <c r="B603" s="469" t="s">
        <v>308</v>
      </c>
      <c r="D603" s="1313" t="s">
        <v>433</v>
      </c>
      <c r="E603" s="1313"/>
      <c r="F603" s="1313"/>
    </row>
    <row r="604" spans="1:7">
      <c r="C604" s="180"/>
      <c r="E604"/>
    </row>
    <row r="605" spans="1:7">
      <c r="A605" s="13"/>
      <c r="B605" s="469" t="s">
        <v>308</v>
      </c>
      <c r="D605" s="1289" t="s">
        <v>1225</v>
      </c>
      <c r="E605" s="1289"/>
      <c r="F605" s="1289"/>
    </row>
    <row r="606" spans="1:7">
      <c r="D606" s="1289"/>
      <c r="E606" s="1289"/>
      <c r="F606" s="1289"/>
    </row>
    <row r="607" spans="1:7">
      <c r="D607"/>
    </row>
    <row r="608" spans="1:7">
      <c r="B608" s="469" t="s">
        <v>308</v>
      </c>
      <c r="D608" s="1289" t="s">
        <v>1226</v>
      </c>
      <c r="E608" s="1289"/>
      <c r="F608" s="1289"/>
    </row>
    <row r="609" spans="1:7">
      <c r="C609" s="180"/>
      <c r="D609" s="1289"/>
      <c r="E609" s="1289"/>
      <c r="F609" s="1289"/>
    </row>
    <row r="610" spans="1:7">
      <c r="C610" s="180"/>
    </row>
    <row r="611" spans="1:7">
      <c r="B611" s="469" t="s">
        <v>308</v>
      </c>
      <c r="C611" s="180"/>
      <c r="D611" s="1289" t="s">
        <v>1227</v>
      </c>
      <c r="E611" s="1289"/>
      <c r="F611" s="1289"/>
    </row>
    <row r="612" spans="1:7">
      <c r="C612" s="180"/>
      <c r="D612" s="1289"/>
      <c r="E612" s="1289"/>
      <c r="F612" s="1289"/>
    </row>
    <row r="613" spans="1:7">
      <c r="C613" s="180"/>
    </row>
    <row r="614" spans="1:7">
      <c r="A614" s="1279" t="s">
        <v>1122</v>
      </c>
      <c r="B614" s="1279"/>
      <c r="C614" s="1279"/>
      <c r="D614" s="1279"/>
      <c r="E614" s="1279"/>
      <c r="F614" s="1279"/>
      <c r="G614" s="1279"/>
    </row>
    <row r="615" spans="1:7">
      <c r="A615" s="172"/>
      <c r="B615" s="172"/>
      <c r="C615" s="172"/>
    </row>
    <row r="616" spans="1:7">
      <c r="C616" s="13"/>
      <c r="D616" s="1290" t="s">
        <v>1228</v>
      </c>
      <c r="E616" s="1290"/>
      <c r="F616" s="1290"/>
    </row>
    <row r="617" spans="1:7">
      <c r="A617" s="13"/>
      <c r="B617" s="13"/>
      <c r="D617" s="2"/>
    </row>
    <row r="618" spans="1:7" ht="14.25">
      <c r="A618" s="176"/>
      <c r="B618" s="469" t="s">
        <v>308</v>
      </c>
      <c r="D618" s="1291" t="s">
        <v>1229</v>
      </c>
      <c r="E618" s="1291"/>
      <c r="F618" s="1291"/>
    </row>
    <row r="619" spans="1:7">
      <c r="D619" s="1291"/>
      <c r="E619" s="1291"/>
      <c r="F619" s="1291"/>
    </row>
    <row r="620" spans="1:7">
      <c r="D620" s="1291"/>
      <c r="E620" s="1291"/>
      <c r="F620" s="1291"/>
    </row>
    <row r="621" spans="1:7">
      <c r="D621" s="1291"/>
      <c r="E621" s="1291"/>
      <c r="F621" s="1291"/>
    </row>
    <row r="622" spans="1:7">
      <c r="D622" s="1291"/>
      <c r="E622" s="1291"/>
      <c r="F622" s="1291"/>
    </row>
    <row r="623" spans="1:7">
      <c r="D623" s="1291"/>
      <c r="E623" s="1291"/>
      <c r="F623" s="1291"/>
    </row>
    <row r="624" spans="1:7">
      <c r="D624" s="480"/>
      <c r="E624" s="480"/>
      <c r="F624" s="480"/>
    </row>
    <row r="625" spans="1:7" ht="14.25">
      <c r="A625" s="176"/>
      <c r="B625" s="469" t="s">
        <v>308</v>
      </c>
      <c r="D625" s="1291" t="s">
        <v>1230</v>
      </c>
      <c r="E625" s="1291"/>
      <c r="F625" s="1291"/>
    </row>
    <row r="626" spans="1:7">
      <c r="A626" s="179"/>
      <c r="B626" s="179"/>
      <c r="C626" s="179"/>
      <c r="D626" s="1291"/>
      <c r="E626" s="1291"/>
      <c r="F626" s="1291"/>
    </row>
    <row r="627" spans="1:7">
      <c r="A627" s="179"/>
      <c r="B627" s="179"/>
      <c r="C627" s="179"/>
      <c r="D627" s="35"/>
      <c r="E627" s="35"/>
      <c r="F627" s="35"/>
    </row>
    <row r="628" spans="1:7" ht="14.25">
      <c r="A628" s="176"/>
      <c r="B628" s="469" t="s">
        <v>308</v>
      </c>
      <c r="C628" s="179"/>
      <c r="D628" s="1291" t="s">
        <v>1231</v>
      </c>
      <c r="E628" s="1291"/>
      <c r="F628" s="1291"/>
    </row>
    <row r="629" spans="1:7" ht="14.25">
      <c r="A629" s="176"/>
      <c r="B629" s="176"/>
      <c r="C629" s="179"/>
      <c r="D629" s="1291"/>
      <c r="E629" s="1291"/>
      <c r="F629" s="1291"/>
    </row>
    <row r="630" spans="1:7" ht="14.25">
      <c r="A630" s="176"/>
      <c r="B630" s="176"/>
      <c r="C630" s="179"/>
      <c r="D630" s="1291"/>
      <c r="E630" s="1291"/>
      <c r="F630" s="1291"/>
    </row>
    <row r="631" spans="1:7">
      <c r="A631" s="179"/>
      <c r="B631" s="179"/>
      <c r="C631" s="179"/>
      <c r="D631" s="1291"/>
      <c r="E631" s="1291"/>
      <c r="F631" s="1291"/>
    </row>
    <row r="632" spans="1:7">
      <c r="A632" s="179"/>
      <c r="B632" s="179"/>
      <c r="C632" s="179"/>
      <c r="D632" s="480"/>
      <c r="E632" s="480"/>
      <c r="F632" s="480"/>
    </row>
    <row r="633" spans="1:7">
      <c r="A633" s="179"/>
      <c r="B633" s="469" t="s">
        <v>308</v>
      </c>
      <c r="C633" s="179"/>
      <c r="D633" s="1292" t="s">
        <v>1232</v>
      </c>
      <c r="E633" s="1292"/>
      <c r="F633" s="1292"/>
    </row>
    <row r="634" spans="1:7">
      <c r="A634" s="179"/>
      <c r="B634" s="179"/>
      <c r="C634" s="179"/>
      <c r="D634" s="481"/>
      <c r="E634" s="481"/>
      <c r="F634" s="481"/>
    </row>
    <row r="635" spans="1:7">
      <c r="A635" s="1279" t="s">
        <v>1123</v>
      </c>
      <c r="B635" s="1279"/>
      <c r="C635" s="1279"/>
      <c r="D635" s="1279"/>
      <c r="E635" s="1279"/>
      <c r="F635" s="1279"/>
      <c r="G635" s="1279"/>
    </row>
    <row r="636" spans="1:7">
      <c r="A636" s="35"/>
      <c r="B636" s="35"/>
      <c r="C636" s="179"/>
      <c r="D636" s="35"/>
      <c r="E636" s="35"/>
      <c r="F636" s="35"/>
    </row>
    <row r="637" spans="1:7">
      <c r="C637" s="172"/>
      <c r="D637" s="1280" t="s">
        <v>1282</v>
      </c>
      <c r="E637" s="1280"/>
      <c r="F637" s="1280"/>
    </row>
    <row r="638" spans="1:7">
      <c r="A638" s="175"/>
      <c r="B638" s="175"/>
      <c r="C638" s="175"/>
      <c r="D638" s="1275" t="s">
        <v>1283</v>
      </c>
      <c r="E638" s="1275"/>
      <c r="F638" s="1275"/>
    </row>
    <row r="639" spans="1:7">
      <c r="A639" s="175"/>
      <c r="B639" s="175"/>
      <c r="C639" s="175"/>
      <c r="D639" s="118"/>
      <c r="E639" s="118"/>
      <c r="F639" s="118"/>
    </row>
    <row r="640" spans="1:7" ht="14.45" customHeight="1">
      <c r="A640" s="176"/>
      <c r="B640" s="469" t="s">
        <v>308</v>
      </c>
      <c r="C640" s="179"/>
      <c r="D640" s="1264" t="s">
        <v>1284</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5"/>
      <c r="E645" s="475"/>
      <c r="F645" s="475"/>
    </row>
    <row r="646" spans="1:11" ht="14.25">
      <c r="A646" s="176"/>
      <c r="B646" s="469" t="s">
        <v>308</v>
      </c>
      <c r="C646" s="179"/>
      <c r="D646" s="1303" t="s">
        <v>1134</v>
      </c>
      <c r="E646" s="1303"/>
      <c r="F646" s="1303"/>
    </row>
    <row r="647" spans="1:11" ht="14.25">
      <c r="A647" s="176"/>
      <c r="B647" s="176"/>
      <c r="C647" s="179"/>
      <c r="D647" s="1304" t="s">
        <v>1285</v>
      </c>
      <c r="E647" s="1304"/>
      <c r="F647" s="1304"/>
    </row>
    <row r="648" spans="1:11" ht="14.25">
      <c r="A648" s="176"/>
      <c r="B648" s="176"/>
      <c r="C648" s="179"/>
      <c r="D648" s="1304"/>
      <c r="E648" s="1304"/>
      <c r="F648" s="1304"/>
    </row>
    <row r="649" spans="1:11" ht="14.25">
      <c r="A649" s="176"/>
      <c r="B649" s="176"/>
      <c r="C649" s="179"/>
      <c r="D649" s="1304"/>
      <c r="E649" s="1304"/>
      <c r="F649" s="1304"/>
    </row>
    <row r="650" spans="1:11" ht="14.25">
      <c r="A650" s="176"/>
      <c r="B650" s="176"/>
      <c r="C650" s="179"/>
      <c r="D650" s="1304"/>
      <c r="E650" s="1304"/>
      <c r="F650" s="1304"/>
    </row>
    <row r="651" spans="1:11" ht="14.25">
      <c r="A651" s="176"/>
      <c r="B651" s="176"/>
      <c r="C651" s="179"/>
      <c r="D651" s="1304"/>
      <c r="E651" s="1304"/>
      <c r="F651" s="1304"/>
    </row>
    <row r="652" spans="1:11" ht="14.25">
      <c r="A652" s="176"/>
      <c r="B652" s="176"/>
      <c r="C652" s="179"/>
      <c r="D652" s="1305" t="s">
        <v>1286</v>
      </c>
      <c r="E652" s="1305"/>
      <c r="F652" s="1305"/>
    </row>
    <row r="653" spans="1:11">
      <c r="A653" s="179"/>
      <c r="B653" s="179"/>
      <c r="C653" s="179"/>
      <c r="D653" s="35"/>
      <c r="E653" s="35"/>
      <c r="F653" s="35"/>
    </row>
    <row r="654" spans="1:11">
      <c r="A654" s="1279" t="s">
        <v>1124</v>
      </c>
      <c r="B654" s="1279"/>
      <c r="C654" s="1279"/>
      <c r="D654" s="1279"/>
      <c r="E654" s="1279"/>
      <c r="F654" s="1279"/>
      <c r="G654" s="1279"/>
      <c r="H654" s="181"/>
      <c r="I654" s="181"/>
      <c r="J654" s="181"/>
      <c r="K654" s="181"/>
    </row>
    <row r="655" spans="1:11">
      <c r="A655" s="483"/>
      <c r="B655" s="483"/>
      <c r="C655" s="483"/>
      <c r="D655" s="483"/>
      <c r="E655" s="483"/>
      <c r="F655" s="483"/>
      <c r="G655" s="483"/>
      <c r="H655" s="181"/>
      <c r="I655" s="181"/>
      <c r="J655" s="181"/>
      <c r="K655" s="181"/>
    </row>
    <row r="656" spans="1:11">
      <c r="C656" s="172"/>
      <c r="D656" s="1280" t="s">
        <v>100</v>
      </c>
      <c r="E656" s="1280"/>
      <c r="F656" s="1280"/>
      <c r="H656" s="181"/>
      <c r="I656" s="181"/>
      <c r="J656" s="181"/>
      <c r="K656" s="181"/>
    </row>
    <row r="657" spans="1:11">
      <c r="A657" s="172"/>
      <c r="B657" s="172"/>
      <c r="C657" s="172"/>
      <c r="D657" s="1280" t="s">
        <v>124</v>
      </c>
      <c r="E657" s="1280"/>
      <c r="F657" s="1280"/>
      <c r="H657" s="181"/>
      <c r="I657" s="181"/>
      <c r="J657" s="181"/>
      <c r="K657" s="181"/>
    </row>
    <row r="658" spans="1:11">
      <c r="A658" s="175"/>
      <c r="B658" s="175"/>
      <c r="C658" s="175"/>
      <c r="D658" s="1275" t="s">
        <v>1160</v>
      </c>
      <c r="E658" s="1275"/>
      <c r="F658" s="1275"/>
      <c r="H658" s="181"/>
      <c r="I658" s="181"/>
      <c r="J658" s="181"/>
      <c r="K658" s="181"/>
    </row>
    <row r="659" spans="1:11">
      <c r="A659" s="175"/>
      <c r="B659" s="175"/>
      <c r="C659" s="175"/>
      <c r="H659" s="181"/>
      <c r="I659" s="181"/>
      <c r="J659" s="181"/>
      <c r="K659" s="181"/>
    </row>
    <row r="660" spans="1:11" ht="14.25">
      <c r="A660" s="176"/>
      <c r="B660" s="469" t="s">
        <v>308</v>
      </c>
      <c r="C660" s="175"/>
      <c r="D660" s="1275" t="s">
        <v>915</v>
      </c>
      <c r="E660" s="1275"/>
      <c r="F660" s="1275"/>
      <c r="H660" s="181"/>
      <c r="I660" s="181"/>
      <c r="J660" s="181"/>
      <c r="K660" s="181"/>
    </row>
    <row r="661" spans="1:11">
      <c r="A661" s="175"/>
      <c r="B661" s="175"/>
      <c r="C661" s="175"/>
      <c r="D661" s="1275" t="s">
        <v>926</v>
      </c>
      <c r="E661" s="1275"/>
      <c r="F661" s="1275"/>
      <c r="H661" s="181"/>
      <c r="I661" s="181"/>
      <c r="J661" s="181"/>
      <c r="K661" s="181"/>
    </row>
    <row r="662" spans="1:11">
      <c r="A662" s="175"/>
      <c r="B662" s="175"/>
      <c r="C662" s="175"/>
      <c r="D662" s="3"/>
      <c r="E662" s="1274" t="s">
        <v>1161</v>
      </c>
      <c r="F662" s="1274"/>
      <c r="H662" s="181"/>
      <c r="I662" s="181"/>
      <c r="J662" s="181"/>
      <c r="K662" s="181"/>
    </row>
    <row r="663" spans="1:11">
      <c r="A663" s="175"/>
      <c r="B663" s="175"/>
      <c r="C663" s="175"/>
      <c r="D663" s="3"/>
      <c r="E663" s="1274"/>
      <c r="F663" s="1274"/>
      <c r="H663" s="181"/>
      <c r="I663" s="181"/>
      <c r="J663" s="181"/>
      <c r="K663" s="181"/>
    </row>
    <row r="664" spans="1:11">
      <c r="A664" s="175"/>
      <c r="B664" s="175"/>
      <c r="C664" s="175"/>
      <c r="D664" s="182"/>
      <c r="E664" s="35"/>
      <c r="H664" s="181"/>
      <c r="I664" s="181"/>
      <c r="J664" s="181"/>
      <c r="K664" s="181"/>
    </row>
    <row r="665" spans="1:11" ht="14.25">
      <c r="A665" s="176"/>
      <c r="B665" s="469" t="s">
        <v>308</v>
      </c>
      <c r="C665" s="175"/>
      <c r="D665" s="1264" t="s">
        <v>1162</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9" t="s">
        <v>308</v>
      </c>
      <c r="C669" s="175"/>
      <c r="D669" s="1275" t="s">
        <v>954</v>
      </c>
      <c r="E669" s="1275"/>
      <c r="F669" s="1275"/>
      <c r="H669" s="181"/>
      <c r="I669" s="181"/>
      <c r="J669" s="181"/>
      <c r="K669" s="181"/>
    </row>
    <row r="670" spans="1:11" ht="14.25">
      <c r="A670" s="176"/>
      <c r="B670" s="176"/>
      <c r="C670" s="175"/>
      <c r="D670" s="1275" t="s">
        <v>926</v>
      </c>
      <c r="E670" s="1275"/>
      <c r="F670" s="1275"/>
      <c r="H670" s="181"/>
      <c r="I670" s="181"/>
      <c r="J670" s="181"/>
      <c r="K670" s="181"/>
    </row>
    <row r="671" spans="1:11">
      <c r="A671" s="175"/>
      <c r="B671" s="175"/>
      <c r="C671" s="175"/>
      <c r="D671" s="3"/>
      <c r="E671" s="1286" t="s">
        <v>1163</v>
      </c>
      <c r="F671" s="1286"/>
      <c r="H671" s="181"/>
      <c r="I671" s="181"/>
      <c r="J671" s="181"/>
      <c r="K671" s="181"/>
    </row>
    <row r="672" spans="1:11">
      <c r="A672" s="175"/>
      <c r="B672" s="175"/>
      <c r="C672" s="175"/>
      <c r="D672" s="2"/>
      <c r="H672" s="181"/>
      <c r="I672" s="181"/>
      <c r="J672" s="181"/>
      <c r="K672" s="181"/>
    </row>
    <row r="673" spans="1:11" ht="14.25">
      <c r="A673" s="176"/>
      <c r="B673" s="469" t="s">
        <v>308</v>
      </c>
      <c r="C673" s="175"/>
      <c r="D673" s="1264" t="s">
        <v>1173</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5"/>
      <c r="E679" s="475"/>
      <c r="F679" s="475"/>
      <c r="H679" s="181"/>
      <c r="I679" s="181"/>
      <c r="J679" s="181"/>
      <c r="K679" s="181"/>
    </row>
    <row r="680" spans="1:11" ht="14.25">
      <c r="A680" s="176"/>
      <c r="B680" s="469" t="s">
        <v>308</v>
      </c>
      <c r="C680" s="175"/>
      <c r="D680" s="1264" t="s">
        <v>1164</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5"/>
      <c r="E692" s="475"/>
      <c r="F692" s="475"/>
      <c r="H692" s="181"/>
      <c r="I692" s="181"/>
      <c r="J692" s="181"/>
      <c r="K692" s="181"/>
    </row>
    <row r="693" spans="1:11" ht="14.25">
      <c r="A693" s="176"/>
      <c r="B693" s="469" t="s">
        <v>308</v>
      </c>
      <c r="C693" s="175"/>
      <c r="D693" s="1264" t="s">
        <v>1174</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4" t="s">
        <v>1171</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4" t="s">
        <v>1172</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4" t="s">
        <v>1165</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9" t="s">
        <v>308</v>
      </c>
      <c r="C708" s="175"/>
      <c r="D708" s="1264" t="s">
        <v>1166</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9" t="s">
        <v>308</v>
      </c>
      <c r="C712" s="175"/>
      <c r="D712" s="1264" t="s">
        <v>1167</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9" t="s">
        <v>308</v>
      </c>
      <c r="C717" s="175"/>
      <c r="D717" s="1264" t="s">
        <v>1300</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308" t="s">
        <v>1168</v>
      </c>
      <c r="E724" s="1308"/>
      <c r="F724" s="1308"/>
      <c r="H724" s="181"/>
      <c r="I724" s="181"/>
      <c r="J724" s="181"/>
      <c r="K724" s="181"/>
    </row>
    <row r="725" spans="1:11">
      <c r="A725" s="175"/>
      <c r="B725" s="175"/>
      <c r="C725" s="175"/>
      <c r="D725" s="370"/>
      <c r="H725" s="181"/>
      <c r="I725" s="181"/>
      <c r="J725" s="181"/>
      <c r="K725" s="181"/>
    </row>
    <row r="726" spans="1:11">
      <c r="A726" s="1310" t="s">
        <v>1125</v>
      </c>
      <c r="B726" s="1310"/>
      <c r="C726" s="1310"/>
      <c r="D726" s="1310"/>
      <c r="E726" s="1310"/>
      <c r="F726" s="1310"/>
      <c r="G726" s="1310"/>
      <c r="H726" s="181"/>
      <c r="I726" s="181"/>
      <c r="J726" s="181"/>
      <c r="K726" s="181"/>
    </row>
    <row r="727" spans="1:11">
      <c r="A727" s="175"/>
      <c r="B727" s="175"/>
      <c r="C727" s="175"/>
      <c r="D727" s="178"/>
      <c r="G727" s="183"/>
      <c r="H727" s="181"/>
      <c r="I727" s="181"/>
      <c r="J727" s="181"/>
      <c r="K727" s="181"/>
    </row>
    <row r="728" spans="1:11" ht="13.15" customHeight="1">
      <c r="C728" s="175"/>
      <c r="D728" s="1297" t="s">
        <v>1141</v>
      </c>
      <c r="E728" s="1297"/>
      <c r="F728" s="1297"/>
      <c r="G728" s="183"/>
      <c r="H728" s="181"/>
      <c r="I728" s="181"/>
      <c r="J728" s="181"/>
      <c r="K728" s="181"/>
    </row>
    <row r="729" spans="1:11">
      <c r="A729" s="175"/>
      <c r="B729" s="175"/>
      <c r="C729" s="175"/>
      <c r="D729" s="1307" t="s">
        <v>1142</v>
      </c>
      <c r="E729" s="1307"/>
      <c r="F729" s="1307"/>
      <c r="G729" s="183"/>
      <c r="H729" s="181"/>
      <c r="I729" s="181"/>
      <c r="J729" s="181"/>
      <c r="K729" s="181"/>
    </row>
    <row r="730" spans="1:11">
      <c r="A730" s="175"/>
      <c r="B730" s="175"/>
      <c r="C730" s="175"/>
      <c r="G730" s="183"/>
      <c r="H730" s="181"/>
      <c r="I730" s="181"/>
      <c r="J730" s="181"/>
      <c r="K730" s="181"/>
    </row>
    <row r="731" spans="1:11" ht="14.25">
      <c r="A731" s="176"/>
      <c r="B731" s="469" t="s">
        <v>308</v>
      </c>
      <c r="D731" s="1264" t="s">
        <v>1143</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9" t="s">
        <v>308</v>
      </c>
      <c r="C738" s="273"/>
      <c r="D738" s="1264" t="s">
        <v>1144</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9" t="s">
        <v>308</v>
      </c>
      <c r="C743" s="273"/>
      <c r="D743" s="1304" t="s">
        <v>1145</v>
      </c>
      <c r="E743" s="1304"/>
      <c r="F743" s="1304"/>
      <c r="G743" s="210"/>
    </row>
    <row r="744" spans="1:11" s="274" customFormat="1">
      <c r="A744" s="273"/>
      <c r="B744" s="273"/>
      <c r="C744" s="273"/>
      <c r="D744" s="1304"/>
      <c r="E744" s="1304"/>
      <c r="F744" s="1304"/>
      <c r="G744" s="210"/>
    </row>
    <row r="745" spans="1:11" s="274" customFormat="1">
      <c r="A745" s="273"/>
      <c r="B745" s="273"/>
      <c r="C745" s="273"/>
      <c r="D745" s="1304"/>
      <c r="E745" s="1304"/>
      <c r="F745" s="1304"/>
      <c r="G745" s="210"/>
    </row>
    <row r="746" spans="1:11">
      <c r="D746" s="255"/>
      <c r="E746" s="35"/>
      <c r="F746" s="35"/>
      <c r="G746" s="183"/>
      <c r="H746" s="181"/>
      <c r="I746" s="181"/>
      <c r="J746" s="181"/>
      <c r="K746" s="181"/>
    </row>
    <row r="747" spans="1:11" ht="14.25">
      <c r="A747" s="176"/>
      <c r="B747" s="469" t="s">
        <v>308</v>
      </c>
      <c r="D747" s="1264" t="s">
        <v>1146</v>
      </c>
      <c r="E747" s="1264"/>
      <c r="F747" s="1264"/>
      <c r="G747" s="183"/>
      <c r="H747" s="181"/>
      <c r="I747" s="181"/>
      <c r="J747" s="181"/>
      <c r="K747" s="181"/>
    </row>
    <row r="748" spans="1:11">
      <c r="D748" s="1264"/>
      <c r="E748" s="1264"/>
      <c r="F748" s="1264"/>
      <c r="G748" s="183"/>
      <c r="H748" s="181"/>
      <c r="I748" s="181"/>
      <c r="J748" s="181"/>
      <c r="K748" s="181"/>
    </row>
    <row r="749" spans="1:11">
      <c r="D749" s="475"/>
      <c r="E749" s="475"/>
      <c r="F749" s="475"/>
      <c r="G749" s="183"/>
      <c r="H749" s="181"/>
      <c r="I749" s="181"/>
      <c r="J749" s="181"/>
      <c r="K749" s="181"/>
    </row>
    <row r="750" spans="1:11">
      <c r="B750" s="469" t="s">
        <v>308</v>
      </c>
      <c r="D750" s="1264" t="s">
        <v>1147</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5"/>
      <c r="E753" s="475"/>
      <c r="F753" s="475"/>
      <c r="G753" s="183"/>
      <c r="H753" s="181"/>
      <c r="I753" s="181"/>
      <c r="J753" s="181"/>
      <c r="K753" s="181"/>
    </row>
    <row r="754" spans="1:11">
      <c r="A754" s="1279" t="s">
        <v>1148</v>
      </c>
      <c r="B754" s="1279"/>
      <c r="C754" s="1279"/>
      <c r="D754" s="1279"/>
      <c r="E754" s="1279"/>
      <c r="F754" s="1279"/>
      <c r="G754" s="1279"/>
    </row>
    <row r="755" spans="1:11">
      <c r="A755" s="175"/>
      <c r="B755" s="175"/>
      <c r="C755" s="175"/>
      <c r="D755" s="184"/>
      <c r="F755" s="35"/>
      <c r="G755" s="183"/>
    </row>
    <row r="756" spans="1:11">
      <c r="D756" s="1311" t="s">
        <v>1132</v>
      </c>
      <c r="E756" s="1311"/>
      <c r="F756" s="1311"/>
      <c r="G756" s="183"/>
    </row>
    <row r="757" spans="1:11">
      <c r="A757" s="346"/>
      <c r="B757" s="346"/>
      <c r="C757" s="346"/>
      <c r="D757" s="1294" t="s">
        <v>1149</v>
      </c>
      <c r="E757" s="1294"/>
      <c r="F757" s="1294"/>
      <c r="G757" s="183"/>
    </row>
    <row r="758" spans="1:11">
      <c r="D758" s="434"/>
      <c r="E758" s="434"/>
      <c r="F758" s="434"/>
      <c r="G758" s="183"/>
    </row>
    <row r="759" spans="1:11" ht="14.25">
      <c r="A759" s="176"/>
      <c r="B759" s="469" t="s">
        <v>308</v>
      </c>
      <c r="D759" s="1294" t="s">
        <v>1026</v>
      </c>
      <c r="E759" s="1294"/>
      <c r="F759" s="1294"/>
      <c r="G759" s="183"/>
    </row>
    <row r="760" spans="1:11">
      <c r="D760" s="434"/>
      <c r="E760" s="1306" t="s">
        <v>1133</v>
      </c>
      <c r="F760" s="1306"/>
      <c r="G760" s="183"/>
    </row>
    <row r="761" spans="1:11">
      <c r="A761" s="172"/>
      <c r="B761" s="172"/>
      <c r="C761" s="172"/>
      <c r="D761" s="35"/>
      <c r="G761" s="183"/>
    </row>
    <row r="762" spans="1:11">
      <c r="A762" s="1309" t="s">
        <v>450</v>
      </c>
      <c r="B762" s="1309"/>
      <c r="C762" s="1309"/>
      <c r="D762" s="1309"/>
      <c r="E762" s="1309"/>
      <c r="F762" s="1309"/>
      <c r="G762" s="1309"/>
    </row>
    <row r="763" spans="1:11">
      <c r="A763" s="172"/>
      <c r="B763" s="172"/>
      <c r="C763" s="179"/>
      <c r="D763" s="183"/>
      <c r="E763" s="183"/>
      <c r="F763" s="183"/>
      <c r="G763" s="183"/>
    </row>
    <row r="764" spans="1:11">
      <c r="A764" s="35"/>
      <c r="B764" s="1307" t="s">
        <v>1025</v>
      </c>
      <c r="C764" s="1307"/>
      <c r="D764" s="1307"/>
      <c r="E764" s="1307"/>
      <c r="F764" s="1307"/>
      <c r="G764" s="183"/>
    </row>
    <row r="765" spans="1:11">
      <c r="A765" s="13"/>
      <c r="B765" s="13"/>
      <c r="G765" s="183"/>
    </row>
    <row r="766" spans="1:11">
      <c r="A766" s="1309" t="s">
        <v>451</v>
      </c>
      <c r="B766" s="1309"/>
      <c r="C766" s="1309"/>
      <c r="D766" s="1309"/>
      <c r="E766" s="1309"/>
      <c r="F766" s="1309"/>
      <c r="G766" s="1309"/>
    </row>
    <row r="767" spans="1:11">
      <c r="A767" s="172"/>
      <c r="B767" s="172"/>
      <c r="C767" s="172"/>
      <c r="D767" s="178"/>
      <c r="G767" s="183"/>
    </row>
    <row r="768" spans="1:11">
      <c r="A768" s="35"/>
      <c r="B768" s="1275" t="s">
        <v>449</v>
      </c>
      <c r="C768" s="1275"/>
      <c r="D768" s="1275"/>
      <c r="E768" s="1275"/>
      <c r="F768" s="1275"/>
      <c r="G768" s="183"/>
    </row>
    <row r="769" spans="1:7" ht="14.25">
      <c r="A769" s="176"/>
      <c r="B769" s="176"/>
      <c r="D769" s="35"/>
      <c r="E769" s="35"/>
      <c r="F769" s="183"/>
      <c r="G769" s="183"/>
    </row>
    <row r="770" spans="1:7">
      <c r="A770" s="1309" t="s">
        <v>452</v>
      </c>
      <c r="B770" s="1309"/>
      <c r="C770" s="1309"/>
      <c r="D770" s="1309"/>
      <c r="E770" s="1309"/>
      <c r="F770" s="1309"/>
      <c r="G770" s="1309"/>
    </row>
    <row r="771" spans="1:7">
      <c r="C771" s="175"/>
      <c r="D771" s="173"/>
      <c r="E771" s="35"/>
      <c r="F771" s="183"/>
      <c r="G771" s="183"/>
    </row>
    <row r="772" spans="1:7">
      <c r="A772" s="35"/>
      <c r="B772" s="1275" t="s">
        <v>449</v>
      </c>
      <c r="C772" s="1275"/>
      <c r="D772" s="1275"/>
      <c r="E772" s="1275"/>
      <c r="F772" s="1275"/>
      <c r="G772" s="183"/>
    </row>
    <row r="773" spans="1:7">
      <c r="A773" s="35"/>
      <c r="B773" s="35"/>
      <c r="C773" s="179"/>
      <c r="D773" s="183"/>
      <c r="E773" s="183"/>
      <c r="F773" s="183"/>
      <c r="G773" s="183"/>
    </row>
    <row r="774" spans="1:7">
      <c r="A774" s="1309" t="s">
        <v>453</v>
      </c>
      <c r="B774" s="1309"/>
      <c r="C774" s="1309"/>
      <c r="D774" s="1309"/>
      <c r="E774" s="1309"/>
      <c r="F774" s="1309"/>
      <c r="G774" s="1309"/>
    </row>
    <row r="775" spans="1:7">
      <c r="A775" s="35"/>
      <c r="B775" s="35"/>
    </row>
    <row r="776" spans="1:7">
      <c r="A776" s="35"/>
      <c r="B776" s="1275" t="s">
        <v>449</v>
      </c>
      <c r="C776" s="1275"/>
      <c r="D776" s="1275"/>
      <c r="E776" s="1275"/>
      <c r="F776" s="1275"/>
    </row>
    <row r="777" spans="1:7">
      <c r="A777" s="179"/>
      <c r="B777" s="179"/>
      <c r="C777" s="179"/>
      <c r="D777" s="174"/>
      <c r="F777" s="183"/>
    </row>
    <row r="778" spans="1:7">
      <c r="A778" s="1309" t="s">
        <v>454</v>
      </c>
      <c r="B778" s="1309"/>
      <c r="C778" s="1309"/>
      <c r="D778" s="1309"/>
      <c r="E778" s="1309"/>
      <c r="F778" s="1309"/>
      <c r="G778" s="1309"/>
    </row>
    <row r="779" spans="1:7">
      <c r="A779" s="35"/>
      <c r="B779" s="35"/>
    </row>
    <row r="780" spans="1:7">
      <c r="A780" s="35"/>
      <c r="B780" s="1275" t="s">
        <v>449</v>
      </c>
      <c r="C780" s="1275"/>
      <c r="D780" s="1275"/>
      <c r="E780" s="1275"/>
      <c r="F780" s="1275"/>
    </row>
    <row r="781" spans="1:7">
      <c r="A781" s="179"/>
      <c r="B781" s="179"/>
      <c r="C781" s="179"/>
      <c r="D781" s="174"/>
      <c r="F781" s="183"/>
    </row>
    <row r="782" spans="1:7">
      <c r="A782" s="1309" t="s">
        <v>455</v>
      </c>
      <c r="B782" s="1309"/>
      <c r="C782" s="1309"/>
      <c r="D782" s="1309"/>
      <c r="E782" s="1309"/>
      <c r="F782" s="1309"/>
      <c r="G782" s="1309"/>
    </row>
    <row r="783" spans="1:7">
      <c r="A783" s="35"/>
      <c r="B783" s="35"/>
    </row>
    <row r="784" spans="1:7">
      <c r="A784" s="35"/>
      <c r="B784" s="1275" t="s">
        <v>449</v>
      </c>
      <c r="C784" s="1275"/>
      <c r="D784" s="1275"/>
      <c r="E784" s="1275"/>
      <c r="F784" s="1275"/>
    </row>
    <row r="785" spans="1:7">
      <c r="D785" s="174"/>
    </row>
    <row r="786" spans="1:7">
      <c r="A786" s="1309" t="s">
        <v>187</v>
      </c>
      <c r="B786" s="1309"/>
      <c r="C786" s="1309"/>
      <c r="D786" s="1309"/>
      <c r="E786" s="1309"/>
      <c r="F786" s="1309"/>
      <c r="G786" s="1309"/>
    </row>
    <row r="787" spans="1:7">
      <c r="A787" s="35"/>
      <c r="B787" s="35"/>
    </row>
    <row r="788" spans="1:7">
      <c r="A788" s="35"/>
      <c r="B788" s="1275" t="s">
        <v>449</v>
      </c>
      <c r="C788" s="1275"/>
      <c r="D788" s="1275"/>
      <c r="E788" s="1275"/>
      <c r="F788" s="1275"/>
    </row>
    <row r="789" spans="1:7">
      <c r="A789" s="35"/>
      <c r="B789" s="35"/>
      <c r="D789" s="174"/>
    </row>
    <row r="790" spans="1:7">
      <c r="A790" s="1309" t="s">
        <v>902</v>
      </c>
      <c r="B790" s="1309"/>
      <c r="C790" s="1309"/>
      <c r="D790" s="1309"/>
      <c r="E790" s="1309"/>
      <c r="F790" s="1309"/>
      <c r="G790" s="1309"/>
    </row>
    <row r="791" spans="1:7">
      <c r="A791" s="35"/>
      <c r="B791" s="35"/>
    </row>
    <row r="792" spans="1:7">
      <c r="A792" s="35"/>
      <c r="B792" s="1275" t="s">
        <v>449</v>
      </c>
      <c r="C792" s="1275"/>
      <c r="D792" s="1275"/>
      <c r="E792" s="1275"/>
      <c r="F792" s="1275"/>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5" t="s">
        <v>2136</v>
      </c>
      <c r="B2" s="1316"/>
      <c r="C2" s="1316"/>
      <c r="D2" s="1316"/>
      <c r="E2" s="1316"/>
      <c r="F2" s="1316"/>
      <c r="G2" s="1316"/>
      <c r="H2" s="1316"/>
      <c r="I2" s="1316"/>
      <c r="J2" s="1316"/>
    </row>
    <row r="3" spans="1:10" ht="15">
      <c r="A3" s="1319" t="s">
        <v>1428</v>
      </c>
      <c r="B3" s="1320"/>
      <c r="C3" s="1320"/>
      <c r="D3" s="1320"/>
      <c r="E3" s="1320"/>
      <c r="F3" s="1320"/>
      <c r="G3" s="1320"/>
      <c r="H3" s="1320"/>
      <c r="I3" s="1320"/>
      <c r="J3" s="1320"/>
    </row>
    <row r="4" spans="1:10" ht="12.75"/>
    <row r="5" spans="1:10" ht="12.75" customHeight="1">
      <c r="A5" s="1317" t="s">
        <v>2448</v>
      </c>
      <c r="B5" s="1317"/>
      <c r="C5" s="1317"/>
      <c r="D5" s="1317"/>
      <c r="E5" s="1317"/>
      <c r="F5" s="1317"/>
      <c r="G5" s="1317"/>
      <c r="H5" s="1317"/>
      <c r="I5" s="1317"/>
      <c r="J5" s="1317"/>
    </row>
    <row r="6" spans="1:10" ht="12.75">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21" t="s">
        <v>2141</v>
      </c>
      <c r="B11" s="1321"/>
      <c r="C11" s="1321"/>
      <c r="D11" s="1321"/>
      <c r="E11" s="1321"/>
      <c r="F11" s="1321"/>
      <c r="G11" s="1321"/>
      <c r="H11" s="1321"/>
      <c r="I11" s="1321"/>
      <c r="J11" s="1321"/>
    </row>
    <row r="12" spans="1:10" ht="12.75">
      <c r="A12" s="1321"/>
      <c r="B12" s="1321"/>
      <c r="C12" s="1321"/>
      <c r="D12" s="1321"/>
      <c r="E12" s="1321"/>
      <c r="F12" s="1321"/>
      <c r="G12" s="1321"/>
      <c r="H12" s="1321"/>
      <c r="I12" s="1321"/>
      <c r="J12" s="1321"/>
    </row>
    <row r="13" spans="1:10" ht="12.75">
      <c r="A13" s="1321"/>
      <c r="B13" s="1321"/>
      <c r="C13" s="1321"/>
      <c r="D13" s="1321"/>
      <c r="E13" s="1321"/>
      <c r="F13" s="1321"/>
      <c r="G13" s="1321"/>
      <c r="H13" s="1321"/>
      <c r="I13" s="1321"/>
      <c r="J13" s="1321"/>
    </row>
    <row r="14" spans="1:10" ht="12.75">
      <c r="A14" s="1321"/>
      <c r="B14" s="1321"/>
      <c r="C14" s="1321"/>
      <c r="D14" s="1321"/>
      <c r="E14" s="1321"/>
      <c r="F14" s="1321"/>
      <c r="G14" s="1321"/>
      <c r="H14" s="1321"/>
      <c r="I14" s="1321"/>
      <c r="J14" s="1321"/>
    </row>
    <row r="15" spans="1:10" ht="12.75">
      <c r="A15" s="1321"/>
      <c r="B15" s="1321"/>
      <c r="C15" s="1321"/>
      <c r="D15" s="1321"/>
      <c r="E15" s="1321"/>
      <c r="F15" s="1321"/>
      <c r="G15" s="1321"/>
      <c r="H15" s="1321"/>
      <c r="I15" s="1321"/>
      <c r="J15" s="1321"/>
    </row>
    <row r="16" spans="1:10" ht="12.75">
      <c r="A16" s="1321"/>
      <c r="B16" s="1321"/>
      <c r="C16" s="1321"/>
      <c r="D16" s="1321"/>
      <c r="E16" s="1321"/>
      <c r="F16" s="1321"/>
      <c r="G16" s="1321"/>
      <c r="H16" s="1321"/>
      <c r="I16" s="1321"/>
      <c r="J16" s="1321"/>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251</v>
      </c>
      <c r="B19" s="448"/>
      <c r="C19" s="448"/>
      <c r="D19" s="448"/>
      <c r="E19" s="448"/>
      <c r="F19" s="448"/>
      <c r="G19" s="448"/>
      <c r="H19" s="448"/>
      <c r="I19" s="448"/>
      <c r="J19" s="448"/>
    </row>
    <row r="20" spans="1:10" ht="12.75">
      <c r="A20" s="1320" t="s">
        <v>1332</v>
      </c>
      <c r="B20" s="1320"/>
      <c r="C20" s="1320"/>
      <c r="D20" s="1320"/>
      <c r="E20" s="132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7" t="s">
        <v>1333</v>
      </c>
      <c r="B57" s="1317"/>
      <c r="C57" s="1317"/>
      <c r="D57" s="1317"/>
      <c r="E57" s="1317"/>
      <c r="F57" s="1317"/>
      <c r="G57" s="1317"/>
      <c r="H57" s="1317"/>
      <c r="I57" s="1317"/>
      <c r="J57" s="1317"/>
    </row>
    <row r="58" spans="1:10" ht="12.75">
      <c r="A58" s="1317"/>
      <c r="B58" s="1317"/>
      <c r="C58" s="1317"/>
      <c r="D58" s="1317"/>
      <c r="E58" s="1317"/>
      <c r="F58" s="1317"/>
      <c r="G58" s="1317"/>
      <c r="H58" s="1317"/>
      <c r="I58" s="1317"/>
      <c r="J58" s="1317"/>
    </row>
    <row r="59" spans="1:10" ht="12.75">
      <c r="A59" s="1317"/>
      <c r="B59" s="1317"/>
      <c r="C59" s="1317"/>
      <c r="D59" s="1317"/>
      <c r="E59" s="1317"/>
      <c r="F59" s="1317"/>
      <c r="G59" s="1317"/>
      <c r="H59" s="1317"/>
      <c r="I59" s="1317"/>
      <c r="J59" s="1317"/>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8" t="s">
        <v>2137</v>
      </c>
      <c r="B72" s="1318"/>
      <c r="C72" s="1318"/>
      <c r="D72" s="1318"/>
      <c r="E72" s="1318"/>
      <c r="F72" s="1318"/>
      <c r="G72" s="1318"/>
      <c r="H72" s="1318"/>
      <c r="I72" s="1318"/>
    </row>
    <row r="73" spans="1:9" ht="12.75">
      <c r="A73" s="1270" t="s">
        <v>2446</v>
      </c>
      <c r="B73" s="1270"/>
      <c r="C73" s="1270"/>
      <c r="D73" s="1270"/>
      <c r="E73" s="1270"/>
    </row>
    <row r="74" spans="1:9" ht="12.75">
      <c r="A74" s="1270" t="s">
        <v>2447</v>
      </c>
      <c r="B74" s="1270"/>
      <c r="C74" s="1270"/>
      <c r="D74" s="1270"/>
      <c r="E74" s="1270"/>
    </row>
    <row r="75" spans="1:9" ht="12.75">
      <c r="A75" s="1270" t="s">
        <v>2138</v>
      </c>
      <c r="B75" s="1270"/>
      <c r="C75" s="1270"/>
      <c r="D75" s="1270"/>
      <c r="E75" s="12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933" zoomScaleNormal="100" zoomScaleSheetLayoutView="100" workbookViewId="0">
      <selection activeCell="B959" sqref="B959"/>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9" t="s">
        <v>2616</v>
      </c>
      <c r="B2" s="1339"/>
      <c r="C2" s="1339"/>
      <c r="D2" s="1339"/>
      <c r="E2" s="1339"/>
      <c r="F2" s="1339"/>
      <c r="G2" s="1339"/>
      <c r="H2" s="1339"/>
      <c r="I2" s="1339"/>
    </row>
    <row r="3" spans="1:13">
      <c r="A3" s="1335" t="s">
        <v>2004</v>
      </c>
      <c r="B3" s="1335"/>
      <c r="C3" s="1335"/>
      <c r="D3" s="1335"/>
      <c r="E3" s="1335"/>
      <c r="F3" s="1335"/>
      <c r="G3" s="1335"/>
      <c r="H3" s="1335"/>
      <c r="I3" s="1335"/>
    </row>
    <row r="4" spans="1:13">
      <c r="A4" s="1335"/>
      <c r="B4" s="1335"/>
      <c r="C4" s="1320"/>
      <c r="D4" s="1320"/>
      <c r="E4" s="1320"/>
      <c r="F4" s="1320"/>
      <c r="G4" s="1320"/>
    </row>
    <row r="5" spans="1:13">
      <c r="A5" s="1335"/>
      <c r="B5" s="1335"/>
      <c r="C5" s="1320"/>
      <c r="D5" s="1320"/>
      <c r="E5" s="1320"/>
      <c r="F5" s="1320"/>
      <c r="G5" s="1320"/>
    </row>
    <row r="6" spans="1:13">
      <c r="A6" s="1339" t="s">
        <v>1202</v>
      </c>
      <c r="B6" s="1339"/>
      <c r="C6" s="1340"/>
      <c r="D6" s="1340"/>
      <c r="E6" s="1340"/>
      <c r="F6" s="1340"/>
      <c r="G6" s="1340"/>
      <c r="I6" s="525" t="s">
        <v>2147</v>
      </c>
    </row>
    <row r="7" spans="1:13">
      <c r="A7" s="1339" t="s">
        <v>1203</v>
      </c>
      <c r="B7" s="1339"/>
      <c r="C7" s="1340"/>
      <c r="D7" s="1340"/>
      <c r="E7" s="1340"/>
      <c r="F7" s="1340"/>
      <c r="G7" s="1340"/>
      <c r="I7" s="525" t="s">
        <v>2148</v>
      </c>
    </row>
    <row r="8" spans="1:13">
      <c r="A8" s="516"/>
      <c r="B8" s="516"/>
      <c r="C8" s="517"/>
      <c r="D8" s="517"/>
      <c r="E8" s="517"/>
      <c r="F8" s="517"/>
    </row>
    <row r="9" spans="1:13">
      <c r="A9" s="1279" t="s">
        <v>1205</v>
      </c>
      <c r="B9" s="1279"/>
      <c r="C9" s="1279"/>
      <c r="D9" s="1279"/>
      <c r="E9" s="1279"/>
      <c r="F9" s="1279"/>
      <c r="G9" s="1279"/>
      <c r="H9" s="1071"/>
      <c r="I9" s="1072"/>
    </row>
    <row r="10" spans="1:13">
      <c r="A10" s="517"/>
      <c r="B10" s="517"/>
      <c r="E10" s="436"/>
    </row>
    <row r="11" spans="1:13" ht="13.7" customHeight="1">
      <c r="C11" s="517"/>
      <c r="D11" s="1341" t="s">
        <v>1204</v>
      </c>
      <c r="E11" s="1341"/>
      <c r="F11" s="1341"/>
    </row>
    <row r="12" spans="1:13">
      <c r="C12" s="517"/>
      <c r="D12" s="1341"/>
      <c r="E12" s="1341"/>
      <c r="F12" s="1341"/>
    </row>
    <row r="13" spans="1:13">
      <c r="A13" s="518"/>
      <c r="B13" s="518"/>
      <c r="C13" s="518"/>
      <c r="D13" s="1292" t="s">
        <v>1187</v>
      </c>
      <c r="E13" s="1292"/>
      <c r="F13" s="1292"/>
      <c r="M13" s="96"/>
    </row>
    <row r="14" spans="1:13">
      <c r="A14" s="518"/>
      <c r="B14" s="518"/>
      <c r="C14" s="518"/>
      <c r="D14" s="511"/>
      <c r="L14" s="336"/>
    </row>
    <row r="15" spans="1:13" ht="14.25">
      <c r="A15" s="519"/>
      <c r="B15" s="520" t="s">
        <v>2774</v>
      </c>
      <c r="C15" s="518"/>
      <c r="D15" s="1291" t="s">
        <v>2305</v>
      </c>
      <c r="E15" s="1291"/>
      <c r="F15" s="1291"/>
      <c r="I15" s="436" t="s">
        <v>2149</v>
      </c>
    </row>
    <row r="16" spans="1:13">
      <c r="A16" s="518"/>
      <c r="B16" s="518"/>
      <c r="C16" s="518"/>
      <c r="D16" s="1291"/>
      <c r="E16" s="1291"/>
      <c r="F16" s="1291"/>
    </row>
    <row r="17" spans="1:9">
      <c r="A17" s="518"/>
      <c r="B17" s="518"/>
      <c r="C17" s="518"/>
      <c r="D17" s="1291"/>
      <c r="E17" s="1291"/>
      <c r="F17" s="1291"/>
    </row>
    <row r="18" spans="1:9">
      <c r="A18" s="518"/>
      <c r="B18" s="518"/>
      <c r="C18" s="518"/>
      <c r="D18" s="480"/>
      <c r="E18" s="336" t="s">
        <v>2303</v>
      </c>
      <c r="F18" s="480"/>
    </row>
    <row r="19" spans="1:9">
      <c r="A19" s="518"/>
      <c r="B19" s="518"/>
      <c r="C19" s="518"/>
    </row>
    <row r="20" spans="1:9" ht="14.25">
      <c r="A20" s="519"/>
      <c r="B20" s="520" t="s">
        <v>2774</v>
      </c>
      <c r="D20" s="1291" t="s">
        <v>2306</v>
      </c>
      <c r="E20" s="1291"/>
      <c r="F20" s="1291"/>
      <c r="I20" s="436" t="s">
        <v>2150</v>
      </c>
    </row>
    <row r="21" spans="1:9" ht="14.25">
      <c r="A21" s="519"/>
      <c r="D21" s="1291"/>
      <c r="E21" s="1291"/>
      <c r="F21" s="1291"/>
    </row>
    <row r="22" spans="1:9" ht="14.25">
      <c r="A22" s="519"/>
      <c r="D22" s="424"/>
      <c r="E22" s="96" t="s">
        <v>2302</v>
      </c>
      <c r="F22" s="424"/>
    </row>
    <row r="23" spans="1:9" ht="14.25">
      <c r="A23" s="519"/>
      <c r="B23" s="519"/>
      <c r="D23" s="481"/>
    </row>
    <row r="24" spans="1:9" ht="14.25">
      <c r="A24" s="519"/>
      <c r="B24" s="520" t="s">
        <v>2775</v>
      </c>
      <c r="D24" s="1291" t="s">
        <v>1190</v>
      </c>
      <c r="E24" s="1291"/>
      <c r="F24" s="1291"/>
      <c r="I24" s="436" t="s">
        <v>2150</v>
      </c>
    </row>
    <row r="25" spans="1:9" ht="14.25">
      <c r="A25" s="519"/>
      <c r="B25" s="519"/>
      <c r="D25" s="1291"/>
      <c r="E25" s="1291"/>
      <c r="F25" s="1291"/>
    </row>
    <row r="26" spans="1:9"/>
    <row r="27" spans="1:9" ht="14.25">
      <c r="A27" s="519"/>
      <c r="B27" s="520" t="s">
        <v>2775</v>
      </c>
      <c r="D27" s="1291" t="s">
        <v>2449</v>
      </c>
      <c r="E27" s="1291"/>
      <c r="F27" s="1291"/>
      <c r="I27" s="436" t="s">
        <v>2153</v>
      </c>
    </row>
    <row r="28" spans="1:9">
      <c r="D28" s="1291"/>
      <c r="E28" s="1291"/>
      <c r="F28" s="1291"/>
    </row>
    <row r="29" spans="1:9">
      <c r="D29" s="1291"/>
      <c r="E29" s="1291"/>
      <c r="F29" s="1291"/>
    </row>
    <row r="30" spans="1:9">
      <c r="D30" s="1291"/>
      <c r="E30" s="1291"/>
      <c r="F30" s="1291"/>
    </row>
    <row r="31" spans="1:9">
      <c r="D31" s="1291"/>
      <c r="E31" s="1291"/>
      <c r="F31" s="1291"/>
    </row>
    <row r="32" spans="1:9">
      <c r="D32" s="482"/>
    </row>
    <row r="33" spans="1:9">
      <c r="B33" s="520" t="s">
        <v>2775</v>
      </c>
      <c r="D33" s="1291" t="s">
        <v>2450</v>
      </c>
      <c r="E33" s="1291"/>
      <c r="F33" s="1291"/>
      <c r="I33" s="436" t="s">
        <v>2149</v>
      </c>
    </row>
    <row r="34" spans="1:9">
      <c r="D34" s="1291"/>
      <c r="E34" s="1291"/>
      <c r="F34" s="1291"/>
    </row>
    <row r="35" spans="1:9" ht="14.25">
      <c r="A35" s="519"/>
      <c r="B35" s="519"/>
      <c r="D35" s="482"/>
    </row>
    <row r="36" spans="1:9" ht="14.45" customHeight="1">
      <c r="A36" s="519"/>
      <c r="B36" s="520" t="s">
        <v>2775</v>
      </c>
      <c r="D36" s="1291" t="s">
        <v>1357</v>
      </c>
      <c r="E36" s="1291"/>
      <c r="F36" s="1291"/>
      <c r="I36" s="436" t="s">
        <v>2220</v>
      </c>
    </row>
    <row r="37" spans="1:9" ht="14.25">
      <c r="A37" s="519"/>
      <c r="B37" s="519"/>
      <c r="D37" s="1291"/>
      <c r="E37" s="1291"/>
      <c r="F37" s="1291"/>
    </row>
    <row r="38" spans="1:9" ht="14.25">
      <c r="A38" s="519"/>
      <c r="B38" s="519"/>
      <c r="D38" s="1291"/>
      <c r="E38" s="1291"/>
      <c r="F38" s="1291"/>
    </row>
    <row r="39" spans="1:9" ht="14.25">
      <c r="A39" s="519"/>
      <c r="B39" s="519"/>
      <c r="D39" s="1291"/>
      <c r="E39" s="1291"/>
      <c r="F39" s="1291"/>
    </row>
    <row r="40" spans="1:9" ht="14.25">
      <c r="A40" s="519"/>
      <c r="B40" s="519"/>
    </row>
    <row r="41" spans="1:9" ht="14.25">
      <c r="A41" s="519"/>
      <c r="B41" s="520" t="s">
        <v>2775</v>
      </c>
      <c r="D41" s="1291" t="s">
        <v>1194</v>
      </c>
      <c r="E41" s="1291"/>
      <c r="F41" s="1291"/>
    </row>
    <row r="42" spans="1:9" ht="14.25">
      <c r="A42" s="519"/>
      <c r="B42" s="519"/>
      <c r="D42" s="1291"/>
      <c r="E42" s="1291"/>
      <c r="F42" s="1291"/>
    </row>
    <row r="43" spans="1:9" ht="14.25">
      <c r="A43" s="519"/>
      <c r="B43" s="519"/>
      <c r="D43" s="1291"/>
      <c r="E43" s="1291"/>
      <c r="F43" s="1291"/>
    </row>
    <row r="44" spans="1:9" ht="14.25">
      <c r="A44" s="519"/>
      <c r="B44" s="519"/>
      <c r="D44" s="1291"/>
      <c r="E44" s="1291"/>
      <c r="F44" s="1291"/>
    </row>
    <row r="45" spans="1:9" ht="14.25">
      <c r="A45" s="519"/>
      <c r="B45" s="519"/>
      <c r="D45" s="1291"/>
      <c r="E45" s="1291"/>
      <c r="F45" s="1291"/>
    </row>
    <row r="46" spans="1:9" ht="14.25">
      <c r="A46" s="519"/>
      <c r="B46" s="519"/>
      <c r="D46" s="480"/>
      <c r="E46" s="480"/>
      <c r="F46" s="480"/>
    </row>
    <row r="47" spans="1:9" ht="14.25">
      <c r="A47" s="519"/>
      <c r="B47" s="520" t="s">
        <v>2775</v>
      </c>
      <c r="D47" s="1291" t="s">
        <v>1195</v>
      </c>
      <c r="E47" s="1291"/>
      <c r="F47" s="1291"/>
      <c r="I47" s="436" t="s">
        <v>2220</v>
      </c>
    </row>
    <row r="48" spans="1:9" ht="14.25">
      <c r="A48" s="519"/>
      <c r="B48" s="519"/>
      <c r="D48" s="1291"/>
      <c r="E48" s="1291"/>
      <c r="F48" s="1291"/>
    </row>
    <row r="49" spans="1:9" ht="14.25">
      <c r="A49" s="519"/>
      <c r="B49" s="519"/>
      <c r="D49" s="1291"/>
      <c r="E49" s="1291"/>
      <c r="F49" s="1291"/>
    </row>
    <row r="50" spans="1:9" ht="23.25" customHeight="1">
      <c r="A50" s="519"/>
      <c r="B50" s="519"/>
      <c r="D50" s="1291"/>
      <c r="E50" s="1291"/>
      <c r="F50" s="1291"/>
    </row>
    <row r="51" spans="1:9" ht="14.25">
      <c r="A51" s="519"/>
      <c r="B51" s="519"/>
      <c r="D51" s="481"/>
    </row>
    <row r="52" spans="1:9" ht="14.45" customHeight="1">
      <c r="A52" s="519"/>
      <c r="B52" s="520" t="s">
        <v>2775</v>
      </c>
      <c r="D52" s="1291" t="s">
        <v>1196</v>
      </c>
      <c r="E52" s="1291"/>
      <c r="F52" s="1291"/>
      <c r="I52" s="436" t="s">
        <v>2220</v>
      </c>
    </row>
    <row r="53" spans="1:9" ht="14.25">
      <c r="A53" s="519"/>
      <c r="B53" s="519"/>
      <c r="D53" s="1291"/>
      <c r="E53" s="1291"/>
      <c r="F53" s="1291"/>
    </row>
    <row r="54" spans="1:9" ht="14.25">
      <c r="A54" s="519"/>
      <c r="B54" s="519"/>
      <c r="D54" s="1291"/>
      <c r="E54" s="1291"/>
      <c r="F54" s="1291"/>
    </row>
    <row r="55" spans="1:9" ht="14.25">
      <c r="A55" s="519"/>
      <c r="B55" s="519"/>
    </row>
    <row r="56" spans="1:9" ht="14.25">
      <c r="A56" s="519"/>
      <c r="B56" s="520" t="s">
        <v>2774</v>
      </c>
      <c r="D56" s="1337" t="s">
        <v>1197</v>
      </c>
      <c r="E56" s="1337"/>
      <c r="F56" s="1337"/>
    </row>
    <row r="57" spans="1:9" ht="14.25">
      <c r="A57" s="519"/>
      <c r="B57" s="519"/>
      <c r="D57" s="1337"/>
      <c r="E57" s="1337"/>
      <c r="F57" s="1337"/>
    </row>
    <row r="58" spans="1:9" ht="14.25">
      <c r="A58" s="519"/>
      <c r="B58" s="519"/>
      <c r="D58" s="424" t="s">
        <v>2304</v>
      </c>
      <c r="E58" s="480"/>
      <c r="F58" s="480"/>
    </row>
    <row r="59" spans="1:9" ht="14.25">
      <c r="A59" s="519"/>
      <c r="B59" s="519"/>
      <c r="D59" s="480"/>
      <c r="E59" s="336" t="s">
        <v>2303</v>
      </c>
      <c r="F59" s="480"/>
    </row>
    <row r="60" spans="1:9">
      <c r="D60" s="482"/>
    </row>
    <row r="61" spans="1:9" ht="14.25">
      <c r="A61" s="519"/>
      <c r="B61" s="520" t="s">
        <v>2775</v>
      </c>
      <c r="D61" s="1291" t="s">
        <v>1198</v>
      </c>
      <c r="E61" s="1291"/>
      <c r="F61" s="1291"/>
      <c r="I61" s="436" t="s">
        <v>2151</v>
      </c>
    </row>
    <row r="62" spans="1:9">
      <c r="D62" s="1291"/>
      <c r="E62" s="1291"/>
      <c r="F62" s="1291"/>
    </row>
    <row r="63" spans="1:9">
      <c r="D63" s="1291"/>
      <c r="E63" s="1291"/>
      <c r="F63" s="1291"/>
    </row>
    <row r="64" spans="1:9"/>
    <row r="65" spans="1:9" ht="14.25">
      <c r="A65" s="519"/>
      <c r="B65" s="520" t="s">
        <v>2774</v>
      </c>
      <c r="D65" s="1291" t="s">
        <v>1199</v>
      </c>
      <c r="E65" s="1291"/>
      <c r="F65" s="1291"/>
      <c r="I65" s="436" t="s">
        <v>2152</v>
      </c>
    </row>
    <row r="66" spans="1:9">
      <c r="D66" s="1291"/>
      <c r="E66" s="1291"/>
      <c r="F66" s="1291"/>
    </row>
    <row r="67" spans="1:9"/>
    <row r="68" spans="1:9" ht="14.25">
      <c r="A68" s="519"/>
      <c r="B68" s="520" t="s">
        <v>2775</v>
      </c>
      <c r="D68" s="1291" t="s">
        <v>1200</v>
      </c>
      <c r="E68" s="1291"/>
      <c r="F68" s="1291"/>
    </row>
    <row r="69" spans="1:9">
      <c r="D69" s="1291"/>
      <c r="E69" s="1291"/>
      <c r="F69" s="1291"/>
      <c r="I69" s="436" t="s">
        <v>2153</v>
      </c>
    </row>
    <row r="70" spans="1:9">
      <c r="D70" s="1291"/>
      <c r="E70" s="1291"/>
      <c r="F70" s="1291"/>
    </row>
    <row r="71" spans="1:9"/>
    <row r="72" spans="1:9" ht="14.25">
      <c r="A72" s="519"/>
      <c r="B72" s="520" t="s">
        <v>2775</v>
      </c>
      <c r="D72" s="1291" t="s">
        <v>1201</v>
      </c>
      <c r="E72" s="1291"/>
      <c r="F72" s="1291"/>
      <c r="I72" s="436" t="s">
        <v>2153</v>
      </c>
    </row>
    <row r="73" spans="1:9">
      <c r="D73" s="1291"/>
      <c r="E73" s="1291"/>
      <c r="F73" s="1291"/>
    </row>
    <row r="74" spans="1:9" ht="14.25">
      <c r="A74" s="519"/>
      <c r="B74" s="519"/>
      <c r="D74" s="481"/>
    </row>
    <row r="75" spans="1:9">
      <c r="A75" s="1279" t="s">
        <v>1108</v>
      </c>
      <c r="B75" s="1279"/>
      <c r="C75" s="1279"/>
      <c r="D75" s="1279"/>
      <c r="E75" s="1279"/>
      <c r="F75" s="1279"/>
      <c r="G75" s="1279"/>
      <c r="H75" s="1071"/>
      <c r="I75" s="1072"/>
    </row>
    <row r="76" spans="1:9"/>
    <row r="77" spans="1:9">
      <c r="C77" s="521"/>
      <c r="D77" s="1293" t="s">
        <v>1206</v>
      </c>
      <c r="E77" s="1293"/>
      <c r="F77" s="1293"/>
    </row>
    <row r="78" spans="1:9">
      <c r="A78" s="481"/>
      <c r="B78" s="481"/>
      <c r="D78" s="1291" t="s">
        <v>1233</v>
      </c>
      <c r="E78" s="1291"/>
      <c r="F78" s="1291"/>
    </row>
    <row r="79" spans="1:9">
      <c r="A79" s="481"/>
      <c r="B79" s="481"/>
    </row>
    <row r="80" spans="1:9" ht="13.7" customHeight="1">
      <c r="A80" s="519"/>
      <c r="B80" s="520" t="s">
        <v>2774</v>
      </c>
      <c r="D80" s="1291" t="s">
        <v>1402</v>
      </c>
      <c r="E80" s="1291"/>
      <c r="F80" s="1291"/>
      <c r="I80" s="436" t="s">
        <v>2154</v>
      </c>
    </row>
    <row r="81" spans="1:9" ht="14.25">
      <c r="A81" s="519"/>
      <c r="B81" s="519"/>
      <c r="D81" s="1291"/>
      <c r="E81" s="1291"/>
      <c r="F81" s="1291"/>
    </row>
    <row r="82" spans="1:9" ht="14.25">
      <c r="A82" s="519"/>
      <c r="B82" s="519"/>
      <c r="D82" s="1291"/>
      <c r="E82" s="1291"/>
      <c r="F82" s="1291"/>
    </row>
    <row r="83" spans="1:9" ht="14.25">
      <c r="A83" s="519"/>
      <c r="B83" s="519"/>
      <c r="D83" s="1291"/>
      <c r="E83" s="1291"/>
      <c r="F83" s="1291"/>
    </row>
    <row r="84" spans="1:9" ht="14.25">
      <c r="A84" s="519"/>
      <c r="B84" s="519"/>
      <c r="D84" s="1291"/>
      <c r="E84" s="1291"/>
      <c r="F84" s="1291"/>
    </row>
    <row r="85" spans="1:9" ht="14.25">
      <c r="A85" s="519"/>
      <c r="B85" s="519"/>
      <c r="D85" s="1291"/>
      <c r="E85" s="1291"/>
      <c r="F85" s="1291"/>
    </row>
    <row r="86" spans="1:9" ht="14.25">
      <c r="A86" s="519"/>
      <c r="B86" s="519"/>
      <c r="D86" s="1291"/>
      <c r="E86" s="1291"/>
      <c r="F86" s="1291"/>
    </row>
    <row r="87" spans="1:9" ht="14.25">
      <c r="A87" s="519"/>
      <c r="B87" s="519"/>
      <c r="D87" s="1291"/>
      <c r="E87" s="1291"/>
      <c r="F87" s="1291"/>
    </row>
    <row r="88" spans="1:9" ht="14.25">
      <c r="A88" s="519"/>
      <c r="B88" s="519"/>
      <c r="D88" s="417"/>
      <c r="E88" s="417"/>
      <c r="F88" s="417"/>
    </row>
    <row r="89" spans="1:9" ht="15" customHeight="1">
      <c r="A89" s="519"/>
      <c r="B89" s="520" t="s">
        <v>2774</v>
      </c>
      <c r="D89" s="1291" t="s">
        <v>2005</v>
      </c>
      <c r="E89" s="1291"/>
      <c r="F89" s="1291"/>
      <c r="I89" s="436" t="s">
        <v>2155</v>
      </c>
    </row>
    <row r="90" spans="1:9" ht="14.25">
      <c r="A90" s="519"/>
      <c r="B90" s="519"/>
      <c r="D90" s="1291"/>
      <c r="E90" s="1291"/>
      <c r="F90" s="1291"/>
    </row>
    <row r="91" spans="1:9" ht="14.25">
      <c r="A91" s="519"/>
      <c r="B91" s="519"/>
      <c r="D91" s="480"/>
      <c r="E91" s="480"/>
      <c r="F91" s="480"/>
    </row>
    <row r="92" spans="1:9" ht="14.25">
      <c r="A92" s="519"/>
      <c r="B92" s="520" t="s">
        <v>2775</v>
      </c>
      <c r="D92" s="1291" t="s">
        <v>2008</v>
      </c>
      <c r="E92" s="1291"/>
      <c r="F92" s="1291"/>
      <c r="I92" s="436" t="s">
        <v>2156</v>
      </c>
    </row>
    <row r="93" spans="1:9" ht="14.25">
      <c r="A93" s="519"/>
      <c r="B93" s="519"/>
      <c r="D93" s="1291"/>
      <c r="E93" s="1291"/>
      <c r="F93" s="1291"/>
    </row>
    <row r="94" spans="1:9" ht="14.25">
      <c r="A94" s="519"/>
      <c r="B94" s="519"/>
      <c r="D94" s="1291"/>
      <c r="E94" s="1291"/>
      <c r="F94" s="1291"/>
    </row>
    <row r="95" spans="1:9" ht="14.25">
      <c r="A95" s="519"/>
      <c r="B95" s="519"/>
      <c r="D95" s="480"/>
      <c r="E95" s="480"/>
      <c r="F95" s="480"/>
    </row>
    <row r="96" spans="1:9" ht="14.25">
      <c r="A96" s="519"/>
      <c r="B96" s="520" t="s">
        <v>2774</v>
      </c>
      <c r="D96" s="1291" t="s">
        <v>2007</v>
      </c>
      <c r="E96" s="1291"/>
      <c r="F96" s="1291"/>
      <c r="I96" s="436" t="s">
        <v>2201</v>
      </c>
    </row>
    <row r="97" spans="1:9" s="1024" customFormat="1" ht="14.25">
      <c r="A97" s="1022"/>
      <c r="B97" s="1022"/>
      <c r="C97" s="1023"/>
      <c r="D97" s="1291"/>
      <c r="E97" s="1291"/>
      <c r="F97" s="1291"/>
      <c r="I97" s="1063"/>
    </row>
    <row r="98" spans="1:9" ht="14.25">
      <c r="A98" s="519"/>
      <c r="B98" s="519"/>
      <c r="D98" s="424"/>
      <c r="E98" s="336" t="s">
        <v>2307</v>
      </c>
      <c r="F98" s="480"/>
    </row>
    <row r="99" spans="1:9" ht="14.25">
      <c r="A99" s="519"/>
      <c r="B99" s="519"/>
      <c r="D99" s="417"/>
      <c r="E99" s="417"/>
      <c r="F99" s="417"/>
    </row>
    <row r="100" spans="1:9" ht="14.25">
      <c r="A100" s="519"/>
      <c r="B100" s="520" t="s">
        <v>2775</v>
      </c>
      <c r="D100" s="1291" t="s">
        <v>2006</v>
      </c>
      <c r="E100" s="1291"/>
      <c r="F100" s="1291"/>
      <c r="I100" s="436" t="s">
        <v>2157</v>
      </c>
    </row>
    <row r="101" spans="1:9" ht="14.25">
      <c r="A101" s="519"/>
      <c r="B101" s="519"/>
      <c r="D101" s="1291"/>
      <c r="E101" s="1291"/>
      <c r="F101" s="1291"/>
    </row>
    <row r="102" spans="1:9" ht="14.25">
      <c r="A102" s="519"/>
      <c r="B102" s="519"/>
      <c r="D102" s="480"/>
      <c r="E102" s="480"/>
      <c r="F102" s="480"/>
    </row>
    <row r="103" spans="1:9" ht="14.45" customHeight="1">
      <c r="A103" s="519"/>
      <c r="B103" s="520" t="s">
        <v>2775</v>
      </c>
      <c r="D103" s="1291" t="s">
        <v>1337</v>
      </c>
      <c r="E103" s="1291"/>
      <c r="F103" s="1291"/>
      <c r="I103" s="436" t="s">
        <v>2158</v>
      </c>
    </row>
    <row r="104" spans="1:9" ht="14.25">
      <c r="A104" s="519"/>
      <c r="B104" s="519"/>
      <c r="D104" s="1291"/>
      <c r="E104" s="1291"/>
      <c r="F104" s="1291"/>
    </row>
    <row r="105" spans="1:9" ht="14.25">
      <c r="A105" s="519"/>
      <c r="B105" s="519"/>
      <c r="D105" s="1291"/>
      <c r="E105" s="1291"/>
      <c r="F105" s="1291"/>
    </row>
    <row r="106" spans="1:9" ht="14.25">
      <c r="A106" s="519"/>
      <c r="B106" s="519"/>
      <c r="D106" s="1291"/>
      <c r="E106" s="1291"/>
      <c r="F106" s="1291"/>
    </row>
    <row r="107" spans="1:9" ht="14.25">
      <c r="A107" s="519"/>
      <c r="B107" s="519"/>
      <c r="D107" s="1291"/>
      <c r="E107" s="1291"/>
      <c r="F107" s="1291"/>
    </row>
    <row r="108" spans="1:9" ht="14.25">
      <c r="A108" s="519"/>
      <c r="B108" s="519"/>
      <c r="D108" s="1291"/>
      <c r="E108" s="1291"/>
      <c r="F108" s="1291"/>
    </row>
    <row r="109" spans="1:9" ht="14.25">
      <c r="A109" s="519"/>
      <c r="B109" s="519"/>
      <c r="D109" s="1291"/>
      <c r="E109" s="1291"/>
      <c r="F109" s="1291"/>
    </row>
    <row r="110" spans="1:9" ht="14.25">
      <c r="A110" s="519"/>
      <c r="B110" s="519"/>
      <c r="D110" s="1291"/>
      <c r="E110" s="1291"/>
      <c r="F110" s="1291"/>
    </row>
    <row r="111" spans="1:9" ht="14.25">
      <c r="A111" s="519"/>
      <c r="B111" s="519"/>
      <c r="D111" s="1291"/>
      <c r="E111" s="1291"/>
      <c r="F111" s="1291"/>
    </row>
    <row r="112" spans="1:9" ht="14.25">
      <c r="A112" s="519"/>
      <c r="B112" s="519"/>
      <c r="D112" s="1291"/>
      <c r="E112" s="1291"/>
      <c r="F112" s="1291"/>
    </row>
    <row r="113" spans="1:9" ht="14.25">
      <c r="A113" s="519"/>
      <c r="B113" s="519"/>
      <c r="D113" s="1291"/>
      <c r="E113" s="1291"/>
      <c r="F113" s="1291"/>
    </row>
    <row r="114" spans="1:9" ht="14.25">
      <c r="A114" s="519"/>
      <c r="B114" s="519"/>
      <c r="D114" s="1291"/>
      <c r="E114" s="1291"/>
      <c r="F114" s="1291"/>
    </row>
    <row r="115" spans="1:9" ht="14.25">
      <c r="A115" s="519"/>
      <c r="B115" s="519"/>
      <c r="D115" s="1291"/>
      <c r="E115" s="1291"/>
      <c r="F115" s="1291"/>
    </row>
    <row r="116" spans="1:9" ht="14.25">
      <c r="A116" s="519"/>
      <c r="B116" s="519"/>
      <c r="D116" s="1291"/>
      <c r="E116" s="1291"/>
      <c r="F116" s="1291"/>
    </row>
    <row r="117" spans="1:9" ht="14.25">
      <c r="A117" s="519"/>
      <c r="B117" s="519"/>
      <c r="D117" s="1291"/>
      <c r="E117" s="1291"/>
      <c r="F117" s="1291"/>
    </row>
    <row r="118" spans="1:9" ht="14.25">
      <c r="A118" s="519"/>
      <c r="B118" s="519"/>
      <c r="D118" s="559"/>
      <c r="E118" s="559"/>
      <c r="F118" s="559"/>
    </row>
    <row r="119" spans="1:9" ht="14.25" customHeight="1">
      <c r="A119" s="519"/>
      <c r="B119" s="520" t="s">
        <v>2775</v>
      </c>
      <c r="D119" s="1302" t="s">
        <v>1208</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2775</v>
      </c>
      <c r="C128" s="434"/>
      <c r="D128" s="1302" t="s">
        <v>2451</v>
      </c>
      <c r="E128" s="1302"/>
      <c r="F128" s="1302"/>
      <c r="I128" s="436" t="s">
        <v>2159</v>
      </c>
    </row>
    <row r="129" spans="1:9" ht="14.25">
      <c r="A129" s="519"/>
      <c r="B129" s="519"/>
      <c r="C129" s="434"/>
      <c r="D129" s="1302"/>
      <c r="E129" s="1302"/>
      <c r="F129" s="1302"/>
    </row>
    <row r="130" spans="1:9"/>
    <row r="131" spans="1:9" ht="14.25">
      <c r="A131" s="519"/>
      <c r="B131" s="520" t="s">
        <v>2775</v>
      </c>
      <c r="D131" s="1291" t="s">
        <v>1211</v>
      </c>
      <c r="E131" s="1291"/>
      <c r="F131" s="1291"/>
      <c r="I131" s="436" t="s">
        <v>2159</v>
      </c>
    </row>
    <row r="132" spans="1:9">
      <c r="D132" s="1291"/>
      <c r="E132" s="1291"/>
      <c r="F132" s="1291"/>
    </row>
    <row r="133" spans="1:9">
      <c r="D133" s="1291"/>
      <c r="E133" s="1291"/>
      <c r="F133" s="1291"/>
    </row>
    <row r="134" spans="1:9">
      <c r="D134" s="1291"/>
      <c r="E134" s="1291"/>
      <c r="F134" s="1291"/>
    </row>
    <row r="135" spans="1:9">
      <c r="D135" s="1291"/>
      <c r="E135" s="1291"/>
      <c r="F135" s="1291"/>
    </row>
    <row r="136" spans="1:9"/>
    <row r="137" spans="1:9" ht="14.25">
      <c r="A137" s="519"/>
      <c r="B137" s="520" t="s">
        <v>2774</v>
      </c>
      <c r="D137" s="1291" t="s">
        <v>1212</v>
      </c>
      <c r="E137" s="1291"/>
      <c r="F137" s="1291"/>
      <c r="I137" s="436" t="s">
        <v>2160</v>
      </c>
    </row>
    <row r="138" spans="1:9" s="449" customFormat="1" ht="13.7" customHeight="1">
      <c r="A138" s="523"/>
      <c r="B138" s="523"/>
      <c r="C138" s="523"/>
      <c r="D138" s="1291"/>
      <c r="E138" s="1291"/>
      <c r="F138" s="1291"/>
      <c r="I138" s="1064"/>
    </row>
    <row r="139" spans="1:9" ht="13.7" customHeight="1">
      <c r="D139" s="1291"/>
      <c r="E139" s="1291"/>
      <c r="F139" s="1291"/>
    </row>
    <row r="140" spans="1:9" ht="13.7" customHeight="1">
      <c r="D140" s="1291"/>
      <c r="E140" s="1291"/>
      <c r="F140" s="1291"/>
    </row>
    <row r="141" spans="1:9" ht="13.7" customHeight="1">
      <c r="D141" s="1291"/>
      <c r="E141" s="1291"/>
      <c r="F141" s="1291"/>
    </row>
    <row r="142" spans="1:9" ht="13.7" customHeight="1">
      <c r="A142" s="524"/>
      <c r="B142" s="524"/>
      <c r="D142" s="1291"/>
      <c r="E142" s="1291"/>
      <c r="F142" s="1291"/>
    </row>
    <row r="143" spans="1:9" ht="13.7" customHeight="1">
      <c r="D143" s="1291"/>
      <c r="E143" s="1291"/>
      <c r="F143" s="1291"/>
    </row>
    <row r="144" spans="1:9" ht="13.7" customHeight="1">
      <c r="D144" s="1291"/>
      <c r="E144" s="1291"/>
      <c r="F144" s="1291"/>
    </row>
    <row r="145" spans="2:9" ht="13.7" customHeight="1">
      <c r="D145" s="1291"/>
      <c r="E145" s="1291"/>
      <c r="F145" s="1291"/>
    </row>
    <row r="146" spans="2:9" ht="13.7" customHeight="1">
      <c r="D146" s="1291"/>
      <c r="E146" s="1291"/>
      <c r="F146" s="1291"/>
    </row>
    <row r="147" spans="2:9" ht="13.7" customHeight="1">
      <c r="D147" s="1291"/>
      <c r="E147" s="1291"/>
      <c r="F147" s="1291"/>
    </row>
    <row r="148" spans="2:9" ht="13.7" customHeight="1">
      <c r="D148" s="1291"/>
      <c r="E148" s="1291"/>
      <c r="F148" s="1291"/>
    </row>
    <row r="149" spans="2:9" ht="13.7" customHeight="1">
      <c r="D149" s="1291"/>
      <c r="E149" s="1291"/>
      <c r="F149" s="1291"/>
    </row>
    <row r="150" spans="2:9" ht="13.7" customHeight="1">
      <c r="D150" s="511"/>
      <c r="E150" s="481"/>
      <c r="F150" s="481"/>
    </row>
    <row r="151" spans="2:9" ht="13.7" customHeight="1">
      <c r="B151" s="520" t="s">
        <v>2775</v>
      </c>
      <c r="D151" s="1291" t="s">
        <v>1320</v>
      </c>
      <c r="E151" s="1291"/>
      <c r="F151" s="1291"/>
      <c r="I151" s="436" t="s">
        <v>2161</v>
      </c>
    </row>
    <row r="152" spans="2:9" ht="13.7" customHeight="1">
      <c r="D152" s="1291"/>
      <c r="E152" s="1291"/>
      <c r="F152" s="1291"/>
    </row>
    <row r="153" spans="2:9" ht="13.7" customHeight="1">
      <c r="D153" s="1291"/>
      <c r="E153" s="1291"/>
      <c r="F153" s="1291"/>
    </row>
    <row r="154" spans="2:9" ht="13.7" customHeight="1">
      <c r="D154" s="1291"/>
      <c r="E154" s="1291"/>
      <c r="F154" s="1291"/>
    </row>
    <row r="155" spans="2:9" ht="13.7" customHeight="1">
      <c r="D155" s="1291"/>
      <c r="E155" s="1291"/>
      <c r="F155" s="1291"/>
    </row>
    <row r="156" spans="2:9" ht="13.7" customHeight="1">
      <c r="D156" s="1291"/>
      <c r="E156" s="1291"/>
      <c r="F156" s="1291"/>
    </row>
    <row r="157" spans="2:9" ht="13.7" customHeight="1">
      <c r="D157" s="1291"/>
      <c r="E157" s="1291"/>
      <c r="F157" s="1291"/>
    </row>
    <row r="158" spans="2:9" ht="13.7" customHeight="1">
      <c r="D158" s="1291"/>
      <c r="E158" s="1291"/>
      <c r="F158" s="1291"/>
    </row>
    <row r="159" spans="2:9" ht="13.7" customHeight="1">
      <c r="D159" s="1291"/>
      <c r="E159" s="1291"/>
      <c r="F159" s="1291"/>
    </row>
    <row r="160" spans="2:9" ht="13.7" customHeight="1">
      <c r="D160" s="1291"/>
      <c r="E160" s="1291"/>
      <c r="F160" s="1291"/>
    </row>
    <row r="161" spans="1:9" ht="13.7" customHeight="1">
      <c r="D161" s="1291"/>
      <c r="E161" s="1291"/>
      <c r="F161" s="1291"/>
    </row>
    <row r="162" spans="1:9" ht="13.7" customHeight="1">
      <c r="D162" s="1291"/>
      <c r="E162" s="1291"/>
      <c r="F162" s="1291"/>
    </row>
    <row r="163" spans="1:9" ht="13.7" customHeight="1">
      <c r="D163" s="1291"/>
      <c r="E163" s="1291"/>
      <c r="F163" s="1291"/>
    </row>
    <row r="164" spans="1:9" ht="13.7" customHeight="1">
      <c r="D164" s="1291"/>
      <c r="E164" s="1291"/>
      <c r="F164" s="1291"/>
    </row>
    <row r="165" spans="1:9" ht="13.7" customHeight="1">
      <c r="D165" s="1291"/>
      <c r="E165" s="1291"/>
      <c r="F165" s="1291"/>
    </row>
    <row r="166" spans="1:9" ht="13.7" customHeight="1">
      <c r="D166" s="1291"/>
      <c r="E166" s="1291"/>
      <c r="F166" s="1291"/>
    </row>
    <row r="167" spans="1:9" ht="13.7" customHeight="1">
      <c r="D167" s="1291"/>
      <c r="E167" s="1291"/>
      <c r="F167" s="1291"/>
    </row>
    <row r="168" spans="1:9" ht="13.7" customHeight="1">
      <c r="D168" s="1291"/>
      <c r="E168" s="1291"/>
      <c r="F168" s="1291"/>
    </row>
    <row r="169" spans="1:9" ht="13.7" customHeight="1">
      <c r="D169" s="1336" t="s">
        <v>2476</v>
      </c>
      <c r="E169" s="1336"/>
      <c r="F169" s="1336"/>
      <c r="G169" s="542"/>
    </row>
    <row r="170" spans="1:9" ht="13.7" customHeight="1">
      <c r="D170" s="1277"/>
      <c r="E170" s="1277"/>
      <c r="F170" s="1277"/>
      <c r="G170" s="1277"/>
    </row>
    <row r="171" spans="1:9" ht="14.45" customHeight="1">
      <c r="A171" s="524"/>
      <c r="B171" s="520" t="s">
        <v>2775</v>
      </c>
      <c r="C171" s="511"/>
      <c r="D171" s="1273" t="s">
        <v>1367</v>
      </c>
      <c r="E171" s="1273"/>
      <c r="F171" s="1273"/>
      <c r="G171" s="511"/>
      <c r="I171" s="436" t="s">
        <v>2156</v>
      </c>
    </row>
    <row r="172" spans="1:9" ht="14.45" customHeight="1">
      <c r="A172" s="524"/>
      <c r="B172" s="524"/>
      <c r="C172" s="511"/>
      <c r="D172" s="1273"/>
      <c r="E172" s="1273"/>
      <c r="F172" s="1273"/>
      <c r="G172" s="511"/>
    </row>
    <row r="173" spans="1:9" ht="13.7" customHeight="1">
      <c r="A173" s="524"/>
      <c r="B173" s="524"/>
      <c r="C173" s="511"/>
      <c r="D173" s="1273"/>
      <c r="E173" s="1273"/>
      <c r="F173" s="1273"/>
      <c r="G173" s="511"/>
    </row>
    <row r="174" spans="1:9" ht="13.7" customHeight="1">
      <c r="A174" s="524"/>
      <c r="B174" s="524"/>
      <c r="C174" s="511"/>
      <c r="D174" s="511"/>
      <c r="E174" s="511"/>
      <c r="F174" s="511"/>
      <c r="G174" s="511"/>
    </row>
    <row r="175" spans="1:9" ht="13.7" customHeight="1">
      <c r="A175" s="524"/>
      <c r="B175" s="520" t="s">
        <v>2775</v>
      </c>
      <c r="C175" s="511"/>
      <c r="D175" s="1273" t="s">
        <v>1214</v>
      </c>
      <c r="E175" s="1273"/>
      <c r="F175" s="1273"/>
      <c r="G175" s="511"/>
      <c r="I175" s="436" t="s">
        <v>2162</v>
      </c>
    </row>
    <row r="176" spans="1:9" ht="13.7" customHeight="1">
      <c r="A176" s="524"/>
      <c r="B176" s="524"/>
      <c r="C176" s="511"/>
      <c r="D176" s="1273"/>
      <c r="E176" s="1273"/>
      <c r="F176" s="1273"/>
      <c r="G176" s="511"/>
    </row>
    <row r="177" spans="1:9" ht="13.7" customHeight="1">
      <c r="A177" s="524"/>
      <c r="B177" s="524"/>
      <c r="C177" s="511"/>
      <c r="D177" s="1273"/>
      <c r="E177" s="1273"/>
      <c r="F177" s="1273"/>
      <c r="G177" s="511"/>
    </row>
    <row r="178" spans="1:9" ht="13.7" customHeight="1">
      <c r="A178" s="524"/>
      <c r="B178" s="524"/>
      <c r="C178" s="511"/>
      <c r="D178" s="1273"/>
      <c r="E178" s="1273"/>
      <c r="F178" s="1273"/>
      <c r="G178" s="511"/>
    </row>
    <row r="179" spans="1:9" ht="13.7" customHeight="1">
      <c r="D179" s="481"/>
      <c r="E179" s="481"/>
      <c r="F179" s="481"/>
    </row>
    <row r="180" spans="1:9" ht="13.7" customHeight="1">
      <c r="B180" s="520" t="s">
        <v>2775</v>
      </c>
      <c r="D180" s="1278" t="s">
        <v>2452</v>
      </c>
      <c r="E180" s="1278"/>
      <c r="F180" s="1278"/>
      <c r="I180" s="436" t="s">
        <v>2163</v>
      </c>
    </row>
    <row r="181" spans="1:9" ht="13.7" customHeight="1">
      <c r="D181" s="1278"/>
      <c r="E181" s="1278"/>
      <c r="F181" s="1278"/>
    </row>
    <row r="182" spans="1:9" ht="13.7" customHeight="1">
      <c r="D182" s="1278"/>
      <c r="E182" s="1278"/>
      <c r="F182" s="1278"/>
    </row>
    <row r="183" spans="1:9" ht="13.7" customHeight="1">
      <c r="A183" s="525"/>
      <c r="B183" s="525"/>
      <c r="E183" s="481"/>
      <c r="F183" s="481"/>
    </row>
    <row r="184" spans="1:9">
      <c r="A184" s="1279" t="s">
        <v>2453</v>
      </c>
      <c r="B184" s="1279"/>
      <c r="C184" s="1279"/>
      <c r="D184" s="1279"/>
      <c r="E184" s="1279"/>
      <c r="F184" s="1279"/>
      <c r="G184" s="1279"/>
      <c r="H184" s="1071"/>
      <c r="I184" s="1072"/>
    </row>
    <row r="185" spans="1:9" ht="12" customHeight="1">
      <c r="D185" s="481"/>
      <c r="E185" s="481"/>
      <c r="F185" s="481"/>
    </row>
    <row r="186" spans="1:9">
      <c r="B186" s="1294" t="s">
        <v>449</v>
      </c>
      <c r="C186" s="1294"/>
      <c r="D186" s="1294"/>
      <c r="E186" s="1294"/>
      <c r="F186" s="1294"/>
    </row>
    <row r="187" spans="1:9">
      <c r="B187" s="424" t="s">
        <v>2142</v>
      </c>
      <c r="C187" s="424"/>
      <c r="D187" s="424"/>
      <c r="E187" s="424"/>
      <c r="F187" s="424"/>
    </row>
    <row r="188" spans="1:9" ht="12" customHeight="1">
      <c r="A188" s="517"/>
      <c r="B188" s="517"/>
      <c r="C188" s="517"/>
    </row>
    <row r="189" spans="1:9">
      <c r="A189" s="1279" t="s">
        <v>1110</v>
      </c>
      <c r="B189" s="1279"/>
      <c r="C189" s="1279"/>
      <c r="D189" s="1279"/>
      <c r="E189" s="1279"/>
      <c r="F189" s="1279"/>
      <c r="G189" s="1279"/>
      <c r="H189" s="1071"/>
      <c r="I189" s="1072"/>
    </row>
    <row r="190" spans="1:9" ht="12" customHeight="1">
      <c r="A190" s="436"/>
      <c r="B190" s="436"/>
      <c r="E190" s="436"/>
    </row>
    <row r="191" spans="1:9" ht="13.7" customHeight="1">
      <c r="A191" s="436"/>
      <c r="B191" s="436"/>
      <c r="D191" s="1293" t="s">
        <v>2009</v>
      </c>
      <c r="E191" s="1293"/>
      <c r="F191" s="1293"/>
    </row>
    <row r="192" spans="1:9">
      <c r="A192" s="436"/>
      <c r="B192" s="436"/>
      <c r="D192" s="1293"/>
      <c r="E192" s="1293"/>
      <c r="F192" s="1293"/>
    </row>
    <row r="193" spans="1:9">
      <c r="A193" s="436"/>
      <c r="B193" s="436"/>
      <c r="D193" s="1294" t="s">
        <v>1338</v>
      </c>
      <c r="E193" s="1294"/>
      <c r="F193" s="1294"/>
    </row>
    <row r="194" spans="1:9">
      <c r="A194" s="436"/>
      <c r="B194" s="436"/>
      <c r="D194" s="424"/>
      <c r="E194" s="424"/>
      <c r="F194" s="424"/>
    </row>
    <row r="195" spans="1:9">
      <c r="A195" s="436"/>
      <c r="B195" s="520" t="s">
        <v>2774</v>
      </c>
      <c r="D195" s="1275" t="s">
        <v>2010</v>
      </c>
      <c r="E195" s="1275"/>
      <c r="F195" s="1275"/>
      <c r="I195" s="436" t="s">
        <v>2212</v>
      </c>
    </row>
    <row r="196" spans="1:9">
      <c r="A196" s="436"/>
      <c r="B196" s="436"/>
      <c r="D196" s="1307" t="s">
        <v>2285</v>
      </c>
      <c r="E196" s="1307"/>
      <c r="F196" s="1307"/>
    </row>
    <row r="197" spans="1:9">
      <c r="A197" s="436"/>
      <c r="B197" s="436"/>
      <c r="D197" s="96" t="s">
        <v>2011</v>
      </c>
      <c r="E197" s="1338" t="s">
        <v>2308</v>
      </c>
      <c r="F197" s="1338"/>
    </row>
    <row r="198" spans="1:9">
      <c r="A198" s="436"/>
      <c r="B198" s="436"/>
      <c r="D198" s="3"/>
      <c r="E198" s="3"/>
      <c r="F198" s="3"/>
    </row>
    <row r="199" spans="1:9">
      <c r="A199" s="436"/>
      <c r="B199" s="520" t="s">
        <v>2775</v>
      </c>
      <c r="D199" s="1307" t="s">
        <v>2012</v>
      </c>
      <c r="E199" s="1307"/>
      <c r="F199" s="1307"/>
      <c r="I199" s="436" t="s">
        <v>2213</v>
      </c>
    </row>
    <row r="200" spans="1:9">
      <c r="A200" s="436"/>
      <c r="B200" s="436"/>
      <c r="D200" s="1275" t="s">
        <v>2285</v>
      </c>
      <c r="E200" s="1275"/>
      <c r="F200" s="1275"/>
    </row>
    <row r="201" spans="1:9">
      <c r="A201" s="436"/>
      <c r="B201" s="436"/>
      <c r="D201" s="57" t="s">
        <v>2013</v>
      </c>
      <c r="E201" s="1338" t="s">
        <v>2309</v>
      </c>
      <c r="F201" s="1338"/>
    </row>
    <row r="202" spans="1:9">
      <c r="A202" s="436"/>
      <c r="B202" s="436"/>
      <c r="D202" s="3"/>
      <c r="E202" s="3"/>
      <c r="F202" s="3"/>
    </row>
    <row r="203" spans="1:9">
      <c r="A203" s="436"/>
      <c r="B203" s="520" t="s">
        <v>2775</v>
      </c>
      <c r="D203" s="1307" t="s">
        <v>2014</v>
      </c>
      <c r="E203" s="1307"/>
      <c r="F203" s="1307"/>
      <c r="I203" s="436" t="s">
        <v>2214</v>
      </c>
    </row>
    <row r="204" spans="1:9">
      <c r="A204" s="436"/>
      <c r="B204" s="436"/>
      <c r="D204" s="1275" t="s">
        <v>2285</v>
      </c>
      <c r="E204" s="1275"/>
      <c r="F204" s="1275"/>
    </row>
    <row r="205" spans="1:9">
      <c r="A205" s="436"/>
      <c r="B205" s="436"/>
      <c r="D205" s="57" t="s">
        <v>2011</v>
      </c>
      <c r="E205" s="1338" t="s">
        <v>2310</v>
      </c>
      <c r="F205" s="1338"/>
    </row>
    <row r="206" spans="1:9">
      <c r="A206" s="436"/>
      <c r="B206" s="436"/>
      <c r="D206" s="424"/>
      <c r="E206" s="424"/>
      <c r="F206" s="424"/>
    </row>
    <row r="207" spans="1:9" ht="14.25" customHeight="1">
      <c r="A207" s="519"/>
      <c r="B207" s="520" t="s">
        <v>2775</v>
      </c>
      <c r="D207" s="418" t="s">
        <v>2278</v>
      </c>
      <c r="E207" s="417"/>
      <c r="F207" s="417"/>
      <c r="I207" s="436" t="s">
        <v>2215</v>
      </c>
    </row>
    <row r="208" spans="1:9" ht="14.25">
      <c r="A208" s="519"/>
      <c r="B208" s="519"/>
      <c r="D208" s="1275" t="s">
        <v>2285</v>
      </c>
      <c r="E208" s="1275"/>
      <c r="F208" s="1275"/>
    </row>
    <row r="209" spans="1:9">
      <c r="D209" s="417"/>
      <c r="E209" s="1338" t="s">
        <v>2311</v>
      </c>
      <c r="F209" s="1338"/>
    </row>
    <row r="210" spans="1:9">
      <c r="D210" s="482"/>
    </row>
    <row r="211" spans="1:9">
      <c r="B211" s="520" t="s">
        <v>2775</v>
      </c>
      <c r="D211" s="1307" t="s">
        <v>2015</v>
      </c>
      <c r="E211" s="1307"/>
      <c r="F211" s="1307"/>
      <c r="I211" s="436" t="s">
        <v>2216</v>
      </c>
    </row>
    <row r="212" spans="1:9">
      <c r="D212" s="1275" t="s">
        <v>2285</v>
      </c>
      <c r="E212" s="1275"/>
      <c r="F212" s="1275"/>
    </row>
    <row r="213" spans="1:9">
      <c r="D213" s="57" t="s">
        <v>2011</v>
      </c>
      <c r="E213" s="1338" t="s">
        <v>2312</v>
      </c>
      <c r="F213" s="1338"/>
    </row>
    <row r="214" spans="1:9">
      <c r="D214" s="486"/>
      <c r="E214" s="486"/>
      <c r="F214" s="486"/>
    </row>
    <row r="215" spans="1:9" ht="14.25">
      <c r="A215" s="519"/>
      <c r="B215" s="520" t="s">
        <v>2775</v>
      </c>
      <c r="D215" s="1291" t="s">
        <v>1359</v>
      </c>
      <c r="E215" s="1291"/>
      <c r="F215" s="1291"/>
    </row>
    <row r="216" spans="1:9" ht="14.45" customHeight="1">
      <c r="A216" s="519"/>
      <c r="B216" s="434"/>
      <c r="D216" s="1291"/>
      <c r="E216" s="1291"/>
      <c r="F216" s="1291"/>
    </row>
    <row r="217" spans="1:9" ht="14.25">
      <c r="A217" s="519"/>
      <c r="D217" s="1291"/>
      <c r="E217" s="1291"/>
      <c r="F217" s="1291"/>
    </row>
    <row r="218" spans="1:9" ht="14.25">
      <c r="A218" s="519"/>
      <c r="D218" s="1291"/>
      <c r="E218" s="1291"/>
      <c r="F218" s="1291"/>
    </row>
    <row r="219" spans="1:9">
      <c r="D219" s="486"/>
      <c r="E219" s="486"/>
      <c r="F219" s="486"/>
    </row>
    <row r="220" spans="1:9">
      <c r="A220" s="1279" t="s">
        <v>1111</v>
      </c>
      <c r="B220" s="1279"/>
      <c r="C220" s="1279"/>
      <c r="D220" s="1279"/>
      <c r="E220" s="1279"/>
      <c r="F220" s="1279"/>
      <c r="G220" s="1279"/>
      <c r="H220" s="1071"/>
      <c r="I220" s="1072"/>
    </row>
    <row r="221" spans="1:9" ht="12" customHeight="1">
      <c r="D221" s="481"/>
      <c r="E221" s="481"/>
      <c r="F221" s="481"/>
    </row>
    <row r="222" spans="1:9">
      <c r="C222" s="521"/>
      <c r="D222" s="1290" t="s">
        <v>209</v>
      </c>
      <c r="E222" s="1290"/>
      <c r="F222" s="1290"/>
    </row>
    <row r="223" spans="1:9">
      <c r="A223" s="517"/>
      <c r="B223" s="517"/>
      <c r="C223" s="517"/>
      <c r="D223" s="1292" t="s">
        <v>1240</v>
      </c>
      <c r="E223" s="1292"/>
      <c r="F223" s="1292"/>
    </row>
    <row r="224" spans="1:9" ht="12" customHeight="1">
      <c r="A224" s="525"/>
      <c r="B224" s="525"/>
      <c r="C224" s="525"/>
    </row>
    <row r="225" spans="1:9" ht="13.7" customHeight="1">
      <c r="A225" s="525"/>
      <c r="C225" s="525"/>
      <c r="D225" s="1290" t="s">
        <v>555</v>
      </c>
      <c r="E225" s="1290"/>
      <c r="F225" s="1290"/>
      <c r="I225" s="436" t="s">
        <v>2164</v>
      </c>
    </row>
    <row r="226" spans="1:9" ht="14.25">
      <c r="A226" s="519"/>
      <c r="B226" s="520" t="s">
        <v>2774</v>
      </c>
      <c r="D226" s="1291" t="s">
        <v>2016</v>
      </c>
      <c r="E226" s="1291"/>
      <c r="F226" s="1291"/>
    </row>
    <row r="227" spans="1:9" ht="14.25" customHeight="1">
      <c r="A227" s="519"/>
      <c r="B227" s="519"/>
      <c r="D227" s="1291"/>
      <c r="E227" s="1291"/>
      <c r="F227" s="1291"/>
    </row>
    <row r="228" spans="1:9" ht="14.25" customHeight="1">
      <c r="A228" s="519"/>
      <c r="B228" s="519"/>
      <c r="D228" s="1291"/>
      <c r="E228" s="1291"/>
      <c r="F228" s="1291"/>
    </row>
    <row r="229" spans="1:9" ht="14.25">
      <c r="A229" s="519"/>
      <c r="B229" s="519"/>
      <c r="D229" s="1291"/>
      <c r="E229" s="1291"/>
      <c r="F229" s="1291"/>
    </row>
    <row r="230" spans="1:9" ht="14.25">
      <c r="A230" s="519"/>
      <c r="B230" s="519"/>
      <c r="D230" s="480"/>
      <c r="E230" s="480"/>
      <c r="F230" s="480"/>
    </row>
    <row r="231" spans="1:9" ht="14.25">
      <c r="A231" s="519"/>
      <c r="B231" s="520" t="s">
        <v>2774</v>
      </c>
      <c r="D231" s="1291" t="s">
        <v>2017</v>
      </c>
      <c r="E231" s="1291"/>
      <c r="F231" s="1291"/>
      <c r="I231" s="436" t="s">
        <v>2165</v>
      </c>
    </row>
    <row r="232" spans="1:9" ht="14.25">
      <c r="A232" s="519"/>
      <c r="B232" s="519"/>
      <c r="D232" s="1291"/>
      <c r="E232" s="1291"/>
      <c r="F232" s="1291"/>
    </row>
    <row r="233" spans="1:9" ht="14.25">
      <c r="A233" s="519"/>
      <c r="B233" s="519"/>
      <c r="D233" s="1291"/>
      <c r="E233" s="1291"/>
      <c r="F233" s="1291"/>
    </row>
    <row r="234" spans="1:9" ht="14.25">
      <c r="A234" s="519"/>
      <c r="B234" s="519"/>
      <c r="D234" s="1291"/>
      <c r="E234" s="1291"/>
      <c r="F234" s="1291"/>
    </row>
    <row r="235" spans="1:9" ht="14.25" customHeight="1">
      <c r="A235" s="519"/>
      <c r="B235" s="519"/>
      <c r="D235" s="1291"/>
      <c r="E235" s="1291"/>
      <c r="F235" s="1291"/>
    </row>
    <row r="236" spans="1:9" ht="14.25" customHeight="1">
      <c r="A236" s="519"/>
      <c r="B236" s="519"/>
      <c r="D236" s="480"/>
      <c r="E236" s="480"/>
      <c r="F236" s="480"/>
    </row>
    <row r="237" spans="1:9" ht="14.25">
      <c r="A237" s="519"/>
      <c r="B237" s="519"/>
      <c r="D237" s="1291" t="s">
        <v>1236</v>
      </c>
      <c r="E237" s="1291"/>
      <c r="F237" s="1291"/>
      <c r="I237" s="436" t="s">
        <v>2164</v>
      </c>
    </row>
    <row r="238" spans="1:9" ht="14.25">
      <c r="A238" s="519"/>
      <c r="B238" s="519"/>
      <c r="D238" s="1291"/>
      <c r="E238" s="1291"/>
      <c r="F238" s="1291"/>
    </row>
    <row r="239" spans="1:9" ht="14.25">
      <c r="A239" s="519"/>
      <c r="B239" s="519"/>
      <c r="D239" s="1291"/>
      <c r="E239" s="1291"/>
      <c r="F239" s="1291"/>
    </row>
    <row r="240" spans="1:9" ht="14.25">
      <c r="A240" s="519"/>
      <c r="B240" s="519"/>
      <c r="D240" s="1291"/>
      <c r="E240" s="1291"/>
      <c r="F240" s="1291"/>
    </row>
    <row r="241" spans="1:9" ht="14.25">
      <c r="A241" s="519"/>
      <c r="B241" s="519"/>
      <c r="D241" s="1291"/>
      <c r="E241" s="1291"/>
      <c r="F241" s="1291"/>
    </row>
    <row r="242" spans="1:9" ht="14.25">
      <c r="A242" s="519"/>
      <c r="B242" s="519"/>
      <c r="D242" s="481"/>
      <c r="E242" s="481"/>
      <c r="F242" s="481"/>
    </row>
    <row r="243" spans="1:9" ht="14.25">
      <c r="A243" s="519"/>
      <c r="B243" s="520" t="s">
        <v>2775</v>
      </c>
      <c r="D243" s="1291" t="s">
        <v>2454</v>
      </c>
      <c r="E243" s="1291"/>
      <c r="F243" s="1291"/>
      <c r="I243" s="436" t="s">
        <v>2203</v>
      </c>
    </row>
    <row r="244" spans="1:9" ht="14.25">
      <c r="A244" s="519"/>
      <c r="B244" s="519"/>
      <c r="D244" s="1291"/>
      <c r="E244" s="1291"/>
      <c r="F244" s="1291"/>
    </row>
    <row r="245" spans="1:9" ht="14.25">
      <c r="A245" s="519"/>
      <c r="B245" s="519"/>
      <c r="D245" s="1291"/>
      <c r="E245" s="1291"/>
      <c r="F245" s="1291"/>
    </row>
    <row r="246" spans="1:9" ht="14.25">
      <c r="A246" s="519"/>
      <c r="B246" s="519"/>
      <c r="E246" s="1080" t="s">
        <v>2279</v>
      </c>
    </row>
    <row r="247" spans="1:9" ht="14.25">
      <c r="A247" s="519"/>
      <c r="B247" s="519"/>
      <c r="D247" s="481"/>
      <c r="E247" s="481"/>
      <c r="F247" s="481"/>
    </row>
    <row r="248" spans="1:9" ht="14.45" customHeight="1">
      <c r="A248" s="519"/>
      <c r="B248" s="520" t="s">
        <v>2775</v>
      </c>
      <c r="D248" s="1291" t="s">
        <v>2455</v>
      </c>
      <c r="E248" s="1291"/>
      <c r="F248" s="1291"/>
      <c r="I248" s="436" t="s">
        <v>2221</v>
      </c>
    </row>
    <row r="249" spans="1:9" ht="14.25">
      <c r="A249" s="519"/>
      <c r="B249" s="519"/>
      <c r="D249" s="1291"/>
      <c r="E249" s="1291"/>
      <c r="F249" s="1291"/>
    </row>
    <row r="250" spans="1:9" ht="14.25">
      <c r="A250" s="519"/>
      <c r="B250" s="519"/>
      <c r="D250" s="1291"/>
      <c r="E250" s="1291"/>
      <c r="F250" s="1291"/>
    </row>
    <row r="251" spans="1:9" ht="14.25">
      <c r="A251" s="519"/>
      <c r="B251" s="519"/>
      <c r="D251" s="1291"/>
      <c r="E251" s="1291"/>
      <c r="F251" s="1291"/>
    </row>
    <row r="252" spans="1:9" ht="14.25">
      <c r="A252" s="519"/>
      <c r="B252" s="519"/>
      <c r="D252" s="1291"/>
      <c r="E252" s="1291"/>
      <c r="F252" s="1291"/>
    </row>
    <row r="253" spans="1:9" ht="14.25">
      <c r="A253" s="519"/>
      <c r="B253" s="519"/>
      <c r="D253" s="480"/>
      <c r="E253" s="480"/>
      <c r="F253" s="480"/>
    </row>
    <row r="254" spans="1:9" ht="14.25">
      <c r="A254" s="519"/>
      <c r="B254" s="520" t="s">
        <v>2774</v>
      </c>
      <c r="D254" s="424" t="s">
        <v>2456</v>
      </c>
      <c r="E254" s="480"/>
      <c r="F254" s="480"/>
      <c r="I254" s="436" t="s">
        <v>2202</v>
      </c>
    </row>
    <row r="255" spans="1:9" ht="14.25">
      <c r="A255" s="519"/>
      <c r="B255" s="519"/>
      <c r="E255" s="1080" t="s">
        <v>2280</v>
      </c>
    </row>
    <row r="256" spans="1:9">
      <c r="D256" s="481"/>
      <c r="E256" s="481"/>
      <c r="F256" s="481"/>
    </row>
    <row r="257" spans="1:9" ht="14.25">
      <c r="A257" s="519"/>
      <c r="B257" s="520" t="s">
        <v>2774</v>
      </c>
      <c r="D257" s="1291" t="s">
        <v>1238</v>
      </c>
      <c r="E257" s="1291"/>
      <c r="F257" s="1291"/>
    </row>
    <row r="258" spans="1:9" ht="14.25">
      <c r="A258" s="519"/>
      <c r="B258" s="519"/>
      <c r="D258" s="1291"/>
      <c r="E258" s="1291"/>
      <c r="F258" s="1291"/>
    </row>
    <row r="259" spans="1:9">
      <c r="D259" s="526"/>
    </row>
    <row r="260" spans="1:9">
      <c r="A260" s="1279" t="s">
        <v>1112</v>
      </c>
      <c r="B260" s="1279"/>
      <c r="C260" s="1279"/>
      <c r="D260" s="1279"/>
      <c r="E260" s="1279"/>
      <c r="F260" s="1279"/>
      <c r="G260" s="1279"/>
      <c r="H260" s="1071"/>
      <c r="I260" s="1072"/>
    </row>
    <row r="261" spans="1:9">
      <c r="D261" s="526"/>
    </row>
    <row r="262" spans="1:9">
      <c r="C262" s="521"/>
      <c r="D262" s="1290" t="s">
        <v>1241</v>
      </c>
      <c r="E262" s="1290"/>
      <c r="F262" s="1290"/>
    </row>
    <row r="263" spans="1:9">
      <c r="A263" s="517"/>
      <c r="B263" s="517"/>
      <c r="C263" s="517"/>
      <c r="D263" s="481"/>
      <c r="E263" s="481"/>
      <c r="F263" s="481"/>
    </row>
    <row r="264" spans="1:9">
      <c r="A264" s="518"/>
      <c r="B264" s="518"/>
      <c r="C264" s="518"/>
      <c r="D264" s="1290" t="s">
        <v>270</v>
      </c>
      <c r="E264" s="1290"/>
      <c r="F264" s="1290"/>
      <c r="I264" s="436" t="s">
        <v>2204</v>
      </c>
    </row>
    <row r="265" spans="1:9" ht="14.45" customHeight="1">
      <c r="A265" s="519"/>
      <c r="B265" s="520" t="s">
        <v>2774</v>
      </c>
      <c r="D265" s="1291" t="s">
        <v>1339</v>
      </c>
      <c r="E265" s="1291"/>
      <c r="F265" s="1291"/>
    </row>
    <row r="266" spans="1:9">
      <c r="D266" s="1291"/>
      <c r="E266" s="1291"/>
      <c r="F266" s="1291"/>
    </row>
    <row r="267" spans="1:9">
      <c r="E267" s="1080" t="s">
        <v>2281</v>
      </c>
    </row>
    <row r="268" spans="1:9">
      <c r="D268" s="481"/>
      <c r="E268" s="481"/>
      <c r="F268" s="481"/>
    </row>
    <row r="269" spans="1:9" ht="14.45" customHeight="1">
      <c r="A269" s="519"/>
      <c r="B269" s="520" t="s">
        <v>2775</v>
      </c>
      <c r="D269" s="1291" t="s">
        <v>2457</v>
      </c>
      <c r="E269" s="1291"/>
      <c r="F269" s="1291"/>
      <c r="I269" s="436" t="s">
        <v>2222</v>
      </c>
    </row>
    <row r="270" spans="1:9">
      <c r="D270" s="1291"/>
      <c r="E270" s="1291"/>
      <c r="F270" s="1291"/>
    </row>
    <row r="271" spans="1:9">
      <c r="D271" s="1291"/>
      <c r="E271" s="1291"/>
      <c r="F271" s="1291"/>
    </row>
    <row r="272" spans="1:9">
      <c r="D272" s="1291"/>
      <c r="E272" s="1291"/>
      <c r="F272" s="1291"/>
    </row>
    <row r="273" spans="1:9">
      <c r="D273" s="1291"/>
      <c r="E273" s="1291"/>
      <c r="F273" s="1291"/>
    </row>
    <row r="274" spans="1:9">
      <c r="D274" s="1291"/>
      <c r="E274" s="1291"/>
      <c r="F274" s="1291"/>
    </row>
    <row r="275" spans="1:9">
      <c r="D275" s="481"/>
      <c r="E275" s="481"/>
      <c r="F275" s="481"/>
    </row>
    <row r="276" spans="1:9" ht="14.25">
      <c r="A276" s="519"/>
      <c r="B276" s="520" t="s">
        <v>2775</v>
      </c>
      <c r="D276" s="1291" t="s">
        <v>1244</v>
      </c>
      <c r="E276" s="1291"/>
      <c r="F276" s="1291"/>
    </row>
    <row r="277" spans="1:9">
      <c r="D277" s="1291"/>
      <c r="E277" s="1291"/>
      <c r="F277" s="1291"/>
    </row>
    <row r="278" spans="1:9">
      <c r="D278" s="1291"/>
      <c r="E278" s="1291"/>
      <c r="F278" s="1291"/>
    </row>
    <row r="279" spans="1:9">
      <c r="D279" s="527"/>
      <c r="E279" s="481"/>
      <c r="F279" s="481"/>
    </row>
    <row r="280" spans="1:9">
      <c r="A280" s="1279" t="s">
        <v>1113</v>
      </c>
      <c r="B280" s="1279"/>
      <c r="C280" s="1279"/>
      <c r="D280" s="1279"/>
      <c r="E280" s="1279"/>
      <c r="F280" s="1279"/>
      <c r="G280" s="1279"/>
      <c r="H280" s="1071"/>
      <c r="I280" s="1072"/>
    </row>
    <row r="281" spans="1:9">
      <c r="D281" s="527"/>
      <c r="E281" s="481"/>
      <c r="F281" s="481"/>
    </row>
    <row r="282" spans="1:9">
      <c r="C282" s="517"/>
      <c r="D282" s="1293" t="s">
        <v>1246</v>
      </c>
      <c r="E282" s="1293"/>
      <c r="F282" s="1293"/>
    </row>
    <row r="283" spans="1:9">
      <c r="C283" s="517"/>
      <c r="D283" s="1293"/>
      <c r="E283" s="1293"/>
      <c r="F283" s="1293"/>
    </row>
    <row r="284" spans="1:9">
      <c r="A284" s="518"/>
      <c r="B284" s="518"/>
      <c r="C284" s="518"/>
      <c r="D284" s="436"/>
    </row>
    <row r="285" spans="1:9">
      <c r="C285" s="518"/>
      <c r="D285" s="1290" t="s">
        <v>210</v>
      </c>
      <c r="E285" s="1290"/>
      <c r="F285" s="1290"/>
    </row>
    <row r="286" spans="1:9" ht="15.75" customHeight="1">
      <c r="A286" s="519"/>
      <c r="B286" s="519"/>
      <c r="D286" s="1342" t="s">
        <v>1247</v>
      </c>
      <c r="E286" s="1342"/>
      <c r="F286" s="1342"/>
    </row>
    <row r="287" spans="1:9">
      <c r="E287" s="481"/>
      <c r="F287" s="481"/>
    </row>
    <row r="288" spans="1:9" ht="14.25">
      <c r="A288" s="519"/>
      <c r="B288" s="520" t="s">
        <v>2775</v>
      </c>
      <c r="D288" s="1291" t="s">
        <v>1248</v>
      </c>
      <c r="E288" s="1291"/>
      <c r="F288" s="1291"/>
      <c r="I288" s="436" t="s">
        <v>2166</v>
      </c>
    </row>
    <row r="289" spans="1:9" ht="14.25">
      <c r="A289" s="519"/>
      <c r="B289" s="519"/>
      <c r="D289" s="1291"/>
      <c r="E289" s="1291"/>
      <c r="F289" s="1291"/>
    </row>
    <row r="290" spans="1:9">
      <c r="D290" s="481"/>
      <c r="E290" s="481"/>
      <c r="F290" s="481"/>
    </row>
    <row r="291" spans="1:9" ht="14.25">
      <c r="A291" s="519"/>
      <c r="B291" s="520" t="s">
        <v>2775</v>
      </c>
      <c r="D291" s="1291" t="s">
        <v>1249</v>
      </c>
      <c r="E291" s="1291"/>
      <c r="F291" s="1291"/>
      <c r="I291" s="436" t="s">
        <v>2166</v>
      </c>
    </row>
    <row r="292" spans="1:9" ht="14.25">
      <c r="A292" s="519"/>
      <c r="B292" s="519"/>
      <c r="D292" s="1291"/>
      <c r="E292" s="1291"/>
      <c r="F292" s="1291"/>
    </row>
    <row r="293" spans="1:9" ht="14.25">
      <c r="A293" s="519"/>
      <c r="B293" s="519"/>
      <c r="D293" s="1291"/>
      <c r="E293" s="1291"/>
      <c r="F293" s="1291"/>
    </row>
    <row r="294" spans="1:9">
      <c r="D294" s="481"/>
      <c r="E294" s="481"/>
      <c r="F294" s="481"/>
    </row>
    <row r="295" spans="1:9" ht="14.25">
      <c r="A295" s="519"/>
      <c r="B295" s="520" t="s">
        <v>2775</v>
      </c>
      <c r="D295" s="1291" t="s">
        <v>1250</v>
      </c>
      <c r="E295" s="1291"/>
      <c r="F295" s="1291"/>
      <c r="I295" s="436" t="s">
        <v>2166</v>
      </c>
    </row>
    <row r="296" spans="1:9" ht="14.25">
      <c r="A296" s="519"/>
      <c r="B296" s="519"/>
      <c r="D296" s="1291"/>
      <c r="E296" s="1291"/>
      <c r="F296" s="1291"/>
    </row>
    <row r="297" spans="1:9">
      <c r="A297" s="525"/>
      <c r="B297" s="525"/>
      <c r="E297" s="481"/>
      <c r="F297" s="481"/>
    </row>
    <row r="298" spans="1:9">
      <c r="A298" s="1279" t="s">
        <v>1114</v>
      </c>
      <c r="B298" s="1279"/>
      <c r="C298" s="1279"/>
      <c r="D298" s="1279"/>
      <c r="E298" s="1279"/>
      <c r="F298" s="1279"/>
      <c r="G298" s="1279"/>
      <c r="H298" s="1071"/>
      <c r="I298" s="1072"/>
    </row>
    <row r="299" spans="1:9">
      <c r="A299" s="525"/>
      <c r="B299" s="525"/>
      <c r="D299" s="481"/>
      <c r="E299" s="481"/>
      <c r="F299" s="481"/>
    </row>
    <row r="300" spans="1:9">
      <c r="C300" s="525"/>
      <c r="D300" s="1290" t="s">
        <v>691</v>
      </c>
      <c r="E300" s="1290"/>
      <c r="F300" s="1290"/>
    </row>
    <row r="301" spans="1:9">
      <c r="C301" s="525"/>
      <c r="D301" s="1292" t="s">
        <v>1251</v>
      </c>
      <c r="E301" s="1292"/>
      <c r="F301" s="1292"/>
    </row>
    <row r="302" spans="1:9">
      <c r="C302" s="525"/>
      <c r="D302" s="528"/>
    </row>
    <row r="303" spans="1:9">
      <c r="B303" s="520" t="s">
        <v>2775</v>
      </c>
      <c r="D303" s="1292" t="s">
        <v>1252</v>
      </c>
      <c r="E303" s="1292"/>
      <c r="F303" s="1292"/>
      <c r="I303" s="436" t="s">
        <v>2167</v>
      </c>
    </row>
    <row r="304" spans="1:9" ht="14.25">
      <c r="A304" s="519"/>
      <c r="B304" s="519"/>
      <c r="D304" s="529"/>
      <c r="E304" s="530"/>
      <c r="F304" s="530"/>
    </row>
    <row r="305" spans="1:9" ht="13.7" customHeight="1">
      <c r="B305" s="520" t="s">
        <v>2775</v>
      </c>
      <c r="D305" s="1345" t="s">
        <v>1363</v>
      </c>
      <c r="E305" s="1345"/>
      <c r="F305" s="1345"/>
      <c r="I305" s="436" t="s">
        <v>2167</v>
      </c>
    </row>
    <row r="306" spans="1:9" ht="14.25">
      <c r="A306" s="519"/>
      <c r="B306" s="519"/>
      <c r="D306" s="1345"/>
      <c r="E306" s="1345"/>
      <c r="F306" s="1345"/>
    </row>
    <row r="307" spans="1:9" ht="14.25">
      <c r="A307" s="519"/>
      <c r="B307" s="519"/>
      <c r="D307" s="1345"/>
      <c r="E307" s="1345"/>
      <c r="F307" s="1345"/>
    </row>
    <row r="308" spans="1:9" ht="14.25">
      <c r="A308" s="519"/>
      <c r="B308" s="519"/>
      <c r="D308" s="1345"/>
      <c r="E308" s="1345"/>
      <c r="F308" s="1345"/>
    </row>
    <row r="309" spans="1:9" ht="14.25">
      <c r="A309" s="519"/>
      <c r="B309" s="519"/>
      <c r="D309" s="1345"/>
      <c r="E309" s="1345"/>
      <c r="F309" s="1345"/>
    </row>
    <row r="310" spans="1:9" ht="14.25">
      <c r="A310" s="519"/>
      <c r="B310" s="519"/>
      <c r="D310" s="529"/>
      <c r="E310" s="530"/>
      <c r="F310" s="530"/>
    </row>
    <row r="311" spans="1:9" ht="13.7" customHeight="1">
      <c r="B311" s="520" t="s">
        <v>2775</v>
      </c>
      <c r="D311" s="1345" t="s">
        <v>1254</v>
      </c>
      <c r="E311" s="1345"/>
      <c r="F311" s="1345"/>
      <c r="I311" s="436" t="s">
        <v>2167</v>
      </c>
    </row>
    <row r="312" spans="1:9">
      <c r="D312" s="1345"/>
      <c r="E312" s="1345"/>
      <c r="F312" s="1345"/>
    </row>
    <row r="313" spans="1:9" ht="14.25">
      <c r="A313" s="519"/>
      <c r="B313" s="519"/>
      <c r="D313" s="529"/>
      <c r="E313" s="530"/>
      <c r="F313" s="530"/>
    </row>
    <row r="314" spans="1:9">
      <c r="B314" s="520" t="s">
        <v>2775</v>
      </c>
      <c r="D314" s="1292" t="s">
        <v>1255</v>
      </c>
      <c r="E314" s="1292"/>
      <c r="F314" s="1292"/>
      <c r="I314" s="436" t="s">
        <v>2153</v>
      </c>
    </row>
    <row r="315" spans="1:9">
      <c r="E315" s="481"/>
      <c r="F315" s="481"/>
    </row>
    <row r="316" spans="1:9" ht="14.25">
      <c r="A316" s="519"/>
      <c r="B316" s="520" t="s">
        <v>2775</v>
      </c>
      <c r="D316" s="1291" t="s">
        <v>2477</v>
      </c>
      <c r="E316" s="1291"/>
      <c r="F316" s="1291"/>
      <c r="I316" s="436" t="s">
        <v>2168</v>
      </c>
    </row>
    <row r="317" spans="1:9" ht="14.25">
      <c r="A317" s="519"/>
      <c r="B317" s="519"/>
      <c r="D317" s="1291"/>
      <c r="E317" s="1291"/>
      <c r="F317" s="1291"/>
    </row>
    <row r="318" spans="1:9" ht="14.25">
      <c r="A318" s="519"/>
      <c r="B318" s="519"/>
      <c r="D318" s="1291"/>
      <c r="E318" s="1291"/>
      <c r="F318" s="1291"/>
    </row>
    <row r="319" spans="1:9" ht="14.25">
      <c r="A319" s="519"/>
      <c r="B319" s="519"/>
      <c r="D319" s="1291"/>
      <c r="E319" s="1291"/>
      <c r="F319" s="1291"/>
    </row>
    <row r="320" spans="1:9" ht="14.25">
      <c r="A320" s="519"/>
      <c r="B320" s="519"/>
      <c r="D320" s="1291"/>
      <c r="E320" s="1291"/>
      <c r="F320" s="1291"/>
    </row>
    <row r="321" spans="1:9" ht="14.25">
      <c r="A321" s="519"/>
      <c r="B321" s="519"/>
      <c r="D321" s="1291"/>
      <c r="E321" s="1291"/>
      <c r="F321" s="1291"/>
    </row>
    <row r="322" spans="1:9" ht="14.25">
      <c r="A322" s="519"/>
      <c r="B322" s="519"/>
      <c r="D322" s="1291"/>
      <c r="E322" s="1291"/>
      <c r="F322" s="1291"/>
    </row>
    <row r="323" spans="1:9" ht="14.25">
      <c r="A323" s="519"/>
      <c r="B323" s="519"/>
      <c r="D323" s="1291"/>
      <c r="E323" s="1291"/>
      <c r="F323" s="1291"/>
    </row>
    <row r="324" spans="1:9" ht="14.25">
      <c r="A324" s="519"/>
      <c r="B324" s="519"/>
      <c r="D324" s="1291"/>
      <c r="E324" s="1291"/>
      <c r="F324" s="1291"/>
    </row>
    <row r="325" spans="1:9" ht="14.25">
      <c r="A325" s="519"/>
      <c r="B325" s="519"/>
      <c r="D325" s="1291"/>
      <c r="E325" s="1291"/>
      <c r="F325" s="1291"/>
    </row>
    <row r="326" spans="1:9" ht="14.25">
      <c r="A326" s="519"/>
      <c r="B326" s="519"/>
      <c r="D326" s="1291"/>
      <c r="E326" s="1291"/>
      <c r="F326" s="1291"/>
    </row>
    <row r="327" spans="1:9" ht="14.25">
      <c r="A327" s="519"/>
      <c r="B327" s="519"/>
      <c r="D327" s="1291"/>
      <c r="E327" s="1291"/>
      <c r="F327" s="1291"/>
    </row>
    <row r="328" spans="1:9" ht="14.25">
      <c r="A328" s="519"/>
      <c r="B328" s="519"/>
      <c r="D328" s="1291"/>
      <c r="E328" s="1291"/>
      <c r="F328" s="1291"/>
    </row>
    <row r="329" spans="1:9" ht="14.25">
      <c r="A329" s="519"/>
      <c r="B329" s="519"/>
      <c r="D329" s="1291"/>
      <c r="E329" s="1291"/>
      <c r="F329" s="1291"/>
    </row>
    <row r="330" spans="1:9" ht="14.25">
      <c r="A330" s="519"/>
      <c r="B330" s="519"/>
      <c r="D330" s="1291"/>
      <c r="E330" s="1291"/>
      <c r="F330" s="1291"/>
    </row>
    <row r="331" spans="1:9">
      <c r="D331" s="481"/>
      <c r="E331" s="481"/>
      <c r="F331" s="481"/>
    </row>
    <row r="332" spans="1:9" ht="14.25">
      <c r="A332" s="519"/>
      <c r="B332" s="520" t="s">
        <v>2775</v>
      </c>
      <c r="D332" s="1291" t="s">
        <v>1257</v>
      </c>
      <c r="E332" s="1291"/>
      <c r="F332" s="1291"/>
      <c r="I332" s="436" t="s">
        <v>2168</v>
      </c>
    </row>
    <row r="333" spans="1:9">
      <c r="D333" s="1291"/>
      <c r="E333" s="1291"/>
      <c r="F333" s="1291"/>
    </row>
    <row r="334" spans="1:9">
      <c r="D334" s="1291"/>
      <c r="E334" s="1291"/>
      <c r="F334" s="1291"/>
    </row>
    <row r="335" spans="1:9">
      <c r="D335" s="1291"/>
      <c r="E335" s="1291"/>
      <c r="F335" s="1291"/>
    </row>
    <row r="336" spans="1:9">
      <c r="D336" s="1291"/>
      <c r="E336" s="1291"/>
      <c r="F336" s="1291"/>
    </row>
    <row r="337" spans="1:9">
      <c r="D337" s="1291"/>
      <c r="E337" s="1291"/>
      <c r="F337" s="1291"/>
    </row>
    <row r="338" spans="1:9">
      <c r="D338" s="1291"/>
      <c r="E338" s="1291"/>
      <c r="F338" s="1291"/>
    </row>
    <row r="339" spans="1:9">
      <c r="D339" s="1291"/>
      <c r="E339" s="1291"/>
      <c r="F339" s="1291"/>
    </row>
    <row r="340" spans="1:9">
      <c r="D340" s="1291"/>
      <c r="E340" s="1291"/>
      <c r="F340" s="1291"/>
    </row>
    <row r="341" spans="1:9">
      <c r="D341" s="481"/>
      <c r="E341" s="481"/>
      <c r="F341" s="481"/>
    </row>
    <row r="342" spans="1:9" ht="14.25" customHeight="1">
      <c r="A342" s="519"/>
      <c r="B342" s="520" t="s">
        <v>2775</v>
      </c>
      <c r="D342" s="1291" t="s">
        <v>2286</v>
      </c>
      <c r="E342" s="1291"/>
      <c r="F342" s="1291"/>
      <c r="I342" s="436" t="s">
        <v>2205</v>
      </c>
    </row>
    <row r="343" spans="1:9">
      <c r="D343" s="1291"/>
      <c r="E343" s="1291"/>
      <c r="F343" s="1291"/>
    </row>
    <row r="344" spans="1:9">
      <c r="D344" s="1291"/>
      <c r="E344" s="1291"/>
      <c r="F344" s="1291"/>
    </row>
    <row r="345" spans="1:9">
      <c r="D345" s="1291"/>
      <c r="E345" s="1291"/>
      <c r="F345" s="1291"/>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4" t="s">
        <v>1019</v>
      </c>
      <c r="E349" s="1334"/>
      <c r="F349" s="1334"/>
      <c r="G349" s="1069"/>
      <c r="H349" s="1069"/>
      <c r="I349" s="1070"/>
    </row>
    <row r="350" spans="1:9" ht="13.5" thickTop="1">
      <c r="D350" s="1346" t="s">
        <v>1259</v>
      </c>
      <c r="E350" s="1346"/>
      <c r="F350" s="1346"/>
    </row>
    <row r="351" spans="1:9">
      <c r="D351" s="481"/>
      <c r="E351" s="481"/>
      <c r="F351" s="481"/>
    </row>
    <row r="352" spans="1:9">
      <c r="A352" s="511"/>
      <c r="B352" s="511"/>
      <c r="C352" s="511"/>
      <c r="D352" s="482"/>
      <c r="E352" s="482"/>
      <c r="F352" s="481"/>
      <c r="I352" s="436" t="s">
        <v>2169</v>
      </c>
    </row>
    <row r="353" spans="1:9" ht="14.25">
      <c r="A353" s="519"/>
      <c r="B353" s="520" t="s">
        <v>2775</v>
      </c>
      <c r="C353" s="522"/>
      <c r="D353" s="1292" t="s">
        <v>2284</v>
      </c>
      <c r="E353" s="1292"/>
      <c r="F353" s="1292"/>
      <c r="I353" s="1348" t="s">
        <v>2219</v>
      </c>
    </row>
    <row r="354" spans="1:9" ht="12.75" customHeight="1">
      <c r="D354" s="1081"/>
      <c r="E354" s="96" t="s">
        <v>2283</v>
      </c>
      <c r="F354" s="1081"/>
      <c r="I354" s="1349"/>
    </row>
    <row r="355" spans="1:9">
      <c r="D355" s="1291" t="s">
        <v>1387</v>
      </c>
      <c r="E355" s="1291"/>
      <c r="F355" s="1291"/>
      <c r="I355" s="1349"/>
    </row>
    <row r="356" spans="1:9">
      <c r="D356" s="1291"/>
      <c r="E356" s="1291"/>
      <c r="F356" s="1291"/>
      <c r="I356" s="1349"/>
    </row>
    <row r="357" spans="1:9">
      <c r="D357" s="1291"/>
      <c r="E357" s="1291"/>
      <c r="F357" s="1291"/>
      <c r="I357" s="1350"/>
    </row>
    <row r="358" spans="1:9" ht="14.25">
      <c r="A358" s="519"/>
      <c r="B358" s="520" t="s">
        <v>2775</v>
      </c>
      <c r="C358" s="511"/>
      <c r="D358" s="1277" t="s">
        <v>2458</v>
      </c>
      <c r="E358" s="1277"/>
      <c r="F358" s="1277"/>
      <c r="I358" s="434"/>
    </row>
    <row r="359" spans="1:9">
      <c r="A359" s="511"/>
      <c r="B359" s="511"/>
      <c r="C359" s="511"/>
      <c r="D359" s="482"/>
      <c r="E359" s="482"/>
      <c r="F359" s="481"/>
    </row>
    <row r="360" spans="1:9">
      <c r="A360" s="511"/>
      <c r="B360" s="520" t="s">
        <v>2775</v>
      </c>
      <c r="C360" s="511"/>
      <c r="D360" s="1273" t="s">
        <v>2459</v>
      </c>
      <c r="E360" s="1273"/>
      <c r="F360" s="1273"/>
    </row>
    <row r="361" spans="1:9">
      <c r="A361" s="511"/>
      <c r="B361" s="511"/>
      <c r="C361" s="511"/>
      <c r="D361" s="1273"/>
      <c r="E361" s="1273"/>
      <c r="F361" s="1273"/>
    </row>
    <row r="362" spans="1:9">
      <c r="A362" s="511"/>
      <c r="B362" s="511"/>
      <c r="C362" s="511"/>
      <c r="D362" s="1273"/>
      <c r="E362" s="1273"/>
      <c r="F362" s="1273"/>
    </row>
    <row r="363" spans="1:9">
      <c r="A363" s="511"/>
      <c r="B363" s="511"/>
      <c r="C363" s="511"/>
      <c r="D363" s="1273"/>
      <c r="E363" s="1273"/>
      <c r="F363" s="1273"/>
    </row>
    <row r="364" spans="1:9">
      <c r="A364" s="511"/>
      <c r="B364" s="511"/>
      <c r="C364" s="511"/>
      <c r="D364" s="1273"/>
      <c r="E364" s="1273"/>
      <c r="F364" s="1273"/>
    </row>
    <row r="365" spans="1:9">
      <c r="A365" s="511"/>
      <c r="B365" s="511"/>
      <c r="C365" s="511"/>
      <c r="D365" s="1273"/>
      <c r="E365" s="1273"/>
      <c r="F365" s="1273"/>
    </row>
    <row r="366" spans="1:9">
      <c r="A366" s="511"/>
      <c r="B366" s="511"/>
      <c r="C366" s="511"/>
      <c r="D366" s="1273"/>
      <c r="E366" s="1273"/>
      <c r="F366" s="1273"/>
    </row>
    <row r="367" spans="1:9">
      <c r="A367" s="511"/>
      <c r="B367" s="511"/>
      <c r="C367" s="511"/>
      <c r="D367" s="1273"/>
      <c r="E367" s="1273"/>
      <c r="F367" s="1273"/>
    </row>
    <row r="368" spans="1:9">
      <c r="A368" s="511"/>
      <c r="B368" s="511"/>
      <c r="C368" s="511"/>
      <c r="D368" s="1273"/>
      <c r="E368" s="1273"/>
      <c r="F368" s="1273"/>
    </row>
    <row r="369" spans="1:6">
      <c r="A369" s="511"/>
      <c r="B369" s="511"/>
      <c r="C369" s="511"/>
      <c r="D369" s="1273"/>
      <c r="E369" s="1273"/>
      <c r="F369" s="1273"/>
    </row>
    <row r="370" spans="1:6">
      <c r="A370" s="511"/>
      <c r="B370" s="511"/>
      <c r="C370" s="511"/>
      <c r="D370" s="1273"/>
      <c r="E370" s="1273"/>
      <c r="F370" s="1273"/>
    </row>
    <row r="371" spans="1:6">
      <c r="A371" s="511"/>
      <c r="B371" s="511"/>
      <c r="C371" s="511"/>
      <c r="D371" s="1273"/>
      <c r="E371" s="1273"/>
      <c r="F371" s="1273"/>
    </row>
    <row r="372" spans="1:6">
      <c r="A372" s="511"/>
      <c r="B372" s="511"/>
      <c r="C372" s="511"/>
      <c r="D372" s="486"/>
      <c r="E372" s="486"/>
      <c r="F372" s="486"/>
    </row>
    <row r="373" spans="1:6" ht="12.4" customHeight="1">
      <c r="A373" s="511"/>
      <c r="B373" s="520" t="s">
        <v>2775</v>
      </c>
      <c r="C373" s="511"/>
      <c r="D373" s="1321" t="s">
        <v>1366</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2775</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2775</v>
      </c>
      <c r="C385" s="511"/>
      <c r="D385" s="1273" t="s">
        <v>1262</v>
      </c>
      <c r="E385" s="1273"/>
      <c r="F385" s="1273"/>
    </row>
    <row r="386" spans="1:6">
      <c r="A386" s="511"/>
      <c r="B386" s="511"/>
      <c r="C386" s="511"/>
      <c r="D386" s="1273"/>
      <c r="E386" s="1273"/>
      <c r="F386" s="1273"/>
    </row>
    <row r="387" spans="1:6">
      <c r="A387" s="511"/>
      <c r="B387" s="511"/>
      <c r="C387" s="511"/>
      <c r="D387" s="1273"/>
      <c r="E387" s="1273"/>
      <c r="F387" s="1273"/>
    </row>
    <row r="388" spans="1:6">
      <c r="A388" s="511"/>
      <c r="B388" s="511"/>
      <c r="C388" s="511"/>
      <c r="D388" s="1273"/>
      <c r="E388" s="1273"/>
      <c r="F388" s="1273"/>
    </row>
    <row r="389" spans="1:6">
      <c r="A389" s="511"/>
      <c r="B389" s="511"/>
      <c r="C389" s="511"/>
      <c r="D389" s="482"/>
      <c r="E389" s="482"/>
      <c r="F389" s="481"/>
    </row>
    <row r="390" spans="1:6">
      <c r="A390" s="511"/>
      <c r="B390" s="511"/>
      <c r="C390" s="511"/>
      <c r="D390" s="1273" t="s">
        <v>1263</v>
      </c>
      <c r="E390" s="1273"/>
      <c r="F390" s="1273"/>
    </row>
    <row r="391" spans="1:6">
      <c r="A391" s="511"/>
      <c r="B391" s="511"/>
      <c r="C391" s="511"/>
      <c r="D391" s="1273"/>
      <c r="E391" s="1273"/>
      <c r="F391" s="1273"/>
    </row>
    <row r="392" spans="1:6">
      <c r="A392" s="511"/>
      <c r="B392" s="511"/>
      <c r="C392" s="511"/>
      <c r="D392" s="1273"/>
      <c r="E392" s="1273"/>
      <c r="F392" s="1273"/>
    </row>
    <row r="393" spans="1:6">
      <c r="A393" s="511"/>
      <c r="B393" s="511"/>
      <c r="C393" s="511"/>
      <c r="D393" s="1273"/>
      <c r="E393" s="1273"/>
      <c r="F393" s="1273"/>
    </row>
    <row r="394" spans="1:6" ht="18" customHeight="1">
      <c r="A394" s="511"/>
      <c r="B394" s="511"/>
      <c r="C394" s="511"/>
      <c r="D394" s="1273"/>
      <c r="E394" s="1273"/>
      <c r="F394" s="1273"/>
    </row>
    <row r="395" spans="1:6">
      <c r="A395" s="511"/>
      <c r="B395" s="511"/>
      <c r="C395" s="511"/>
      <c r="D395" s="1273"/>
      <c r="E395" s="1273"/>
      <c r="F395" s="1273"/>
    </row>
    <row r="396" spans="1:6">
      <c r="A396" s="511"/>
      <c r="B396" s="511"/>
      <c r="C396" s="511"/>
      <c r="D396" s="1273"/>
      <c r="E396" s="1273"/>
      <c r="F396" s="1273"/>
    </row>
    <row r="397" spans="1:6">
      <c r="A397" s="511"/>
      <c r="B397" s="511"/>
      <c r="C397" s="511"/>
      <c r="D397" s="1273"/>
      <c r="E397" s="1273"/>
      <c r="F397" s="1273"/>
    </row>
    <row r="398" spans="1:6" ht="8.25" customHeight="1">
      <c r="A398" s="511"/>
      <c r="B398" s="511"/>
      <c r="C398" s="511"/>
      <c r="D398" s="1273"/>
      <c r="E398" s="1273"/>
      <c r="F398" s="1273"/>
    </row>
    <row r="399" spans="1:6" ht="13.7" customHeight="1">
      <c r="A399" s="511"/>
      <c r="B399" s="511"/>
      <c r="C399" s="511"/>
      <c r="D399" s="1273" t="s">
        <v>1264</v>
      </c>
      <c r="E399" s="1273"/>
      <c r="F399" s="1273"/>
    </row>
    <row r="400" spans="1:6">
      <c r="A400" s="511"/>
      <c r="B400" s="511"/>
      <c r="C400" s="511"/>
      <c r="D400" s="1273"/>
      <c r="E400" s="1273"/>
      <c r="F400" s="1273"/>
    </row>
    <row r="401" spans="1:6">
      <c r="A401" s="511"/>
      <c r="B401" s="511"/>
      <c r="C401" s="511"/>
      <c r="D401" s="1273"/>
      <c r="E401" s="1273"/>
      <c r="F401" s="1273"/>
    </row>
    <row r="402" spans="1:6">
      <c r="A402" s="511"/>
      <c r="B402" s="511"/>
      <c r="C402" s="511"/>
      <c r="D402" s="1273"/>
      <c r="E402" s="1273"/>
      <c r="F402" s="1273"/>
    </row>
    <row r="403" spans="1:6">
      <c r="A403" s="511"/>
      <c r="B403" s="511"/>
      <c r="C403" s="511"/>
      <c r="D403" s="1273"/>
      <c r="E403" s="1273"/>
      <c r="F403" s="1273"/>
    </row>
    <row r="404" spans="1:6">
      <c r="A404" s="511"/>
      <c r="B404" s="511"/>
      <c r="C404" s="511"/>
      <c r="D404" s="1273"/>
      <c r="E404" s="1273"/>
      <c r="F404" s="1273"/>
    </row>
    <row r="405" spans="1:6">
      <c r="A405" s="511"/>
      <c r="B405" s="511"/>
      <c r="C405" s="511"/>
      <c r="D405" s="1273"/>
      <c r="E405" s="1273"/>
      <c r="F405" s="1273"/>
    </row>
    <row r="406" spans="1:6">
      <c r="A406" s="511"/>
      <c r="B406" s="511"/>
      <c r="C406" s="511"/>
      <c r="D406" s="1273"/>
      <c r="E406" s="1273"/>
      <c r="F406" s="1273"/>
    </row>
    <row r="407" spans="1:6">
      <c r="A407" s="511"/>
      <c r="B407" s="511"/>
      <c r="C407" s="511"/>
      <c r="D407" s="1273"/>
      <c r="E407" s="1273"/>
      <c r="F407" s="1273"/>
    </row>
    <row r="408" spans="1:6">
      <c r="A408" s="511"/>
      <c r="B408" s="511"/>
      <c r="C408" s="511"/>
      <c r="D408" s="1273"/>
      <c r="E408" s="1273"/>
      <c r="F408" s="1273"/>
    </row>
    <row r="409" spans="1:6">
      <c r="A409" s="511"/>
      <c r="B409" s="511"/>
      <c r="C409" s="511"/>
      <c r="D409" s="1273"/>
      <c r="E409" s="1273"/>
      <c r="F409" s="1273"/>
    </row>
    <row r="410" spans="1:6">
      <c r="A410" s="511"/>
      <c r="B410" s="511"/>
      <c r="C410" s="511"/>
      <c r="D410" s="1273"/>
      <c r="E410" s="1273"/>
      <c r="F410" s="1273"/>
    </row>
    <row r="411" spans="1:6">
      <c r="A411" s="511"/>
      <c r="B411" s="511"/>
      <c r="C411" s="531"/>
      <c r="D411" s="1273"/>
      <c r="E411" s="1273"/>
      <c r="F411" s="1273"/>
    </row>
    <row r="412" spans="1:6">
      <c r="A412" s="511"/>
      <c r="B412" s="511"/>
      <c r="C412" s="531"/>
      <c r="D412" s="1273"/>
      <c r="E412" s="1273"/>
      <c r="F412" s="1273"/>
    </row>
    <row r="413" spans="1:6">
      <c r="A413" s="511"/>
      <c r="B413" s="511"/>
      <c r="C413" s="511"/>
      <c r="D413" s="1273"/>
      <c r="E413" s="1273"/>
      <c r="F413" s="1273"/>
    </row>
    <row r="414" spans="1:6">
      <c r="A414" s="511"/>
      <c r="B414" s="511"/>
      <c r="C414" s="531"/>
      <c r="D414" s="1273"/>
      <c r="E414" s="1273"/>
      <c r="F414" s="1273"/>
    </row>
    <row r="415" spans="1:6">
      <c r="A415" s="511"/>
      <c r="B415" s="511"/>
      <c r="C415" s="531"/>
      <c r="D415" s="1273"/>
      <c r="E415" s="1273"/>
      <c r="F415" s="1273"/>
    </row>
    <row r="416" spans="1:6">
      <c r="A416" s="511"/>
      <c r="B416" s="511"/>
      <c r="C416" s="531"/>
      <c r="D416" s="1273"/>
      <c r="E416" s="1273"/>
      <c r="F416" s="1273"/>
    </row>
    <row r="417" spans="1:6">
      <c r="A417" s="511"/>
      <c r="B417" s="511"/>
      <c r="C417" s="511"/>
      <c r="D417" s="482"/>
      <c r="E417" s="482"/>
      <c r="F417" s="481"/>
    </row>
    <row r="418" spans="1:6">
      <c r="A418" s="511"/>
      <c r="B418" s="520" t="s">
        <v>2775</v>
      </c>
      <c r="C418" s="511"/>
      <c r="D418" s="1273" t="s">
        <v>1265</v>
      </c>
      <c r="E418" s="1273"/>
      <c r="F418" s="1273"/>
    </row>
    <row r="419" spans="1:6">
      <c r="A419" s="511"/>
      <c r="B419" s="511"/>
      <c r="C419" s="511"/>
      <c r="D419" s="1273"/>
      <c r="E419" s="1273"/>
      <c r="F419" s="1273"/>
    </row>
    <row r="420" spans="1:6">
      <c r="A420" s="511"/>
      <c r="B420" s="511"/>
      <c r="C420" s="511"/>
      <c r="D420" s="486"/>
      <c r="E420" s="486"/>
      <c r="F420" s="486"/>
    </row>
    <row r="421" spans="1:6" ht="14.45" customHeight="1">
      <c r="A421" s="519"/>
      <c r="B421" s="520" t="s">
        <v>2775</v>
      </c>
      <c r="D421" s="1273" t="s">
        <v>2206</v>
      </c>
      <c r="E421" s="1273"/>
      <c r="F421" s="1273"/>
    </row>
    <row r="422" spans="1:6" ht="14.45" customHeight="1">
      <c r="A422" s="519"/>
      <c r="D422" s="1273"/>
      <c r="E422" s="1273"/>
      <c r="F422" s="1273"/>
    </row>
    <row r="423" spans="1:6" ht="14.45" customHeight="1">
      <c r="A423" s="519"/>
      <c r="D423" s="1273"/>
      <c r="E423" s="1273"/>
      <c r="F423" s="1273"/>
    </row>
    <row r="424" spans="1:6" ht="14.45" customHeight="1">
      <c r="A424" s="519"/>
      <c r="D424" s="1273"/>
      <c r="E424" s="1273"/>
      <c r="F424" s="1273"/>
    </row>
    <row r="425" spans="1:6" ht="14.45" customHeight="1">
      <c r="A425" s="519"/>
      <c r="D425" s="1273"/>
      <c r="E425" s="1273"/>
      <c r="F425" s="1273"/>
    </row>
    <row r="426" spans="1:6" ht="14.45" customHeight="1">
      <c r="A426" s="519"/>
      <c r="D426" s="417"/>
      <c r="E426" s="417"/>
      <c r="F426" s="417"/>
    </row>
    <row r="427" spans="1:6" ht="13.7" customHeight="1">
      <c r="A427" s="519"/>
      <c r="B427" s="520" t="s">
        <v>2775</v>
      </c>
      <c r="C427" s="511"/>
      <c r="D427" s="1273" t="s">
        <v>1389</v>
      </c>
      <c r="E427" s="1273"/>
      <c r="F427" s="1273"/>
    </row>
    <row r="428" spans="1:6" ht="14.25">
      <c r="A428" s="532"/>
      <c r="B428" s="532"/>
      <c r="C428" s="511"/>
      <c r="D428" s="1273"/>
      <c r="E428" s="1273"/>
      <c r="F428" s="1273"/>
    </row>
    <row r="429" spans="1:6" ht="14.25">
      <c r="A429" s="532"/>
      <c r="B429" s="532"/>
      <c r="C429" s="511"/>
      <c r="D429" s="1273"/>
      <c r="E429" s="1273"/>
      <c r="F429" s="1273"/>
    </row>
    <row r="430" spans="1:6" ht="14.25">
      <c r="A430" s="532"/>
      <c r="B430" s="532"/>
      <c r="C430" s="511"/>
      <c r="D430" s="1273"/>
      <c r="E430" s="1273"/>
      <c r="F430" s="1273"/>
    </row>
    <row r="431" spans="1:6" ht="15.75" customHeight="1">
      <c r="A431" s="532"/>
      <c r="B431" s="532"/>
      <c r="C431" s="511"/>
      <c r="D431" s="1347" t="s">
        <v>2478</v>
      </c>
      <c r="E431" s="1273"/>
      <c r="F431" s="1273"/>
    </row>
    <row r="432" spans="1:6">
      <c r="D432" s="481"/>
      <c r="E432" s="481"/>
      <c r="F432" s="481"/>
    </row>
    <row r="433" spans="1:6" ht="14.25">
      <c r="A433" s="519"/>
      <c r="B433" s="520" t="s">
        <v>2775</v>
      </c>
      <c r="C433" s="522"/>
      <c r="D433" s="1291" t="s">
        <v>2460</v>
      </c>
      <c r="E433" s="1291"/>
      <c r="F433" s="1291"/>
    </row>
    <row r="434" spans="1:6" ht="14.25">
      <c r="A434" s="519"/>
      <c r="B434" s="519"/>
      <c r="D434" s="1291"/>
      <c r="E434" s="1291"/>
      <c r="F434" s="1291"/>
    </row>
    <row r="435" spans="1:6">
      <c r="D435" s="1291"/>
      <c r="E435" s="1291"/>
      <c r="F435" s="1291"/>
    </row>
    <row r="436" spans="1:6">
      <c r="D436" s="1291"/>
      <c r="E436" s="1291"/>
      <c r="F436" s="1291"/>
    </row>
    <row r="437" spans="1:6">
      <c r="D437" s="1291"/>
      <c r="E437" s="1291"/>
      <c r="F437" s="1291"/>
    </row>
    <row r="438" spans="1:6">
      <c r="D438" s="1291"/>
      <c r="E438" s="1291"/>
      <c r="F438" s="1291"/>
    </row>
    <row r="439" spans="1:6">
      <c r="D439" s="1291"/>
      <c r="E439" s="1291"/>
      <c r="F439" s="1291"/>
    </row>
    <row r="440" spans="1:6">
      <c r="D440" s="1291"/>
      <c r="E440" s="1291"/>
      <c r="F440" s="1291"/>
    </row>
    <row r="441" spans="1:6">
      <c r="D441" s="1291"/>
      <c r="E441" s="1291"/>
      <c r="F441" s="1291"/>
    </row>
    <row r="442" spans="1:6">
      <c r="D442" s="1291"/>
      <c r="E442" s="1291"/>
      <c r="F442" s="1291"/>
    </row>
    <row r="443" spans="1:6">
      <c r="D443" s="1291"/>
      <c r="E443" s="1291"/>
      <c r="F443" s="1291"/>
    </row>
    <row r="444" spans="1:6">
      <c r="D444" s="1291"/>
      <c r="E444" s="1291"/>
      <c r="F444" s="1291"/>
    </row>
    <row r="445" spans="1:6">
      <c r="D445" s="1291"/>
      <c r="E445" s="1291"/>
      <c r="F445" s="1291"/>
    </row>
    <row r="446" spans="1:6">
      <c r="A446" s="434"/>
      <c r="B446" s="434"/>
      <c r="C446" s="434"/>
      <c r="D446" s="1291"/>
      <c r="E446" s="1291"/>
      <c r="F446" s="1291"/>
    </row>
    <row r="447" spans="1:6">
      <c r="A447" s="434"/>
      <c r="B447" s="434"/>
      <c r="C447" s="434"/>
      <c r="D447" s="1291"/>
      <c r="E447" s="1291"/>
      <c r="F447" s="1291"/>
    </row>
    <row r="448" spans="1:6">
      <c r="A448" s="434"/>
      <c r="B448" s="434"/>
      <c r="C448" s="434"/>
      <c r="D448" s="1291"/>
      <c r="E448" s="1291"/>
      <c r="F448" s="1291"/>
    </row>
    <row r="449" spans="1:6">
      <c r="A449" s="434"/>
      <c r="B449" s="434"/>
      <c r="C449" s="434"/>
      <c r="D449" s="1291"/>
      <c r="E449" s="1291"/>
      <c r="F449" s="1291"/>
    </row>
    <row r="450" spans="1:6">
      <c r="A450" s="434"/>
      <c r="B450" s="434"/>
      <c r="C450" s="434"/>
      <c r="D450" s="1291"/>
      <c r="E450" s="1291"/>
      <c r="F450" s="1291"/>
    </row>
    <row r="451" spans="1:6">
      <c r="A451" s="434"/>
      <c r="B451" s="434"/>
      <c r="C451" s="434"/>
      <c r="D451" s="1291"/>
      <c r="E451" s="1291"/>
      <c r="F451" s="1291"/>
    </row>
    <row r="452" spans="1:6">
      <c r="A452" s="434"/>
      <c r="B452" s="434"/>
      <c r="C452" s="434"/>
      <c r="D452" s="1291"/>
      <c r="E452" s="1291"/>
      <c r="F452" s="1291"/>
    </row>
    <row r="453" spans="1:6">
      <c r="A453" s="434"/>
      <c r="B453" s="434"/>
      <c r="C453" s="434"/>
      <c r="D453" s="1291"/>
      <c r="E453" s="1291"/>
      <c r="F453" s="1291"/>
    </row>
    <row r="454" spans="1:6">
      <c r="A454" s="434"/>
      <c r="B454" s="434"/>
      <c r="C454" s="434"/>
      <c r="D454" s="1291"/>
      <c r="E454" s="1291"/>
      <c r="F454" s="1291"/>
    </row>
    <row r="455" spans="1:6">
      <c r="A455" s="434"/>
      <c r="B455" s="434"/>
      <c r="C455" s="434"/>
      <c r="D455" s="1291"/>
      <c r="E455" s="1291"/>
      <c r="F455" s="1291"/>
    </row>
    <row r="456" spans="1:6">
      <c r="A456" s="434"/>
      <c r="B456" s="434"/>
      <c r="C456" s="434"/>
      <c r="D456" s="1291"/>
      <c r="E456" s="1291"/>
      <c r="F456" s="1291"/>
    </row>
    <row r="457" spans="1:6">
      <c r="A457" s="434"/>
      <c r="B457" s="434"/>
      <c r="C457" s="434"/>
      <c r="D457" s="1291"/>
      <c r="E457" s="1291"/>
      <c r="F457" s="1291"/>
    </row>
    <row r="458" spans="1:6">
      <c r="A458" s="434"/>
      <c r="B458" s="434"/>
      <c r="C458" s="434"/>
      <c r="D458" s="1291"/>
      <c r="E458" s="1291"/>
      <c r="F458" s="1291"/>
    </row>
    <row r="459" spans="1:6">
      <c r="A459" s="434"/>
      <c r="B459" s="434"/>
      <c r="C459" s="434"/>
      <c r="D459" s="1291"/>
      <c r="E459" s="1291"/>
      <c r="F459" s="1291"/>
    </row>
    <row r="460" spans="1:6">
      <c r="A460" s="434"/>
      <c r="B460" s="434"/>
      <c r="C460" s="434"/>
      <c r="D460" s="1291"/>
      <c r="E460" s="1291"/>
      <c r="F460" s="1291"/>
    </row>
    <row r="461" spans="1:6">
      <c r="A461" s="434"/>
      <c r="B461" s="434"/>
      <c r="C461" s="434"/>
      <c r="D461" s="1291"/>
      <c r="E461" s="1291"/>
      <c r="F461" s="1291"/>
    </row>
    <row r="462" spans="1:6">
      <c r="D462" s="1291"/>
      <c r="E462" s="1291"/>
      <c r="F462" s="1291"/>
    </row>
    <row r="463" spans="1:6" ht="40.700000000000003" customHeight="1">
      <c r="D463" s="1291"/>
      <c r="E463" s="1291"/>
      <c r="F463" s="1291"/>
    </row>
    <row r="464" spans="1:6">
      <c r="D464" s="481"/>
      <c r="E464" s="481"/>
      <c r="F464" s="481"/>
    </row>
    <row r="465" spans="1:6" ht="14.25">
      <c r="A465" s="519"/>
      <c r="B465" s="520" t="s">
        <v>2775</v>
      </c>
      <c r="C465" s="522"/>
      <c r="D465" s="1291" t="s">
        <v>1270</v>
      </c>
      <c r="E465" s="1291"/>
      <c r="F465" s="1291"/>
    </row>
    <row r="466" spans="1:6">
      <c r="D466" s="1291"/>
      <c r="E466" s="1291"/>
      <c r="F466" s="1291"/>
    </row>
    <row r="467" spans="1:6">
      <c r="D467" s="1291"/>
      <c r="E467" s="1291"/>
      <c r="F467" s="1291"/>
    </row>
    <row r="468" spans="1:6">
      <c r="D468" s="480"/>
      <c r="E468" s="480"/>
      <c r="F468" s="480"/>
    </row>
    <row r="469" spans="1:6" ht="14.25">
      <c r="B469" s="520" t="s">
        <v>2775</v>
      </c>
      <c r="C469" s="519"/>
      <c r="D469" s="1291" t="s">
        <v>1340</v>
      </c>
      <c r="E469" s="1291"/>
      <c r="F469" s="1291"/>
    </row>
    <row r="470" spans="1:6">
      <c r="D470" s="1291"/>
      <c r="E470" s="1291"/>
      <c r="F470" s="1291"/>
    </row>
    <row r="471" spans="1:6">
      <c r="D471" s="481"/>
      <c r="E471" s="481"/>
      <c r="F471" s="481"/>
    </row>
    <row r="472" spans="1:6" ht="14.25">
      <c r="B472" s="520" t="s">
        <v>2775</v>
      </c>
      <c r="C472" s="519"/>
      <c r="D472" s="1291" t="s">
        <v>1272</v>
      </c>
      <c r="E472" s="1291"/>
      <c r="F472" s="1291"/>
    </row>
    <row r="473" spans="1:6">
      <c r="D473" s="1291"/>
      <c r="E473" s="1291"/>
      <c r="F473" s="1291"/>
    </row>
    <row r="474" spans="1:6">
      <c r="D474" s="1291"/>
      <c r="E474" s="1291"/>
      <c r="F474" s="1291"/>
    </row>
    <row r="475" spans="1:6">
      <c r="D475" s="1291"/>
      <c r="E475" s="1291"/>
      <c r="F475" s="1291"/>
    </row>
    <row r="476" spans="1:6">
      <c r="B476" s="520" t="s">
        <v>2775</v>
      </c>
      <c r="D476" s="1291"/>
      <c r="E476" s="1291"/>
      <c r="F476" s="1291"/>
    </row>
    <row r="477" spans="1:6">
      <c r="A477" s="434"/>
      <c r="B477" s="434"/>
      <c r="C477" s="434"/>
      <c r="D477" s="1291"/>
      <c r="E477" s="1291"/>
      <c r="F477" s="1291"/>
    </row>
    <row r="478" spans="1:6">
      <c r="A478" s="434"/>
      <c r="C478" s="434"/>
      <c r="D478" s="1291"/>
      <c r="E478" s="1291"/>
      <c r="F478" s="1291"/>
    </row>
    <row r="479" spans="1:6">
      <c r="A479" s="434"/>
      <c r="B479" s="520" t="s">
        <v>2775</v>
      </c>
      <c r="C479" s="434"/>
      <c r="D479" s="1291"/>
      <c r="E479" s="1291"/>
      <c r="F479" s="1291"/>
    </row>
    <row r="480" spans="1:6">
      <c r="A480" s="434"/>
      <c r="B480" s="434"/>
      <c r="C480" s="434"/>
      <c r="D480" s="1291"/>
      <c r="E480" s="1291"/>
      <c r="F480" s="1291"/>
    </row>
    <row r="481" spans="1:9">
      <c r="A481" s="434"/>
      <c r="C481" s="434"/>
      <c r="D481" s="1291"/>
      <c r="E481" s="1291"/>
      <c r="F481" s="1291"/>
    </row>
    <row r="482" spans="1:9">
      <c r="A482" s="434"/>
      <c r="C482" s="434"/>
      <c r="D482" s="1291"/>
      <c r="E482" s="1291"/>
      <c r="F482" s="1291"/>
    </row>
    <row r="483" spans="1:9">
      <c r="A483" s="434"/>
      <c r="C483" s="434"/>
      <c r="D483" s="1291"/>
      <c r="E483" s="1291"/>
      <c r="F483" s="1291"/>
    </row>
    <row r="484" spans="1:9">
      <c r="A484" s="434"/>
      <c r="B484" s="520" t="s">
        <v>2775</v>
      </c>
      <c r="C484" s="434"/>
      <c r="D484" s="1291"/>
      <c r="E484" s="1291"/>
      <c r="F484" s="1291"/>
    </row>
    <row r="485" spans="1:9">
      <c r="A485" s="434"/>
      <c r="C485" s="434"/>
      <c r="D485" s="1291"/>
      <c r="E485" s="1291"/>
      <c r="F485" s="1291"/>
    </row>
    <row r="486" spans="1:9">
      <c r="A486" s="434"/>
      <c r="B486" s="520" t="s">
        <v>2775</v>
      </c>
      <c r="C486" s="434"/>
      <c r="D486" s="1291" t="s">
        <v>1273</v>
      </c>
      <c r="E486" s="1291"/>
      <c r="F486" s="1291"/>
    </row>
    <row r="487" spans="1:9">
      <c r="A487" s="434"/>
      <c r="B487" s="434"/>
      <c r="C487" s="434"/>
      <c r="D487" s="1291"/>
      <c r="E487" s="1291"/>
      <c r="F487" s="1291"/>
    </row>
    <row r="488" spans="1:9">
      <c r="A488" s="434"/>
      <c r="B488" s="434"/>
      <c r="C488" s="434"/>
      <c r="D488" s="1291"/>
      <c r="E488" s="1291"/>
      <c r="F488" s="1291"/>
    </row>
    <row r="489" spans="1:9">
      <c r="A489" s="434"/>
      <c r="B489" s="434"/>
      <c r="C489" s="434"/>
      <c r="D489" s="1291"/>
      <c r="E489" s="1291"/>
      <c r="F489" s="1291"/>
    </row>
    <row r="490" spans="1:9">
      <c r="D490" s="1291"/>
      <c r="E490" s="1291"/>
      <c r="F490" s="1291"/>
    </row>
    <row r="491" spans="1:9">
      <c r="D491" s="481"/>
      <c r="E491" s="481"/>
      <c r="F491" s="481"/>
    </row>
    <row r="492" spans="1:9">
      <c r="B492" s="520" t="s">
        <v>2775</v>
      </c>
      <c r="D492" s="1292" t="s">
        <v>1274</v>
      </c>
      <c r="E492" s="1292"/>
      <c r="F492" s="1292"/>
    </row>
    <row r="493" spans="1:9">
      <c r="A493" s="481"/>
      <c r="B493" s="481"/>
    </row>
    <row r="494" spans="1:9">
      <c r="A494" s="1279" t="s">
        <v>1115</v>
      </c>
      <c r="B494" s="1279"/>
      <c r="C494" s="1279"/>
      <c r="D494" s="1279"/>
      <c r="E494" s="1279"/>
      <c r="F494" s="1279"/>
      <c r="G494" s="1279"/>
      <c r="H494" s="1071"/>
      <c r="I494" s="1072"/>
    </row>
    <row r="495" spans="1:9">
      <c r="A495" s="481"/>
      <c r="B495" s="481"/>
    </row>
    <row r="496" spans="1:9">
      <c r="D496" s="1276" t="s">
        <v>912</v>
      </c>
      <c r="E496" s="1276"/>
      <c r="F496" s="1276"/>
    </row>
    <row r="497" spans="1:9" ht="14.25">
      <c r="A497" s="519"/>
      <c r="B497" s="519"/>
      <c r="D497" s="1277" t="s">
        <v>1275</v>
      </c>
      <c r="E497" s="1277"/>
      <c r="F497" s="1277"/>
    </row>
    <row r="498" spans="1:9" ht="14.25">
      <c r="A498" s="519"/>
      <c r="B498" s="519"/>
      <c r="D498" s="482"/>
    </row>
    <row r="499" spans="1:9" ht="14.25">
      <c r="A499" s="519"/>
      <c r="B499" s="520" t="s">
        <v>2775</v>
      </c>
      <c r="D499" s="1273" t="s">
        <v>1276</v>
      </c>
      <c r="E499" s="1273"/>
      <c r="F499" s="1273"/>
      <c r="I499" s="436" t="s">
        <v>2170</v>
      </c>
    </row>
    <row r="500" spans="1:9" ht="14.25">
      <c r="A500" s="519"/>
      <c r="B500" s="519"/>
      <c r="D500" s="1273"/>
      <c r="E500" s="1273"/>
      <c r="F500" s="1273"/>
    </row>
    <row r="501" spans="1:9" ht="14.25">
      <c r="A501" s="519"/>
      <c r="B501" s="519"/>
      <c r="D501" s="481"/>
    </row>
    <row r="502" spans="1:9" ht="12.75" customHeight="1">
      <c r="B502" s="520" t="s">
        <v>2775</v>
      </c>
      <c r="D502" s="1278" t="s">
        <v>1433</v>
      </c>
      <c r="E502" s="1278"/>
      <c r="F502" s="1278"/>
      <c r="I502" s="436" t="s">
        <v>2171</v>
      </c>
    </row>
    <row r="503" spans="1:9" ht="14.25">
      <c r="A503" s="519"/>
      <c r="D503" s="1278"/>
      <c r="E503" s="1278"/>
      <c r="F503" s="1278"/>
    </row>
    <row r="504" spans="1:9" ht="14.25">
      <c r="A504" s="519"/>
      <c r="B504" s="519"/>
      <c r="D504" s="1278"/>
      <c r="E504" s="1278"/>
      <c r="F504" s="1278"/>
    </row>
    <row r="505" spans="1:9" ht="14.25">
      <c r="A505" s="519"/>
      <c r="B505" s="519"/>
      <c r="D505" s="1278"/>
      <c r="E505" s="1278"/>
      <c r="F505" s="1278"/>
    </row>
    <row r="506" spans="1:9" ht="14.25">
      <c r="A506" s="519"/>
      <c r="D506" s="555"/>
      <c r="E506" s="555"/>
      <c r="F506" s="555"/>
    </row>
    <row r="507" spans="1:9" ht="14.25">
      <c r="A507" s="519"/>
      <c r="B507" s="520" t="s">
        <v>2775</v>
      </c>
      <c r="D507" s="1292" t="s">
        <v>1279</v>
      </c>
      <c r="E507" s="1292"/>
      <c r="F507" s="1292"/>
      <c r="I507" s="436" t="s">
        <v>2172</v>
      </c>
    </row>
    <row r="508" spans="1:9" ht="14.25">
      <c r="A508" s="519"/>
      <c r="B508" s="519"/>
      <c r="D508" s="481"/>
    </row>
    <row r="509" spans="1:9" ht="14.25">
      <c r="A509" s="519"/>
      <c r="B509" s="520" t="s">
        <v>2775</v>
      </c>
      <c r="D509" s="1291" t="s">
        <v>1280</v>
      </c>
      <c r="E509" s="1291"/>
      <c r="F509" s="1291"/>
      <c r="I509" s="436" t="s">
        <v>2172</v>
      </c>
    </row>
    <row r="510" spans="1:9" ht="14.25">
      <c r="A510" s="519"/>
      <c r="D510" s="1291"/>
      <c r="E510" s="1291"/>
      <c r="F510" s="1291"/>
    </row>
    <row r="511" spans="1:9">
      <c r="A511" s="525"/>
      <c r="B511" s="525"/>
      <c r="D511" s="482"/>
    </row>
    <row r="512" spans="1:9">
      <c r="A512" s="525"/>
      <c r="B512" s="520" t="s">
        <v>2775</v>
      </c>
      <c r="D512" s="1292" t="s">
        <v>1281</v>
      </c>
      <c r="E512" s="1292"/>
      <c r="F512" s="1292"/>
      <c r="I512" s="436" t="s">
        <v>2225</v>
      </c>
    </row>
    <row r="513" spans="1:9" ht="14.25">
      <c r="A513" s="519"/>
      <c r="B513" s="519"/>
      <c r="D513" s="481"/>
    </row>
    <row r="514" spans="1:9">
      <c r="A514" s="1279" t="s">
        <v>1116</v>
      </c>
      <c r="B514" s="1279"/>
      <c r="C514" s="1279"/>
      <c r="D514" s="1279"/>
      <c r="E514" s="1279"/>
      <c r="F514" s="1279"/>
      <c r="G514" s="1279"/>
      <c r="H514" s="1071"/>
      <c r="I514" s="1072"/>
    </row>
    <row r="515" spans="1:9" ht="12" customHeight="1">
      <c r="A515" s="519"/>
      <c r="B515" s="519"/>
      <c r="D515" s="481"/>
    </row>
    <row r="516" spans="1:9">
      <c r="C516" s="517"/>
      <c r="D516" s="1290" t="s">
        <v>817</v>
      </c>
      <c r="E516" s="1290"/>
      <c r="F516" s="1290"/>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2774</v>
      </c>
      <c r="C520" s="518"/>
      <c r="D520" s="1273" t="s">
        <v>2461</v>
      </c>
      <c r="E520" s="1273"/>
      <c r="F520" s="1273"/>
      <c r="I520" s="436" t="s">
        <v>2207</v>
      </c>
    </row>
    <row r="521" spans="1:9">
      <c r="A521" s="518"/>
      <c r="B521" s="518"/>
      <c r="C521" s="518"/>
      <c r="D521" s="1273"/>
      <c r="E521" s="1273"/>
      <c r="F521" s="1273"/>
    </row>
    <row r="522" spans="1:9">
      <c r="A522" s="518"/>
      <c r="B522" s="518"/>
      <c r="C522" s="518"/>
      <c r="D522" s="486"/>
      <c r="E522" s="486"/>
      <c r="F522" s="486"/>
      <c r="I522" s="434"/>
    </row>
    <row r="523" spans="1:9" ht="12.75" customHeight="1">
      <c r="A523" s="518"/>
      <c r="B523" s="520" t="s">
        <v>2774</v>
      </c>
      <c r="D523" s="418" t="s">
        <v>2287</v>
      </c>
      <c r="E523" s="417"/>
      <c r="F523" s="417"/>
      <c r="I523" s="436" t="s">
        <v>2173</v>
      </c>
    </row>
    <row r="524" spans="1:9">
      <c r="A524" s="518"/>
      <c r="B524" s="518"/>
      <c r="C524" s="518"/>
      <c r="D524" s="417"/>
      <c r="E524" s="96" t="s">
        <v>2288</v>
      </c>
    </row>
    <row r="525" spans="1:9">
      <c r="A525" s="518"/>
      <c r="B525" s="518"/>
      <c r="D525" s="1321" t="s">
        <v>2462</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15" customHeight="1">
      <c r="A529" s="518"/>
      <c r="B529" s="520" t="s">
        <v>2775</v>
      </c>
      <c r="C529" s="518"/>
      <c r="D529" s="1291" t="s">
        <v>2463</v>
      </c>
      <c r="E529" s="1291"/>
      <c r="F529" s="1291"/>
      <c r="I529" s="436" t="s">
        <v>2173</v>
      </c>
    </row>
    <row r="530" spans="1:9">
      <c r="A530" s="518"/>
      <c r="B530" s="518"/>
      <c r="C530" s="518"/>
      <c r="D530" s="1291"/>
      <c r="E530" s="1291"/>
      <c r="F530" s="1291"/>
    </row>
    <row r="531" spans="1:9" ht="12" customHeight="1">
      <c r="A531" s="481"/>
      <c r="B531" s="481"/>
      <c r="C531" s="522"/>
      <c r="D531" s="481"/>
      <c r="F531" s="483"/>
    </row>
    <row r="532" spans="1:9">
      <c r="A532" s="1279" t="s">
        <v>1117</v>
      </c>
      <c r="B532" s="1279"/>
      <c r="C532" s="1279"/>
      <c r="D532" s="1279"/>
      <c r="E532" s="1279"/>
      <c r="F532" s="1279"/>
      <c r="G532" s="1279"/>
      <c r="H532" s="1071"/>
      <c r="I532" s="1072"/>
    </row>
    <row r="533" spans="1:9">
      <c r="A533" s="481"/>
      <c r="B533" s="481"/>
      <c r="C533" s="522"/>
      <c r="F533" s="483"/>
    </row>
    <row r="534" spans="1:9">
      <c r="B534" s="1294" t="s">
        <v>449</v>
      </c>
      <c r="C534" s="1294"/>
      <c r="D534" s="1294"/>
      <c r="E534" s="1294"/>
      <c r="F534" s="1294"/>
    </row>
    <row r="535" spans="1:9">
      <c r="A535" s="481"/>
      <c r="B535" s="481"/>
      <c r="C535" s="522"/>
      <c r="D535" s="481"/>
      <c r="F535" s="481"/>
    </row>
    <row r="536" spans="1:9">
      <c r="A536" s="1310" t="s">
        <v>1118</v>
      </c>
      <c r="B536" s="1310"/>
      <c r="C536" s="1310"/>
      <c r="D536" s="1310"/>
      <c r="E536" s="1310"/>
      <c r="F536" s="1310"/>
      <c r="G536" s="1310"/>
      <c r="H536" s="1071"/>
      <c r="I536" s="1072"/>
    </row>
    <row r="537" spans="1:9">
      <c r="A537" s="481"/>
      <c r="B537" s="481"/>
      <c r="C537" s="522"/>
      <c r="D537" s="481"/>
      <c r="F537" s="481"/>
    </row>
    <row r="538" spans="1:9">
      <c r="C538" s="522"/>
      <c r="D538" s="1290" t="s">
        <v>692</v>
      </c>
      <c r="E538" s="1290"/>
      <c r="F538" s="1290"/>
    </row>
    <row r="539" spans="1:9">
      <c r="C539" s="522"/>
      <c r="D539" s="1292" t="s">
        <v>1175</v>
      </c>
      <c r="E539" s="1292"/>
      <c r="F539" s="1292"/>
    </row>
    <row r="540" spans="1:9">
      <c r="C540" s="522"/>
      <c r="D540" s="481"/>
      <c r="E540" s="481"/>
      <c r="F540" s="481"/>
    </row>
    <row r="541" spans="1:9" ht="13.7" customHeight="1">
      <c r="A541" s="519"/>
      <c r="B541" s="520" t="s">
        <v>2774</v>
      </c>
      <c r="C541" s="522"/>
      <c r="D541" s="1292" t="s">
        <v>913</v>
      </c>
      <c r="E541" s="1292"/>
      <c r="F541" s="1292"/>
      <c r="I541" s="436" t="s">
        <v>2223</v>
      </c>
    </row>
    <row r="542" spans="1:9" ht="13.7" customHeight="1">
      <c r="A542" s="522"/>
      <c r="B542" s="522"/>
      <c r="C542" s="522"/>
      <c r="D542" s="481"/>
    </row>
    <row r="543" spans="1:9" ht="14.25">
      <c r="A543" s="519"/>
      <c r="B543" s="520" t="s">
        <v>2774</v>
      </c>
      <c r="C543" s="522"/>
      <c r="D543" s="1291" t="s">
        <v>1176</v>
      </c>
      <c r="E543" s="1291"/>
      <c r="F543" s="1291"/>
      <c r="I543" s="436" t="s">
        <v>2223</v>
      </c>
    </row>
    <row r="544" spans="1:9">
      <c r="A544" s="522"/>
      <c r="B544" s="522"/>
      <c r="C544" s="522"/>
      <c r="D544" s="1291"/>
      <c r="E544" s="1291"/>
      <c r="F544" s="1291"/>
    </row>
    <row r="545" spans="1:9">
      <c r="A545" s="522"/>
      <c r="B545" s="522"/>
      <c r="C545" s="522"/>
      <c r="D545" s="481"/>
      <c r="E545" s="481"/>
      <c r="F545" s="481"/>
    </row>
    <row r="546" spans="1:9" ht="14.25">
      <c r="A546" s="519"/>
      <c r="B546" s="520" t="s">
        <v>2774</v>
      </c>
      <c r="C546" s="522"/>
      <c r="D546" s="1291" t="s">
        <v>1177</v>
      </c>
      <c r="E546" s="1291"/>
      <c r="F546" s="1291"/>
      <c r="I546" s="436" t="s">
        <v>2174</v>
      </c>
    </row>
    <row r="547" spans="1:9">
      <c r="A547" s="522"/>
      <c r="B547" s="522"/>
      <c r="C547" s="522"/>
      <c r="D547" s="1291"/>
      <c r="E547" s="1291"/>
      <c r="F547" s="1291"/>
    </row>
    <row r="548" spans="1:9">
      <c r="A548" s="522"/>
      <c r="B548" s="522"/>
      <c r="C548" s="522"/>
      <c r="D548" s="481"/>
      <c r="E548" s="481"/>
      <c r="F548" s="481"/>
    </row>
    <row r="549" spans="1:9" ht="14.25">
      <c r="A549" s="519"/>
      <c r="B549" s="520" t="s">
        <v>2774</v>
      </c>
      <c r="C549" s="522"/>
      <c r="D549" s="1291" t="s">
        <v>1178</v>
      </c>
      <c r="E549" s="1291"/>
      <c r="F549" s="1291"/>
      <c r="I549" s="436" t="s">
        <v>2175</v>
      </c>
    </row>
    <row r="550" spans="1:9">
      <c r="A550" s="522"/>
      <c r="B550" s="522"/>
      <c r="C550" s="522"/>
      <c r="D550" s="1291"/>
      <c r="E550" s="1291"/>
      <c r="F550" s="1291"/>
    </row>
    <row r="551" spans="1:9">
      <c r="A551" s="522"/>
      <c r="B551" s="522"/>
      <c r="C551" s="522"/>
      <c r="D551" s="481"/>
      <c r="E551" s="481"/>
      <c r="F551" s="481"/>
    </row>
    <row r="552" spans="1:9" ht="14.25">
      <c r="A552" s="519"/>
      <c r="B552" s="520" t="s">
        <v>2774</v>
      </c>
      <c r="C552" s="522"/>
      <c r="D552" s="1291" t="s">
        <v>1179</v>
      </c>
      <c r="E552" s="1291"/>
      <c r="F552" s="1291"/>
      <c r="I552" s="436" t="s">
        <v>2224</v>
      </c>
    </row>
    <row r="553" spans="1:9">
      <c r="A553" s="522"/>
      <c r="B553" s="522"/>
      <c r="C553" s="522"/>
      <c r="D553" s="1291"/>
      <c r="E553" s="1291"/>
      <c r="F553" s="1291"/>
    </row>
    <row r="554" spans="1:9">
      <c r="A554" s="522"/>
      <c r="B554" s="522"/>
      <c r="C554" s="522"/>
      <c r="D554" s="1291"/>
      <c r="E554" s="1291"/>
      <c r="F554" s="1291"/>
    </row>
    <row r="555" spans="1:9">
      <c r="A555" s="522"/>
      <c r="B555" s="522"/>
      <c r="C555" s="522"/>
      <c r="D555" s="481"/>
      <c r="E555" s="481"/>
      <c r="F555" s="481"/>
    </row>
    <row r="556" spans="1:9" ht="14.25">
      <c r="A556" s="519"/>
      <c r="B556" s="520" t="s">
        <v>2775</v>
      </c>
      <c r="C556" s="522"/>
      <c r="D556" s="1291" t="s">
        <v>1297</v>
      </c>
      <c r="E556" s="1291"/>
      <c r="F556" s="1291"/>
      <c r="I556" s="436" t="s">
        <v>2223</v>
      </c>
    </row>
    <row r="557" spans="1:9">
      <c r="A557" s="522"/>
      <c r="B557" s="522"/>
      <c r="C557" s="522"/>
      <c r="D557" s="1291"/>
      <c r="E557" s="1291"/>
      <c r="F557" s="1291"/>
    </row>
    <row r="558" spans="1:9">
      <c r="A558" s="522"/>
      <c r="B558" s="522"/>
      <c r="C558" s="522"/>
      <c r="D558" s="481"/>
      <c r="E558" s="481"/>
      <c r="F558" s="481"/>
    </row>
    <row r="559" spans="1:9" ht="14.25">
      <c r="A559" s="519"/>
      <c r="B559" s="520" t="s">
        <v>2775</v>
      </c>
      <c r="C559" s="522"/>
      <c r="D559" s="1291" t="s">
        <v>1181</v>
      </c>
      <c r="E559" s="1291"/>
      <c r="F559" s="1291"/>
      <c r="I559" s="436" t="s">
        <v>2223</v>
      </c>
    </row>
    <row r="560" spans="1:9">
      <c r="A560" s="522"/>
      <c r="B560" s="522"/>
      <c r="C560" s="522"/>
      <c r="D560" s="1291"/>
      <c r="E560" s="1291"/>
      <c r="F560" s="1291"/>
    </row>
    <row r="561" spans="1:9">
      <c r="A561" s="522"/>
      <c r="B561" s="522"/>
      <c r="C561" s="522"/>
      <c r="D561" s="481"/>
      <c r="E561" s="481"/>
      <c r="F561" s="481"/>
    </row>
    <row r="562" spans="1:9" ht="14.25">
      <c r="A562" s="519"/>
      <c r="B562" s="520" t="s">
        <v>2774</v>
      </c>
      <c r="C562" s="522"/>
      <c r="D562" s="1292" t="s">
        <v>1182</v>
      </c>
      <c r="E562" s="1292"/>
      <c r="F562" s="1292"/>
      <c r="I562" s="436" t="s">
        <v>2226</v>
      </c>
    </row>
    <row r="563" spans="1:9">
      <c r="A563" s="525"/>
      <c r="B563" s="525"/>
      <c r="C563" s="522"/>
      <c r="D563" s="1292" t="s">
        <v>2290</v>
      </c>
      <c r="E563" s="1292"/>
      <c r="F563" s="1292"/>
    </row>
    <row r="564" spans="1:9">
      <c r="A564" s="525"/>
      <c r="B564" s="525"/>
      <c r="C564" s="522"/>
      <c r="E564" s="96" t="s">
        <v>2289</v>
      </c>
      <c r="F564" s="436"/>
    </row>
    <row r="565" spans="1:9" ht="14.25">
      <c r="A565" s="519"/>
      <c r="B565" s="519"/>
      <c r="C565" s="522"/>
      <c r="E565" s="481"/>
      <c r="F565" s="481"/>
    </row>
    <row r="566" spans="1:9" ht="14.25">
      <c r="A566" s="519"/>
      <c r="B566" s="520" t="s">
        <v>2774</v>
      </c>
      <c r="C566" s="522"/>
      <c r="D566" s="1292" t="s">
        <v>1184</v>
      </c>
      <c r="E566" s="1292"/>
      <c r="F566" s="1292"/>
      <c r="I566" s="436" t="s">
        <v>2176</v>
      </c>
    </row>
    <row r="567" spans="1:9">
      <c r="C567" s="522"/>
      <c r="D567" s="1291" t="s">
        <v>1185</v>
      </c>
      <c r="E567" s="1291"/>
      <c r="F567" s="1291"/>
    </row>
    <row r="568" spans="1:9">
      <c r="A568" s="522"/>
      <c r="B568" s="522"/>
      <c r="C568" s="522"/>
      <c r="D568" s="1291"/>
      <c r="E568" s="1291"/>
      <c r="F568" s="1291"/>
    </row>
    <row r="569" spans="1:9">
      <c r="A569" s="522"/>
      <c r="B569" s="522"/>
      <c r="C569" s="522"/>
      <c r="D569" s="1291"/>
      <c r="E569" s="1291"/>
      <c r="F569" s="1291"/>
    </row>
    <row r="570" spans="1:9">
      <c r="A570" s="522"/>
      <c r="B570" s="522"/>
      <c r="C570" s="522"/>
      <c r="D570" s="481"/>
      <c r="E570" s="481"/>
      <c r="F570" s="481"/>
    </row>
    <row r="571" spans="1:9" ht="14.25">
      <c r="A571" s="519"/>
      <c r="B571" s="520" t="s">
        <v>2774</v>
      </c>
      <c r="C571" s="522"/>
      <c r="D571" s="1291" t="s">
        <v>2464</v>
      </c>
      <c r="E571" s="1291"/>
      <c r="F571" s="1291"/>
      <c r="I571" s="436" t="s">
        <v>2177</v>
      </c>
    </row>
    <row r="572" spans="1:9" ht="14.25">
      <c r="A572" s="519"/>
      <c r="B572" s="519"/>
      <c r="C572" s="522"/>
      <c r="D572" s="1291"/>
      <c r="E572" s="1291"/>
      <c r="F572" s="1291"/>
    </row>
    <row r="573" spans="1:9" ht="14.25">
      <c r="A573" s="519"/>
      <c r="B573" s="519"/>
      <c r="C573" s="522"/>
      <c r="D573" s="1291"/>
      <c r="E573" s="1291"/>
      <c r="F573" s="1291"/>
    </row>
    <row r="574" spans="1:9" ht="14.25">
      <c r="A574" s="519"/>
      <c r="B574" s="519"/>
      <c r="C574" s="522"/>
      <c r="D574" s="1291"/>
      <c r="E574" s="1291"/>
      <c r="F574" s="1291"/>
    </row>
    <row r="575" spans="1:9" ht="14.25">
      <c r="A575" s="519"/>
      <c r="B575" s="519"/>
      <c r="C575" s="522"/>
      <c r="D575" s="481"/>
      <c r="E575" s="481"/>
      <c r="F575" s="481"/>
    </row>
    <row r="576" spans="1:9">
      <c r="A576" s="1279" t="s">
        <v>1119</v>
      </c>
      <c r="B576" s="1279"/>
      <c r="C576" s="1279"/>
      <c r="D576" s="1279"/>
      <c r="E576" s="1279"/>
      <c r="F576" s="1279"/>
      <c r="G576" s="1279"/>
      <c r="H576" s="1071"/>
      <c r="I576" s="1072"/>
    </row>
    <row r="577" spans="1:9">
      <c r="A577" s="522"/>
      <c r="B577" s="522"/>
      <c r="C577" s="522"/>
      <c r="E577" s="481"/>
      <c r="F577" s="481"/>
    </row>
    <row r="578" spans="1:9" ht="12.75" customHeight="1">
      <c r="C578" s="517"/>
      <c r="D578" s="1293" t="s">
        <v>211</v>
      </c>
      <c r="E578" s="1293"/>
      <c r="F578" s="1293"/>
    </row>
    <row r="579" spans="1:9">
      <c r="A579" s="518"/>
      <c r="B579" s="518"/>
      <c r="C579" s="518"/>
      <c r="D579" s="1278" t="s">
        <v>1135</v>
      </c>
      <c r="E579" s="1278"/>
      <c r="F579" s="1278"/>
    </row>
    <row r="580" spans="1:9">
      <c r="A580" s="434"/>
      <c r="B580" s="434"/>
      <c r="C580" s="518"/>
      <c r="D580" s="534"/>
      <c r="I580" s="436" t="s">
        <v>2178</v>
      </c>
    </row>
    <row r="581" spans="1:9">
      <c r="A581" s="518"/>
      <c r="B581" s="520" t="s">
        <v>2774</v>
      </c>
      <c r="D581" s="1278" t="s">
        <v>919</v>
      </c>
      <c r="E581" s="1278"/>
      <c r="F581" s="1278"/>
    </row>
    <row r="582" spans="1:9">
      <c r="A582" s="525"/>
      <c r="B582" s="525"/>
      <c r="D582" s="511"/>
    </row>
    <row r="583" spans="1:9">
      <c r="A583" s="525"/>
      <c r="B583" s="520" t="s">
        <v>2774</v>
      </c>
      <c r="D583" s="1278" t="s">
        <v>2465</v>
      </c>
      <c r="E583" s="1278"/>
      <c r="F583" s="1278"/>
      <c r="I583" s="436" t="s">
        <v>2180</v>
      </c>
    </row>
    <row r="584" spans="1:9">
      <c r="A584" s="525"/>
      <c r="B584" s="525"/>
      <c r="D584" s="1278"/>
      <c r="E584" s="1278"/>
      <c r="F584" s="1278"/>
      <c r="I584" s="436" t="s">
        <v>2179</v>
      </c>
    </row>
    <row r="585" spans="1:9">
      <c r="A585" s="525"/>
      <c r="B585" s="525"/>
      <c r="D585" s="1278"/>
      <c r="E585" s="1278"/>
      <c r="F585" s="1278"/>
    </row>
    <row r="586" spans="1:9">
      <c r="A586" s="525"/>
      <c r="B586" s="525"/>
      <c r="D586" s="1278"/>
      <c r="E586" s="1278"/>
      <c r="F586" s="1278"/>
    </row>
    <row r="587" spans="1:9">
      <c r="A587" s="525"/>
      <c r="B587" s="520" t="s">
        <v>2775</v>
      </c>
      <c r="D587" s="1278" t="s">
        <v>1137</v>
      </c>
      <c r="E587" s="1278"/>
      <c r="F587" s="1278"/>
    </row>
    <row r="588" spans="1:9">
      <c r="A588" s="525"/>
      <c r="B588" s="525"/>
      <c r="D588" s="1278"/>
      <c r="E588" s="1278"/>
      <c r="F588" s="1278"/>
    </row>
    <row r="589" spans="1:9">
      <c r="A589" s="525"/>
      <c r="B589" s="525"/>
      <c r="D589" s="1278"/>
      <c r="E589" s="1278"/>
      <c r="F589" s="1278"/>
    </row>
    <row r="590" spans="1:9">
      <c r="A590" s="525"/>
      <c r="B590" s="525"/>
      <c r="D590" s="1278"/>
      <c r="E590" s="1278"/>
      <c r="F590" s="1278"/>
    </row>
    <row r="591" spans="1:9">
      <c r="A591" s="525"/>
      <c r="B591" s="525"/>
      <c r="D591" s="474"/>
      <c r="E591" s="474"/>
      <c r="F591" s="474"/>
    </row>
    <row r="592" spans="1:9">
      <c r="A592" s="525"/>
      <c r="B592" s="520" t="s">
        <v>2774</v>
      </c>
      <c r="D592" s="1278" t="s">
        <v>2466</v>
      </c>
      <c r="E592" s="1278"/>
      <c r="F592" s="1278"/>
    </row>
    <row r="593" spans="1:9">
      <c r="A593" s="525"/>
      <c r="B593" s="525"/>
      <c r="D593" s="1278"/>
      <c r="E593" s="1278"/>
      <c r="F593" s="1278"/>
    </row>
    <row r="594" spans="1:9">
      <c r="A594" s="525"/>
      <c r="B594" s="525"/>
      <c r="D594" s="534"/>
    </row>
    <row r="595" spans="1:9">
      <c r="A595" s="525"/>
      <c r="B595" s="520" t="s">
        <v>2775</v>
      </c>
      <c r="D595" s="1278" t="s">
        <v>1139</v>
      </c>
      <c r="E595" s="1278"/>
      <c r="F595" s="1278"/>
      <c r="I595" s="436" t="s">
        <v>2227</v>
      </c>
    </row>
    <row r="596" spans="1:9">
      <c r="A596" s="525"/>
      <c r="B596" s="525"/>
      <c r="D596" s="1278"/>
      <c r="E596" s="1278"/>
      <c r="F596" s="1278"/>
    </row>
    <row r="597" spans="1:9" ht="14.25">
      <c r="A597" s="519"/>
      <c r="B597" s="519"/>
      <c r="D597" s="534"/>
    </row>
    <row r="598" spans="1:9">
      <c r="A598" s="1279" t="s">
        <v>1120</v>
      </c>
      <c r="B598" s="1279"/>
      <c r="C598" s="1279"/>
      <c r="D598" s="1279"/>
      <c r="E598" s="1279"/>
      <c r="F598" s="1279"/>
      <c r="G598" s="1279"/>
      <c r="H598" s="1071"/>
      <c r="I598" s="1072"/>
    </row>
    <row r="599" spans="1:9"/>
    <row r="600" spans="1:9">
      <c r="D600" s="1290" t="s">
        <v>1220</v>
      </c>
      <c r="E600" s="1290"/>
      <c r="F600" s="1290"/>
    </row>
    <row r="601" spans="1:9">
      <c r="D601" s="1313" t="s">
        <v>1221</v>
      </c>
      <c r="E601" s="1313"/>
      <c r="F601" s="1313"/>
    </row>
    <row r="602" spans="1:9">
      <c r="D602" s="479"/>
    </row>
    <row r="603" spans="1:9" ht="14.25" customHeight="1">
      <c r="A603" s="519"/>
      <c r="B603" s="520" t="s">
        <v>2774</v>
      </c>
      <c r="D603" s="1333" t="s">
        <v>2291</v>
      </c>
      <c r="E603" s="1333"/>
      <c r="F603" s="1333"/>
      <c r="I603" s="436" t="s">
        <v>2208</v>
      </c>
    </row>
    <row r="604" spans="1:9">
      <c r="D604" s="1333"/>
      <c r="E604" s="1333"/>
      <c r="F604" s="1333"/>
    </row>
    <row r="605" spans="1:9">
      <c r="D605" s="417"/>
      <c r="E605" s="1080" t="s">
        <v>2292</v>
      </c>
      <c r="F605" s="417"/>
    </row>
    <row r="606" spans="1:9"/>
    <row r="607" spans="1:9">
      <c r="A607" s="1279" t="s">
        <v>1121</v>
      </c>
      <c r="B607" s="1279"/>
      <c r="C607" s="1279"/>
      <c r="D607" s="1279"/>
      <c r="E607" s="1279"/>
      <c r="F607" s="1279"/>
      <c r="G607" s="1279"/>
      <c r="H607" s="1071"/>
      <c r="I607" s="1072"/>
    </row>
    <row r="608" spans="1:9">
      <c r="A608" s="481"/>
      <c r="B608" s="481"/>
    </row>
    <row r="609" spans="1:9">
      <c r="A609" s="517"/>
      <c r="B609" s="517"/>
      <c r="C609" s="517"/>
      <c r="D609" s="1314" t="s">
        <v>1223</v>
      </c>
      <c r="E609" s="1314"/>
      <c r="F609" s="1314"/>
    </row>
    <row r="610" spans="1:9">
      <c r="A610" s="517"/>
      <c r="B610" s="517"/>
      <c r="C610" s="517"/>
      <c r="D610" s="1314"/>
      <c r="E610" s="1314"/>
      <c r="F610" s="1314"/>
    </row>
    <row r="611" spans="1:9">
      <c r="C611" s="518"/>
      <c r="D611" s="1313" t="s">
        <v>1224</v>
      </c>
      <c r="E611" s="1313"/>
      <c r="F611" s="1313"/>
    </row>
    <row r="612" spans="1:9">
      <c r="C612" s="518"/>
      <c r="D612" s="479"/>
      <c r="E612" s="479"/>
      <c r="F612" s="479"/>
    </row>
    <row r="613" spans="1:9" ht="12.75" customHeight="1">
      <c r="A613" s="525"/>
      <c r="B613" s="520" t="s">
        <v>2774</v>
      </c>
      <c r="D613" s="1289" t="s">
        <v>1225</v>
      </c>
      <c r="E613" s="1289"/>
      <c r="F613" s="1289"/>
      <c r="I613" s="436" t="s">
        <v>2228</v>
      </c>
    </row>
    <row r="614" spans="1:9">
      <c r="D614" s="1289"/>
      <c r="E614" s="1289"/>
      <c r="F614" s="1289"/>
    </row>
    <row r="615" spans="1:9"/>
    <row r="616" spans="1:9">
      <c r="B616" s="520" t="s">
        <v>2774</v>
      </c>
      <c r="D616" s="1289" t="s">
        <v>1226</v>
      </c>
      <c r="E616" s="1289"/>
      <c r="F616" s="1289"/>
      <c r="I616" s="436" t="s">
        <v>2181</v>
      </c>
    </row>
    <row r="617" spans="1:9">
      <c r="C617" s="535"/>
      <c r="D617" s="1289"/>
      <c r="E617" s="1289"/>
      <c r="F617" s="1289"/>
    </row>
    <row r="618" spans="1:9">
      <c r="C618" s="535"/>
    </row>
    <row r="619" spans="1:9">
      <c r="B619" s="520" t="s">
        <v>2775</v>
      </c>
      <c r="C619" s="535"/>
      <c r="D619" s="1289" t="s">
        <v>1227</v>
      </c>
      <c r="E619" s="1289"/>
      <c r="F619" s="1289"/>
      <c r="I619" s="436" t="s">
        <v>2229</v>
      </c>
    </row>
    <row r="620" spans="1:9">
      <c r="C620" s="535"/>
      <c r="D620" s="1289"/>
      <c r="E620" s="1289"/>
      <c r="F620" s="1289"/>
      <c r="I620" s="1068" t="s">
        <v>2230</v>
      </c>
    </row>
    <row r="621" spans="1:9">
      <c r="C621" s="535"/>
    </row>
    <row r="622" spans="1:9">
      <c r="A622" s="1279" t="s">
        <v>1122</v>
      </c>
      <c r="B622" s="1279"/>
      <c r="C622" s="1279"/>
      <c r="D622" s="1279"/>
      <c r="E622" s="1279"/>
      <c r="F622" s="1279"/>
      <c r="G622" s="1279"/>
      <c r="H622" s="1071"/>
      <c r="I622" s="1072"/>
    </row>
    <row r="623" spans="1:9">
      <c r="A623" s="517"/>
      <c r="B623" s="517"/>
      <c r="C623" s="517"/>
    </row>
    <row r="624" spans="1:9">
      <c r="C624" s="525"/>
      <c r="D624" s="1290" t="s">
        <v>1228</v>
      </c>
      <c r="E624" s="1290"/>
      <c r="F624" s="1290"/>
    </row>
    <row r="625" spans="1:9">
      <c r="A625" s="525"/>
      <c r="B625" s="525"/>
      <c r="D625" s="436"/>
    </row>
    <row r="626" spans="1:9" ht="14.25" customHeight="1">
      <c r="A626" s="519"/>
      <c r="B626" s="520" t="s">
        <v>2774</v>
      </c>
      <c r="D626" s="1333" t="s">
        <v>2467</v>
      </c>
      <c r="E626" s="1333"/>
      <c r="F626" s="1333"/>
      <c r="I626" s="436" t="s">
        <v>2209</v>
      </c>
    </row>
    <row r="627" spans="1:9">
      <c r="D627" s="1333"/>
      <c r="E627" s="1333"/>
      <c r="F627" s="1333"/>
    </row>
    <row r="628" spans="1:9">
      <c r="D628" s="417"/>
      <c r="E628" s="1080" t="s">
        <v>2294</v>
      </c>
      <c r="F628" s="417"/>
    </row>
    <row r="629" spans="1:9">
      <c r="D629" s="1291" t="s">
        <v>2293</v>
      </c>
      <c r="E629" s="1291"/>
      <c r="F629" s="1291"/>
    </row>
    <row r="630" spans="1:9">
      <c r="D630" s="1291"/>
      <c r="E630" s="1291"/>
      <c r="F630" s="1291"/>
    </row>
    <row r="631" spans="1:9">
      <c r="D631" s="1291"/>
      <c r="E631" s="1291"/>
      <c r="F631" s="1291"/>
    </row>
    <row r="632" spans="1:9">
      <c r="D632" s="480"/>
      <c r="E632" s="480"/>
      <c r="F632" s="480"/>
    </row>
    <row r="633" spans="1:9" ht="14.25">
      <c r="A633" s="519"/>
      <c r="B633" s="520" t="s">
        <v>2775</v>
      </c>
      <c r="D633" s="1291" t="s">
        <v>1230</v>
      </c>
      <c r="E633" s="1291"/>
      <c r="F633" s="1291"/>
      <c r="I633" s="436" t="s">
        <v>2231</v>
      </c>
    </row>
    <row r="634" spans="1:9">
      <c r="A634" s="522"/>
      <c r="B634" s="522"/>
      <c r="C634" s="522"/>
      <c r="D634" s="1291"/>
      <c r="E634" s="1291"/>
      <c r="F634" s="1291"/>
    </row>
    <row r="635" spans="1:9">
      <c r="A635" s="522"/>
      <c r="B635" s="522"/>
      <c r="C635" s="522"/>
      <c r="D635" s="481"/>
      <c r="E635" s="481"/>
      <c r="F635" s="481"/>
    </row>
    <row r="636" spans="1:9" ht="14.25">
      <c r="A636" s="519"/>
      <c r="B636" s="520" t="s">
        <v>2775</v>
      </c>
      <c r="C636" s="522"/>
      <c r="D636" s="1291" t="s">
        <v>1373</v>
      </c>
      <c r="E636" s="1291"/>
      <c r="F636" s="1291"/>
      <c r="I636" s="436" t="s">
        <v>2182</v>
      </c>
    </row>
    <row r="637" spans="1:9" ht="14.25">
      <c r="A637" s="519"/>
      <c r="B637" s="519"/>
      <c r="C637" s="522"/>
      <c r="D637" s="1291"/>
      <c r="E637" s="1291"/>
      <c r="F637" s="1291"/>
    </row>
    <row r="638" spans="1:9" ht="14.25">
      <c r="A638" s="519"/>
      <c r="B638" s="519"/>
      <c r="C638" s="522"/>
      <c r="D638" s="1291"/>
      <c r="E638" s="1291"/>
      <c r="F638" s="1291"/>
    </row>
    <row r="639" spans="1:9">
      <c r="A639" s="522"/>
      <c r="B639" s="520" t="s">
        <v>2775</v>
      </c>
      <c r="C639" s="522"/>
      <c r="D639" s="1292" t="s">
        <v>1232</v>
      </c>
      <c r="E639" s="1292"/>
      <c r="F639" s="1292"/>
      <c r="I639" s="436" t="s">
        <v>2182</v>
      </c>
    </row>
    <row r="640" spans="1:9">
      <c r="A640" s="522"/>
      <c r="B640" s="522"/>
      <c r="C640" s="522"/>
      <c r="D640" s="481"/>
      <c r="E640" s="481"/>
      <c r="F640" s="481"/>
    </row>
    <row r="641" spans="1:9">
      <c r="A641" s="1279" t="s">
        <v>1123</v>
      </c>
      <c r="B641" s="1279"/>
      <c r="C641" s="1279"/>
      <c r="D641" s="1279"/>
      <c r="E641" s="1279"/>
      <c r="F641" s="1279"/>
      <c r="G641" s="1279"/>
      <c r="H641" s="1071"/>
      <c r="I641" s="1072"/>
    </row>
    <row r="642" spans="1:9">
      <c r="A642" s="481"/>
      <c r="B642" s="481"/>
      <c r="C642" s="522"/>
      <c r="D642" s="481"/>
      <c r="E642" s="481"/>
      <c r="F642" s="481"/>
    </row>
    <row r="643" spans="1:9">
      <c r="C643" s="517"/>
      <c r="D643" s="1290" t="s">
        <v>1282</v>
      </c>
      <c r="E643" s="1290"/>
      <c r="F643" s="1290"/>
    </row>
    <row r="644" spans="1:9">
      <c r="A644" s="518"/>
      <c r="B644" s="518"/>
      <c r="C644" s="518"/>
      <c r="D644" s="1292" t="s">
        <v>1283</v>
      </c>
      <c r="E644" s="1292"/>
      <c r="F644" s="1292"/>
    </row>
    <row r="645" spans="1:9">
      <c r="A645" s="518"/>
      <c r="B645" s="518"/>
      <c r="C645" s="518"/>
      <c r="D645" s="481"/>
      <c r="E645" s="481"/>
      <c r="F645" s="481"/>
    </row>
    <row r="646" spans="1:9" ht="12.75" customHeight="1">
      <c r="B646" s="520" t="s">
        <v>2774</v>
      </c>
      <c r="C646" s="522"/>
      <c r="D646" s="1291" t="s">
        <v>1447</v>
      </c>
      <c r="E646" s="1291"/>
      <c r="F646" s="1291"/>
      <c r="I646" s="436" t="s">
        <v>2234</v>
      </c>
    </row>
    <row r="647" spans="1:9">
      <c r="D647" s="1291"/>
      <c r="E647" s="1291"/>
      <c r="F647" s="1291"/>
    </row>
    <row r="648" spans="1:9">
      <c r="D648" s="1291"/>
      <c r="E648" s="1291"/>
      <c r="F648" s="1291"/>
    </row>
    <row r="649" spans="1:9">
      <c r="D649" s="1291"/>
      <c r="E649" s="1291"/>
      <c r="F649" s="1291"/>
    </row>
    <row r="650" spans="1:9" ht="14.45" customHeight="1">
      <c r="A650" s="519"/>
      <c r="B650" s="519"/>
      <c r="C650" s="522"/>
      <c r="D650" s="417"/>
      <c r="E650" s="417"/>
      <c r="F650" s="417"/>
    </row>
    <row r="651" spans="1:9" ht="12.75" customHeight="1">
      <c r="A651" s="518"/>
      <c r="B651" s="520" t="s">
        <v>2774</v>
      </c>
      <c r="C651" s="522"/>
      <c r="D651" s="1291" t="s">
        <v>1449</v>
      </c>
      <c r="E651" s="1291"/>
      <c r="F651" s="1291"/>
      <c r="I651" s="436" t="s">
        <v>2234</v>
      </c>
    </row>
    <row r="652" spans="1:9" ht="14.25">
      <c r="A652" s="518"/>
      <c r="B652" s="519"/>
      <c r="C652" s="522"/>
      <c r="D652" s="1291"/>
      <c r="E652" s="1291"/>
      <c r="F652" s="1291"/>
    </row>
    <row r="653" spans="1:9" ht="14.25">
      <c r="A653" s="518"/>
      <c r="B653" s="519"/>
      <c r="C653" s="522"/>
      <c r="D653" s="1291"/>
      <c r="E653" s="1291"/>
      <c r="F653" s="1291"/>
    </row>
    <row r="654" spans="1:9" ht="14.25">
      <c r="A654" s="518"/>
      <c r="B654" s="519"/>
      <c r="C654" s="522"/>
      <c r="D654" s="1291"/>
      <c r="E654" s="1291"/>
      <c r="F654" s="1291"/>
    </row>
    <row r="655" spans="1:9" ht="14.25">
      <c r="A655" s="518"/>
      <c r="B655" s="519"/>
      <c r="C655" s="522"/>
      <c r="D655" s="1291"/>
      <c r="E655" s="1291"/>
      <c r="F655" s="1291"/>
    </row>
    <row r="656" spans="1:9" ht="14.25" customHeight="1">
      <c r="A656" s="518"/>
      <c r="B656" s="519"/>
      <c r="C656" s="522"/>
      <c r="F656" s="418"/>
    </row>
    <row r="657" spans="1:11" ht="12.75" customHeight="1">
      <c r="A657" s="518"/>
      <c r="B657" s="520" t="s">
        <v>2774</v>
      </c>
      <c r="C657" s="522"/>
      <c r="D657" s="1291" t="s">
        <v>1448</v>
      </c>
      <c r="E657" s="1291"/>
      <c r="F657" s="1291"/>
      <c r="I657" s="436" t="s">
        <v>2234</v>
      </c>
    </row>
    <row r="658" spans="1:11" ht="14.25">
      <c r="A658" s="518"/>
      <c r="B658" s="519"/>
      <c r="C658" s="522"/>
      <c r="D658" s="1291"/>
      <c r="E658" s="1291"/>
      <c r="F658" s="1291"/>
    </row>
    <row r="659" spans="1:11" ht="14.25">
      <c r="A659" s="519"/>
      <c r="B659" s="519"/>
      <c r="C659" s="522"/>
      <c r="D659" s="1291"/>
      <c r="E659" s="1291"/>
      <c r="F659" s="1291"/>
    </row>
    <row r="660" spans="1:11" ht="14.25">
      <c r="A660" s="519"/>
      <c r="B660" s="519"/>
      <c r="C660" s="522"/>
      <c r="D660" s="1291"/>
      <c r="E660" s="1291"/>
      <c r="F660" s="1291"/>
    </row>
    <row r="661" spans="1:11" ht="14.25">
      <c r="A661" s="519"/>
      <c r="B661" s="519"/>
      <c r="C661" s="522"/>
      <c r="D661" s="480"/>
      <c r="E661" s="480"/>
      <c r="F661" s="480"/>
    </row>
    <row r="662" spans="1:11" ht="12.75" customHeight="1">
      <c r="A662" s="518"/>
      <c r="B662" s="520" t="s">
        <v>2775</v>
      </c>
      <c r="C662" s="522"/>
      <c r="D662" s="1291" t="s">
        <v>2468</v>
      </c>
      <c r="E662" s="1291"/>
      <c r="F662" s="1291"/>
      <c r="I662" s="436" t="s">
        <v>2234</v>
      </c>
    </row>
    <row r="663" spans="1:11" ht="12.75" customHeight="1">
      <c r="A663" s="518"/>
      <c r="B663" s="519"/>
      <c r="C663" s="522"/>
      <c r="D663" s="1291"/>
      <c r="E663" s="1291"/>
      <c r="F663" s="1291"/>
    </row>
    <row r="664" spans="1:11" ht="12.75" customHeight="1">
      <c r="A664" s="518"/>
      <c r="B664" s="519"/>
      <c r="C664" s="522"/>
      <c r="D664" s="1291"/>
      <c r="E664" s="1291"/>
      <c r="F664" s="1291"/>
    </row>
    <row r="665" spans="1:11" ht="12.75" customHeight="1">
      <c r="A665" s="518"/>
      <c r="B665" s="519"/>
      <c r="C665" s="522"/>
      <c r="D665" s="1291"/>
      <c r="E665" s="1291"/>
      <c r="F665" s="1291"/>
    </row>
    <row r="666" spans="1:11" ht="12.75" customHeight="1">
      <c r="A666" s="518"/>
      <c r="B666" s="519"/>
      <c r="C666" s="522"/>
      <c r="D666" s="1291"/>
      <c r="E666" s="1291"/>
      <c r="F666" s="1291"/>
    </row>
    <row r="667" spans="1:11" ht="12.75" customHeight="1">
      <c r="A667" s="518"/>
      <c r="B667" s="519"/>
      <c r="C667" s="522"/>
      <c r="D667" s="1291"/>
      <c r="E667" s="1291"/>
      <c r="F667" s="1291"/>
    </row>
    <row r="668" spans="1:11" ht="12.75" customHeight="1">
      <c r="A668" s="518"/>
      <c r="B668" s="519"/>
      <c r="C668" s="522"/>
      <c r="D668" s="1291"/>
      <c r="E668" s="1291"/>
      <c r="F668" s="1291"/>
    </row>
    <row r="669" spans="1:11" ht="12.75" customHeight="1">
      <c r="A669" s="518"/>
      <c r="B669" s="519"/>
      <c r="C669" s="522"/>
      <c r="D669" s="1291"/>
      <c r="E669" s="1291"/>
      <c r="F669" s="1291"/>
    </row>
    <row r="670" spans="1:11" ht="12.75" customHeight="1">
      <c r="A670" s="518"/>
      <c r="B670" s="519"/>
      <c r="C670" s="522"/>
      <c r="D670" s="1291"/>
      <c r="E670" s="1291"/>
      <c r="F670" s="1291"/>
    </row>
    <row r="671" spans="1:11">
      <c r="A671" s="522"/>
      <c r="B671" s="522"/>
      <c r="C671" s="522"/>
      <c r="D671" s="481"/>
      <c r="E671" s="481"/>
      <c r="F671" s="481"/>
    </row>
    <row r="672" spans="1:11">
      <c r="A672" s="1279" t="s">
        <v>1124</v>
      </c>
      <c r="B672" s="1279"/>
      <c r="C672" s="1279"/>
      <c r="D672" s="1279"/>
      <c r="E672" s="1279"/>
      <c r="F672" s="1279"/>
      <c r="G672" s="1279"/>
      <c r="H672" s="1073"/>
      <c r="I672" s="1074"/>
      <c r="J672" s="536"/>
      <c r="K672" s="536"/>
    </row>
    <row r="673" spans="1:11">
      <c r="A673" s="483"/>
      <c r="B673" s="483"/>
      <c r="C673" s="483"/>
      <c r="D673" s="483"/>
      <c r="E673" s="483"/>
      <c r="F673" s="483"/>
      <c r="G673" s="483"/>
      <c r="H673" s="536"/>
      <c r="I673" s="1065"/>
      <c r="J673" s="536"/>
      <c r="K673" s="536"/>
    </row>
    <row r="674" spans="1:11">
      <c r="C674" s="517"/>
      <c r="D674" s="1290" t="s">
        <v>100</v>
      </c>
      <c r="E674" s="1290"/>
      <c r="F674" s="1290"/>
      <c r="H674" s="536"/>
      <c r="I674" s="1065"/>
      <c r="J674" s="536"/>
      <c r="K674" s="536"/>
    </row>
    <row r="675" spans="1:11">
      <c r="A675" s="517"/>
      <c r="B675" s="517"/>
      <c r="C675" s="517"/>
      <c r="D675" s="1290" t="s">
        <v>124</v>
      </c>
      <c r="E675" s="1290"/>
      <c r="F675" s="1290"/>
      <c r="H675" s="536"/>
      <c r="I675" s="1065"/>
      <c r="J675" s="536"/>
      <c r="K675" s="536"/>
    </row>
    <row r="676" spans="1:11">
      <c r="A676" s="518"/>
      <c r="B676" s="518"/>
      <c r="C676" s="518"/>
      <c r="D676" s="1292" t="s">
        <v>1160</v>
      </c>
      <c r="E676" s="1292"/>
      <c r="F676" s="1292"/>
      <c r="H676" s="536"/>
      <c r="I676" s="1065"/>
      <c r="J676" s="536"/>
      <c r="K676" s="536"/>
    </row>
    <row r="677" spans="1:11">
      <c r="A677" s="518"/>
      <c r="B677" s="518"/>
      <c r="C677" s="518"/>
      <c r="H677" s="536"/>
      <c r="I677" s="1065"/>
      <c r="J677" s="536"/>
      <c r="K677" s="536"/>
    </row>
    <row r="678" spans="1:11" ht="14.25">
      <c r="A678" s="519"/>
      <c r="B678" s="520" t="s">
        <v>2774</v>
      </c>
      <c r="C678" s="518"/>
      <c r="D678" s="1292" t="s">
        <v>915</v>
      </c>
      <c r="E678" s="1292"/>
      <c r="F678" s="1292"/>
      <c r="H678" s="536"/>
      <c r="I678" s="1065" t="s">
        <v>2210</v>
      </c>
      <c r="J678" s="536"/>
      <c r="K678" s="536"/>
    </row>
    <row r="679" spans="1:11">
      <c r="A679" s="518"/>
      <c r="B679" s="518"/>
      <c r="C679" s="518"/>
      <c r="D679" s="1292" t="s">
        <v>926</v>
      </c>
      <c r="E679" s="1292"/>
      <c r="F679" s="1292"/>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25">
      <c r="A683" s="519"/>
      <c r="B683" s="520" t="s">
        <v>2775</v>
      </c>
      <c r="C683" s="518"/>
      <c r="D683" s="1291" t="s">
        <v>2469</v>
      </c>
      <c r="E683" s="1291"/>
      <c r="F683" s="1291"/>
      <c r="H683" s="536"/>
      <c r="I683" s="1065" t="s">
        <v>2232</v>
      </c>
      <c r="J683" s="536"/>
      <c r="K683" s="536"/>
    </row>
    <row r="684" spans="1:11">
      <c r="A684" s="525"/>
      <c r="B684" s="525"/>
      <c r="C684" s="518"/>
      <c r="D684" s="1291"/>
      <c r="E684" s="1291"/>
      <c r="F684" s="1291"/>
      <c r="H684" s="536"/>
      <c r="I684" s="1065"/>
      <c r="J684" s="536"/>
      <c r="K684" s="536"/>
    </row>
    <row r="685" spans="1:11">
      <c r="A685" s="518"/>
      <c r="B685" s="518"/>
      <c r="C685" s="518"/>
      <c r="D685" s="1291"/>
      <c r="E685" s="1291"/>
      <c r="F685" s="1291"/>
      <c r="H685" s="536"/>
      <c r="I685" s="1065"/>
      <c r="J685" s="536"/>
      <c r="K685" s="536"/>
    </row>
    <row r="686" spans="1:11">
      <c r="A686" s="518"/>
      <c r="B686" s="518"/>
      <c r="C686" s="518"/>
      <c r="H686" s="536"/>
      <c r="I686" s="1065" t="s">
        <v>2211</v>
      </c>
      <c r="J686" s="536"/>
      <c r="K686" s="536"/>
    </row>
    <row r="687" spans="1:11" ht="14.25">
      <c r="A687" s="519"/>
      <c r="B687" s="520" t="s">
        <v>2774</v>
      </c>
      <c r="C687" s="518"/>
      <c r="D687" s="1292" t="s">
        <v>954</v>
      </c>
      <c r="E687" s="1292"/>
      <c r="F687" s="1292"/>
      <c r="H687" s="536"/>
      <c r="I687" s="1065"/>
      <c r="J687" s="536"/>
      <c r="K687" s="536"/>
    </row>
    <row r="688" spans="1:11" ht="14.25">
      <c r="A688" s="519"/>
      <c r="B688" s="519"/>
      <c r="C688" s="518"/>
      <c r="D688" s="1292" t="s">
        <v>926</v>
      </c>
      <c r="E688" s="1292"/>
      <c r="F688" s="1292"/>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25">
      <c r="A691" s="519"/>
      <c r="B691" s="520" t="s">
        <v>2774</v>
      </c>
      <c r="C691" s="518"/>
      <c r="D691" s="1291" t="s">
        <v>1173</v>
      </c>
      <c r="E691" s="1291"/>
      <c r="F691" s="1291"/>
      <c r="H691" s="536"/>
      <c r="I691" s="1065" t="s">
        <v>2183</v>
      </c>
      <c r="J691" s="536"/>
      <c r="K691" s="536"/>
    </row>
    <row r="692" spans="1:11">
      <c r="A692" s="518"/>
      <c r="B692" s="518"/>
      <c r="C692" s="518"/>
      <c r="D692" s="1291"/>
      <c r="E692" s="1291"/>
      <c r="F692" s="1291"/>
      <c r="H692" s="536"/>
      <c r="I692" s="1065"/>
      <c r="J692" s="536"/>
      <c r="K692" s="536"/>
    </row>
    <row r="693" spans="1:11">
      <c r="A693" s="518"/>
      <c r="B693" s="518"/>
      <c r="C693" s="518"/>
      <c r="D693" s="1291"/>
      <c r="E693" s="1291"/>
      <c r="F693" s="1291"/>
      <c r="H693" s="536"/>
      <c r="I693" s="1065"/>
      <c r="J693" s="536"/>
      <c r="K693" s="536"/>
    </row>
    <row r="694" spans="1:11">
      <c r="A694" s="518"/>
      <c r="B694" s="518"/>
      <c r="C694" s="518"/>
      <c r="D694" s="1291"/>
      <c r="E694" s="1291"/>
      <c r="F694" s="1291"/>
      <c r="H694" s="536"/>
      <c r="I694" s="1065"/>
      <c r="J694" s="536"/>
      <c r="K694" s="536"/>
    </row>
    <row r="695" spans="1:11">
      <c r="A695" s="518"/>
      <c r="B695" s="518"/>
      <c r="C695" s="518"/>
      <c r="D695" s="1291"/>
      <c r="E695" s="1291"/>
      <c r="F695" s="1291"/>
      <c r="H695" s="536"/>
      <c r="I695" s="1065"/>
      <c r="J695" s="536"/>
      <c r="K695" s="536"/>
    </row>
    <row r="696" spans="1:11">
      <c r="A696" s="518"/>
      <c r="B696" s="518"/>
      <c r="C696" s="518"/>
      <c r="D696" s="1291"/>
      <c r="E696" s="1291"/>
      <c r="F696" s="1291"/>
      <c r="H696" s="536"/>
      <c r="I696" s="1065"/>
      <c r="J696" s="536"/>
      <c r="K696" s="536"/>
    </row>
    <row r="697" spans="1:11">
      <c r="A697" s="518"/>
      <c r="B697" s="518"/>
      <c r="C697" s="518"/>
      <c r="D697" s="480"/>
      <c r="E697" s="480"/>
      <c r="F697" s="480"/>
      <c r="H697" s="536"/>
      <c r="I697" s="1065"/>
      <c r="J697" s="536"/>
      <c r="K697" s="536"/>
    </row>
    <row r="698" spans="1:11">
      <c r="A698" s="518"/>
      <c r="B698" s="520" t="s">
        <v>2775</v>
      </c>
      <c r="C698" s="518"/>
      <c r="D698" s="1291" t="s">
        <v>1344</v>
      </c>
      <c r="E698" s="1291"/>
      <c r="F698" s="1291"/>
      <c r="H698" s="536"/>
      <c r="I698" s="1065" t="s">
        <v>2183</v>
      </c>
      <c r="J698" s="536"/>
      <c r="K698" s="536"/>
    </row>
    <row r="699" spans="1:11">
      <c r="A699" s="518"/>
      <c r="B699" s="518"/>
      <c r="C699" s="518"/>
      <c r="D699" s="1291"/>
      <c r="E699" s="1291"/>
      <c r="F699" s="1291"/>
      <c r="H699" s="536"/>
      <c r="I699" s="1065"/>
      <c r="J699" s="536"/>
      <c r="K699" s="536"/>
    </row>
    <row r="700" spans="1:11">
      <c r="A700" s="518"/>
      <c r="B700" s="518"/>
      <c r="C700" s="518"/>
      <c r="D700" s="480"/>
      <c r="E700" s="480"/>
      <c r="F700" s="480"/>
      <c r="H700" s="536"/>
      <c r="I700" s="1065"/>
      <c r="J700" s="536"/>
      <c r="K700" s="536"/>
    </row>
    <row r="701" spans="1:11" ht="14.25">
      <c r="A701" s="519"/>
      <c r="B701" s="520" t="s">
        <v>2775</v>
      </c>
      <c r="C701" s="518"/>
      <c r="D701" s="1291" t="s">
        <v>1164</v>
      </c>
      <c r="E701" s="1291"/>
      <c r="F701" s="1291"/>
      <c r="H701" s="536"/>
      <c r="I701" s="1065" t="s">
        <v>2183</v>
      </c>
      <c r="J701" s="536"/>
      <c r="K701" s="536"/>
    </row>
    <row r="702" spans="1:11">
      <c r="A702" s="518"/>
      <c r="B702" s="518"/>
      <c r="C702" s="518"/>
      <c r="D702" s="1291"/>
      <c r="E702" s="1291"/>
      <c r="F702" s="1291"/>
      <c r="H702" s="536"/>
      <c r="I702" s="1065"/>
      <c r="J702" s="536"/>
      <c r="K702" s="536"/>
    </row>
    <row r="703" spans="1:11">
      <c r="A703" s="518"/>
      <c r="B703" s="518"/>
      <c r="C703" s="518"/>
      <c r="D703" s="1291"/>
      <c r="E703" s="1291"/>
      <c r="F703" s="1291"/>
      <c r="H703" s="536"/>
      <c r="I703" s="1065"/>
      <c r="J703" s="536"/>
      <c r="K703" s="536"/>
    </row>
    <row r="704" spans="1:11" ht="15" customHeight="1">
      <c r="A704" s="518"/>
      <c r="B704" s="518"/>
      <c r="C704" s="518"/>
      <c r="D704" s="1291"/>
      <c r="E704" s="1291"/>
      <c r="F704" s="1291"/>
      <c r="H704" s="536"/>
      <c r="I704" s="1065"/>
      <c r="J704" s="536"/>
      <c r="K704" s="536"/>
    </row>
    <row r="705" spans="1:11" ht="15" customHeight="1">
      <c r="A705" s="518"/>
      <c r="B705" s="518"/>
      <c r="C705" s="518"/>
      <c r="D705" s="1291"/>
      <c r="E705" s="1291"/>
      <c r="F705" s="1291"/>
      <c r="H705" s="536"/>
      <c r="I705" s="1065"/>
      <c r="J705" s="536"/>
      <c r="K705" s="536"/>
    </row>
    <row r="706" spans="1:11">
      <c r="A706" s="518"/>
      <c r="B706" s="518"/>
      <c r="C706" s="518"/>
      <c r="D706" s="1291"/>
      <c r="E706" s="1291"/>
      <c r="F706" s="1291"/>
      <c r="H706" s="536"/>
      <c r="I706" s="1065"/>
      <c r="J706" s="536"/>
      <c r="K706" s="536"/>
    </row>
    <row r="707" spans="1:11">
      <c r="A707" s="518"/>
      <c r="B707" s="518"/>
      <c r="C707" s="518"/>
      <c r="D707" s="1291"/>
      <c r="E707" s="1291"/>
      <c r="F707" s="1291"/>
      <c r="H707" s="536"/>
      <c r="I707" s="1065"/>
      <c r="J707" s="536"/>
      <c r="K707" s="536"/>
    </row>
    <row r="708" spans="1:11">
      <c r="A708" s="518"/>
      <c r="B708" s="518"/>
      <c r="C708" s="518"/>
      <c r="D708" s="1291"/>
      <c r="E708" s="1291"/>
      <c r="F708" s="1291"/>
      <c r="H708" s="536"/>
      <c r="I708" s="1065"/>
      <c r="J708" s="536"/>
      <c r="K708" s="536"/>
    </row>
    <row r="709" spans="1:11" ht="15" customHeight="1">
      <c r="A709" s="518"/>
      <c r="B709" s="518"/>
      <c r="C709" s="518"/>
      <c r="D709" s="1291"/>
      <c r="E709" s="1291"/>
      <c r="F709" s="1291"/>
      <c r="H709" s="536"/>
      <c r="I709" s="1065"/>
      <c r="J709" s="536"/>
      <c r="K709" s="536"/>
    </row>
    <row r="710" spans="1:11">
      <c r="A710" s="518"/>
      <c r="B710" s="518"/>
      <c r="C710" s="518"/>
      <c r="D710" s="1291"/>
      <c r="E710" s="1291"/>
      <c r="F710" s="1291"/>
      <c r="H710" s="536"/>
      <c r="I710" s="1065"/>
      <c r="J710" s="536"/>
      <c r="K710" s="536"/>
    </row>
    <row r="711" spans="1:11">
      <c r="A711" s="518"/>
      <c r="B711" s="518"/>
      <c r="C711" s="518"/>
      <c r="D711" s="1291"/>
      <c r="E711" s="1291"/>
      <c r="F711" s="1291"/>
      <c r="H711" s="536"/>
      <c r="I711" s="1065"/>
      <c r="J711" s="536"/>
      <c r="K711" s="536"/>
    </row>
    <row r="712" spans="1:11">
      <c r="A712" s="518"/>
      <c r="B712" s="518"/>
      <c r="C712" s="518"/>
      <c r="D712" s="1291"/>
      <c r="E712" s="1291"/>
      <c r="F712" s="1291"/>
      <c r="H712" s="536"/>
      <c r="I712" s="1065"/>
      <c r="J712" s="536"/>
      <c r="K712" s="536"/>
    </row>
    <row r="713" spans="1:11">
      <c r="A713" s="518"/>
      <c r="B713" s="518"/>
      <c r="C713" s="518"/>
      <c r="D713" s="1291"/>
      <c r="E713" s="1291"/>
      <c r="F713" s="1291"/>
      <c r="H713" s="536"/>
      <c r="I713" s="1065"/>
      <c r="J713" s="536"/>
      <c r="K713" s="536"/>
    </row>
    <row r="714" spans="1:11">
      <c r="A714" s="518"/>
      <c r="B714" s="520" t="s">
        <v>2775</v>
      </c>
      <c r="C714" s="518"/>
      <c r="D714" s="1291" t="s">
        <v>1171</v>
      </c>
      <c r="E714" s="1291"/>
      <c r="F714" s="1291"/>
      <c r="H714" s="536"/>
      <c r="I714" s="1065" t="s">
        <v>2233</v>
      </c>
      <c r="J714" s="536"/>
      <c r="K714" s="536"/>
    </row>
    <row r="715" spans="1:11">
      <c r="A715" s="518"/>
      <c r="B715" s="518"/>
      <c r="C715" s="518"/>
      <c r="D715" s="1291"/>
      <c r="E715" s="1291"/>
      <c r="F715" s="1291"/>
      <c r="H715" s="536"/>
      <c r="I715" s="1065"/>
      <c r="J715" s="536"/>
      <c r="K715" s="536"/>
    </row>
    <row r="716" spans="1:11">
      <c r="A716" s="518"/>
      <c r="B716" s="518"/>
      <c r="C716" s="518"/>
      <c r="D716" s="480"/>
      <c r="E716" s="480"/>
      <c r="F716" s="480"/>
      <c r="H716" s="536"/>
      <c r="I716" s="1065"/>
      <c r="J716" s="536"/>
      <c r="K716" s="536"/>
    </row>
    <row r="717" spans="1:11">
      <c r="A717" s="518"/>
      <c r="B717" s="520" t="s">
        <v>2775</v>
      </c>
      <c r="C717" s="518"/>
      <c r="D717" s="1291" t="s">
        <v>1165</v>
      </c>
      <c r="E717" s="1291"/>
      <c r="F717" s="1291"/>
      <c r="H717" s="536"/>
      <c r="I717" s="1065" t="s">
        <v>2233</v>
      </c>
      <c r="J717" s="536"/>
      <c r="K717" s="536"/>
    </row>
    <row r="718" spans="1:11">
      <c r="A718" s="518"/>
      <c r="B718" s="518"/>
      <c r="C718" s="518"/>
      <c r="D718" s="1291"/>
      <c r="E718" s="1291"/>
      <c r="F718" s="1291"/>
      <c r="H718" s="536"/>
      <c r="I718" s="1065"/>
      <c r="J718" s="536"/>
      <c r="K718" s="536"/>
    </row>
    <row r="719" spans="1:11">
      <c r="A719" s="518"/>
      <c r="B719" s="518"/>
      <c r="C719" s="518"/>
      <c r="D719" s="1291"/>
      <c r="E719" s="1291"/>
      <c r="F719" s="1291"/>
      <c r="H719" s="536"/>
      <c r="I719" s="1065"/>
      <c r="J719" s="536"/>
      <c r="K719" s="536"/>
    </row>
    <row r="720" spans="1:11">
      <c r="A720" s="518"/>
      <c r="B720" s="518"/>
      <c r="C720" s="518"/>
      <c r="H720" s="536"/>
      <c r="I720" s="1065"/>
      <c r="J720" s="536"/>
      <c r="K720" s="536"/>
    </row>
    <row r="721" spans="1:11">
      <c r="A721" s="518"/>
      <c r="B721" s="520" t="s">
        <v>2775</v>
      </c>
      <c r="C721" s="518"/>
      <c r="D721" s="1291" t="s">
        <v>1166</v>
      </c>
      <c r="E721" s="1291"/>
      <c r="F721" s="1291"/>
      <c r="H721" s="536"/>
      <c r="I721" s="1065" t="s">
        <v>2233</v>
      </c>
      <c r="J721" s="536"/>
      <c r="K721" s="536"/>
    </row>
    <row r="722" spans="1:11">
      <c r="A722" s="518"/>
      <c r="B722" s="518"/>
      <c r="C722" s="518"/>
      <c r="D722" s="1291"/>
      <c r="E722" s="1291"/>
      <c r="F722" s="1291"/>
      <c r="H722" s="536"/>
      <c r="I722" s="1065"/>
      <c r="J722" s="536"/>
      <c r="K722" s="536"/>
    </row>
    <row r="723" spans="1:11">
      <c r="A723" s="518"/>
      <c r="B723" s="518"/>
      <c r="C723" s="518"/>
      <c r="D723" s="1291"/>
      <c r="E723" s="1291"/>
      <c r="F723" s="1291"/>
      <c r="H723" s="536"/>
      <c r="I723" s="1065"/>
      <c r="J723" s="536"/>
      <c r="K723" s="536"/>
    </row>
    <row r="724" spans="1:11">
      <c r="A724" s="518"/>
      <c r="B724" s="518"/>
      <c r="C724" s="518"/>
      <c r="H724" s="536"/>
      <c r="I724" s="1065"/>
      <c r="J724" s="536"/>
      <c r="K724" s="536"/>
    </row>
    <row r="725" spans="1:11" ht="14.25">
      <c r="A725" s="519"/>
      <c r="B725" s="520" t="s">
        <v>2775</v>
      </c>
      <c r="C725" s="518"/>
      <c r="D725" s="1291" t="s">
        <v>1167</v>
      </c>
      <c r="E725" s="1291"/>
      <c r="F725" s="1291"/>
      <c r="H725" s="536"/>
      <c r="I725" s="1065" t="s">
        <v>2184</v>
      </c>
      <c r="J725" s="536"/>
      <c r="K725" s="536"/>
    </row>
    <row r="726" spans="1:11">
      <c r="A726" s="518"/>
      <c r="B726" s="518"/>
      <c r="C726" s="518"/>
      <c r="D726" s="1291"/>
      <c r="E726" s="1291"/>
      <c r="F726" s="1291"/>
      <c r="H726" s="536"/>
      <c r="I726" s="1065"/>
      <c r="J726" s="536"/>
      <c r="K726" s="536"/>
    </row>
    <row r="727" spans="1:11">
      <c r="A727" s="518"/>
      <c r="B727" s="518"/>
      <c r="C727" s="518"/>
      <c r="D727" s="1291"/>
      <c r="E727" s="1291"/>
      <c r="F727" s="1291"/>
      <c r="H727" s="536"/>
      <c r="I727" s="1065"/>
      <c r="J727" s="536"/>
      <c r="K727" s="536"/>
    </row>
    <row r="728" spans="1:11">
      <c r="A728" s="518"/>
      <c r="B728" s="518"/>
      <c r="C728" s="518"/>
      <c r="D728" s="1291"/>
      <c r="E728" s="1291"/>
      <c r="F728" s="1291"/>
      <c r="H728" s="536"/>
      <c r="I728" s="1065"/>
      <c r="J728" s="536"/>
      <c r="K728" s="536"/>
    </row>
    <row r="729" spans="1:11">
      <c r="A729" s="518"/>
      <c r="B729" s="518"/>
      <c r="C729" s="518"/>
      <c r="D729" s="527"/>
      <c r="H729" s="536"/>
      <c r="I729" s="1065"/>
      <c r="J729" s="536"/>
      <c r="K729" s="536"/>
    </row>
    <row r="730" spans="1:11" ht="14.25">
      <c r="A730" s="519"/>
      <c r="B730" s="520" t="s">
        <v>2775</v>
      </c>
      <c r="C730" s="518"/>
      <c r="D730" s="1291" t="s">
        <v>2470</v>
      </c>
      <c r="E730" s="1291"/>
      <c r="F730" s="1291"/>
      <c r="H730" s="536"/>
      <c r="I730" s="1065" t="s">
        <v>2200</v>
      </c>
      <c r="J730" s="536"/>
      <c r="K730" s="536"/>
    </row>
    <row r="731" spans="1:11">
      <c r="A731" s="518"/>
      <c r="B731" s="518"/>
      <c r="C731" s="518"/>
      <c r="D731" s="1291"/>
      <c r="E731" s="1291"/>
      <c r="F731" s="1291"/>
      <c r="H731" s="536"/>
      <c r="I731" s="1065"/>
      <c r="J731" s="536"/>
      <c r="K731" s="536"/>
    </row>
    <row r="732" spans="1:11">
      <c r="A732" s="518"/>
      <c r="B732" s="518"/>
      <c r="C732" s="518"/>
      <c r="D732" s="1291"/>
      <c r="E732" s="1291"/>
      <c r="F732" s="1291"/>
      <c r="H732" s="536"/>
      <c r="I732" s="1065"/>
      <c r="J732" s="536"/>
      <c r="K732" s="536"/>
    </row>
    <row r="733" spans="1:11">
      <c r="A733" s="518"/>
      <c r="B733" s="518"/>
      <c r="C733" s="518"/>
      <c r="D733" s="1291"/>
      <c r="E733" s="1291"/>
      <c r="F733" s="1291"/>
      <c r="H733" s="536"/>
      <c r="I733" s="1065"/>
      <c r="J733" s="536"/>
      <c r="K733" s="536"/>
    </row>
    <row r="734" spans="1:11">
      <c r="A734" s="518"/>
      <c r="B734" s="518"/>
      <c r="C734" s="518"/>
      <c r="D734" s="1291"/>
      <c r="E734" s="1291"/>
      <c r="F734" s="1291"/>
      <c r="H734" s="536"/>
      <c r="I734" s="1065"/>
      <c r="J734" s="536"/>
      <c r="K734" s="536"/>
    </row>
    <row r="735" spans="1:11">
      <c r="A735" s="518"/>
      <c r="B735" s="518"/>
      <c r="C735" s="518"/>
      <c r="D735" s="1291"/>
      <c r="E735" s="1291"/>
      <c r="F735" s="1291"/>
      <c r="H735" s="536"/>
      <c r="I735" s="1065"/>
      <c r="J735" s="536"/>
      <c r="K735" s="536"/>
    </row>
    <row r="736" spans="1:11">
      <c r="A736" s="518"/>
      <c r="B736" s="518"/>
      <c r="C736" s="518"/>
      <c r="D736" s="1291"/>
      <c r="E736" s="1291"/>
      <c r="F736" s="1291"/>
      <c r="H736" s="536"/>
      <c r="I736" s="1065"/>
      <c r="J736" s="536"/>
      <c r="K736" s="536"/>
    </row>
    <row r="737" spans="1:11">
      <c r="A737" s="518"/>
      <c r="B737" s="518"/>
      <c r="C737" s="518"/>
      <c r="D737" s="1308" t="s">
        <v>2479</v>
      </c>
      <c r="E737" s="1308"/>
      <c r="F737" s="1308"/>
      <c r="H737" s="536"/>
      <c r="I737" s="1065"/>
      <c r="J737" s="536"/>
      <c r="K737" s="536"/>
    </row>
    <row r="738" spans="1:11">
      <c r="A738" s="518"/>
      <c r="B738" s="518"/>
      <c r="C738" s="518"/>
      <c r="D738" s="370"/>
      <c r="H738" s="536"/>
      <c r="I738" s="1065"/>
      <c r="J738" s="536"/>
      <c r="K738" s="536"/>
    </row>
    <row r="739" spans="1:11">
      <c r="A739" s="1310" t="s">
        <v>1125</v>
      </c>
      <c r="B739" s="1310"/>
      <c r="C739" s="1310"/>
      <c r="D739" s="1310"/>
      <c r="E739" s="1310"/>
      <c r="F739" s="1310"/>
      <c r="G739" s="1310"/>
      <c r="H739" s="1073"/>
      <c r="I739" s="1074"/>
      <c r="J739" s="536"/>
      <c r="K739" s="536"/>
    </row>
    <row r="740" spans="1:11">
      <c r="A740" s="518"/>
      <c r="B740" s="518"/>
      <c r="C740" s="518"/>
      <c r="D740" s="527"/>
      <c r="G740" s="536"/>
      <c r="H740" s="536"/>
      <c r="I740" s="1065"/>
      <c r="J740" s="536"/>
      <c r="K740" s="536"/>
    </row>
    <row r="741" spans="1:11" ht="13.7" customHeight="1">
      <c r="C741" s="518"/>
      <c r="D741" s="1293" t="s">
        <v>1141</v>
      </c>
      <c r="E741" s="1293"/>
      <c r="F741" s="1293"/>
      <c r="G741" s="536"/>
      <c r="H741" s="536"/>
      <c r="I741" s="1065"/>
      <c r="J741" s="536"/>
      <c r="K741" s="536"/>
    </row>
    <row r="742" spans="1:11">
      <c r="A742" s="518"/>
      <c r="B742" s="518"/>
      <c r="C742" s="518"/>
      <c r="D742" s="1294" t="s">
        <v>1142</v>
      </c>
      <c r="E742" s="1294"/>
      <c r="F742" s="1294"/>
      <c r="G742" s="536"/>
      <c r="H742" s="536"/>
      <c r="I742" s="1065"/>
      <c r="J742" s="536"/>
      <c r="K742" s="536"/>
    </row>
    <row r="743" spans="1:11">
      <c r="A743" s="518"/>
      <c r="B743" s="518"/>
      <c r="C743" s="518"/>
      <c r="G743" s="536"/>
      <c r="H743" s="536"/>
      <c r="I743" s="1065"/>
      <c r="J743" s="536"/>
      <c r="K743" s="536"/>
    </row>
    <row r="744" spans="1:11" ht="14.25">
      <c r="A744" s="519"/>
      <c r="B744" s="520" t="s">
        <v>2774</v>
      </c>
      <c r="D744" s="1291" t="s">
        <v>1143</v>
      </c>
      <c r="E744" s="1291"/>
      <c r="F744" s="1291"/>
      <c r="G744" s="536"/>
      <c r="H744" s="536"/>
      <c r="I744" s="1065" t="s">
        <v>2185</v>
      </c>
      <c r="J744" s="536"/>
      <c r="K744" s="536"/>
    </row>
    <row r="745" spans="1:11" ht="10.5" customHeight="1">
      <c r="D745" s="1291"/>
      <c r="E745" s="1291"/>
      <c r="F745" s="1291"/>
      <c r="G745" s="536"/>
      <c r="H745" s="536"/>
      <c r="I745" s="1065"/>
      <c r="J745" s="536"/>
      <c r="K745" s="536"/>
    </row>
    <row r="746" spans="1:11">
      <c r="D746" s="1291"/>
      <c r="E746" s="1291"/>
      <c r="F746" s="1291"/>
      <c r="G746" s="536"/>
      <c r="H746" s="536"/>
      <c r="I746" s="1065"/>
      <c r="J746" s="536"/>
      <c r="K746" s="536"/>
    </row>
    <row r="747" spans="1:11">
      <c r="D747" s="1291"/>
      <c r="E747" s="1291"/>
      <c r="F747" s="1291"/>
      <c r="G747" s="536"/>
      <c r="H747" s="536"/>
      <c r="I747" s="1065"/>
      <c r="J747" s="536"/>
      <c r="K747" s="536"/>
    </row>
    <row r="748" spans="1:11">
      <c r="D748" s="1291"/>
      <c r="E748" s="1291"/>
      <c r="F748" s="1291"/>
      <c r="G748" s="536"/>
      <c r="H748" s="536"/>
      <c r="I748" s="1065"/>
      <c r="J748" s="536"/>
      <c r="K748" s="536"/>
    </row>
    <row r="749" spans="1:11" ht="15.6" customHeight="1">
      <c r="D749" s="1291"/>
      <c r="E749" s="1291"/>
      <c r="F749" s="1291"/>
      <c r="G749" s="536"/>
      <c r="H749" s="536"/>
      <c r="I749" s="1065"/>
      <c r="J749" s="536"/>
      <c r="K749" s="536"/>
    </row>
    <row r="750" spans="1:11">
      <c r="D750" s="534"/>
      <c r="E750" s="481"/>
      <c r="F750" s="481"/>
      <c r="G750" s="536"/>
      <c r="H750" s="536"/>
      <c r="I750" s="1065"/>
      <c r="J750" s="536"/>
      <c r="K750" s="536"/>
    </row>
    <row r="751" spans="1:11" s="540" customFormat="1" ht="14.25">
      <c r="A751" s="538"/>
      <c r="B751" s="520" t="s">
        <v>2775</v>
      </c>
      <c r="C751" s="539"/>
      <c r="D751" s="1291" t="s">
        <v>1390</v>
      </c>
      <c r="E751" s="1291"/>
      <c r="F751" s="1291"/>
      <c r="I751" s="1066" t="s">
        <v>2185</v>
      </c>
    </row>
    <row r="752" spans="1:11" s="540" customFormat="1">
      <c r="A752" s="539"/>
      <c r="B752" s="539"/>
      <c r="C752" s="539"/>
      <c r="D752" s="1291"/>
      <c r="E752" s="1291"/>
      <c r="F752" s="1291"/>
      <c r="I752" s="1066"/>
    </row>
    <row r="753" spans="1:11" s="540" customFormat="1">
      <c r="A753" s="539"/>
      <c r="B753" s="539"/>
      <c r="C753" s="539"/>
      <c r="D753" s="1291"/>
      <c r="E753" s="1291"/>
      <c r="F753" s="1291"/>
      <c r="I753" s="1066"/>
    </row>
    <row r="754" spans="1:11" s="540" customFormat="1">
      <c r="A754" s="539"/>
      <c r="B754" s="539"/>
      <c r="C754" s="539"/>
      <c r="D754" s="1291"/>
      <c r="E754" s="1291"/>
      <c r="F754" s="1291"/>
      <c r="I754" s="1066"/>
    </row>
    <row r="755" spans="1:11" s="540" customFormat="1">
      <c r="A755" s="539"/>
      <c r="B755" s="539"/>
      <c r="C755" s="539"/>
      <c r="D755" s="534"/>
      <c r="I755" s="1066"/>
    </row>
    <row r="756" spans="1:11" s="540" customFormat="1" ht="14.25">
      <c r="A756" s="519"/>
      <c r="B756" s="520" t="s">
        <v>2775</v>
      </c>
      <c r="C756" s="539"/>
      <c r="D756" s="1289" t="s">
        <v>1391</v>
      </c>
      <c r="E756" s="1289"/>
      <c r="F756" s="1289"/>
      <c r="I756" s="1066" t="s">
        <v>2186</v>
      </c>
    </row>
    <row r="757" spans="1:11" s="540" customFormat="1">
      <c r="A757" s="539"/>
      <c r="B757" s="539"/>
      <c r="C757" s="539"/>
      <c r="D757" s="1289"/>
      <c r="E757" s="1289"/>
      <c r="F757" s="1289"/>
      <c r="I757" s="1066"/>
    </row>
    <row r="758" spans="1:11" s="540" customFormat="1">
      <c r="A758" s="539"/>
      <c r="B758" s="539"/>
      <c r="C758" s="539"/>
      <c r="D758" s="1289"/>
      <c r="E758" s="1289"/>
      <c r="F758" s="1289"/>
      <c r="I758" s="1066"/>
    </row>
    <row r="759" spans="1:11">
      <c r="D759" s="534"/>
      <c r="E759" s="481"/>
      <c r="F759" s="481"/>
      <c r="G759" s="536"/>
      <c r="H759" s="536"/>
      <c r="I759" s="1065"/>
      <c r="J759" s="536"/>
      <c r="K759" s="536"/>
    </row>
    <row r="760" spans="1:11" ht="14.25">
      <c r="A760" s="519"/>
      <c r="B760" s="520" t="s">
        <v>2775</v>
      </c>
      <c r="D760" s="1291" t="s">
        <v>1341</v>
      </c>
      <c r="E760" s="1291"/>
      <c r="F760" s="1291"/>
      <c r="G760" s="536"/>
      <c r="H760" s="536"/>
      <c r="I760" s="1065" t="s">
        <v>2185</v>
      </c>
      <c r="J760" s="536"/>
      <c r="K760" s="536"/>
    </row>
    <row r="761" spans="1:11">
      <c r="D761" s="1291"/>
      <c r="E761" s="1291"/>
      <c r="F761" s="1291"/>
      <c r="G761" s="536"/>
      <c r="H761" s="536"/>
      <c r="I761" s="1065"/>
      <c r="J761" s="536"/>
      <c r="K761" s="536"/>
    </row>
    <row r="762" spans="1:11">
      <c r="D762" s="480"/>
      <c r="E762" s="480"/>
      <c r="F762" s="480"/>
      <c r="G762" s="536"/>
      <c r="H762" s="536"/>
      <c r="I762" s="1065"/>
      <c r="J762" s="536"/>
      <c r="K762" s="536"/>
    </row>
    <row r="763" spans="1:11">
      <c r="B763" s="520" t="s">
        <v>2775</v>
      </c>
      <c r="D763" s="1291" t="s">
        <v>1358</v>
      </c>
      <c r="E763" s="1291"/>
      <c r="F763" s="1291"/>
      <c r="G763" s="536"/>
      <c r="H763" s="536"/>
      <c r="I763" s="1065" t="s">
        <v>2185</v>
      </c>
      <c r="J763" s="536"/>
      <c r="K763" s="536"/>
    </row>
    <row r="764" spans="1:11">
      <c r="D764" s="1291"/>
      <c r="E764" s="1291"/>
      <c r="F764" s="1291"/>
      <c r="G764" s="536"/>
      <c r="H764" s="536"/>
      <c r="I764" s="1065"/>
      <c r="J764" s="536"/>
      <c r="K764" s="536"/>
    </row>
    <row r="765" spans="1:11">
      <c r="D765" s="1291"/>
      <c r="E765" s="1291"/>
      <c r="F765" s="1291"/>
      <c r="G765" s="536"/>
      <c r="H765" s="536"/>
      <c r="I765" s="1065"/>
      <c r="J765" s="536"/>
      <c r="K765" s="536"/>
    </row>
    <row r="766" spans="1:11">
      <c r="D766" s="480"/>
      <c r="E766" s="480"/>
      <c r="F766" s="480"/>
      <c r="G766" s="536"/>
      <c r="H766" s="536"/>
      <c r="I766" s="1065"/>
      <c r="J766" s="536"/>
      <c r="K766" s="536"/>
    </row>
    <row r="767" spans="1:11">
      <c r="A767" s="1343" t="s">
        <v>2065</v>
      </c>
      <c r="B767" s="1343"/>
      <c r="C767" s="1343"/>
      <c r="D767" s="1343"/>
      <c r="E767" s="1343"/>
      <c r="F767" s="1343"/>
      <c r="G767" s="1343"/>
      <c r="H767" s="1071"/>
      <c r="I767" s="1072"/>
    </row>
    <row r="768" spans="1:11">
      <c r="A768" s="57"/>
      <c r="B768" s="57"/>
      <c r="C768" s="386"/>
      <c r="D768" s="3"/>
      <c r="E768" s="3"/>
      <c r="F768" s="3"/>
      <c r="G768" s="3"/>
    </row>
    <row r="769" spans="1:9">
      <c r="A769" s="57"/>
      <c r="B769" s="57"/>
      <c r="C769" s="386"/>
      <c r="D769" s="1344" t="s">
        <v>2119</v>
      </c>
      <c r="E769" s="1344"/>
      <c r="F769" s="1344"/>
      <c r="G769" s="3"/>
    </row>
    <row r="770" spans="1:9">
      <c r="A770" s="57"/>
      <c r="B770" s="57"/>
      <c r="C770" s="386"/>
      <c r="D770" s="1277" t="s">
        <v>2018</v>
      </c>
      <c r="E770" s="1277"/>
      <c r="F770" s="1277"/>
      <c r="G770" s="3"/>
    </row>
    <row r="771" spans="1:9">
      <c r="A771" s="57"/>
      <c r="B771" s="57"/>
      <c r="C771" s="386"/>
      <c r="D771" s="482"/>
      <c r="E771" s="482"/>
      <c r="F771" s="482"/>
      <c r="G771" s="3"/>
    </row>
    <row r="772" spans="1:9">
      <c r="A772" s="57"/>
      <c r="B772" s="520" t="s">
        <v>2774</v>
      </c>
      <c r="C772" s="386"/>
      <c r="D772" s="1304" t="s">
        <v>2019</v>
      </c>
      <c r="E772" s="1304"/>
      <c r="F772" s="1304"/>
      <c r="G772" s="3"/>
      <c r="I772" s="1065" t="s">
        <v>2235</v>
      </c>
    </row>
    <row r="773" spans="1:9">
      <c r="A773" s="57"/>
      <c r="B773" s="57"/>
      <c r="C773" s="386"/>
      <c r="D773" s="1304"/>
      <c r="E773" s="1304"/>
      <c r="F773" s="1304"/>
      <c r="G773" s="3"/>
    </row>
    <row r="774" spans="1:9">
      <c r="A774" s="175"/>
      <c r="B774" s="175"/>
      <c r="C774" s="175"/>
      <c r="D774" s="1304"/>
      <c r="E774" s="1304"/>
      <c r="F774" s="1304"/>
      <c r="G774" s="118"/>
    </row>
    <row r="775" spans="1:9">
      <c r="A775" s="386"/>
      <c r="B775" s="386"/>
      <c r="C775" s="386"/>
      <c r="D775" s="174"/>
      <c r="E775" s="3"/>
      <c r="F775" s="3"/>
      <c r="G775" s="3"/>
    </row>
    <row r="776" spans="1:9">
      <c r="A776" s="172"/>
      <c r="B776" s="520" t="s">
        <v>2775</v>
      </c>
      <c r="C776" s="172"/>
      <c r="D776" s="1304" t="s">
        <v>2020</v>
      </c>
      <c r="E776" s="1304"/>
      <c r="F776" s="1304"/>
      <c r="G776" s="3"/>
      <c r="I776" s="1065" t="s">
        <v>2235</v>
      </c>
    </row>
    <row r="777" spans="1:9">
      <c r="A777" s="172"/>
      <c r="B777" s="172"/>
      <c r="C777" s="172"/>
      <c r="D777" s="1304"/>
      <c r="E777" s="1304"/>
      <c r="F777" s="1304"/>
      <c r="G777" s="3"/>
    </row>
    <row r="778" spans="1:9">
      <c r="A778" s="172"/>
      <c r="B778" s="172"/>
      <c r="C778" s="172"/>
      <c r="D778" s="1304"/>
      <c r="E778" s="1304"/>
      <c r="F778" s="1304"/>
      <c r="G778" s="3"/>
    </row>
    <row r="779" spans="1:9">
      <c r="A779" s="175"/>
      <c r="B779" s="175"/>
      <c r="C779" s="175"/>
      <c r="D779" s="3"/>
      <c r="E779" s="1025"/>
      <c r="F779" s="1025"/>
      <c r="G779" s="1025"/>
    </row>
    <row r="780" spans="1:9" ht="14.25">
      <c r="A780" s="176"/>
      <c r="B780" s="520" t="s">
        <v>2775</v>
      </c>
      <c r="C780" s="1026"/>
      <c r="D780" s="1304" t="s">
        <v>2021</v>
      </c>
      <c r="E780" s="1304"/>
      <c r="F780" s="1304"/>
      <c r="G780" s="1025"/>
      <c r="I780" s="1065" t="s">
        <v>2235</v>
      </c>
    </row>
    <row r="781" spans="1:9" ht="14.25">
      <c r="A781" s="176"/>
      <c r="B781" s="176"/>
      <c r="C781" s="1026"/>
      <c r="D781" s="1304"/>
      <c r="E781" s="1304"/>
      <c r="F781" s="1304"/>
      <c r="G781" s="1025"/>
    </row>
    <row r="782" spans="1:9" ht="14.25">
      <c r="A782" s="176"/>
      <c r="B782" s="176"/>
      <c r="C782" s="1026"/>
      <c r="D782" s="1304"/>
      <c r="E782" s="1304"/>
      <c r="F782" s="1304"/>
      <c r="G782" s="1025"/>
    </row>
    <row r="783" spans="1:9" ht="14.25">
      <c r="A783" s="176"/>
      <c r="B783" s="176"/>
      <c r="C783" s="1026"/>
      <c r="D783" s="118"/>
      <c r="E783" s="3"/>
      <c r="F783" s="3"/>
      <c r="G783" s="1025"/>
    </row>
    <row r="784" spans="1:9" ht="14.25">
      <c r="A784" s="176"/>
      <c r="B784" s="520" t="s">
        <v>2775</v>
      </c>
      <c r="C784" s="1026"/>
      <c r="D784" s="1304" t="s">
        <v>2022</v>
      </c>
      <c r="E784" s="1304"/>
      <c r="F784" s="1304"/>
      <c r="G784" s="1025"/>
      <c r="I784" s="1065" t="s">
        <v>2235</v>
      </c>
    </row>
    <row r="785" spans="1:9" ht="14.25">
      <c r="A785" s="176"/>
      <c r="B785" s="176"/>
      <c r="C785" s="1026"/>
      <c r="D785" s="1304"/>
      <c r="E785" s="1304"/>
      <c r="F785" s="1304"/>
      <c r="G785" s="1025"/>
    </row>
    <row r="786" spans="1:9" ht="14.25">
      <c r="A786" s="176"/>
      <c r="B786" s="176"/>
      <c r="C786" s="1026"/>
      <c r="D786" s="1304"/>
      <c r="E786" s="1304"/>
      <c r="F786" s="1304"/>
      <c r="G786" s="1025"/>
    </row>
    <row r="787" spans="1:9" ht="14.25">
      <c r="A787" s="176"/>
      <c r="B787" s="176"/>
      <c r="C787" s="1026"/>
      <c r="D787" s="1304"/>
      <c r="E787" s="1304"/>
      <c r="F787" s="1304"/>
      <c r="G787" s="1025"/>
    </row>
    <row r="788" spans="1:9" ht="14.25">
      <c r="A788" s="176"/>
      <c r="B788" s="176"/>
      <c r="C788" s="1026"/>
      <c r="D788" s="1304"/>
      <c r="E788" s="1304"/>
      <c r="F788" s="1304"/>
      <c r="G788" s="1025"/>
    </row>
    <row r="789" spans="1:9" ht="14.25">
      <c r="A789" s="176"/>
      <c r="B789" s="176"/>
      <c r="C789" s="1026"/>
      <c r="D789" s="1304"/>
      <c r="E789" s="1304"/>
      <c r="F789" s="1304"/>
      <c r="G789" s="1025"/>
    </row>
    <row r="790" spans="1:9" ht="14.25">
      <c r="A790" s="176"/>
      <c r="B790" s="176"/>
      <c r="C790" s="1026"/>
      <c r="D790" s="1304" t="s">
        <v>2066</v>
      </c>
      <c r="E790" s="1304"/>
      <c r="F790" s="1304"/>
      <c r="G790" s="1025"/>
    </row>
    <row r="791" spans="1:9" ht="14.25">
      <c r="A791" s="176"/>
      <c r="B791" s="176"/>
      <c r="C791" s="1026"/>
      <c r="D791" s="1304"/>
      <c r="E791" s="1304"/>
      <c r="F791" s="1304"/>
      <c r="G791" s="1025"/>
    </row>
    <row r="792" spans="1:9" ht="14.25">
      <c r="A792" s="176"/>
      <c r="B792" s="176"/>
      <c r="C792" s="1026"/>
      <c r="D792" s="1304"/>
      <c r="E792" s="1304"/>
      <c r="F792" s="1304"/>
      <c r="G792" s="1025"/>
    </row>
    <row r="793" spans="1:9" ht="14.25">
      <c r="A793" s="176"/>
      <c r="B793" s="386"/>
      <c r="C793" s="1026"/>
      <c r="D793" s="1027"/>
      <c r="E793" s="1027"/>
      <c r="F793" s="1027"/>
      <c r="G793" s="1025"/>
    </row>
    <row r="794" spans="1:9" ht="14.25">
      <c r="A794" s="176"/>
      <c r="B794" s="520" t="s">
        <v>2775</v>
      </c>
      <c r="C794" s="1026"/>
      <c r="D794" s="1304" t="s">
        <v>2023</v>
      </c>
      <c r="E794" s="1304"/>
      <c r="F794" s="1304"/>
      <c r="G794" s="1025"/>
      <c r="I794" s="1065" t="s">
        <v>2235</v>
      </c>
    </row>
    <row r="795" spans="1:9" ht="14.25">
      <c r="A795" s="176"/>
      <c r="B795" s="176"/>
      <c r="C795" s="1026"/>
      <c r="D795" s="1304"/>
      <c r="E795" s="1304"/>
      <c r="F795" s="1304"/>
      <c r="G795" s="1025"/>
    </row>
    <row r="796" spans="1:9" ht="14.25">
      <c r="A796" s="176"/>
      <c r="B796" s="176"/>
      <c r="C796" s="1026"/>
      <c r="D796" s="1304"/>
      <c r="E796" s="1304"/>
      <c r="F796" s="1304"/>
      <c r="G796" s="1025"/>
    </row>
    <row r="797" spans="1:9" ht="14.25">
      <c r="A797" s="176"/>
      <c r="B797" s="176"/>
      <c r="C797" s="1026"/>
      <c r="D797" s="1304"/>
      <c r="E797" s="1304"/>
      <c r="F797" s="1304"/>
      <c r="G797" s="1025"/>
    </row>
    <row r="798" spans="1:9" ht="14.25">
      <c r="A798" s="176"/>
      <c r="B798" s="176"/>
      <c r="C798" s="1026"/>
      <c r="D798" s="1304"/>
      <c r="E798" s="1304"/>
      <c r="F798" s="1304"/>
      <c r="G798" s="1025"/>
    </row>
    <row r="799" spans="1:9" ht="14.25">
      <c r="A799" s="176"/>
      <c r="B799" s="176"/>
      <c r="C799" s="1026"/>
      <c r="D799" s="1304"/>
      <c r="E799" s="1304"/>
      <c r="F799" s="1304"/>
      <c r="G799" s="1025"/>
    </row>
    <row r="800" spans="1:9" ht="14.25">
      <c r="A800" s="176"/>
      <c r="B800" s="176"/>
      <c r="C800" s="1026"/>
      <c r="D800" s="1019"/>
      <c r="E800" s="1019"/>
      <c r="F800" s="1019"/>
      <c r="G800" s="1025"/>
    </row>
    <row r="801" spans="1:9" ht="14.25">
      <c r="A801" s="176"/>
      <c r="B801" s="520" t="s">
        <v>2775</v>
      </c>
      <c r="C801" s="1026"/>
      <c r="D801" s="1304" t="s">
        <v>2024</v>
      </c>
      <c r="E801" s="1304"/>
      <c r="F801" s="1304"/>
      <c r="G801" s="1025"/>
      <c r="I801" s="1065" t="s">
        <v>2235</v>
      </c>
    </row>
    <row r="802" spans="1:9" ht="14.25">
      <c r="A802" s="176"/>
      <c r="B802" s="176"/>
      <c r="C802" s="1026"/>
      <c r="D802" s="1304"/>
      <c r="E802" s="1304"/>
      <c r="F802" s="1304"/>
      <c r="G802" s="1025"/>
    </row>
    <row r="803" spans="1:9" ht="14.25">
      <c r="A803" s="176"/>
      <c r="B803" s="176"/>
      <c r="C803" s="1026"/>
      <c r="D803" s="1304"/>
      <c r="E803" s="1304"/>
      <c r="F803" s="1304"/>
      <c r="G803" s="1025"/>
    </row>
    <row r="804" spans="1:9" ht="14.25">
      <c r="A804" s="176"/>
      <c r="B804" s="176"/>
      <c r="C804" s="1026"/>
      <c r="D804" s="1304"/>
      <c r="E804" s="1304"/>
      <c r="F804" s="1304"/>
      <c r="G804" s="1025"/>
    </row>
    <row r="805" spans="1:9" ht="14.25">
      <c r="A805" s="176"/>
      <c r="B805" s="176"/>
      <c r="C805" s="1026"/>
      <c r="D805" s="1304"/>
      <c r="E805" s="1304"/>
      <c r="F805" s="1304"/>
      <c r="G805" s="1025"/>
    </row>
    <row r="806" spans="1:9" ht="14.25">
      <c r="A806" s="176"/>
      <c r="B806" s="176"/>
      <c r="C806" s="1026"/>
      <c r="D806" s="1304"/>
      <c r="E806" s="1304"/>
      <c r="F806" s="1304"/>
      <c r="G806" s="1025"/>
    </row>
    <row r="807" spans="1:9" ht="14.25">
      <c r="A807" s="176"/>
      <c r="B807" s="176"/>
      <c r="C807" s="1026"/>
      <c r="D807" s="1019"/>
      <c r="E807" s="1019"/>
      <c r="F807" s="1019"/>
      <c r="G807" s="1025"/>
    </row>
    <row r="808" spans="1:9" ht="14.25">
      <c r="A808" s="176"/>
      <c r="B808" s="520" t="s">
        <v>2775</v>
      </c>
      <c r="C808" s="1026"/>
      <c r="D808" s="1301" t="s">
        <v>2025</v>
      </c>
      <c r="E808" s="1301"/>
      <c r="F808" s="1301"/>
      <c r="G808" s="1025"/>
      <c r="I808" s="1065" t="s">
        <v>2235</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309" t="s">
        <v>2026</v>
      </c>
      <c r="B815" s="1309"/>
      <c r="C815" s="1309"/>
      <c r="D815" s="1309"/>
      <c r="E815" s="1309"/>
      <c r="F815" s="1309"/>
      <c r="G815" s="1309"/>
      <c r="H815" s="1071"/>
      <c r="I815" s="1072"/>
    </row>
    <row r="816" spans="1:9" ht="12.75" customHeight="1">
      <c r="A816" s="172"/>
      <c r="B816" s="172"/>
      <c r="C816" s="1026"/>
      <c r="D816" s="1025"/>
      <c r="E816" s="1025"/>
      <c r="F816" s="1025"/>
      <c r="G816" s="1025"/>
    </row>
    <row r="817" spans="1:9" ht="12.75" customHeight="1">
      <c r="A817" s="176"/>
      <c r="B817" s="176"/>
      <c r="C817" s="386"/>
      <c r="D817" s="1297" t="s">
        <v>2067</v>
      </c>
      <c r="E817" s="1297"/>
      <c r="F817" s="1297"/>
      <c r="G817" s="3"/>
    </row>
    <row r="818" spans="1:9" ht="14.25" customHeight="1">
      <c r="A818" s="176"/>
      <c r="B818" s="176"/>
      <c r="C818" s="386"/>
      <c r="D818" s="1264" t="s">
        <v>2027</v>
      </c>
      <c r="E818" s="1264"/>
      <c r="F818" s="1264"/>
      <c r="G818" s="3"/>
    </row>
    <row r="819" spans="1:9" ht="12.75" customHeight="1">
      <c r="A819" s="176"/>
      <c r="B819" s="176"/>
      <c r="C819" s="386"/>
      <c r="D819" s="475"/>
      <c r="E819" s="475"/>
      <c r="F819" s="475"/>
      <c r="G819" s="3"/>
    </row>
    <row r="820" spans="1:9" ht="12.75" customHeight="1">
      <c r="A820" s="386"/>
      <c r="B820" s="520" t="s">
        <v>2774</v>
      </c>
      <c r="C820" s="1026"/>
      <c r="D820" s="1264" t="s">
        <v>2028</v>
      </c>
      <c r="E820" s="1264"/>
      <c r="F820" s="1264"/>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308</v>
      </c>
      <c r="C823" s="1026"/>
      <c r="D823" s="1332" t="s">
        <v>2480</v>
      </c>
      <c r="E823" s="1332"/>
      <c r="F823" s="1332"/>
      <c r="G823" s="3"/>
    </row>
    <row r="824" spans="1:9" ht="12.75" hidden="1" customHeight="1">
      <c r="A824" s="13"/>
      <c r="B824" s="13"/>
      <c r="C824" s="1026"/>
      <c r="D824" s="1332"/>
      <c r="E824" s="1332"/>
      <c r="F824" s="1332"/>
      <c r="G824" s="3"/>
    </row>
    <row r="825" spans="1:9" ht="12.75" hidden="1" customHeight="1">
      <c r="A825" s="13"/>
      <c r="B825" s="13"/>
      <c r="C825" s="1026"/>
      <c r="D825" s="1332"/>
      <c r="E825" s="1332"/>
      <c r="F825" s="1332"/>
      <c r="G825" s="3"/>
    </row>
    <row r="826" spans="1:9" ht="12.75" hidden="1" customHeight="1">
      <c r="A826" s="13"/>
      <c r="B826" s="13"/>
      <c r="C826" s="1026"/>
      <c r="D826" s="1332"/>
      <c r="E826" s="1332"/>
      <c r="F826" s="1332"/>
      <c r="G826" s="3"/>
    </row>
    <row r="827" spans="1:9" ht="12.75" hidden="1" customHeight="1">
      <c r="A827" s="13"/>
      <c r="B827" s="13"/>
      <c r="C827" s="1026"/>
      <c r="D827" s="1332"/>
      <c r="E827" s="1332"/>
      <c r="F827" s="1332"/>
      <c r="G827" s="3"/>
    </row>
    <row r="828" spans="1:9" ht="12.75" hidden="1" customHeight="1">
      <c r="A828" s="13"/>
      <c r="B828" s="13"/>
      <c r="C828" s="1026"/>
      <c r="D828" s="1332"/>
      <c r="E828" s="1332"/>
      <c r="F828" s="1332"/>
      <c r="G828" s="3"/>
    </row>
    <row r="829" spans="1:9" ht="12.75" hidden="1" customHeight="1">
      <c r="A829" s="13"/>
      <c r="B829" s="13"/>
      <c r="C829" s="1026"/>
      <c r="D829" s="1332"/>
      <c r="E829" s="1332"/>
      <c r="F829" s="1332"/>
      <c r="G829" s="3"/>
    </row>
    <row r="830" spans="1:9" ht="12.75" hidden="1" customHeight="1">
      <c r="A830" s="13"/>
      <c r="B830" s="13"/>
      <c r="C830" s="1026"/>
      <c r="D830" s="1332"/>
      <c r="E830" s="1332"/>
      <c r="F830" s="1332"/>
      <c r="G830" s="3"/>
    </row>
    <row r="831" spans="1:9" ht="12.75" hidden="1" customHeight="1">
      <c r="A831" s="13"/>
      <c r="B831" s="13"/>
      <c r="C831" s="1026"/>
      <c r="D831" s="1332"/>
      <c r="E831" s="1332"/>
      <c r="F831" s="1332"/>
      <c r="G831" s="3"/>
    </row>
    <row r="832" spans="1:9" ht="12.75" hidden="1" customHeight="1">
      <c r="A832" s="13"/>
      <c r="B832" s="13"/>
      <c r="C832" s="1026"/>
      <c r="D832" s="1332"/>
      <c r="E832" s="1332"/>
      <c r="F832" s="1332"/>
      <c r="G832" s="3"/>
    </row>
    <row r="833" spans="1:9" ht="12.75" hidden="1" customHeight="1">
      <c r="A833" s="13"/>
      <c r="B833" s="13"/>
      <c r="C833" s="1026"/>
      <c r="D833" s="1028"/>
      <c r="E833" s="3"/>
      <c r="F833" s="3"/>
      <c r="G833" s="3"/>
    </row>
    <row r="834" spans="1:9" ht="12.75" customHeight="1">
      <c r="A834" s="176"/>
      <c r="B834" s="520" t="s">
        <v>2774</v>
      </c>
      <c r="C834" s="1026"/>
      <c r="D834" s="1264" t="s">
        <v>2029</v>
      </c>
      <c r="E834" s="1264"/>
      <c r="F834" s="1264"/>
      <c r="G834" s="3"/>
      <c r="I834" s="436" t="s">
        <v>2221</v>
      </c>
    </row>
    <row r="835" spans="1:9" ht="12.75" customHeight="1">
      <c r="A835" s="176"/>
      <c r="B835" s="176"/>
      <c r="C835" s="1026"/>
      <c r="D835" s="1264"/>
      <c r="E835" s="1264"/>
      <c r="F835" s="1264"/>
      <c r="G835" s="3"/>
    </row>
    <row r="836" spans="1:9" ht="12.75" customHeight="1">
      <c r="A836" s="176"/>
      <c r="B836" s="176"/>
      <c r="C836" s="1026"/>
      <c r="D836" s="1264"/>
      <c r="E836" s="1264"/>
      <c r="F836" s="1264"/>
      <c r="G836" s="3"/>
    </row>
    <row r="837" spans="1:9" ht="12.75" customHeight="1">
      <c r="A837" s="176"/>
      <c r="B837" s="176"/>
      <c r="C837" s="1026"/>
      <c r="D837" s="118"/>
      <c r="E837" s="3"/>
      <c r="F837" s="3"/>
      <c r="G837" s="3"/>
    </row>
    <row r="838" spans="1:9" ht="12.75" customHeight="1">
      <c r="A838" s="1029"/>
      <c r="B838" s="520" t="s">
        <v>2775</v>
      </c>
      <c r="C838" s="1026"/>
      <c r="D838" s="1297" t="s">
        <v>2030</v>
      </c>
      <c r="E838" s="1297"/>
      <c r="F838" s="1297"/>
      <c r="G838" s="3"/>
    </row>
    <row r="839" spans="1:9" ht="12.75" customHeight="1">
      <c r="A839" s="386"/>
      <c r="B839" s="1029"/>
      <c r="C839" s="1026"/>
      <c r="D839" s="1297"/>
      <c r="E839" s="1297"/>
      <c r="F839" s="1297"/>
      <c r="G839" s="3"/>
    </row>
    <row r="840" spans="1:9" ht="12.75" customHeight="1">
      <c r="A840" s="176"/>
      <c r="B840" s="386"/>
      <c r="C840" s="1026"/>
      <c r="D840" s="1264" t="s">
        <v>2471</v>
      </c>
      <c r="E840" s="1264"/>
      <c r="F840" s="1264"/>
      <c r="G840" s="3"/>
    </row>
    <row r="841" spans="1:9" ht="12.75" customHeight="1">
      <c r="A841" s="176"/>
      <c r="B841" s="176"/>
      <c r="C841" s="1026"/>
      <c r="D841" s="1264"/>
      <c r="E841" s="1264"/>
      <c r="F841" s="1264"/>
      <c r="G841" s="3"/>
    </row>
    <row r="842" spans="1:9" ht="12.75" customHeight="1">
      <c r="A842" s="176"/>
      <c r="B842" s="176"/>
      <c r="C842" s="1026"/>
      <c r="D842" s="1264"/>
      <c r="E842" s="1264"/>
      <c r="F842" s="1264"/>
      <c r="G842" s="3"/>
    </row>
    <row r="843" spans="1:9" ht="12.75" customHeight="1">
      <c r="A843" s="176"/>
      <c r="B843" s="176"/>
      <c r="C843" s="1026"/>
      <c r="D843" s="1264"/>
      <c r="E843" s="1264"/>
      <c r="F843" s="1264"/>
      <c r="G843" s="3"/>
    </row>
    <row r="844" spans="1:9" ht="12.75" customHeight="1">
      <c r="A844" s="176"/>
      <c r="B844" s="176"/>
      <c r="C844" s="1026"/>
      <c r="D844" s="1264"/>
      <c r="E844" s="1264"/>
      <c r="F844" s="1264"/>
      <c r="G844" s="3"/>
    </row>
    <row r="845" spans="1:9" ht="12.75" customHeight="1">
      <c r="A845" s="176"/>
      <c r="B845" s="176"/>
      <c r="C845" s="1026"/>
      <c r="D845" s="1264"/>
      <c r="E845" s="1264"/>
      <c r="F845" s="1264"/>
      <c r="G845" s="3"/>
    </row>
    <row r="846" spans="1:9" ht="12.75" customHeight="1">
      <c r="A846" s="176"/>
      <c r="B846" s="176"/>
      <c r="C846" s="1026"/>
      <c r="D846" s="118"/>
      <c r="E846" s="3"/>
      <c r="F846" s="3"/>
      <c r="G846" s="3"/>
    </row>
    <row r="847" spans="1:9" ht="12.75" customHeight="1">
      <c r="A847" s="176"/>
      <c r="B847" s="520" t="s">
        <v>2775</v>
      </c>
      <c r="C847" s="1026"/>
      <c r="D847" s="1264" t="s">
        <v>2031</v>
      </c>
      <c r="E847" s="1264"/>
      <c r="F847" s="1264"/>
      <c r="G847" s="3"/>
      <c r="I847" s="436" t="s">
        <v>2204</v>
      </c>
    </row>
    <row r="848" spans="1:9" ht="12.75" customHeight="1">
      <c r="A848" s="176"/>
      <c r="B848" s="176"/>
      <c r="C848" s="1026"/>
      <c r="D848" s="1264" t="s">
        <v>2032</v>
      </c>
      <c r="E848" s="1264"/>
      <c r="F848" s="1264"/>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2775</v>
      </c>
      <c r="C851" s="1026"/>
      <c r="D851" s="1264" t="s">
        <v>2033</v>
      </c>
      <c r="E851" s="1264"/>
      <c r="F851" s="1264"/>
      <c r="G851" s="3"/>
      <c r="I851" s="436" t="s">
        <v>2222</v>
      </c>
    </row>
    <row r="852" spans="1:9" ht="12.75" customHeight="1">
      <c r="A852" s="176"/>
      <c r="B852" s="176"/>
      <c r="C852" s="1026"/>
      <c r="D852" s="1264"/>
      <c r="E852" s="1264"/>
      <c r="F852" s="1264"/>
      <c r="G852" s="3"/>
    </row>
    <row r="853" spans="1:9" ht="12.75" customHeight="1">
      <c r="A853" s="176"/>
      <c r="B853" s="176"/>
      <c r="C853" s="1026"/>
      <c r="D853" s="1264"/>
      <c r="E853" s="1264"/>
      <c r="F853" s="1264"/>
      <c r="G853" s="3"/>
    </row>
    <row r="854" spans="1:9" ht="12.75" customHeight="1">
      <c r="A854" s="176"/>
      <c r="B854" s="176"/>
      <c r="C854" s="1026"/>
      <c r="D854" s="1264"/>
      <c r="E854" s="1264"/>
      <c r="F854" s="1264"/>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0" t="s">
        <v>2068</v>
      </c>
      <c r="E858" s="1280"/>
      <c r="F858" s="1280"/>
      <c r="G858" s="1025"/>
    </row>
    <row r="859" spans="1:9" ht="12.75" customHeight="1">
      <c r="A859" s="386"/>
      <c r="B859" s="386"/>
      <c r="C859" s="175"/>
      <c r="D859" s="1331" t="s">
        <v>2035</v>
      </c>
      <c r="E859" s="1331"/>
      <c r="F859" s="1331"/>
      <c r="G859" s="1025"/>
    </row>
    <row r="860" spans="1:9" ht="12.75" customHeight="1">
      <c r="A860" s="386"/>
      <c r="B860" s="386"/>
      <c r="C860" s="175"/>
      <c r="D860" s="1032"/>
      <c r="E860" s="1032"/>
      <c r="F860" s="1032"/>
      <c r="G860" s="1025"/>
    </row>
    <row r="861" spans="1:9" ht="12.75" customHeight="1">
      <c r="A861" s="176"/>
      <c r="B861" s="520" t="s">
        <v>2774</v>
      </c>
      <c r="C861" s="386"/>
      <c r="D861" s="1275" t="s">
        <v>2036</v>
      </c>
      <c r="E861" s="1275"/>
      <c r="F861" s="1275"/>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2774</v>
      </c>
      <c r="C864" s="386"/>
      <c r="D864" s="1264" t="s">
        <v>2037</v>
      </c>
      <c r="E864" s="1282"/>
      <c r="F864" s="1282"/>
      <c r="G864" s="3"/>
      <c r="I864" s="436" t="s">
        <v>2222</v>
      </c>
    </row>
    <row r="865" spans="1:9" ht="12.75" customHeight="1">
      <c r="A865" s="386"/>
      <c r="B865" s="386"/>
      <c r="C865" s="386"/>
      <c r="D865" s="1282"/>
      <c r="E865" s="1282"/>
      <c r="F865" s="1282"/>
      <c r="G865" s="3"/>
    </row>
    <row r="866" spans="1:9" ht="12.75" customHeight="1">
      <c r="A866" s="386"/>
      <c r="B866" s="386"/>
      <c r="C866" s="386"/>
      <c r="D866" s="118"/>
      <c r="E866" s="3"/>
      <c r="F866" s="3"/>
      <c r="G866" s="3"/>
    </row>
    <row r="867" spans="1:9" ht="12.75" customHeight="1">
      <c r="A867" s="386"/>
      <c r="B867" s="520" t="s">
        <v>2775</v>
      </c>
      <c r="C867" s="386"/>
      <c r="D867" s="1329" t="s">
        <v>2038</v>
      </c>
      <c r="E867" s="1329"/>
      <c r="F867" s="1329"/>
      <c r="G867" s="1025"/>
    </row>
    <row r="868" spans="1:9" ht="12.75" customHeight="1">
      <c r="A868" s="386"/>
      <c r="B868" s="1033"/>
      <c r="C868" s="386"/>
      <c r="D868" s="1329"/>
      <c r="E868" s="1329"/>
      <c r="F868" s="1329"/>
      <c r="G868" s="1025"/>
    </row>
    <row r="869" spans="1:9" ht="12.75" customHeight="1">
      <c r="A869" s="176"/>
      <c r="B869"/>
      <c r="C869" s="386"/>
      <c r="D869" s="1264" t="s">
        <v>2471</v>
      </c>
      <c r="E869" s="1264"/>
      <c r="F869" s="1264"/>
      <c r="G869" s="1025"/>
    </row>
    <row r="870" spans="1:9" ht="12.75" customHeight="1">
      <c r="A870" s="176"/>
      <c r="B870" s="176"/>
      <c r="C870" s="386"/>
      <c r="D870" s="1264"/>
      <c r="E870" s="1264"/>
      <c r="F870" s="1264"/>
      <c r="G870" s="1025"/>
    </row>
    <row r="871" spans="1:9" ht="12.75" customHeight="1">
      <c r="A871" s="176"/>
      <c r="B871" s="176"/>
      <c r="C871" s="386"/>
      <c r="D871" s="1264"/>
      <c r="E871" s="1264"/>
      <c r="F871" s="1264"/>
      <c r="G871" s="1025"/>
    </row>
    <row r="872" spans="1:9" ht="12.75" customHeight="1">
      <c r="A872" s="176"/>
      <c r="B872" s="176"/>
      <c r="C872" s="386"/>
      <c r="D872" s="1264"/>
      <c r="E872" s="1264"/>
      <c r="F872" s="1264"/>
      <c r="G872" s="1025"/>
    </row>
    <row r="873" spans="1:9" ht="12.75" customHeight="1">
      <c r="A873" s="176"/>
      <c r="B873" s="176"/>
      <c r="C873" s="386"/>
      <c r="D873" s="1264"/>
      <c r="E873" s="1264"/>
      <c r="F873" s="1264"/>
      <c r="G873" s="1025"/>
    </row>
    <row r="874" spans="1:9" ht="12.75" customHeight="1">
      <c r="A874" s="176"/>
      <c r="B874" s="176"/>
      <c r="C874" s="386"/>
      <c r="D874" s="1264"/>
      <c r="E874" s="1264"/>
      <c r="F874" s="1264"/>
      <c r="G874" s="1025"/>
    </row>
    <row r="875" spans="1:9" ht="12.75" customHeight="1">
      <c r="A875" s="176"/>
      <c r="B875" s="176"/>
      <c r="C875" s="386"/>
      <c r="D875" s="118"/>
      <c r="E875" s="1025"/>
      <c r="F875" s="1025"/>
      <c r="G875" s="1025"/>
    </row>
    <row r="876" spans="1:9" ht="12.75" customHeight="1">
      <c r="A876" s="176"/>
      <c r="B876" s="520" t="s">
        <v>308</v>
      </c>
      <c r="C876" s="386"/>
      <c r="D876" s="1307" t="s">
        <v>2031</v>
      </c>
      <c r="E876" s="1307"/>
      <c r="F876" s="1307"/>
      <c r="G876" s="1025"/>
      <c r="I876" s="436" t="s">
        <v>2204</v>
      </c>
    </row>
    <row r="877" spans="1:9" ht="12.75" customHeight="1">
      <c r="A877" s="176"/>
      <c r="B877" s="176"/>
      <c r="C877" s="386"/>
      <c r="D877" s="1307" t="s">
        <v>2032</v>
      </c>
      <c r="E877" s="1307"/>
      <c r="F877" s="1307"/>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2775</v>
      </c>
      <c r="C880" s="386"/>
      <c r="D880" s="1264" t="s">
        <v>2033</v>
      </c>
      <c r="E880" s="1264"/>
      <c r="F880" s="1264"/>
      <c r="G880" s="1025"/>
      <c r="I880" s="436" t="s">
        <v>2222</v>
      </c>
    </row>
    <row r="881" spans="1:9" ht="12.75" customHeight="1">
      <c r="A881" s="176"/>
      <c r="B881" s="176"/>
      <c r="C881" s="386"/>
      <c r="D881" s="1264"/>
      <c r="E881" s="1264"/>
      <c r="F881" s="1264"/>
      <c r="G881" s="1025"/>
    </row>
    <row r="882" spans="1:9" ht="12.75" customHeight="1">
      <c r="A882" s="176"/>
      <c r="B882" s="176"/>
      <c r="C882" s="386"/>
      <c r="D882" s="1264"/>
      <c r="E882" s="1264"/>
      <c r="F882" s="1264"/>
      <c r="G882" s="1025"/>
    </row>
    <row r="883" spans="1:9" ht="12.75" customHeight="1">
      <c r="A883" s="176"/>
      <c r="B883" s="176"/>
      <c r="C883" s="386"/>
      <c r="D883" s="1264"/>
      <c r="E883" s="1264"/>
      <c r="F883" s="1264"/>
      <c r="G883" s="1025"/>
    </row>
    <row r="884" spans="1:9" ht="12.75" customHeight="1">
      <c r="A884" s="118"/>
      <c r="B884" s="118"/>
      <c r="C884" s="1026"/>
      <c r="D884" s="1025"/>
      <c r="E884" s="1025"/>
      <c r="F884" s="1025"/>
      <c r="G884" s="1025"/>
    </row>
    <row r="885" spans="1:9" ht="12.75" customHeight="1">
      <c r="A885" s="1309" t="s">
        <v>2069</v>
      </c>
      <c r="B885" s="1309"/>
      <c r="C885" s="1309"/>
      <c r="D885" s="1309"/>
      <c r="E885" s="1309"/>
      <c r="F885" s="1309"/>
      <c r="G885" s="1309"/>
      <c r="H885" s="1071"/>
      <c r="I885" s="1072"/>
    </row>
    <row r="886" spans="1:9" ht="12.75" customHeight="1">
      <c r="A886" s="57"/>
      <c r="B886" s="57"/>
      <c r="C886" s="57"/>
      <c r="D886" s="57"/>
      <c r="E886" s="57"/>
      <c r="F886" s="57"/>
      <c r="G886" s="57"/>
    </row>
    <row r="887" spans="1:9" ht="12.75" customHeight="1">
      <c r="A887" s="57"/>
      <c r="B887" s="57"/>
      <c r="C887" s="57"/>
      <c r="D887" s="1303" t="s">
        <v>2075</v>
      </c>
      <c r="E887" s="1303"/>
      <c r="F887" s="1303"/>
      <c r="G887" s="57"/>
    </row>
    <row r="888" spans="1:9" ht="12.75" customHeight="1">
      <c r="A888" s="57"/>
      <c r="B888" s="57"/>
      <c r="C888" s="57"/>
      <c r="D888" s="1018"/>
      <c r="E888" s="1018"/>
      <c r="F888" s="1018"/>
      <c r="G888" s="57"/>
    </row>
    <row r="889" spans="1:9" ht="12.75" customHeight="1">
      <c r="A889" s="57"/>
      <c r="B889" s="520" t="s">
        <v>308</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3" t="s">
        <v>2070</v>
      </c>
      <c r="E891" s="1303"/>
      <c r="F891" s="1303"/>
      <c r="G891" s="1025"/>
    </row>
    <row r="892" spans="1:9" ht="12.75" customHeight="1">
      <c r="A892" s="172"/>
      <c r="B892" s="172"/>
      <c r="C892" s="172"/>
      <c r="D892" s="1275" t="s">
        <v>2039</v>
      </c>
      <c r="E892" s="1275"/>
      <c r="F892" s="1275"/>
      <c r="G892" s="1025"/>
    </row>
    <row r="893" spans="1:9" ht="12.75" customHeight="1">
      <c r="A893" s="1026"/>
      <c r="B893" s="1026"/>
      <c r="C893" s="1026"/>
      <c r="D893" s="2"/>
      <c r="E893" s="1025"/>
      <c r="F893" s="1025"/>
      <c r="G893" s="1025"/>
    </row>
    <row r="894" spans="1:9" ht="12.75" customHeight="1">
      <c r="A894" s="176"/>
      <c r="B894" s="520" t="s">
        <v>308</v>
      </c>
      <c r="C894" s="386"/>
      <c r="D894" s="1264" t="s">
        <v>2043</v>
      </c>
      <c r="E894" s="1264"/>
      <c r="F894" s="1264"/>
      <c r="G894" s="3"/>
      <c r="I894" s="436" t="s">
        <v>2188</v>
      </c>
    </row>
    <row r="895" spans="1:9" ht="12.75" customHeight="1">
      <c r="A895" s="386"/>
      <c r="B895" s="386"/>
      <c r="C895" s="386"/>
      <c r="D895" s="1264"/>
      <c r="E895" s="1264"/>
      <c r="F895" s="1264"/>
      <c r="G895" s="3"/>
    </row>
    <row r="896" spans="1:9" ht="12.75" customHeight="1">
      <c r="A896" s="172"/>
      <c r="B896" s="172"/>
      <c r="C896" s="172"/>
      <c r="D896" s="1264" t="s">
        <v>2042</v>
      </c>
      <c r="E896" s="1264"/>
      <c r="F896" s="1264"/>
      <c r="G896" s="1025"/>
    </row>
    <row r="897" spans="1:9" ht="12.75" customHeight="1">
      <c r="A897" s="172"/>
      <c r="B897" s="172"/>
      <c r="C897" s="172"/>
      <c r="D897" s="1264"/>
      <c r="E897" s="1264"/>
      <c r="F897" s="1264"/>
      <c r="G897" s="1025"/>
    </row>
    <row r="898" spans="1:9" ht="12.75" customHeight="1">
      <c r="A898" s="172"/>
      <c r="B898" s="172"/>
      <c r="C898" s="172"/>
      <c r="D898" s="3"/>
      <c r="E898" s="3"/>
      <c r="F898" s="1025"/>
      <c r="G898" s="1025"/>
    </row>
    <row r="899" spans="1:9" ht="12.75" customHeight="1">
      <c r="A899" s="176"/>
      <c r="B899" s="520" t="s">
        <v>308</v>
      </c>
      <c r="C899" s="175"/>
      <c r="D899" s="1274" t="s">
        <v>2040</v>
      </c>
      <c r="E899" s="1274"/>
      <c r="F899" s="1274"/>
      <c r="G899" s="1025"/>
      <c r="I899" s="436" t="s">
        <v>2187</v>
      </c>
    </row>
    <row r="900" spans="1:9" ht="12.75" customHeight="1">
      <c r="A900" s="176"/>
      <c r="B900" s="176"/>
      <c r="C900" s="175"/>
      <c r="D900" s="1274"/>
      <c r="E900" s="1274"/>
      <c r="F900" s="1274"/>
      <c r="G900" s="1025"/>
    </row>
    <row r="901" spans="1:9" ht="12.75" customHeight="1">
      <c r="A901" s="176"/>
      <c r="B901" s="176"/>
      <c r="C901" s="175"/>
      <c r="D901" s="1274"/>
      <c r="E901" s="1274"/>
      <c r="F901" s="1274"/>
      <c r="G901" s="1025"/>
    </row>
    <row r="902" spans="1:9" ht="12.75" customHeight="1">
      <c r="A902" s="176"/>
      <c r="B902" s="176"/>
      <c r="C902" s="175"/>
      <c r="D902" s="1274"/>
      <c r="E902" s="1274"/>
      <c r="F902" s="1274"/>
      <c r="G902" s="1025"/>
    </row>
    <row r="903" spans="1:9" ht="12.75" customHeight="1">
      <c r="A903" s="176"/>
      <c r="B903" s="176"/>
      <c r="C903" s="175"/>
      <c r="D903" s="1274"/>
      <c r="E903" s="1274"/>
      <c r="F903" s="1274"/>
      <c r="G903" s="1025"/>
    </row>
    <row r="904" spans="1:9" ht="12.75" customHeight="1">
      <c r="A904" s="175"/>
      <c r="B904" s="175"/>
      <c r="C904" s="175"/>
      <c r="D904" s="1274"/>
      <c r="E904" s="1274"/>
      <c r="F904" s="1274"/>
      <c r="G904" s="1025"/>
    </row>
    <row r="905" spans="1:9" ht="12.75" customHeight="1">
      <c r="A905" s="175"/>
      <c r="B905" s="175"/>
      <c r="C905" s="175"/>
      <c r="D905" s="1274"/>
      <c r="E905" s="1274"/>
      <c r="F905" s="1274"/>
      <c r="G905" s="1025"/>
    </row>
    <row r="906" spans="1:9" ht="12.75" customHeight="1">
      <c r="A906" s="175"/>
      <c r="B906" s="175"/>
      <c r="C906" s="175"/>
      <c r="D906" s="1274"/>
      <c r="E906" s="1274"/>
      <c r="F906" s="1274"/>
      <c r="G906" s="1025"/>
    </row>
    <row r="907" spans="1:9" ht="12.75" customHeight="1">
      <c r="A907" s="175"/>
      <c r="B907" s="175"/>
      <c r="C907" s="175"/>
      <c r="D907" s="364"/>
      <c r="E907" s="364"/>
      <c r="F907" s="364"/>
      <c r="G907" s="1025"/>
    </row>
    <row r="908" spans="1:9" ht="12.75" customHeight="1">
      <c r="A908" s="1026"/>
      <c r="B908" s="520" t="s">
        <v>308</v>
      </c>
      <c r="C908" s="1026"/>
      <c r="D908" s="1264" t="s">
        <v>2044</v>
      </c>
      <c r="E908" s="1264"/>
      <c r="F908" s="1264"/>
      <c r="G908" s="1025"/>
    </row>
    <row r="909" spans="1:9" ht="12.75" customHeight="1">
      <c r="A909" s="1026"/>
      <c r="B909" s="1026"/>
      <c r="C909" s="1026"/>
      <c r="D909" s="1264"/>
      <c r="E909" s="1264"/>
      <c r="F909" s="1264"/>
      <c r="G909" s="1025"/>
    </row>
    <row r="910" spans="1:9" ht="12.75" customHeight="1">
      <c r="A910" s="1026"/>
      <c r="B910" s="1026"/>
      <c r="C910" s="1026"/>
      <c r="D910" s="1025"/>
      <c r="E910" s="1025"/>
      <c r="F910" s="1025"/>
      <c r="G910" s="1025"/>
    </row>
    <row r="911" spans="1:9" ht="12.75" customHeight="1">
      <c r="A911" s="1026"/>
      <c r="B911" s="520" t="s">
        <v>308</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308</v>
      </c>
      <c r="C916" s="1026"/>
      <c r="D916" s="1275" t="s">
        <v>2472</v>
      </c>
      <c r="E916" s="1275"/>
      <c r="F916" s="1275"/>
      <c r="G916" s="1025"/>
    </row>
    <row r="917" spans="1:9" ht="12.75" customHeight="1">
      <c r="A917" s="1026"/>
      <c r="B917" s="1026"/>
      <c r="C917" s="1026"/>
      <c r="D917" s="118"/>
      <c r="E917" s="1025"/>
      <c r="F917" s="1025"/>
      <c r="G917" s="1025"/>
    </row>
    <row r="918" spans="1:9" ht="12.75" customHeight="1">
      <c r="A918" s="1026"/>
      <c r="B918" s="520" t="s">
        <v>308</v>
      </c>
      <c r="C918" s="1026"/>
      <c r="D918" s="1275" t="s">
        <v>2473</v>
      </c>
      <c r="E918" s="1275"/>
      <c r="F918" s="1275"/>
      <c r="G918" s="1025"/>
    </row>
    <row r="919" spans="1:9" ht="12.75" customHeight="1">
      <c r="A919" s="175"/>
      <c r="B919" s="175"/>
      <c r="C919" s="175"/>
      <c r="D919" s="2"/>
      <c r="E919" s="3"/>
      <c r="F919" s="1025"/>
      <c r="G919" s="1025"/>
    </row>
    <row r="920" spans="1:9" ht="12.75" customHeight="1">
      <c r="A920" s="1034"/>
      <c r="B920" s="520" t="s">
        <v>308</v>
      </c>
      <c r="C920" s="1035"/>
      <c r="D920" s="1274" t="s">
        <v>2041</v>
      </c>
      <c r="E920" s="1274"/>
      <c r="F920" s="1274"/>
      <c r="G920" s="1036"/>
      <c r="I920" s="436" t="s">
        <v>2237</v>
      </c>
    </row>
    <row r="921" spans="1:9" ht="12.75" customHeight="1">
      <c r="A921" s="1034"/>
      <c r="B921" s="1034"/>
      <c r="C921" s="1035"/>
      <c r="D921" s="1274"/>
      <c r="E921" s="1274"/>
      <c r="F921" s="1274"/>
      <c r="G921" s="1036"/>
    </row>
    <row r="922" spans="1:9" ht="12.75" customHeight="1">
      <c r="A922" s="1034"/>
      <c r="B922" s="1034"/>
      <c r="C922" s="1035"/>
      <c r="D922" s="1274"/>
      <c r="E922" s="1274"/>
      <c r="F922" s="1274"/>
      <c r="G922" s="1036"/>
    </row>
    <row r="923" spans="1:9" ht="12.75" customHeight="1">
      <c r="A923" s="1034"/>
      <c r="B923" s="1034"/>
      <c r="C923" s="1035"/>
      <c r="D923" s="1274"/>
      <c r="E923" s="1274"/>
      <c r="F923" s="1274"/>
      <c r="G923" s="1036"/>
    </row>
    <row r="924" spans="1:9" ht="12.75" customHeight="1">
      <c r="A924" s="1034"/>
      <c r="B924" s="1034"/>
      <c r="C924" s="1035"/>
      <c r="D924" s="1274"/>
      <c r="E924" s="1274"/>
      <c r="F924" s="1274"/>
      <c r="G924" s="1036"/>
    </row>
    <row r="925" spans="1:9" ht="12.75" customHeight="1">
      <c r="A925" s="1034"/>
      <c r="B925" s="1034"/>
      <c r="C925" s="1035"/>
      <c r="D925" s="1274"/>
      <c r="E925" s="1274"/>
      <c r="F925" s="1274"/>
      <c r="G925" s="1036"/>
    </row>
    <row r="926" spans="1:9" ht="12.75" customHeight="1">
      <c r="A926" s="1034"/>
      <c r="B926" s="1034"/>
      <c r="C926" s="1035"/>
      <c r="D926" s="1274"/>
      <c r="E926" s="1274"/>
      <c r="F926" s="1274"/>
      <c r="G926" s="1036"/>
    </row>
    <row r="927" spans="1:9" ht="12.75" customHeight="1">
      <c r="A927" s="1034"/>
      <c r="B927" s="1034"/>
      <c r="C927" s="1035"/>
      <c r="D927" s="1274"/>
      <c r="E927" s="1274"/>
      <c r="F927" s="1274"/>
      <c r="G927" s="1036"/>
    </row>
    <row r="928" spans="1:9" ht="12.75" customHeight="1">
      <c r="A928" s="1034"/>
      <c r="B928" s="1034"/>
      <c r="C928" s="1035"/>
      <c r="D928" s="1274"/>
      <c r="E928" s="1274"/>
      <c r="F928" s="1274"/>
      <c r="G928" s="1036"/>
    </row>
    <row r="929" spans="1:9" ht="12.75" customHeight="1">
      <c r="A929" s="175"/>
      <c r="B929" s="175"/>
      <c r="C929" s="175"/>
      <c r="D929" s="2"/>
      <c r="E929" s="3"/>
      <c r="F929" s="1025"/>
      <c r="G929" s="1025"/>
    </row>
    <row r="930" spans="1:9" ht="12.75" customHeight="1">
      <c r="A930" s="176"/>
      <c r="B930" s="520" t="s">
        <v>308</v>
      </c>
      <c r="C930" s="175"/>
      <c r="D930" s="1330" t="s">
        <v>2239</v>
      </c>
      <c r="E930" s="1330"/>
      <c r="F930" s="1330"/>
      <c r="G930" s="1025"/>
      <c r="I930" s="436" t="s">
        <v>2237</v>
      </c>
    </row>
    <row r="931" spans="1:9" ht="12.75" customHeight="1">
      <c r="A931" s="176"/>
      <c r="B931" s="176"/>
      <c r="C931" s="175"/>
      <c r="D931" s="1330"/>
      <c r="E931" s="1330"/>
      <c r="F931" s="1330"/>
      <c r="G931" s="1025"/>
    </row>
    <row r="932" spans="1:9" ht="12.75" customHeight="1">
      <c r="A932" s="176"/>
      <c r="B932" s="176"/>
      <c r="C932" s="175"/>
      <c r="D932" s="1330"/>
      <c r="E932" s="1330"/>
      <c r="F932" s="1330"/>
      <c r="G932" s="1025"/>
    </row>
    <row r="933" spans="1:9" ht="12.75" customHeight="1">
      <c r="A933" s="176"/>
      <c r="B933" s="176"/>
      <c r="C933" s="175"/>
      <c r="D933" s="1330"/>
      <c r="E933" s="1330"/>
      <c r="F933" s="1330"/>
      <c r="G933" s="1025"/>
    </row>
    <row r="934" spans="1:9" ht="12.75" customHeight="1">
      <c r="A934" s="176"/>
      <c r="B934" s="176"/>
      <c r="C934" s="175"/>
      <c r="D934" s="1330"/>
      <c r="E934" s="1330"/>
      <c r="F934" s="1330"/>
      <c r="G934" s="1025"/>
    </row>
    <row r="935" spans="1:9" ht="12.75" customHeight="1">
      <c r="A935" s="176"/>
      <c r="B935" s="176"/>
      <c r="C935" s="175"/>
      <c r="D935" s="1330"/>
      <c r="E935" s="1330"/>
      <c r="F935" s="1330"/>
      <c r="G935" s="1025"/>
    </row>
    <row r="936" spans="1:9" ht="12.75" customHeight="1">
      <c r="A936" s="176"/>
      <c r="B936" s="176"/>
      <c r="C936" s="175"/>
      <c r="D936" s="1330"/>
      <c r="E936" s="1330"/>
      <c r="F936" s="1330"/>
      <c r="G936" s="1025"/>
    </row>
    <row r="937" spans="1:9" ht="12.75" customHeight="1">
      <c r="A937" s="176"/>
      <c r="B937" s="176"/>
      <c r="C937" s="175"/>
      <c r="D937" s="1067"/>
      <c r="E937" s="1067"/>
      <c r="F937" s="1067"/>
      <c r="G937" s="1025"/>
    </row>
    <row r="938" spans="1:9" ht="12.75" customHeight="1">
      <c r="A938" s="176"/>
      <c r="B938" s="520" t="s">
        <v>308</v>
      </c>
      <c r="C938" s="175"/>
      <c r="D938" s="1273" t="s">
        <v>2567</v>
      </c>
      <c r="E938" s="1273"/>
      <c r="F938" s="1273"/>
      <c r="G938" s="1025"/>
    </row>
    <row r="939" spans="1:9" ht="12.75" customHeight="1">
      <c r="A939" s="176"/>
      <c r="B939" s="176"/>
      <c r="C939" s="175"/>
      <c r="D939" s="1273"/>
      <c r="E939" s="1273"/>
      <c r="F939" s="1273"/>
      <c r="G939" s="1025"/>
    </row>
    <row r="940" spans="1:9" ht="12.75" customHeight="1">
      <c r="A940" s="176"/>
      <c r="B940" s="176"/>
      <c r="C940" s="175"/>
      <c r="D940" s="1273"/>
      <c r="E940" s="1273"/>
      <c r="F940" s="1273"/>
      <c r="G940" s="1025"/>
    </row>
    <row r="941" spans="1:9" ht="12.75" customHeight="1">
      <c r="A941" s="176"/>
      <c r="B941" s="176"/>
      <c r="C941" s="175"/>
      <c r="D941" s="1273"/>
      <c r="E941" s="1273"/>
      <c r="F941" s="1273"/>
      <c r="G941" s="1025"/>
    </row>
    <row r="942" spans="1:9" ht="12.75" customHeight="1">
      <c r="A942" s="176"/>
      <c r="B942" s="176"/>
      <c r="C942" s="175"/>
      <c r="D942" s="1273"/>
      <c r="E942" s="1273"/>
      <c r="F942" s="1273"/>
      <c r="G942" s="1025"/>
    </row>
    <row r="943" spans="1:9" ht="12.75" customHeight="1">
      <c r="A943" s="176"/>
      <c r="B943" s="176"/>
      <c r="C943" s="175"/>
      <c r="D943" s="1273"/>
      <c r="E943" s="1273"/>
      <c r="F943" s="1273"/>
      <c r="G943" s="1025"/>
    </row>
    <row r="944" spans="1:9" ht="12.75" customHeight="1">
      <c r="A944" s="176"/>
      <c r="B944" s="176"/>
      <c r="C944" s="175"/>
      <c r="D944" s="1067"/>
      <c r="E944" s="1067"/>
      <c r="F944" s="1067"/>
      <c r="G944" s="1025"/>
    </row>
    <row r="945" spans="1:9" ht="12.75" customHeight="1">
      <c r="A945" s="1026"/>
      <c r="B945" s="520" t="s">
        <v>308</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308</v>
      </c>
      <c r="C950" s="175"/>
      <c r="D950" s="1274" t="s">
        <v>2238</v>
      </c>
      <c r="E950" s="1274"/>
      <c r="F950" s="1274"/>
      <c r="G950" s="1025"/>
      <c r="I950" s="436" t="s">
        <v>2237</v>
      </c>
    </row>
    <row r="951" spans="1:9" ht="12.75" customHeight="1">
      <c r="A951" s="176"/>
      <c r="B951" s="176"/>
      <c r="C951" s="175"/>
      <c r="D951" s="1274"/>
      <c r="E951" s="1274"/>
      <c r="F951" s="1274"/>
      <c r="G951" s="1025"/>
    </row>
    <row r="952" spans="1:9" ht="12.75" customHeight="1">
      <c r="A952" s="176"/>
      <c r="B952" s="176"/>
      <c r="C952" s="175"/>
      <c r="D952" s="1274"/>
      <c r="E952" s="1274"/>
      <c r="F952" s="1274"/>
      <c r="G952" s="1025"/>
    </row>
    <row r="953" spans="1:9" ht="12.75" customHeight="1">
      <c r="A953" s="176"/>
      <c r="B953" s="176"/>
      <c r="C953" s="175"/>
      <c r="D953" s="1274"/>
      <c r="E953" s="1274"/>
      <c r="F953" s="1274"/>
      <c r="G953" s="1025"/>
    </row>
    <row r="954" spans="1:9" ht="12.75" customHeight="1">
      <c r="A954" s="1026"/>
      <c r="B954" s="1026"/>
      <c r="C954" s="1026"/>
      <c r="D954" s="1017"/>
      <c r="E954" s="1017"/>
      <c r="F954" s="1017"/>
      <c r="G954" s="1017"/>
    </row>
    <row r="955" spans="1:9" ht="12.75" customHeight="1">
      <c r="A955" s="386"/>
      <c r="B955" s="386"/>
      <c r="C955" s="386"/>
      <c r="D955" s="1280" t="s">
        <v>2047</v>
      </c>
      <c r="E955" s="1280"/>
      <c r="F955" s="1280"/>
      <c r="G955" s="3"/>
    </row>
    <row r="956" spans="1:9" ht="12.75" customHeight="1">
      <c r="A956" s="176"/>
      <c r="B956" s="520" t="s">
        <v>308</v>
      </c>
      <c r="C956" s="386"/>
      <c r="D956" s="1275" t="s">
        <v>2071</v>
      </c>
      <c r="E956" s="1275"/>
      <c r="F956" s="1275"/>
      <c r="G956" s="3"/>
      <c r="I956" s="436" t="s">
        <v>2237</v>
      </c>
    </row>
    <row r="957" spans="1:9" ht="12.75" customHeight="1">
      <c r="A957" s="386"/>
      <c r="B957" s="386"/>
      <c r="C957" s="386"/>
      <c r="D957" s="3"/>
      <c r="E957" s="3"/>
      <c r="F957" s="3"/>
      <c r="G957" s="3"/>
    </row>
    <row r="958" spans="1:9" ht="12.75" customHeight="1">
      <c r="A958" s="386"/>
      <c r="B958" s="386"/>
      <c r="C958" s="386"/>
      <c r="D958" s="1280" t="s">
        <v>2048</v>
      </c>
      <c r="E958" s="1280"/>
      <c r="F958" s="1280"/>
      <c r="G958"/>
    </row>
    <row r="959" spans="1:9" ht="12.75" customHeight="1">
      <c r="A959" s="176"/>
      <c r="B959" s="520" t="s">
        <v>2774</v>
      </c>
      <c r="C959" s="386"/>
      <c r="D959" s="1264" t="s">
        <v>2474</v>
      </c>
      <c r="E959" s="1264"/>
      <c r="F959" s="1264"/>
      <c r="G959"/>
      <c r="I959" s="436" t="s">
        <v>2237</v>
      </c>
    </row>
    <row r="960" spans="1:9" ht="12.75" customHeight="1">
      <c r="A960" s="176"/>
      <c r="B960" s="176"/>
      <c r="C960" s="386"/>
      <c r="D960" s="1264"/>
      <c r="E960" s="1264"/>
      <c r="F960" s="1264"/>
      <c r="G960"/>
    </row>
    <row r="961" spans="1:9" ht="12.75" customHeight="1">
      <c r="A961" s="176"/>
      <c r="B961" s="176"/>
      <c r="C961" s="386"/>
      <c r="D961" s="1264"/>
      <c r="E961" s="1264"/>
      <c r="F961" s="1264"/>
      <c r="G961"/>
    </row>
    <row r="962" spans="1:9" ht="12.75" customHeight="1">
      <c r="A962" s="176"/>
      <c r="B962" s="176"/>
      <c r="C962" s="386"/>
      <c r="D962" s="1264"/>
      <c r="E962" s="1264"/>
      <c r="F962" s="1264"/>
      <c r="G962"/>
    </row>
    <row r="963" spans="1:9" ht="12.75" customHeight="1">
      <c r="A963" s="176"/>
      <c r="B963" s="176"/>
      <c r="C963" s="386"/>
      <c r="D963" s="1264"/>
      <c r="E963" s="1264"/>
      <c r="F963" s="1264"/>
      <c r="G963"/>
    </row>
    <row r="964" spans="1:9" ht="12.75" customHeight="1">
      <c r="A964" s="176"/>
      <c r="B964" s="176"/>
      <c r="C964" s="386"/>
      <c r="D964" s="1264"/>
      <c r="E964" s="1264"/>
      <c r="F964" s="1264"/>
      <c r="G964"/>
    </row>
    <row r="965" spans="1:9" ht="12.75" customHeight="1">
      <c r="A965" s="176"/>
      <c r="B965" s="176"/>
      <c r="C965" s="386"/>
      <c r="D965" s="1264"/>
      <c r="E965" s="1264"/>
      <c r="F965" s="1264"/>
      <c r="G965"/>
    </row>
    <row r="966" spans="1:9" ht="12.75" customHeight="1">
      <c r="A966" s="176"/>
      <c r="B966" s="176"/>
      <c r="C966" s="386"/>
      <c r="D966" s="1264"/>
      <c r="E966" s="1264"/>
      <c r="F966" s="1264"/>
      <c r="G966"/>
    </row>
    <row r="967" spans="1:9" ht="12.75" customHeight="1">
      <c r="A967" s="176"/>
      <c r="B967" s="176"/>
      <c r="C967" s="386"/>
      <c r="D967" s="1264"/>
      <c r="E967" s="1264"/>
      <c r="F967" s="1264"/>
      <c r="G967"/>
    </row>
    <row r="968" spans="1:9" ht="12.75" customHeight="1">
      <c r="A968" s="176"/>
      <c r="B968" s="176"/>
      <c r="C968" s="386"/>
      <c r="D968" s="1264"/>
      <c r="E968" s="1264"/>
      <c r="F968" s="1264"/>
      <c r="G968"/>
    </row>
    <row r="969" spans="1:9" ht="12.75" customHeight="1">
      <c r="A969" s="176"/>
      <c r="B969" s="176"/>
      <c r="C969" s="386"/>
      <c r="D969" s="1264"/>
      <c r="E969" s="1264"/>
      <c r="F969" s="1264"/>
      <c r="G969"/>
    </row>
    <row r="970" spans="1:9" ht="12.75" customHeight="1">
      <c r="A970" s="176"/>
      <c r="B970" s="176"/>
      <c r="C970" s="386"/>
      <c r="D970" s="1264"/>
      <c r="E970" s="1264"/>
      <c r="F970" s="1264"/>
      <c r="G970"/>
    </row>
    <row r="971" spans="1:9" ht="12.75" customHeight="1">
      <c r="A971" s="176"/>
      <c r="B971" s="176"/>
      <c r="C971" s="386"/>
      <c r="D971" s="1264"/>
      <c r="E971" s="1264"/>
      <c r="F971" s="1264"/>
      <c r="G971"/>
    </row>
    <row r="972" spans="1:9" ht="12.75" customHeight="1">
      <c r="A972" s="176"/>
      <c r="B972" s="176"/>
      <c r="C972" s="386"/>
      <c r="D972" s="1264"/>
      <c r="E972" s="1264"/>
      <c r="F972" s="1264"/>
      <c r="G972"/>
    </row>
    <row r="973" spans="1:9" ht="12.75" customHeight="1">
      <c r="A973" s="176"/>
      <c r="B973" s="176"/>
      <c r="C973" s="386"/>
      <c r="D973" s="1264"/>
      <c r="E973" s="1264"/>
      <c r="F973" s="1264"/>
      <c r="G973" s="3"/>
    </row>
    <row r="974" spans="1:9" ht="12.75" customHeight="1">
      <c r="A974" s="386"/>
      <c r="B974" s="386"/>
      <c r="C974" s="386"/>
      <c r="D974" s="3"/>
      <c r="E974" s="3"/>
      <c r="F974" s="3"/>
      <c r="G974" s="3"/>
    </row>
    <row r="975" spans="1:9" ht="12.75" customHeight="1">
      <c r="A975" s="1309" t="s">
        <v>2049</v>
      </c>
      <c r="B975" s="1309"/>
      <c r="C975" s="1309"/>
      <c r="D975" s="1309"/>
      <c r="E975" s="1309"/>
      <c r="F975" s="1309"/>
      <c r="G975" s="1309"/>
      <c r="H975" s="1071"/>
      <c r="I975" s="1072"/>
    </row>
    <row r="976" spans="1:9" ht="12.75" customHeight="1">
      <c r="A976" s="118"/>
      <c r="B976" s="118"/>
      <c r="C976" s="386"/>
      <c r="D976" s="3"/>
      <c r="E976" s="3"/>
      <c r="F976" s="3"/>
      <c r="G976" s="3"/>
    </row>
    <row r="977" spans="1:9" ht="12.75" customHeight="1">
      <c r="A977" s="386"/>
      <c r="B977" s="386"/>
      <c r="C977" s="1026"/>
      <c r="D977" s="1280" t="s">
        <v>2072</v>
      </c>
      <c r="E977" s="1280"/>
      <c r="F977" s="1280"/>
      <c r="G977" s="3"/>
    </row>
    <row r="978" spans="1:9" ht="12.75" customHeight="1">
      <c r="A978" s="172"/>
      <c r="B978" s="172"/>
      <c r="C978" s="172"/>
      <c r="D978" s="1275" t="s">
        <v>2050</v>
      </c>
      <c r="E978" s="1275"/>
      <c r="F978" s="1275"/>
      <c r="G978" s="3"/>
    </row>
    <row r="979" spans="1:9" ht="12.75" customHeight="1">
      <c r="A979" s="172"/>
      <c r="B979" s="172"/>
      <c r="C979" s="172"/>
      <c r="D979" s="3"/>
      <c r="E979" s="3"/>
      <c r="F979" s="1025"/>
      <c r="G979"/>
    </row>
    <row r="980" spans="1:9" ht="12.75" customHeight="1">
      <c r="A980" s="386"/>
      <c r="B980" s="520" t="s">
        <v>308</v>
      </c>
      <c r="C980" s="386"/>
      <c r="D980" s="1328" t="s">
        <v>2299</v>
      </c>
      <c r="E980" s="1328"/>
      <c r="F980" s="1328"/>
      <c r="G980"/>
      <c r="I980" s="436" t="s">
        <v>2217</v>
      </c>
    </row>
    <row r="981" spans="1:9" ht="12.75" customHeight="1">
      <c r="A981" s="386"/>
      <c r="B981" s="386"/>
      <c r="C981" s="386"/>
      <c r="D981" s="1328"/>
      <c r="E981" s="1328"/>
      <c r="F981" s="1328"/>
      <c r="G981"/>
    </row>
    <row r="982" spans="1:9" ht="12.75" customHeight="1">
      <c r="A982" s="386"/>
      <c r="B982" s="386"/>
      <c r="C982" s="386"/>
      <c r="D982" s="1082"/>
      <c r="E982" s="1080" t="s">
        <v>2300</v>
      </c>
      <c r="F982" s="1082"/>
      <c r="G982"/>
    </row>
    <row r="983" spans="1:9" ht="12.75" customHeight="1">
      <c r="A983" s="386"/>
      <c r="B983" s="386"/>
      <c r="C983" s="386"/>
      <c r="D983" s="1268" t="s">
        <v>2298</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308</v>
      </c>
      <c r="C988" s="175"/>
      <c r="D988" s="1264" t="s">
        <v>2051</v>
      </c>
      <c r="E988" s="1264"/>
      <c r="F988" s="1264"/>
      <c r="G988"/>
    </row>
    <row r="989" spans="1:9" ht="12.75" customHeight="1">
      <c r="A989" s="175"/>
      <c r="B989" s="175"/>
      <c r="C989" s="175"/>
      <c r="D989" s="1264"/>
      <c r="E989" s="1264"/>
      <c r="F989" s="1264"/>
      <c r="G989"/>
    </row>
    <row r="990" spans="1:9" ht="12.75" customHeight="1">
      <c r="A990" s="175"/>
      <c r="B990" s="175"/>
      <c r="C990" s="175"/>
      <c r="D990" s="1264"/>
      <c r="E990" s="1264"/>
      <c r="F990" s="1264"/>
      <c r="G990"/>
    </row>
    <row r="991" spans="1:9" ht="12.75" customHeight="1">
      <c r="A991" s="175"/>
      <c r="B991" s="175"/>
      <c r="C991" s="175"/>
      <c r="D991" s="1264"/>
      <c r="E991" s="1264"/>
      <c r="F991" s="1264"/>
      <c r="G991"/>
    </row>
    <row r="992" spans="1:9" ht="12.75" customHeight="1">
      <c r="A992" s="175"/>
      <c r="B992" s="175"/>
      <c r="C992" s="175"/>
      <c r="D992" s="475"/>
      <c r="E992" s="475"/>
      <c r="F992" s="475"/>
      <c r="G992"/>
    </row>
    <row r="993" spans="1:7" ht="12.75" customHeight="1">
      <c r="A993" s="175"/>
      <c r="B993" s="520" t="s">
        <v>308</v>
      </c>
      <c r="C993" s="175"/>
      <c r="D993" s="1264" t="s">
        <v>2052</v>
      </c>
      <c r="E993" s="1264"/>
      <c r="F993" s="1264"/>
      <c r="G993"/>
    </row>
    <row r="994" spans="1:7" ht="12.75" customHeight="1">
      <c r="A994" s="175"/>
      <c r="B994" s="175"/>
      <c r="C994" s="175"/>
      <c r="D994" s="1264"/>
      <c r="E994" s="1264"/>
      <c r="F994" s="1264"/>
      <c r="G994"/>
    </row>
    <row r="995" spans="1:7" ht="12.75" customHeight="1">
      <c r="A995" s="175"/>
      <c r="B995" s="175"/>
      <c r="C995" s="175"/>
      <c r="D995" s="475"/>
      <c r="E995" s="475"/>
      <c r="F995" s="475"/>
      <c r="G995"/>
    </row>
    <row r="996" spans="1:7" ht="12.75" customHeight="1">
      <c r="A996" s="176"/>
      <c r="B996" s="520" t="s">
        <v>308</v>
      </c>
      <c r="C996" s="386"/>
      <c r="D996" s="1275" t="s">
        <v>2053</v>
      </c>
      <c r="E996" s="1275"/>
      <c r="F996" s="1275"/>
      <c r="G996"/>
    </row>
    <row r="997" spans="1:7" ht="12.75" customHeight="1">
      <c r="A997" s="386"/>
      <c r="B997" s="386"/>
      <c r="C997" s="386"/>
      <c r="D997" s="3"/>
      <c r="E997" s="3"/>
      <c r="F997" s="3"/>
      <c r="G997"/>
    </row>
    <row r="998" spans="1:7" ht="12.75" customHeight="1">
      <c r="A998" s="176"/>
      <c r="B998" s="520" t="s">
        <v>308</v>
      </c>
      <c r="C998" s="386"/>
      <c r="D998" s="1275" t="s">
        <v>2054</v>
      </c>
      <c r="E998" s="1275"/>
      <c r="F998" s="1275"/>
      <c r="G998"/>
    </row>
    <row r="999" spans="1:7" ht="12.75" customHeight="1">
      <c r="A999" s="386"/>
      <c r="B999" s="386"/>
      <c r="C999" s="386"/>
      <c r="D999" s="118"/>
      <c r="E999" s="3"/>
      <c r="F999" s="3"/>
      <c r="G999"/>
    </row>
    <row r="1000" spans="1:7" ht="12.75" customHeight="1">
      <c r="A1000" s="176"/>
      <c r="B1000" s="520" t="s">
        <v>308</v>
      </c>
      <c r="C1000" s="386"/>
      <c r="D1000" s="1275" t="s">
        <v>2055</v>
      </c>
      <c r="E1000" s="1275"/>
      <c r="F1000" s="1275"/>
      <c r="G1000"/>
    </row>
    <row r="1001" spans="1:7" ht="12.75" customHeight="1">
      <c r="A1001" s="386"/>
      <c r="B1001" s="386"/>
      <c r="C1001" s="386"/>
      <c r="D1001" s="118"/>
      <c r="E1001" s="3"/>
      <c r="F1001" s="3"/>
      <c r="G1001"/>
    </row>
    <row r="1002" spans="1:7" ht="12.75" customHeight="1">
      <c r="A1002" s="176"/>
      <c r="B1002" s="520" t="s">
        <v>308</v>
      </c>
      <c r="C1002" s="386"/>
      <c r="D1002" s="1264" t="s">
        <v>2056</v>
      </c>
      <c r="E1002" s="1264"/>
      <c r="F1002" s="1264"/>
      <c r="G1002"/>
    </row>
    <row r="1003" spans="1:7" ht="12.75" customHeight="1">
      <c r="A1003" s="176"/>
      <c r="B1003" s="176"/>
      <c r="C1003" s="386"/>
      <c r="D1003" s="1264"/>
      <c r="E1003" s="1264"/>
      <c r="F1003" s="1264"/>
      <c r="G1003"/>
    </row>
    <row r="1004" spans="1:7" ht="12.75" customHeight="1">
      <c r="A1004" s="176"/>
      <c r="B1004" s="176"/>
      <c r="C1004" s="386"/>
      <c r="D1004" s="118"/>
      <c r="E1004" s="3"/>
      <c r="F1004" s="3"/>
      <c r="G1004" s="3"/>
    </row>
    <row r="1005" spans="1:7" ht="12.75" customHeight="1">
      <c r="A1005" s="272"/>
      <c r="B1005" s="520" t="s">
        <v>308</v>
      </c>
      <c r="C1005" s="1037"/>
      <c r="D1005" s="1304" t="s">
        <v>2057</v>
      </c>
      <c r="E1005" s="1304"/>
      <c r="F1005" s="1304"/>
      <c r="G1005" s="1038"/>
    </row>
    <row r="1006" spans="1:7" ht="12.75" customHeight="1">
      <c r="A1006" s="1037"/>
      <c r="B1006" s="1037"/>
      <c r="C1006" s="1037"/>
      <c r="D1006" s="1304"/>
      <c r="E1006" s="1304"/>
      <c r="F1006" s="1304"/>
      <c r="G1006" s="1038"/>
    </row>
    <row r="1007" spans="1:7" ht="12.75" customHeight="1">
      <c r="A1007" s="1037"/>
      <c r="B1007" s="1037"/>
      <c r="C1007" s="1037"/>
      <c r="D1007" s="1021"/>
      <c r="E1007" s="1038"/>
      <c r="F1007" s="1038"/>
      <c r="G1007" s="1038"/>
    </row>
    <row r="1008" spans="1:7" ht="12.75" customHeight="1">
      <c r="A1008" s="272"/>
      <c r="B1008" s="520" t="s">
        <v>308</v>
      </c>
      <c r="C1008" s="1037"/>
      <c r="D1008" s="1322" t="s">
        <v>2058</v>
      </c>
      <c r="E1008" s="1322"/>
      <c r="F1008" s="1322"/>
      <c r="G1008" s="1038"/>
    </row>
    <row r="1009" spans="1:9" ht="12.75" customHeight="1">
      <c r="A1009" s="1037"/>
      <c r="B1009" s="1037"/>
      <c r="C1009" s="1037"/>
      <c r="D1009" s="1021"/>
      <c r="E1009" s="1038"/>
      <c r="F1009" s="1038"/>
      <c r="G1009" s="1038"/>
    </row>
    <row r="1010" spans="1:9" ht="12.75" customHeight="1">
      <c r="A1010" s="176"/>
      <c r="B1010" s="520" t="s">
        <v>308</v>
      </c>
      <c r="C1010" s="386"/>
      <c r="D1010" s="1275" t="s">
        <v>2059</v>
      </c>
      <c r="E1010" s="1275"/>
      <c r="F1010" s="1275"/>
      <c r="G1010" s="3"/>
    </row>
    <row r="1011" spans="1:9" ht="12.75" customHeight="1">
      <c r="A1011" s="176"/>
      <c r="B1011" s="176"/>
      <c r="C1011" s="386"/>
      <c r="D1011" s="118"/>
      <c r="E1011" s="3"/>
      <c r="F1011" s="3"/>
      <c r="G1011" s="3"/>
    </row>
    <row r="1012" spans="1:9" ht="12.75" customHeight="1">
      <c r="A1012" s="176"/>
      <c r="B1012" s="520" t="s">
        <v>308</v>
      </c>
      <c r="C1012" s="386"/>
      <c r="D1012" s="1264" t="s">
        <v>2060</v>
      </c>
      <c r="E1012" s="1264"/>
      <c r="F1012" s="1264"/>
      <c r="G1012" s="3"/>
    </row>
    <row r="1013" spans="1:9" ht="12.75" customHeight="1">
      <c r="A1013" s="176"/>
      <c r="B1013" s="176"/>
      <c r="C1013" s="386"/>
      <c r="D1013" s="1264"/>
      <c r="E1013" s="1264"/>
      <c r="F1013" s="1264"/>
      <c r="G1013" s="3"/>
    </row>
    <row r="1014" spans="1:9" ht="12.75" customHeight="1">
      <c r="A1014" s="386"/>
      <c r="B1014" s="386"/>
      <c r="C1014" s="386"/>
      <c r="D1014" s="3"/>
      <c r="E1014" s="3"/>
      <c r="F1014" s="3"/>
      <c r="G1014" s="3"/>
    </row>
    <row r="1015" spans="1:9" ht="12.75" customHeight="1">
      <c r="A1015" s="1309" t="s">
        <v>2061</v>
      </c>
      <c r="B1015" s="1309"/>
      <c r="C1015" s="1309"/>
      <c r="D1015" s="1309"/>
      <c r="E1015" s="1309"/>
      <c r="F1015" s="1309"/>
      <c r="G1015" s="1309"/>
      <c r="H1015" s="1071"/>
      <c r="I1015" s="1072"/>
    </row>
    <row r="1016" spans="1:9" ht="12.75" customHeight="1">
      <c r="A1016" s="386"/>
      <c r="B1016" s="386"/>
      <c r="C1016" s="386"/>
      <c r="D1016" s="3"/>
      <c r="E1016" s="3"/>
      <c r="F1016" s="3"/>
      <c r="G1016" s="3"/>
    </row>
    <row r="1017" spans="1:9" ht="12.75" customHeight="1">
      <c r="A1017" s="386"/>
      <c r="B1017" s="386"/>
      <c r="C1017" s="386"/>
      <c r="D1017" s="1303" t="s">
        <v>2062</v>
      </c>
      <c r="E1017" s="1303"/>
      <c r="F1017" s="1303"/>
      <c r="G1017" s="3"/>
    </row>
    <row r="1018" spans="1:9" ht="12.75" customHeight="1">
      <c r="A1018" s="386"/>
      <c r="B1018" s="386"/>
      <c r="C1018" s="386"/>
      <c r="D1018" s="1322" t="s">
        <v>2063</v>
      </c>
      <c r="E1018" s="1322"/>
      <c r="F1018" s="1322"/>
      <c r="G1018" s="3"/>
    </row>
    <row r="1019" spans="1:9" ht="12.75" customHeight="1">
      <c r="A1019" s="172"/>
      <c r="B1019" s="172"/>
      <c r="C1019" s="172"/>
      <c r="D1019" s="3"/>
      <c r="E1019" s="3"/>
      <c r="F1019" s="3"/>
      <c r="G1019" s="3"/>
    </row>
    <row r="1020" spans="1:9" ht="12.75" customHeight="1">
      <c r="A1020" s="176"/>
      <c r="B1020" s="176"/>
      <c r="C1020" s="175"/>
      <c r="D1020" s="1303" t="s">
        <v>2077</v>
      </c>
      <c r="E1020" s="1303"/>
      <c r="F1020" s="1303"/>
      <c r="G1020" s="3"/>
      <c r="I1020" s="436" t="s">
        <v>2189</v>
      </c>
    </row>
    <row r="1021" spans="1:9" ht="12.75" customHeight="1">
      <c r="A1021" s="386"/>
      <c r="B1021" s="520" t="s">
        <v>308</v>
      </c>
      <c r="C1021" s="386"/>
      <c r="D1021" s="1322" t="s">
        <v>1431</v>
      </c>
      <c r="E1021" s="1322"/>
      <c r="F1021" s="1322"/>
      <c r="G1021" s="3"/>
    </row>
    <row r="1022" spans="1:9" ht="12.75" customHeight="1">
      <c r="A1022" s="386"/>
      <c r="B1022" s="176"/>
      <c r="C1022" s="386"/>
      <c r="D1022" s="1322" t="s">
        <v>2064</v>
      </c>
      <c r="E1022" s="1322"/>
      <c r="F1022" s="1322"/>
      <c r="G1022" s="3"/>
    </row>
    <row r="1023" spans="1:9" ht="12.75" customHeight="1">
      <c r="A1023" s="386"/>
      <c r="B1023" s="386"/>
      <c r="C1023" s="386"/>
      <c r="D1023" s="1322"/>
      <c r="E1023" s="1322"/>
      <c r="F1023" s="1322"/>
      <c r="G1023" s="3"/>
    </row>
    <row r="1024" spans="1:9" ht="12.75" customHeight="1">
      <c r="A1024" s="1309" t="s">
        <v>2073</v>
      </c>
      <c r="B1024" s="1309"/>
      <c r="C1024" s="1309"/>
      <c r="D1024" s="1309"/>
      <c r="E1024" s="1309"/>
      <c r="F1024" s="1309"/>
      <c r="G1024" s="1309"/>
      <c r="H1024" s="1071"/>
      <c r="I1024" s="1072"/>
    </row>
    <row r="1025" spans="1:9" ht="12.75" customHeight="1">
      <c r="A1025" s="118"/>
      <c r="B1025" s="118"/>
      <c r="C1025" s="386"/>
      <c r="D1025" s="3"/>
      <c r="E1025" s="3"/>
      <c r="F1025" s="3"/>
      <c r="G1025" s="3"/>
    </row>
    <row r="1026" spans="1:9" ht="12.75" customHeight="1">
      <c r="A1026" s="118"/>
      <c r="B1026" s="434"/>
      <c r="D1026" s="1311" t="s">
        <v>1432</v>
      </c>
      <c r="E1026" s="1311"/>
      <c r="F1026" s="1311"/>
      <c r="G1026" s="3"/>
    </row>
    <row r="1027" spans="1:9" ht="12.75" customHeight="1">
      <c r="A1027" s="118"/>
      <c r="B1027" s="520" t="s">
        <v>308</v>
      </c>
      <c r="D1027" s="1313" t="s">
        <v>1431</v>
      </c>
      <c r="E1027" s="1313"/>
      <c r="F1027" s="1313"/>
      <c r="G1027" s="3"/>
    </row>
    <row r="1028" spans="1:9" ht="12.75" customHeight="1">
      <c r="A1028" s="118"/>
      <c r="B1028" s="434"/>
      <c r="D1028" s="1313" t="s">
        <v>2074</v>
      </c>
      <c r="E1028" s="1313"/>
      <c r="F1028" s="1313"/>
      <c r="G1028" s="3"/>
    </row>
    <row r="1029" spans="1:9" ht="12.75" customHeight="1">
      <c r="A1029" s="118"/>
      <c r="B1029" s="434"/>
      <c r="D1029" s="479"/>
      <c r="E1029" s="479"/>
      <c r="F1029" s="479"/>
      <c r="G1029" s="3"/>
    </row>
    <row r="1030" spans="1:9" ht="12.75" customHeight="1">
      <c r="A1030" s="118"/>
      <c r="B1030" s="118"/>
      <c r="C1030" s="386"/>
      <c r="D1030" s="1323" t="s">
        <v>1132</v>
      </c>
      <c r="E1030" s="1323"/>
      <c r="F1030" s="1323"/>
      <c r="G1030" s="3"/>
      <c r="I1030" s="436" t="s">
        <v>2218</v>
      </c>
    </row>
    <row r="1031" spans="1:9" ht="12.75" customHeight="1">
      <c r="A1031" s="346"/>
      <c r="B1031" s="346"/>
      <c r="C1031" s="346"/>
      <c r="D1031" s="1307" t="s">
        <v>1149</v>
      </c>
      <c r="E1031" s="1307"/>
      <c r="F1031" s="1307"/>
      <c r="G1031" s="98"/>
    </row>
    <row r="1032" spans="1:9" ht="12.75" customHeight="1">
      <c r="A1032" s="176"/>
      <c r="B1032" s="520" t="s">
        <v>308</v>
      </c>
      <c r="C1032" s="386"/>
      <c r="D1032" s="1307" t="s">
        <v>1026</v>
      </c>
      <c r="E1032" s="1307"/>
      <c r="F1032" s="1307"/>
      <c r="G1032" s="3"/>
    </row>
    <row r="1033" spans="1:9" ht="12.75" customHeight="1">
      <c r="A1033" s="386"/>
      <c r="B1033" s="386"/>
      <c r="C1033" s="386"/>
      <c r="D1033" s="1080" t="s">
        <v>2301</v>
      </c>
      <c r="E1033" s="96"/>
      <c r="F1033" s="96"/>
      <c r="G1033" s="3"/>
    </row>
    <row r="1034" spans="1:9">
      <c r="A1034" s="434"/>
      <c r="B1034" s="434"/>
      <c r="C1034" s="434"/>
    </row>
    <row r="1035" spans="1:9">
      <c r="A1035" s="1309" t="s">
        <v>2094</v>
      </c>
      <c r="B1035" s="1309"/>
      <c r="C1035" s="1309"/>
      <c r="D1035" s="1309"/>
      <c r="E1035" s="1309"/>
      <c r="F1035" s="1309"/>
      <c r="G1035" s="1309"/>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308</v>
      </c>
      <c r="C1040" s="434"/>
      <c r="D1040" s="1325" t="s">
        <v>2078</v>
      </c>
      <c r="E1040" s="1325"/>
      <c r="F1040" s="1325"/>
      <c r="I1040" s="436" t="s">
        <v>2190</v>
      </c>
    </row>
    <row r="1041" spans="1:9">
      <c r="A1041" s="434"/>
      <c r="B1041" s="434"/>
      <c r="C1041" s="434"/>
      <c r="D1041" s="1325"/>
      <c r="E1041" s="1325"/>
      <c r="F1041" s="1325"/>
    </row>
    <row r="1042" spans="1:9">
      <c r="A1042" s="434"/>
      <c r="B1042" s="434"/>
      <c r="C1042" s="434"/>
      <c r="D1042" s="1325"/>
      <c r="E1042" s="1325"/>
      <c r="F1042" s="1325"/>
    </row>
    <row r="1043" spans="1:9">
      <c r="A1043" s="434"/>
      <c r="B1043" s="434"/>
      <c r="C1043" s="434"/>
      <c r="D1043" s="1325"/>
      <c r="E1043" s="1325"/>
      <c r="F1043" s="132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308</v>
      </c>
      <c r="C1048" s="434"/>
      <c r="D1048" s="434" t="s">
        <v>2076</v>
      </c>
      <c r="I1048" s="436" t="s">
        <v>2191</v>
      </c>
    </row>
    <row r="1049" spans="1:9">
      <c r="A1049" s="434"/>
      <c r="B1049" s="434"/>
      <c r="C1049" s="434"/>
    </row>
    <row r="1050" spans="1:9">
      <c r="A1050" s="434"/>
      <c r="B1050" s="520" t="s">
        <v>308</v>
      </c>
      <c r="C1050" s="434"/>
      <c r="D1050" s="1325" t="s">
        <v>2082</v>
      </c>
      <c r="E1050" s="1325"/>
      <c r="F1050" s="1325"/>
      <c r="I1050" s="436" t="s">
        <v>2192</v>
      </c>
    </row>
    <row r="1051" spans="1:9">
      <c r="A1051" s="434"/>
      <c r="B1051" s="434"/>
      <c r="C1051" s="434"/>
      <c r="D1051" s="1325"/>
      <c r="E1051" s="1325"/>
      <c r="F1051" s="1325"/>
    </row>
    <row r="1052" spans="1:9">
      <c r="A1052" s="434"/>
      <c r="B1052" s="434"/>
      <c r="C1052" s="434"/>
      <c r="D1052" s="1325"/>
      <c r="E1052" s="1325"/>
      <c r="F1052" s="1325"/>
    </row>
    <row r="1053" spans="1:9">
      <c r="A1053" s="434"/>
      <c r="B1053" s="434"/>
      <c r="C1053" s="434"/>
      <c r="D1053" s="1325"/>
      <c r="E1053" s="1325"/>
      <c r="F1053" s="1325"/>
    </row>
    <row r="1054" spans="1:9">
      <c r="A1054" s="434"/>
      <c r="B1054" s="434"/>
      <c r="C1054" s="434"/>
      <c r="D1054" s="1325"/>
      <c r="E1054" s="1325"/>
      <c r="F1054" s="1325"/>
    </row>
    <row r="1055" spans="1:9">
      <c r="A1055" s="434"/>
      <c r="B1055" s="434"/>
      <c r="C1055" s="434"/>
    </row>
    <row r="1056" spans="1:9">
      <c r="A1056" s="1309" t="s">
        <v>2083</v>
      </c>
      <c r="B1056" s="1309"/>
      <c r="C1056" s="1309"/>
      <c r="D1056" s="1309"/>
      <c r="E1056" s="1309"/>
      <c r="F1056" s="1309"/>
      <c r="G1056" s="1309"/>
      <c r="H1056" s="1071"/>
      <c r="I1056" s="1072"/>
    </row>
    <row r="1057" spans="1:9">
      <c r="A1057" s="434"/>
      <c r="B1057" s="434"/>
      <c r="C1057" s="434"/>
    </row>
    <row r="1058" spans="1:9">
      <c r="A1058" s="434"/>
      <c r="B1058" s="434"/>
      <c r="C1058" s="434"/>
    </row>
    <row r="1059" spans="1:9">
      <c r="A1059" s="434"/>
      <c r="B1059" s="520" t="s">
        <v>308</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308</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308</v>
      </c>
      <c r="C1065" s="434"/>
      <c r="D1065" s="119" t="s">
        <v>2092</v>
      </c>
      <c r="I1065" s="436" t="s">
        <v>2195</v>
      </c>
    </row>
    <row r="1066" spans="1:9">
      <c r="A1066" s="434"/>
      <c r="B1066" s="434"/>
      <c r="C1066" s="434"/>
      <c r="D1066" s="1264" t="s">
        <v>2093</v>
      </c>
      <c r="E1066" s="1264"/>
      <c r="F1066" s="1264"/>
    </row>
    <row r="1067" spans="1:9">
      <c r="A1067" s="434"/>
      <c r="B1067" s="434"/>
      <c r="C1067" s="434"/>
      <c r="D1067" s="1264"/>
      <c r="E1067" s="1264"/>
      <c r="F1067" s="1264"/>
    </row>
    <row r="1068" spans="1:9">
      <c r="A1068" s="434"/>
      <c r="B1068" s="434"/>
      <c r="C1068" s="434"/>
      <c r="D1068" s="1264"/>
      <c r="E1068" s="1264"/>
      <c r="F1068" s="1264"/>
    </row>
    <row r="1069" spans="1:9">
      <c r="A1069" s="434"/>
      <c r="B1069" s="434"/>
      <c r="C1069" s="434"/>
      <c r="D1069" s="1264"/>
      <c r="E1069" s="1264"/>
      <c r="F1069" s="1264"/>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308</v>
      </c>
      <c r="C1073" s="434"/>
      <c r="D1073" s="1324" t="s">
        <v>2085</v>
      </c>
      <c r="E1073" s="1324"/>
      <c r="F1073" s="1324"/>
    </row>
    <row r="1074" spans="1:9">
      <c r="A1074" s="434"/>
      <c r="B1074" s="434"/>
      <c r="C1074" s="434"/>
      <c r="D1074" s="1324"/>
      <c r="E1074" s="1324"/>
      <c r="F1074" s="1324"/>
    </row>
    <row r="1075" spans="1:9">
      <c r="A1075" s="434"/>
      <c r="B1075" s="434"/>
      <c r="C1075" s="434"/>
      <c r="D1075" s="1324"/>
      <c r="E1075" s="1324"/>
      <c r="F1075" s="1324"/>
    </row>
    <row r="1076" spans="1:9">
      <c r="A1076" s="434"/>
      <c r="B1076" s="434"/>
      <c r="C1076" s="434"/>
      <c r="D1076" s="1324"/>
      <c r="E1076" s="1324"/>
      <c r="F1076" s="1324"/>
    </row>
    <row r="1077" spans="1:9">
      <c r="A1077" s="434"/>
      <c r="B1077" s="434"/>
      <c r="C1077" s="434"/>
      <c r="D1077" s="1324"/>
      <c r="E1077" s="1324"/>
      <c r="F1077" s="1324"/>
    </row>
    <row r="1078" spans="1:9">
      <c r="A1078" s="434"/>
      <c r="B1078" s="434"/>
      <c r="C1078" s="434"/>
      <c r="D1078" s="562" t="s">
        <v>2090</v>
      </c>
    </row>
    <row r="1079" spans="1:9">
      <c r="A1079" s="434"/>
      <c r="B1079" s="434"/>
      <c r="C1079" s="434"/>
    </row>
    <row r="1080" spans="1:9">
      <c r="A1080" s="1309" t="s">
        <v>2095</v>
      </c>
      <c r="B1080" s="1309"/>
      <c r="C1080" s="1309"/>
      <c r="D1080" s="1309"/>
      <c r="E1080" s="1309"/>
      <c r="F1080" s="1309"/>
      <c r="G1080" s="1309"/>
      <c r="H1080" s="1071"/>
      <c r="I1080" s="1072"/>
    </row>
    <row r="1081" spans="1:9">
      <c r="A1081" s="434"/>
      <c r="B1081" s="434"/>
      <c r="C1081" s="434"/>
    </row>
    <row r="1082" spans="1:9">
      <c r="A1082" s="434"/>
      <c r="B1082" s="434"/>
      <c r="C1082" s="434"/>
    </row>
    <row r="1083" spans="1:9" ht="12.75" customHeight="1">
      <c r="A1083" s="434"/>
      <c r="B1083" s="520" t="s">
        <v>308</v>
      </c>
      <c r="C1083" s="434"/>
      <c r="D1083" s="1326" t="s">
        <v>2313</v>
      </c>
      <c r="E1083" s="1326"/>
      <c r="F1083" s="1326"/>
      <c r="I1083" s="436" t="s">
        <v>2197</v>
      </c>
    </row>
    <row r="1084" spans="1:9">
      <c r="A1084" s="434"/>
      <c r="B1084" s="434"/>
      <c r="C1084" s="434"/>
      <c r="D1084" s="1326"/>
      <c r="E1084" s="1326"/>
      <c r="F1084" s="1326"/>
    </row>
    <row r="1085" spans="1:9">
      <c r="A1085" s="434"/>
      <c r="B1085" s="434"/>
      <c r="C1085" s="434"/>
      <c r="D1085" s="1327" t="s">
        <v>2625</v>
      </c>
      <c r="E1085" s="1264"/>
      <c r="F1085" s="1264"/>
    </row>
    <row r="1086" spans="1:9">
      <c r="A1086" s="434"/>
      <c r="B1086" s="434"/>
      <c r="C1086" s="434"/>
      <c r="D1086" s="562"/>
    </row>
    <row r="1087" spans="1:9">
      <c r="A1087" s="434"/>
      <c r="B1087" s="520" t="s">
        <v>308</v>
      </c>
      <c r="C1087" s="434"/>
      <c r="D1087" s="1324" t="s">
        <v>2096</v>
      </c>
      <c r="E1087" s="1324"/>
      <c r="F1087" s="1324"/>
      <c r="I1087" s="436" t="s">
        <v>2198</v>
      </c>
    </row>
    <row r="1088" spans="1:9">
      <c r="A1088" s="434"/>
      <c r="B1088" s="434"/>
      <c r="C1088" s="434"/>
      <c r="D1088" s="1324"/>
      <c r="E1088" s="1324"/>
      <c r="F1088" s="1324"/>
    </row>
    <row r="1089" spans="1:9">
      <c r="A1089" s="434"/>
      <c r="B1089" s="434"/>
      <c r="C1089" s="434"/>
      <c r="D1089" s="562"/>
    </row>
    <row r="1090" spans="1:9">
      <c r="A1090" s="434"/>
      <c r="B1090" s="520" t="s">
        <v>308</v>
      </c>
      <c r="C1090" s="434"/>
      <c r="D1090" s="1324" t="s">
        <v>2242</v>
      </c>
      <c r="E1090" s="1324"/>
      <c r="F1090" s="1324"/>
      <c r="I1090" s="436" t="s">
        <v>2240</v>
      </c>
    </row>
    <row r="1091" spans="1:9">
      <c r="A1091" s="434"/>
      <c r="B1091" s="434"/>
      <c r="C1091" s="434"/>
      <c r="D1091" s="1324"/>
      <c r="E1091" s="1324"/>
      <c r="F1091" s="1324"/>
    </row>
    <row r="1092" spans="1:9">
      <c r="A1092" s="434"/>
      <c r="B1092" s="434"/>
      <c r="C1092" s="434"/>
      <c r="D1092" s="1324"/>
      <c r="E1092" s="1324"/>
      <c r="F1092" s="1324"/>
    </row>
    <row r="1093" spans="1:9">
      <c r="A1093" s="434"/>
      <c r="B1093" s="434"/>
      <c r="C1093" s="434"/>
      <c r="D1093" s="1324"/>
      <c r="E1093" s="1324"/>
      <c r="F1093" s="1324"/>
    </row>
    <row r="1094" spans="1:9">
      <c r="A1094" s="434"/>
      <c r="B1094" s="434"/>
      <c r="C1094" s="434"/>
      <c r="D1094" s="1324"/>
      <c r="E1094" s="1324"/>
      <c r="F1094" s="1324"/>
    </row>
    <row r="1095" spans="1:9">
      <c r="A1095" s="434"/>
      <c r="B1095" s="434"/>
      <c r="C1095" s="434"/>
      <c r="D1095" s="1324"/>
      <c r="E1095" s="1324"/>
      <c r="F1095" s="1324"/>
    </row>
    <row r="1096" spans="1:9">
      <c r="A1096" s="434"/>
      <c r="B1096" s="434"/>
      <c r="C1096" s="434"/>
      <c r="D1096" s="562" t="s">
        <v>2241</v>
      </c>
      <c r="I1096" s="434"/>
    </row>
    <row r="1097" spans="1:9">
      <c r="A1097" s="434"/>
      <c r="B1097" s="520" t="s">
        <v>308</v>
      </c>
      <c r="C1097" s="434"/>
      <c r="D1097" s="1324" t="s">
        <v>2097</v>
      </c>
      <c r="E1097" s="1324"/>
      <c r="F1097" s="1324"/>
      <c r="I1097" s="436" t="s">
        <v>2199</v>
      </c>
    </row>
    <row r="1098" spans="1:9">
      <c r="A1098" s="434"/>
      <c r="B1098" s="434"/>
      <c r="C1098" s="434"/>
      <c r="D1098" s="1324"/>
      <c r="E1098" s="1324"/>
      <c r="F1098" s="1324"/>
    </row>
    <row r="1099" spans="1:9">
      <c r="A1099" s="434"/>
      <c r="B1099" s="434"/>
      <c r="C1099" s="434"/>
      <c r="D1099" s="1324"/>
      <c r="E1099" s="1324"/>
      <c r="F1099" s="1324"/>
    </row>
    <row r="1100" spans="1:9">
      <c r="A1100" s="434"/>
      <c r="B1100" s="434"/>
      <c r="C1100" s="434"/>
      <c r="D1100" s="562"/>
    </row>
    <row r="1101" spans="1:9">
      <c r="A1101" s="434"/>
      <c r="B1101" s="520" t="s">
        <v>308</v>
      </c>
      <c r="C1101" s="434"/>
      <c r="D1101" s="1268" t="s">
        <v>2243</v>
      </c>
      <c r="E1101" s="1268"/>
      <c r="F1101" s="1268"/>
      <c r="I1101" s="436" t="s">
        <v>2200</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7"/>
      <c r="E1104" s="1017"/>
      <c r="F1104" s="1017"/>
    </row>
    <row r="1105" spans="1:9" ht="15.75" customHeight="1">
      <c r="A1105" s="434"/>
      <c r="B1105" s="520" t="s">
        <v>308</v>
      </c>
      <c r="C1105" s="434"/>
      <c r="D1105" s="1264" t="s">
        <v>2245</v>
      </c>
      <c r="E1105" s="1264"/>
      <c r="F1105" s="1264"/>
      <c r="I1105" s="436" t="s">
        <v>2244</v>
      </c>
    </row>
    <row r="1106" spans="1:9">
      <c r="A1106" s="434"/>
      <c r="B1106" s="434"/>
      <c r="C1106" s="434"/>
      <c r="D1106" s="1264"/>
      <c r="E1106" s="1264"/>
      <c r="F1106" s="1264"/>
    </row>
    <row r="1107" spans="1:9">
      <c r="A1107" s="434"/>
      <c r="B1107" s="434"/>
      <c r="C1107" s="434"/>
      <c r="D1107" s="1264"/>
      <c r="E1107" s="1264"/>
      <c r="F1107" s="1264"/>
    </row>
    <row r="1108" spans="1:9">
      <c r="A1108" s="434"/>
      <c r="B1108" s="434"/>
      <c r="C1108" s="434"/>
      <c r="D1108" s="1264"/>
      <c r="E1108" s="1264"/>
      <c r="F1108" s="1264"/>
    </row>
    <row r="1109" spans="1:9">
      <c r="A1109" s="434"/>
      <c r="B1109" s="434"/>
      <c r="C1109" s="434"/>
      <c r="D1109" s="1017"/>
      <c r="E1109" s="1017"/>
      <c r="F1109" s="1017"/>
    </row>
    <row r="1110" spans="1:9" ht="38.25">
      <c r="A1110" s="434"/>
      <c r="B1110" s="434"/>
      <c r="C1110" s="434"/>
      <c r="I1110" s="448" t="s">
        <v>2475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90"/>
      <c r="H1523" s="1290"/>
      <c r="I1523" s="129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710" zoomScale="110" zoomScaleNormal="110" zoomScaleSheetLayoutView="80" workbookViewId="0">
      <selection activeCell="AC721" sqref="AC721:AG721"/>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9" t="s">
        <v>101</v>
      </c>
      <c r="B8" s="1599"/>
      <c r="C8" s="1599"/>
      <c r="D8" s="1599"/>
      <c r="E8" s="1599"/>
      <c r="F8" s="1599"/>
      <c r="G8" s="1599"/>
      <c r="H8" s="1599"/>
      <c r="I8" s="1599"/>
      <c r="J8" s="1599"/>
      <c r="K8" s="1599"/>
      <c r="L8" s="1599"/>
      <c r="M8" s="1599"/>
      <c r="N8" s="1599"/>
      <c r="O8" s="1599"/>
      <c r="P8" s="1599"/>
      <c r="Q8" s="1599"/>
      <c r="R8" s="1599"/>
      <c r="S8" s="1599"/>
      <c r="T8" s="1599"/>
      <c r="U8" s="1599"/>
      <c r="V8" s="1599"/>
      <c r="W8" s="1599"/>
      <c r="X8" s="1599"/>
      <c r="Y8" s="1599"/>
      <c r="Z8" s="1599"/>
      <c r="AA8" s="1599"/>
      <c r="AB8" s="1599"/>
      <c r="AC8" s="1599"/>
      <c r="AD8" s="1599"/>
      <c r="AE8" s="1599"/>
      <c r="AF8" s="1599"/>
      <c r="AG8" s="1599"/>
      <c r="AH8" s="1599"/>
      <c r="AI8" s="1599"/>
      <c r="AJ8" s="1599"/>
      <c r="AK8" s="1599"/>
      <c r="AL8" s="1599"/>
      <c r="AM8" s="935"/>
      <c r="AN8" s="935"/>
      <c r="AO8" s="935"/>
      <c r="AP8" s="935"/>
      <c r="AQ8" s="935"/>
      <c r="AR8" s="935"/>
      <c r="AS8" s="935"/>
      <c r="AT8" s="935"/>
      <c r="AU8" s="935"/>
      <c r="AV8" s="935"/>
      <c r="AW8" s="935"/>
      <c r="AX8" s="935"/>
      <c r="AY8" s="935"/>
    </row>
    <row r="9" spans="1:51" ht="12.95" customHeight="1">
      <c r="A9" s="1300" t="s">
        <v>2481</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2615</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780" t="s">
        <v>2623</v>
      </c>
      <c r="B12" s="1781"/>
      <c r="C12" s="1781"/>
      <c r="D12" s="1781"/>
      <c r="E12" s="1781"/>
      <c r="F12" s="1781"/>
      <c r="G12" s="1781"/>
      <c r="H12" s="1781"/>
      <c r="I12" s="1781"/>
      <c r="J12" s="1781"/>
      <c r="K12" s="1781"/>
      <c r="L12" s="1781"/>
      <c r="M12" s="1781"/>
      <c r="N12" s="1781"/>
      <c r="O12" s="1781"/>
      <c r="P12" s="1781"/>
      <c r="Q12" s="1781"/>
      <c r="R12" s="1781"/>
      <c r="S12" s="1781"/>
      <c r="T12" s="1781"/>
      <c r="U12" s="1781"/>
      <c r="V12" s="1781"/>
      <c r="W12" s="1781"/>
      <c r="X12" s="1781"/>
      <c r="Y12" s="1781"/>
      <c r="Z12" s="1781"/>
      <c r="AA12" s="1781"/>
      <c r="AB12" s="1781"/>
      <c r="AC12" s="1781"/>
      <c r="AD12" s="1781"/>
      <c r="AE12" s="1781"/>
      <c r="AF12" s="1781"/>
      <c r="AG12" s="1781"/>
      <c r="AH12" s="1781"/>
      <c r="AI12" s="1781"/>
      <c r="AJ12" s="1781"/>
      <c r="AK12" s="1781"/>
      <c r="AL12" s="1781"/>
      <c r="AM12" s="6"/>
      <c r="AN12" s="6"/>
      <c r="AO12" s="6"/>
      <c r="AP12" s="6"/>
      <c r="AQ12" s="6"/>
      <c r="AR12" s="6"/>
      <c r="AS12" s="6"/>
      <c r="AT12" s="6"/>
      <c r="AU12" s="6"/>
      <c r="AV12" s="6"/>
      <c r="AW12" s="6"/>
      <c r="AX12" s="6"/>
      <c r="AY12" s="6"/>
    </row>
    <row r="13" spans="1:51" ht="12.95" customHeight="1">
      <c r="A13" s="1262" t="s">
        <v>2482</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936"/>
      <c r="AN13" s="936"/>
      <c r="AO13" s="936"/>
      <c r="AP13" s="936"/>
      <c r="AQ13" s="936"/>
      <c r="AR13" s="936"/>
      <c r="AS13" s="936"/>
      <c r="AT13" s="936"/>
      <c r="AU13" s="936"/>
      <c r="AV13" s="936"/>
      <c r="AW13" s="936"/>
      <c r="AX13" s="936"/>
      <c r="AY13" s="936"/>
    </row>
    <row r="14" spans="1:51" ht="12.95" customHeight="1" thickBot="1">
      <c r="A14" s="126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2483</v>
      </c>
      <c r="C16" s="4"/>
      <c r="D16" s="4"/>
      <c r="E16" s="4"/>
      <c r="F16" s="4"/>
      <c r="G16" s="4"/>
      <c r="H16" s="1765" t="s">
        <v>2762</v>
      </c>
      <c r="I16" s="1758"/>
      <c r="J16" s="1758"/>
      <c r="K16" s="1758"/>
      <c r="L16" s="1758"/>
      <c r="M16" s="1758"/>
      <c r="N16" s="1758"/>
      <c r="O16" s="1758"/>
      <c r="P16" s="1758"/>
      <c r="Q16" s="1758"/>
      <c r="R16" s="1758"/>
      <c r="S16" s="1758"/>
      <c r="T16" s="1758"/>
      <c r="U16" s="1758"/>
      <c r="V16" s="1758"/>
      <c r="W16" s="1758"/>
      <c r="X16" s="1758"/>
      <c r="Y16" s="1758"/>
      <c r="Z16" s="1758"/>
      <c r="AA16" s="1758"/>
      <c r="AB16" s="1758"/>
      <c r="AC16" s="1758"/>
      <c r="AD16" s="1758"/>
      <c r="AE16" s="1758"/>
      <c r="AF16" s="1758"/>
      <c r="AG16" s="1758"/>
      <c r="AH16" s="1758"/>
      <c r="AI16" s="1758"/>
      <c r="AJ16" s="1758"/>
    </row>
    <row r="17" spans="1:52" ht="12.95" customHeight="1"/>
    <row r="18" spans="1:52" ht="12.95" customHeight="1">
      <c r="A18" s="57" t="s">
        <v>102</v>
      </c>
      <c r="C18" s="4"/>
      <c r="D18" s="4"/>
      <c r="E18" s="4"/>
      <c r="F18" s="4"/>
      <c r="G18" s="4"/>
      <c r="H18" s="1371" t="s">
        <v>2626</v>
      </c>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row>
    <row r="19" spans="1:52" ht="12.95" customHeight="1"/>
    <row r="20" spans="1:52" ht="12.95" customHeight="1">
      <c r="A20" s="1775" t="s">
        <v>901</v>
      </c>
      <c r="B20" s="1775"/>
      <c r="C20" s="1775"/>
      <c r="D20" s="1775"/>
      <c r="E20" s="1775"/>
      <c r="F20" s="1775"/>
      <c r="G20" s="1775"/>
      <c r="H20" s="1775"/>
      <c r="I20" s="1775"/>
      <c r="J20" s="1775"/>
      <c r="K20" s="1775"/>
      <c r="L20" s="1775"/>
      <c r="M20" s="1775"/>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c r="AL20" s="1775"/>
      <c r="AM20" s="937"/>
      <c r="AN20" s="937"/>
      <c r="AO20" s="937"/>
      <c r="AP20" s="937"/>
      <c r="AQ20" s="937"/>
      <c r="AR20" s="937"/>
      <c r="AS20" s="937"/>
      <c r="AT20" s="937"/>
      <c r="AU20" s="937"/>
      <c r="AV20" s="937"/>
      <c r="AW20" s="937"/>
      <c r="AX20" s="937"/>
      <c r="AY20" s="937"/>
    </row>
    <row r="21" spans="1:52" ht="12.95" customHeight="1">
      <c r="A21" s="1766" t="s">
        <v>1066</v>
      </c>
      <c r="B21" s="1766"/>
      <c r="C21" s="1766"/>
      <c r="D21" s="1766"/>
      <c r="E21" s="1766"/>
      <c r="F21" s="1766"/>
      <c r="G21" s="1766"/>
      <c r="H21" s="1766"/>
      <c r="I21" s="1766"/>
      <c r="J21" s="1766"/>
      <c r="K21" s="1766"/>
      <c r="L21" s="1766"/>
      <c r="M21" s="1766"/>
      <c r="N21" s="1766"/>
      <c r="O21" s="1766"/>
      <c r="P21" s="1766"/>
      <c r="Q21" s="1766"/>
      <c r="R21" s="1766"/>
      <c r="S21" s="1766"/>
      <c r="T21" s="1766"/>
      <c r="U21" s="1766"/>
      <c r="V21" s="1766"/>
      <c r="W21" s="1766"/>
      <c r="X21" s="1766"/>
      <c r="Y21" s="1766"/>
      <c r="Z21" s="1766"/>
      <c r="AA21" s="1766"/>
      <c r="AB21" s="1766"/>
      <c r="AC21" s="1766"/>
      <c r="AD21" s="1766"/>
      <c r="AE21" s="1766"/>
      <c r="AF21" s="1766"/>
      <c r="AG21" s="1766"/>
      <c r="AH21" s="1766"/>
      <c r="AI21" s="1766"/>
      <c r="AJ21" s="1766"/>
      <c r="AK21" s="1766"/>
      <c r="AL21" s="1766"/>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64">
        <f>'Basis &amp; Credits'!AB56</f>
        <v>3656139</v>
      </c>
      <c r="N26" s="1764"/>
      <c r="O26" s="1764"/>
      <c r="P26" s="1764"/>
      <c r="Q26" s="1764"/>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9">
        <f>'Basis &amp; Credits'!AB77</f>
        <v>21080512</v>
      </c>
      <c r="N27" s="1399"/>
      <c r="O27" s="1399"/>
      <c r="P27" s="1399"/>
      <c r="Q27" s="1399"/>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58" t="s">
        <v>678</v>
      </c>
      <c r="P33" s="1358"/>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2486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2490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2491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2500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2501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2502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181</v>
      </c>
      <c r="G122" s="1773"/>
      <c r="H122" s="1773"/>
      <c r="I122" s="3" t="s">
        <v>182</v>
      </c>
      <c r="L122" s="1773"/>
      <c r="M122" s="1773"/>
      <c r="N122" s="1773"/>
      <c r="O122" s="1772" t="s">
        <v>1427</v>
      </c>
      <c r="P122" s="1772"/>
      <c r="Q122" s="1772"/>
      <c r="R122" s="1772"/>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28"/>
      <c r="D124" s="1828"/>
      <c r="E124" s="1828"/>
      <c r="F124" s="1828"/>
      <c r="G124" s="1828"/>
      <c r="H124" s="1828"/>
      <c r="I124" s="1828"/>
      <c r="J124" s="1828"/>
      <c r="K124" s="1828"/>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73"/>
      <c r="Z126" s="1773"/>
      <c r="AA126" s="1773"/>
      <c r="AB126" s="1773"/>
      <c r="AC126" s="1773"/>
      <c r="AD126" s="1773"/>
      <c r="AE126" s="1773"/>
      <c r="AF126" s="1773"/>
      <c r="AG126" s="1773"/>
      <c r="AH126" s="1773"/>
      <c r="AI126" s="1773"/>
      <c r="AJ126" s="1773"/>
      <c r="AK126" s="1773"/>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73"/>
      <c r="Z129" s="1773"/>
      <c r="AA129" s="1773"/>
      <c r="AB129" s="1773"/>
      <c r="AC129" s="1773"/>
      <c r="AD129" s="1773"/>
      <c r="AE129" s="1773"/>
      <c r="AF129" s="1773"/>
      <c r="AG129" s="1773"/>
      <c r="AH129" s="1773"/>
      <c r="AI129" s="1773"/>
      <c r="AJ129" s="1773"/>
      <c r="AK129" s="1773"/>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73"/>
      <c r="Z132" s="1773"/>
      <c r="AA132" s="1773"/>
      <c r="AB132" s="1773"/>
      <c r="AC132" s="1773"/>
      <c r="AD132" s="1773"/>
      <c r="AE132" s="1773"/>
      <c r="AF132" s="1773"/>
      <c r="AG132" s="1773"/>
      <c r="AH132" s="1773"/>
      <c r="AI132" s="1773"/>
      <c r="AJ132" s="1773"/>
      <c r="AK132" s="1773"/>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71" t="s">
        <v>2628</v>
      </c>
      <c r="P153" s="1654"/>
      <c r="Q153" s="1654"/>
      <c r="R153" s="1654"/>
      <c r="S153" s="1654"/>
      <c r="T153" s="1654"/>
      <c r="U153" s="1654"/>
      <c r="V153" s="1654"/>
      <c r="W153" s="1654"/>
      <c r="X153" s="1654"/>
      <c r="Y153" s="1654"/>
      <c r="Z153" s="1654"/>
      <c r="AA153" s="1654"/>
      <c r="AB153" s="1654"/>
      <c r="AC153" s="1654"/>
      <c r="AD153" s="1654"/>
      <c r="AE153" s="1654"/>
      <c r="AF153" s="1654"/>
      <c r="AG153" s="1654"/>
      <c r="AH153" s="1654"/>
    </row>
    <row r="154" spans="1:72" ht="12.95" customHeight="1">
      <c r="D154" s="325" t="s">
        <v>442</v>
      </c>
      <c r="O154" s="1365" t="s">
        <v>2627</v>
      </c>
      <c r="P154" s="1355"/>
      <c r="Q154" s="1355"/>
      <c r="R154" s="1355"/>
      <c r="S154" s="1355"/>
      <c r="T154" s="1355"/>
      <c r="U154" s="1355"/>
      <c r="V154" s="1355"/>
      <c r="W154" s="1355"/>
      <c r="X154" s="1355"/>
      <c r="Y154" s="1355"/>
      <c r="Z154" s="1355"/>
      <c r="AA154" s="1355"/>
      <c r="AB154" s="1355"/>
      <c r="AC154" s="1355"/>
      <c r="AD154" s="1355"/>
      <c r="AE154" s="1355"/>
      <c r="AF154" s="1355"/>
      <c r="AG154" s="1355"/>
      <c r="AH154" s="1355"/>
    </row>
    <row r="155" spans="1:72" ht="12.95" customHeight="1">
      <c r="D155" s="8" t="s">
        <v>444</v>
      </c>
      <c r="F155" s="8"/>
      <c r="G155" s="8"/>
      <c r="H155" s="8"/>
      <c r="I155" s="8"/>
      <c r="J155" s="8"/>
      <c r="K155" s="8"/>
      <c r="L155" s="8"/>
      <c r="M155" s="8"/>
      <c r="N155" s="8"/>
      <c r="O155" s="1768" t="s">
        <v>443</v>
      </c>
      <c r="P155" s="1768"/>
      <c r="Q155" s="1768"/>
      <c r="R155" s="1768"/>
      <c r="S155" s="1768"/>
      <c r="T155" s="1768"/>
      <c r="U155" s="1768"/>
      <c r="V155" s="1768"/>
      <c r="W155" s="1768"/>
      <c r="X155" s="1768"/>
      <c r="Y155" s="1768"/>
      <c r="Z155" s="1768"/>
      <c r="AA155" s="1768"/>
      <c r="AB155" s="1768"/>
      <c r="AC155" s="1768"/>
      <c r="AD155" s="1768"/>
      <c r="AE155" s="1768"/>
      <c r="AF155" s="1768"/>
      <c r="AG155" s="1768"/>
      <c r="AH155" s="1768"/>
    </row>
    <row r="156" spans="1:72" ht="12.95" customHeight="1">
      <c r="D156" t="s">
        <v>314</v>
      </c>
      <c r="O156" s="1371" t="s">
        <v>2631</v>
      </c>
      <c r="P156" s="1357"/>
      <c r="Q156" s="1357"/>
      <c r="R156" s="1357"/>
      <c r="S156" s="1357"/>
      <c r="T156" s="1357"/>
      <c r="U156" s="1357"/>
      <c r="V156" s="1357"/>
      <c r="W156" s="1357"/>
      <c r="X156" s="1357"/>
      <c r="Y156" s="1357"/>
      <c r="Z156" s="1357"/>
      <c r="AA156" s="1357"/>
      <c r="AB156" s="1357"/>
      <c r="AC156" s="1357"/>
      <c r="AD156" s="1357"/>
      <c r="AE156" s="1357"/>
      <c r="AF156" s="1357"/>
      <c r="AG156" s="1357"/>
      <c r="AH156" s="1357"/>
      <c r="BT156" t="s">
        <v>308</v>
      </c>
    </row>
    <row r="157" spans="1:72" ht="12.95" customHeight="1">
      <c r="D157" t="s">
        <v>315</v>
      </c>
      <c r="O157" s="1371" t="s">
        <v>2632</v>
      </c>
      <c r="P157" s="1654"/>
      <c r="Q157" s="1654"/>
      <c r="R157" s="1654"/>
      <c r="S157" s="1654"/>
      <c r="T157" s="1654"/>
      <c r="U157" s="1654"/>
      <c r="V157" s="1654"/>
      <c r="W157" s="1654"/>
      <c r="X157" s="1654"/>
      <c r="Y157" s="8"/>
      <c r="Z157" s="8"/>
      <c r="AA157" s="8"/>
      <c r="AB157" s="8"/>
      <c r="AC157" s="8"/>
      <c r="AD157" s="8"/>
      <c r="AE157" s="8"/>
      <c r="AF157" s="8"/>
      <c r="BN157" s="23" t="s">
        <v>645</v>
      </c>
      <c r="BT157" t="s">
        <v>485</v>
      </c>
    </row>
    <row r="158" spans="1:72" ht="12.95" customHeight="1">
      <c r="D158" t="s">
        <v>316</v>
      </c>
      <c r="O158" s="1769">
        <v>92260</v>
      </c>
      <c r="P158" s="1769"/>
      <c r="Q158" s="1769"/>
      <c r="R158" s="1769"/>
      <c r="S158" s="9"/>
      <c r="T158" s="9"/>
      <c r="U158" s="9"/>
      <c r="V158" s="9"/>
      <c r="W158" s="9"/>
      <c r="X158" s="9"/>
      <c r="Y158" s="9"/>
      <c r="Z158" s="9"/>
      <c r="AA158" s="9"/>
      <c r="AB158" s="9"/>
      <c r="AC158" s="9"/>
      <c r="AD158" s="9"/>
      <c r="AE158" s="9"/>
      <c r="AF158" s="9"/>
      <c r="BN158" s="23" t="s">
        <v>646</v>
      </c>
      <c r="BT158" t="s">
        <v>486</v>
      </c>
    </row>
    <row r="159" spans="1:72" ht="12.95" customHeight="1">
      <c r="D159" t="s">
        <v>317</v>
      </c>
      <c r="O159" s="1663" t="s">
        <v>2629</v>
      </c>
      <c r="P159" s="1771"/>
      <c r="Q159" s="1771"/>
      <c r="R159" s="1771"/>
      <c r="S159" s="1771"/>
      <c r="T159" s="1771"/>
      <c r="V159" s="97" t="s">
        <v>272</v>
      </c>
      <c r="W159" s="1770"/>
      <c r="X159" s="1770"/>
      <c r="Y159" s="10"/>
      <c r="Z159" s="10"/>
      <c r="AA159" s="10"/>
      <c r="AB159" s="10"/>
      <c r="AC159" s="10"/>
      <c r="AD159" s="10"/>
      <c r="AE159" s="10"/>
      <c r="AF159" s="10"/>
      <c r="BN159" s="23" t="s">
        <v>340</v>
      </c>
      <c r="BT159" t="s">
        <v>487</v>
      </c>
    </row>
    <row r="160" spans="1:72" ht="12.95" customHeight="1">
      <c r="D160" t="s">
        <v>318</v>
      </c>
      <c r="O160" s="1771"/>
      <c r="P160" s="1771"/>
      <c r="Q160" s="1771"/>
      <c r="R160" s="1771"/>
      <c r="S160" s="1771"/>
      <c r="T160" s="1771"/>
      <c r="U160" s="10"/>
      <c r="V160" s="10"/>
      <c r="W160" s="10"/>
      <c r="X160" s="10"/>
      <c r="Y160" s="10"/>
      <c r="Z160" s="10"/>
      <c r="AA160" s="10"/>
      <c r="AB160" s="10"/>
      <c r="AC160" s="10"/>
      <c r="AD160" s="10"/>
      <c r="AE160" s="10"/>
      <c r="AF160" s="10"/>
      <c r="BN160" s="23" t="s">
        <v>669</v>
      </c>
      <c r="BT160" t="s">
        <v>488</v>
      </c>
    </row>
    <row r="161" spans="1:72" ht="12.95" customHeight="1">
      <c r="D161" t="s">
        <v>319</v>
      </c>
      <c r="O161" s="1753" t="s">
        <v>2630</v>
      </c>
      <c r="P161" s="1753"/>
      <c r="Q161" s="1753"/>
      <c r="R161" s="1753"/>
      <c r="S161" s="1753"/>
      <c r="T161" s="1753"/>
      <c r="U161" s="1753"/>
      <c r="V161" s="1753"/>
      <c r="W161" s="1753"/>
      <c r="X161" s="1753"/>
      <c r="Y161" s="1753"/>
      <c r="Z161" s="1753"/>
      <c r="AA161" s="1753"/>
      <c r="AB161" s="1753"/>
      <c r="AC161" s="1753"/>
      <c r="AD161" s="1753"/>
      <c r="AE161" s="1753"/>
      <c r="AF161" s="1753"/>
      <c r="AG161" s="1753"/>
      <c r="AH161" s="1753"/>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2525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29" t="s">
        <v>1388</v>
      </c>
      <c r="E164" s="1829"/>
      <c r="F164" s="1829"/>
      <c r="G164" s="1829"/>
      <c r="H164" s="1829"/>
      <c r="I164" s="1829"/>
      <c r="J164" s="1829"/>
      <c r="K164" s="1829"/>
      <c r="L164" s="1829"/>
      <c r="M164" s="1829"/>
      <c r="N164" s="1829"/>
      <c r="O164" s="1829"/>
      <c r="P164" s="1829"/>
      <c r="Q164" s="1829"/>
      <c r="R164" s="1829"/>
      <c r="S164" s="1829"/>
      <c r="T164" s="1829"/>
      <c r="U164" s="1829"/>
      <c r="V164" s="1829"/>
      <c r="W164" s="1829"/>
      <c r="X164" s="1829"/>
      <c r="Y164" s="1829"/>
      <c r="Z164" s="1829"/>
      <c r="AA164" s="1829"/>
      <c r="AB164" s="1829"/>
      <c r="AC164" s="1829"/>
      <c r="AD164" s="1829"/>
      <c r="AE164" s="1829"/>
      <c r="AF164" s="1829"/>
      <c r="AG164" s="1829"/>
      <c r="AH164" s="1829"/>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48" t="s">
        <v>548</v>
      </c>
      <c r="B169" s="1648"/>
      <c r="C169" s="1648"/>
      <c r="D169" s="1648"/>
      <c r="E169" s="1648"/>
      <c r="F169" s="1648"/>
      <c r="G169" s="1648"/>
      <c r="H169" s="1648"/>
      <c r="I169" s="164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95"/>
      <c r="AN169" s="95"/>
      <c r="AO169" s="95"/>
      <c r="AP169" s="95"/>
      <c r="AQ169" s="95"/>
      <c r="AR169" s="95"/>
      <c r="AS169" s="95"/>
      <c r="AT169" s="95"/>
      <c r="AU169" s="95"/>
      <c r="AV169" s="95"/>
      <c r="AW169" s="95"/>
      <c r="AX169" s="95"/>
      <c r="AY169" s="95"/>
      <c r="BN169" s="23" t="s">
        <v>682</v>
      </c>
      <c r="BT169" t="s">
        <v>497</v>
      </c>
    </row>
    <row r="170" spans="1:72" ht="12.95" customHeight="1" thickBot="1">
      <c r="A170" s="1649"/>
      <c r="B170" s="1649"/>
      <c r="C170" s="1649"/>
      <c r="D170" s="1649"/>
      <c r="E170" s="1649"/>
      <c r="F170" s="1649"/>
      <c r="G170" s="1649"/>
      <c r="H170" s="1649"/>
      <c r="I170" s="164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D170" s="1649"/>
      <c r="AE170" s="1649"/>
      <c r="AF170" s="1649"/>
      <c r="AG170" s="1649"/>
      <c r="AH170" s="1649"/>
      <c r="AI170" s="1649"/>
      <c r="AJ170" s="1649"/>
      <c r="AK170" s="1649"/>
      <c r="AL170" s="1649"/>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212</v>
      </c>
      <c r="BT171" t="s">
        <v>499</v>
      </c>
    </row>
    <row r="172" spans="1:72" ht="12.95" customHeight="1">
      <c r="A172" s="2" t="s">
        <v>320</v>
      </c>
      <c r="C172" s="2" t="s">
        <v>321</v>
      </c>
      <c r="BN172" s="23" t="s">
        <v>214</v>
      </c>
      <c r="BT172" t="s">
        <v>500</v>
      </c>
    </row>
    <row r="173" spans="1:72" ht="12.95" customHeight="1">
      <c r="C173" s="24"/>
      <c r="D173" t="s">
        <v>322</v>
      </c>
      <c r="J173" s="1767" t="s">
        <v>372</v>
      </c>
      <c r="K173" s="1767"/>
      <c r="L173" s="1767"/>
      <c r="M173" s="1767"/>
      <c r="N173" s="1767"/>
      <c r="O173" s="1767"/>
      <c r="P173" s="1767"/>
      <c r="Q173" s="1767"/>
      <c r="R173" s="1767"/>
      <c r="S173" s="1767"/>
      <c r="U173" s="25"/>
      <c r="X173" s="25"/>
      <c r="BN173" s="23" t="s">
        <v>215</v>
      </c>
      <c r="BT173" t="s">
        <v>501</v>
      </c>
    </row>
    <row r="174" spans="1:72" ht="12.95" customHeight="1">
      <c r="C174" s="24"/>
      <c r="D174" s="3" t="s">
        <v>1345</v>
      </c>
      <c r="J174" s="1357" t="s">
        <v>2531</v>
      </c>
      <c r="K174" s="1357"/>
      <c r="L174" s="1357"/>
      <c r="M174" s="1357"/>
      <c r="N174" s="1357"/>
      <c r="O174" s="1357"/>
      <c r="P174" s="1357"/>
      <c r="Q174" s="1357"/>
      <c r="R174" s="1357"/>
      <c r="S174" s="1357"/>
      <c r="T174" s="1357"/>
      <c r="U174" s="1357"/>
      <c r="V174" s="1357"/>
      <c r="W174" s="1357"/>
      <c r="X174" s="1357"/>
      <c r="Y174" s="1357"/>
      <c r="Z174" s="1357"/>
      <c r="AA174" s="1357"/>
      <c r="AB174" s="1357"/>
      <c r="BN174" s="23" t="s">
        <v>217</v>
      </c>
      <c r="BT174" t="s">
        <v>502</v>
      </c>
    </row>
    <row r="175" spans="1:72" ht="12.95" customHeight="1">
      <c r="C175" s="8"/>
      <c r="D175" s="3" t="s">
        <v>323</v>
      </c>
      <c r="O175" s="27"/>
      <c r="U175" s="1358"/>
      <c r="V175" s="1358"/>
      <c r="BN175" s="23" t="s">
        <v>218</v>
      </c>
      <c r="BT175" t="s">
        <v>503</v>
      </c>
    </row>
    <row r="176" spans="1:72" ht="12.95" customHeight="1">
      <c r="C176" s="8"/>
      <c r="D176" s="26"/>
      <c r="E176" t="s">
        <v>305</v>
      </c>
      <c r="O176" s="27"/>
      <c r="P176" t="s">
        <v>2503</v>
      </c>
      <c r="T176" s="27" t="s">
        <v>306</v>
      </c>
      <c r="U176" s="1389"/>
      <c r="V176" s="1389"/>
      <c r="W176" s="1" t="s">
        <v>307</v>
      </c>
      <c r="X176" s="1754"/>
      <c r="Y176" s="1754"/>
      <c r="BN176" s="23" t="s">
        <v>220</v>
      </c>
      <c r="BT176" t="s">
        <v>504</v>
      </c>
    </row>
    <row r="177" spans="1:72" ht="12.95" customHeight="1">
      <c r="C177" s="24"/>
      <c r="D177" t="s">
        <v>250</v>
      </c>
      <c r="R177" s="1358"/>
      <c r="S177" s="1358"/>
      <c r="BN177" s="23" t="s">
        <v>221</v>
      </c>
      <c r="BT177" t="s">
        <v>505</v>
      </c>
    </row>
    <row r="178" spans="1:72" ht="12.95" customHeight="1">
      <c r="C178" s="24"/>
      <c r="D178" s="3" t="s">
        <v>1346</v>
      </c>
      <c r="AA178" t="s">
        <v>2503</v>
      </c>
      <c r="AE178" s="27" t="s">
        <v>306</v>
      </c>
      <c r="AF178" s="1606"/>
      <c r="AG178" s="1606"/>
      <c r="AH178" s="1" t="s">
        <v>307</v>
      </c>
      <c r="AI178" s="1659"/>
      <c r="AJ178" s="1659"/>
      <c r="AK178" s="1659"/>
      <c r="BN178" s="23" t="s">
        <v>222</v>
      </c>
      <c r="BT178" t="s">
        <v>53</v>
      </c>
    </row>
    <row r="179" spans="1:72" ht="12.95" customHeight="1">
      <c r="C179" s="24"/>
      <c r="BN179" s="23" t="s">
        <v>223</v>
      </c>
      <c r="BT179" t="s">
        <v>54</v>
      </c>
    </row>
    <row r="180" spans="1:72" ht="12.95" customHeight="1">
      <c r="C180" s="24"/>
      <c r="D180" t="s">
        <v>2504</v>
      </c>
      <c r="X180" s="1358"/>
      <c r="Y180" s="1358"/>
      <c r="BN180" s="23" t="s">
        <v>225</v>
      </c>
      <c r="BT180" t="s">
        <v>55</v>
      </c>
    </row>
    <row r="181" spans="1:72" ht="12.95" customHeight="1">
      <c r="C181" s="8"/>
      <c r="E181" s="4" t="s">
        <v>1016</v>
      </c>
      <c r="BN181" s="23" t="s">
        <v>226</v>
      </c>
      <c r="BT181" t="s">
        <v>56</v>
      </c>
    </row>
    <row r="182" spans="1:72" ht="12.95" customHeight="1">
      <c r="C182" s="565"/>
      <c r="BN182" s="23" t="s">
        <v>227</v>
      </c>
      <c r="BT182" t="s">
        <v>60</v>
      </c>
    </row>
    <row r="183" spans="1:72" ht="12.95" customHeight="1">
      <c r="A183" s="2" t="s">
        <v>585</v>
      </c>
      <c r="C183" s="2" t="s">
        <v>586</v>
      </c>
      <c r="BN183" s="23" t="s">
        <v>229</v>
      </c>
      <c r="BT183" t="s">
        <v>61</v>
      </c>
    </row>
    <row r="184" spans="1:72" ht="12.95" customHeight="1">
      <c r="C184" s="21"/>
      <c r="D184" t="s">
        <v>587</v>
      </c>
      <c r="I184" s="1356" t="str">
        <f>H18</f>
        <v>Palm Villas at Millennium</v>
      </c>
      <c r="J184" s="1356"/>
      <c r="K184" s="1356"/>
      <c r="L184" s="1356"/>
      <c r="M184" s="1356"/>
      <c r="N184" s="1356"/>
      <c r="O184" s="1356"/>
      <c r="P184" s="1356"/>
      <c r="Q184" s="1356"/>
      <c r="R184" s="1356"/>
      <c r="S184" s="1356"/>
      <c r="T184" s="1356"/>
      <c r="U184" s="1356"/>
      <c r="V184" s="1356"/>
      <c r="W184" s="1356"/>
      <c r="X184" s="1356"/>
      <c r="Y184" s="1356"/>
      <c r="Z184" s="1356"/>
      <c r="AA184" s="1356"/>
      <c r="AB184" s="1356"/>
      <c r="AC184" s="1356"/>
      <c r="AD184" s="1356"/>
      <c r="AE184" s="1356"/>
      <c r="BC184" t="s">
        <v>596</v>
      </c>
      <c r="BN184" s="23" t="s">
        <v>231</v>
      </c>
      <c r="BT184" t="s">
        <v>62</v>
      </c>
    </row>
    <row r="185" spans="1:72" ht="12.95" customHeight="1">
      <c r="C185" s="21"/>
      <c r="D185" t="s">
        <v>588</v>
      </c>
      <c r="I185" s="1366"/>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232</v>
      </c>
      <c r="BT185" t="s">
        <v>63</v>
      </c>
    </row>
    <row r="186" spans="1:72" ht="12.95" customHeight="1">
      <c r="C186" s="21"/>
      <c r="E186" t="s">
        <v>168</v>
      </c>
      <c r="BN186" s="23" t="s">
        <v>233</v>
      </c>
      <c r="BT186" t="s">
        <v>64</v>
      </c>
    </row>
    <row r="187" spans="1:72" ht="12.95" customHeight="1">
      <c r="C187" s="21"/>
      <c r="E187" s="1778" t="s">
        <v>2754</v>
      </c>
      <c r="F187" s="1779"/>
      <c r="G187" s="1779"/>
      <c r="H187" s="1779"/>
      <c r="I187" s="1779"/>
      <c r="J187" s="1779"/>
      <c r="K187" s="1779"/>
      <c r="L187" s="1779"/>
      <c r="M187" s="1779"/>
      <c r="N187" s="1779"/>
      <c r="O187" s="1779"/>
      <c r="P187" s="1779"/>
      <c r="Q187" s="1779"/>
      <c r="R187" s="1779"/>
      <c r="S187" s="1779"/>
      <c r="T187" s="1779"/>
      <c r="U187" s="1779"/>
      <c r="V187" s="1779"/>
      <c r="W187" s="1779"/>
      <c r="X187" s="1779"/>
      <c r="Y187" s="1779"/>
      <c r="Z187" s="1779"/>
      <c r="AA187" s="1779"/>
      <c r="AB187" s="1779"/>
      <c r="AC187" s="1779"/>
      <c r="AD187" s="1779"/>
      <c r="AE187" s="1779"/>
      <c r="BN187" s="23" t="s">
        <v>234</v>
      </c>
      <c r="BT187" t="s">
        <v>65</v>
      </c>
    </row>
    <row r="188" spans="1:72" ht="12.95" customHeight="1">
      <c r="C188" s="21"/>
      <c r="E188" s="1604"/>
      <c r="F188" s="1604"/>
      <c r="G188" s="1604"/>
      <c r="H188" s="1604"/>
      <c r="I188" s="1604"/>
      <c r="J188" s="1604"/>
      <c r="K188" s="1604"/>
      <c r="L188" s="1604"/>
      <c r="M188" s="1604"/>
      <c r="N188" s="1604"/>
      <c r="O188" s="1604"/>
      <c r="P188" s="1604"/>
      <c r="Q188" s="1604"/>
      <c r="R188" s="1604"/>
      <c r="S188" s="1604"/>
      <c r="T188" s="1604"/>
      <c r="U188" s="1604"/>
      <c r="V188" s="1604"/>
      <c r="W188" s="1604"/>
      <c r="X188" s="1604"/>
      <c r="Y188" s="1604"/>
      <c r="Z188" s="1604"/>
      <c r="AA188" s="1604"/>
      <c r="AB188" s="1604"/>
      <c r="AC188" s="1604"/>
      <c r="AD188" s="1604"/>
      <c r="AE188" s="1604"/>
      <c r="BN188" s="23" t="s">
        <v>236</v>
      </c>
      <c r="BT188" t="s">
        <v>66</v>
      </c>
    </row>
    <row r="189" spans="1:72" ht="12.95" customHeight="1">
      <c r="C189" s="21"/>
      <c r="D189" t="s">
        <v>589</v>
      </c>
      <c r="I189" s="1371" t="s">
        <v>2632</v>
      </c>
      <c r="J189" s="1357"/>
      <c r="K189" s="1357"/>
      <c r="L189" s="1357"/>
      <c r="M189" s="1357"/>
      <c r="N189" s="1357"/>
      <c r="O189" s="1357"/>
      <c r="P189" s="1357"/>
      <c r="Q189" t="s">
        <v>591</v>
      </c>
      <c r="T189" s="1371" t="s">
        <v>67</v>
      </c>
      <c r="U189" s="1357"/>
      <c r="V189" s="1357"/>
      <c r="W189" s="1357"/>
      <c r="X189" s="1357"/>
      <c r="Y189" s="1357"/>
      <c r="Z189" s="1357"/>
      <c r="AA189" s="1357"/>
      <c r="AB189" s="1357"/>
      <c r="AC189" s="1357"/>
      <c r="AD189" s="1357"/>
      <c r="AE189" s="1357"/>
      <c r="BC189" t="s">
        <v>308</v>
      </c>
      <c r="BH189" s="3" t="s">
        <v>600</v>
      </c>
      <c r="BN189" s="23" t="s">
        <v>237</v>
      </c>
      <c r="BT189" t="s">
        <v>67</v>
      </c>
    </row>
    <row r="190" spans="1:72" ht="12.95" customHeight="1">
      <c r="C190" s="21"/>
      <c r="D190" t="s">
        <v>592</v>
      </c>
      <c r="I190" s="1365">
        <v>92211</v>
      </c>
      <c r="J190" s="1366"/>
      <c r="K190" s="1366"/>
      <c r="L190" s="1366"/>
      <c r="M190" s="1366"/>
      <c r="N190" s="1366"/>
      <c r="O190" t="s">
        <v>594</v>
      </c>
      <c r="T190" s="1776">
        <v>449.22</v>
      </c>
      <c r="U190" s="1776"/>
      <c r="V190" s="1776"/>
      <c r="W190" s="1776"/>
      <c r="X190" s="1776"/>
      <c r="Y190" s="1776"/>
      <c r="Z190" s="1776"/>
      <c r="AA190" s="1776"/>
      <c r="AB190" s="1776"/>
      <c r="AC190" s="1776"/>
      <c r="AD190" s="1776"/>
      <c r="AE190" s="1776"/>
      <c r="BC190" t="s">
        <v>1102</v>
      </c>
      <c r="BH190" t="s">
        <v>1102</v>
      </c>
      <c r="BN190" s="23" t="s">
        <v>644</v>
      </c>
      <c r="BT190" t="s">
        <v>68</v>
      </c>
    </row>
    <row r="191" spans="1:72" ht="12.95" customHeight="1">
      <c r="C191" s="21"/>
      <c r="D191" t="s">
        <v>471</v>
      </c>
      <c r="N191" s="1778" t="s">
        <v>2633</v>
      </c>
      <c r="O191" s="1779"/>
      <c r="P191" s="1779"/>
      <c r="Q191" s="1779"/>
      <c r="R191" s="1779"/>
      <c r="S191" s="1779"/>
      <c r="T191" s="1779"/>
      <c r="U191" s="1779"/>
      <c r="V191" s="1779"/>
      <c r="W191" s="1779"/>
      <c r="X191" s="1779"/>
      <c r="Y191" s="1779"/>
      <c r="Z191" s="1779"/>
      <c r="AA191" s="1779"/>
      <c r="AB191" s="1779"/>
      <c r="AC191" s="1779"/>
      <c r="AD191" s="1779"/>
      <c r="AE191" s="1779"/>
      <c r="BC191" t="s">
        <v>1101</v>
      </c>
      <c r="BH191" t="s">
        <v>1101</v>
      </c>
      <c r="BN191" s="23" t="s">
        <v>698</v>
      </c>
      <c r="BT191" t="s">
        <v>739</v>
      </c>
    </row>
    <row r="192" spans="1:72" ht="12.95" customHeight="1">
      <c r="C192" s="21"/>
      <c r="M192" s="40"/>
      <c r="N192" s="1604"/>
      <c r="O192" s="1604"/>
      <c r="P192" s="1604"/>
      <c r="Q192" s="1604"/>
      <c r="R192" s="1604"/>
      <c r="S192" s="1604"/>
      <c r="T192" s="1604"/>
      <c r="U192" s="1604"/>
      <c r="V192" s="1604"/>
      <c r="W192" s="1604"/>
      <c r="X192" s="1604"/>
      <c r="Y192" s="1604"/>
      <c r="Z192" s="1604"/>
      <c r="AA192" s="1604"/>
      <c r="AB192" s="1604"/>
      <c r="AC192" s="1604"/>
      <c r="AD192" s="1604"/>
      <c r="AE192" s="1604"/>
      <c r="BC192" t="s">
        <v>1104</v>
      </c>
      <c r="BH192" s="3" t="s">
        <v>1809</v>
      </c>
      <c r="BN192" s="23" t="s">
        <v>699</v>
      </c>
      <c r="BT192" t="s">
        <v>740</v>
      </c>
    </row>
    <row r="193" spans="1:74" ht="12.95" customHeight="1">
      <c r="C193" s="21"/>
      <c r="D193" t="s">
        <v>2505</v>
      </c>
      <c r="M193" s="40"/>
      <c r="N193" s="930"/>
      <c r="O193" s="930"/>
      <c r="P193" s="930"/>
      <c r="Q193" s="930"/>
      <c r="R193" s="930"/>
      <c r="S193" s="930"/>
      <c r="T193" s="1759"/>
      <c r="U193" s="1759"/>
      <c r="V193" s="1759"/>
      <c r="W193" s="1759"/>
      <c r="X193" s="1759"/>
      <c r="Y193" s="1759"/>
      <c r="Z193" s="1759"/>
      <c r="AA193" s="1759"/>
      <c r="AB193" s="1759"/>
      <c r="AC193" s="1759"/>
      <c r="AD193" s="1759"/>
      <c r="AE193" s="1759"/>
      <c r="AF193" s="1759"/>
      <c r="AG193" s="1759"/>
      <c r="AH193" s="1759"/>
      <c r="AI193" s="1759"/>
      <c r="BC193" t="s">
        <v>1103</v>
      </c>
      <c r="BH193" s="3" t="s">
        <v>1810</v>
      </c>
      <c r="BN193" s="23" t="s">
        <v>700</v>
      </c>
      <c r="BT193" t="s">
        <v>741</v>
      </c>
    </row>
    <row r="194" spans="1:74" ht="12.95" customHeight="1">
      <c r="C194" s="21"/>
      <c r="D194" t="s">
        <v>332</v>
      </c>
      <c r="T194" s="1358" t="s">
        <v>554</v>
      </c>
      <c r="U194" s="1358"/>
      <c r="W194" t="s">
        <v>694</v>
      </c>
      <c r="AH194" s="1358">
        <v>41</v>
      </c>
      <c r="AI194" s="1358"/>
      <c r="BC194" t="s">
        <v>1538</v>
      </c>
      <c r="BN194" s="23" t="s">
        <v>701</v>
      </c>
      <c r="BT194" t="s">
        <v>742</v>
      </c>
    </row>
    <row r="195" spans="1:74" ht="12.95" customHeight="1">
      <c r="C195" s="21"/>
      <c r="D195" t="s">
        <v>387</v>
      </c>
      <c r="T195" s="1525" t="s">
        <v>678</v>
      </c>
      <c r="U195" s="1525"/>
      <c r="W195" t="s">
        <v>695</v>
      </c>
      <c r="AH195" s="1358">
        <v>47</v>
      </c>
      <c r="AI195" s="1358"/>
      <c r="BC195" t="s">
        <v>2121</v>
      </c>
      <c r="BN195" s="23" t="s">
        <v>243</v>
      </c>
      <c r="BT195" t="s">
        <v>743</v>
      </c>
    </row>
    <row r="196" spans="1:74" ht="12.95" customHeight="1">
      <c r="C196" s="21"/>
      <c r="D196" s="3" t="s">
        <v>169</v>
      </c>
      <c r="T196" s="1525" t="s">
        <v>678</v>
      </c>
      <c r="U196" s="1525"/>
      <c r="W196" t="s">
        <v>696</v>
      </c>
      <c r="AH196" s="1358">
        <v>18</v>
      </c>
      <c r="AI196" s="1358"/>
      <c r="BN196" s="23" t="s">
        <v>244</v>
      </c>
      <c r="BT196" t="s">
        <v>69</v>
      </c>
    </row>
    <row r="197" spans="1:74" ht="12.95" customHeight="1">
      <c r="C197" s="21"/>
      <c r="D197" s="3" t="s">
        <v>1834</v>
      </c>
      <c r="T197" s="1525"/>
      <c r="U197" s="1525"/>
      <c r="AH197" s="14"/>
      <c r="AI197" s="14"/>
      <c r="BC197" t="s">
        <v>308</v>
      </c>
      <c r="BN197" s="23" t="s">
        <v>245</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2506</v>
      </c>
      <c r="Y198" s="1358" t="s">
        <v>678</v>
      </c>
      <c r="Z198" s="1358"/>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2.95" customHeight="1">
      <c r="A202" s="2" t="s">
        <v>595</v>
      </c>
      <c r="C202" s="2" t="s">
        <v>137</v>
      </c>
      <c r="BC202" t="s">
        <v>1128</v>
      </c>
      <c r="BD202" s="470"/>
      <c r="BN202" s="23" t="s">
        <v>711</v>
      </c>
      <c r="BO202" s="14"/>
      <c r="BP202" s="32"/>
      <c r="BQ202" s="32"/>
      <c r="BR202" s="32"/>
      <c r="BS202" s="32"/>
      <c r="BT202" s="32" t="s">
        <v>196</v>
      </c>
    </row>
    <row r="203" spans="1:74" ht="12.95" customHeight="1">
      <c r="D203" s="1356" t="s">
        <v>386</v>
      </c>
      <c r="E203" s="1356"/>
      <c r="F203" s="1356"/>
      <c r="G203" s="1356"/>
      <c r="H203" s="1356"/>
      <c r="I203" s="1356"/>
      <c r="J203" s="1356"/>
      <c r="K203" s="1356"/>
      <c r="L203" s="1356"/>
      <c r="M203" s="1356"/>
      <c r="P203" s="1774">
        <f>M26</f>
        <v>3656139</v>
      </c>
      <c r="Q203" s="1763"/>
      <c r="R203" s="1763"/>
      <c r="S203" s="1763"/>
      <c r="T203" s="1763"/>
      <c r="U203" s="1763"/>
      <c r="Z203" s="1761" t="s">
        <v>2757</v>
      </c>
      <c r="AA203" s="1761"/>
      <c r="AB203" s="1761"/>
      <c r="AC203" s="1761"/>
      <c r="AD203" s="1761"/>
      <c r="AE203" s="1761"/>
      <c r="AF203" s="1761"/>
      <c r="BC203" t="s">
        <v>1129</v>
      </c>
      <c r="BN203" s="23" t="s">
        <v>712</v>
      </c>
      <c r="BO203" s="14"/>
      <c r="BP203" s="32"/>
      <c r="BQ203" s="32"/>
      <c r="BR203" s="32"/>
      <c r="BS203" s="32"/>
      <c r="BT203" s="32" t="s">
        <v>197</v>
      </c>
    </row>
    <row r="204" spans="1:74" ht="12.95" customHeight="1">
      <c r="C204" s="21"/>
      <c r="D204" s="1760" t="s">
        <v>1404</v>
      </c>
      <c r="E204" s="1356"/>
      <c r="F204" s="1356"/>
      <c r="G204" s="1356"/>
      <c r="H204" s="1356"/>
      <c r="I204" s="1356"/>
      <c r="J204" s="1356"/>
      <c r="K204" s="1356"/>
      <c r="L204" s="1356"/>
      <c r="M204" s="1356"/>
      <c r="P204" s="1763">
        <f>M27</f>
        <v>21080512</v>
      </c>
      <c r="Q204" s="1763"/>
      <c r="R204" s="1763"/>
      <c r="S204" s="1763"/>
      <c r="T204" s="1763"/>
      <c r="U204" s="1763"/>
      <c r="V204" s="28"/>
      <c r="W204" s="3" t="s">
        <v>1982</v>
      </c>
      <c r="Z204" s="1761"/>
      <c r="AA204" s="1761"/>
      <c r="AB204" s="1761"/>
      <c r="AC204" s="1761"/>
      <c r="AD204" s="1761"/>
      <c r="AE204" s="1761"/>
      <c r="AF204" s="1761"/>
      <c r="AG204" t="s">
        <v>1405</v>
      </c>
      <c r="AP204" s="1358" t="s">
        <v>678</v>
      </c>
      <c r="AQ204" s="1358"/>
      <c r="BC204" t="s">
        <v>619</v>
      </c>
      <c r="BN204" s="23" t="s">
        <v>713</v>
      </c>
      <c r="BT204" s="32" t="s">
        <v>198</v>
      </c>
      <c r="BU204" s="14"/>
    </row>
    <row r="205" spans="1:74" ht="12.95" customHeight="1">
      <c r="D205" s="29"/>
      <c r="E205" s="29"/>
      <c r="F205" s="29"/>
      <c r="G205" s="29"/>
      <c r="H205" s="29"/>
      <c r="I205" s="29"/>
      <c r="J205" s="29"/>
      <c r="K205" s="29"/>
      <c r="L205" s="29"/>
      <c r="M205" s="29"/>
      <c r="N205" s="29"/>
      <c r="O205" s="29"/>
      <c r="P205" s="29"/>
      <c r="Z205" s="1762"/>
      <c r="AA205" s="1762"/>
      <c r="AB205" s="1762"/>
      <c r="AC205" s="1762"/>
      <c r="AD205" s="1762"/>
      <c r="AE205" s="1762"/>
      <c r="AF205" s="1762"/>
      <c r="BC205" t="s">
        <v>1087</v>
      </c>
      <c r="BN205" s="23" t="s">
        <v>110</v>
      </c>
      <c r="BT205" s="32" t="s">
        <v>174</v>
      </c>
      <c r="BU205" s="14"/>
    </row>
    <row r="206" spans="1:74" ht="12.95" customHeight="1">
      <c r="A206" s="2" t="s">
        <v>598</v>
      </c>
      <c r="C206" s="2" t="s">
        <v>560</v>
      </c>
      <c r="BC206" s="471" t="s">
        <v>1130</v>
      </c>
      <c r="BN206" s="23" t="s">
        <v>111</v>
      </c>
      <c r="BT206" s="32" t="s">
        <v>199</v>
      </c>
      <c r="BU206" s="14"/>
    </row>
    <row r="207" spans="1:74" ht="12.95" customHeight="1">
      <c r="C207" s="21"/>
      <c r="D207" s="1654" t="s">
        <v>2638</v>
      </c>
      <c r="E207" s="1654"/>
      <c r="F207" s="1654"/>
      <c r="G207" s="1654"/>
      <c r="H207" s="1654"/>
      <c r="I207" s="1654"/>
      <c r="J207" s="1654"/>
      <c r="K207" s="1654"/>
      <c r="L207" s="1654"/>
      <c r="M207" s="1654"/>
      <c r="BC207" s="3" t="s">
        <v>1360</v>
      </c>
      <c r="BN207" s="23" t="s">
        <v>45</v>
      </c>
      <c r="BT207" s="32" t="s">
        <v>200</v>
      </c>
    </row>
    <row r="208" spans="1:74" ht="12.95" customHeight="1">
      <c r="BC208" t="s">
        <v>1131</v>
      </c>
      <c r="BN208" s="23" t="s">
        <v>46</v>
      </c>
      <c r="BT208" s="32" t="s">
        <v>201</v>
      </c>
    </row>
    <row r="209" spans="1:72" ht="12.95" customHeight="1">
      <c r="A209" s="2" t="s">
        <v>599</v>
      </c>
      <c r="C209" s="2" t="s">
        <v>389</v>
      </c>
      <c r="BC209" t="s">
        <v>668</v>
      </c>
      <c r="BN209" s="23" t="s">
        <v>47</v>
      </c>
      <c r="BT209" s="32" t="s">
        <v>202</v>
      </c>
    </row>
    <row r="210" spans="1:72" ht="12.95" customHeight="1">
      <c r="C210" s="21"/>
      <c r="D210" s="1654" t="s">
        <v>1102</v>
      </c>
      <c r="E210" s="1654"/>
      <c r="F210" s="1654"/>
      <c r="G210" s="1654"/>
      <c r="H210" s="1654"/>
      <c r="I210" s="1654"/>
      <c r="J210" s="1654"/>
      <c r="K210" s="1654"/>
      <c r="L210" s="1654"/>
      <c r="M210" s="1654"/>
      <c r="BN210" s="23" t="s">
        <v>48</v>
      </c>
      <c r="BT210" s="32" t="s">
        <v>203</v>
      </c>
    </row>
    <row r="211" spans="1:72" ht="12.95" customHeight="1">
      <c r="C211" s="21"/>
      <c r="D211" t="s">
        <v>1394</v>
      </c>
      <c r="Y211" s="1358"/>
      <c r="Z211" s="1358"/>
      <c r="AB211" s="1756">
        <f>IFERROR(Y211/AG439,"")</f>
        <v>0</v>
      </c>
      <c r="AC211" s="1757"/>
      <c r="BN211" s="23" t="s">
        <v>130</v>
      </c>
      <c r="BT211" s="32" t="s">
        <v>131</v>
      </c>
    </row>
    <row r="212" spans="1:72" ht="12.95" customHeight="1">
      <c r="D212" s="1198" t="s">
        <v>1808</v>
      </c>
      <c r="BC212" t="s">
        <v>308</v>
      </c>
      <c r="BN212" s="23" t="s">
        <v>49</v>
      </c>
      <c r="BT212" s="32" t="s">
        <v>204</v>
      </c>
    </row>
    <row r="213" spans="1:72" ht="12.95" customHeight="1">
      <c r="D213" s="1821" t="s">
        <v>600</v>
      </c>
      <c r="E213" s="1821"/>
      <c r="F213" s="1821"/>
      <c r="G213" s="1821"/>
      <c r="H213" s="1821"/>
      <c r="I213" s="1821"/>
      <c r="J213" s="1821"/>
      <c r="K213" s="1821"/>
      <c r="L213" s="1821"/>
      <c r="M213" s="1821"/>
      <c r="N213" s="1821"/>
      <c r="O213" s="1821"/>
      <c r="P213" s="1821"/>
      <c r="Q213" s="1821"/>
      <c r="R213" s="1821"/>
      <c r="S213" s="1821"/>
      <c r="T213" s="1821"/>
      <c r="U213" s="1821"/>
      <c r="V213" s="1821"/>
      <c r="W213" s="1821"/>
      <c r="X213" s="1821"/>
      <c r="Y213" s="1821"/>
      <c r="Z213" s="1821"/>
      <c r="BC213" t="s">
        <v>535</v>
      </c>
      <c r="BN213" s="23" t="s">
        <v>50</v>
      </c>
      <c r="BT213" s="32" t="s">
        <v>205</v>
      </c>
    </row>
    <row r="214" spans="1:72" ht="12.95" customHeight="1">
      <c r="D214" s="3" t="s">
        <v>1835</v>
      </c>
      <c r="Z214" s="40"/>
      <c r="AB214" s="1820"/>
      <c r="AC214" s="1820"/>
      <c r="AD214" s="1820"/>
      <c r="AE214" s="1820"/>
      <c r="AF214" s="1820"/>
      <c r="AG214" s="1820"/>
      <c r="AH214" s="1820"/>
      <c r="AI214" s="1820"/>
      <c r="AJ214" s="1820"/>
      <c r="AK214" s="1820"/>
      <c r="AL214" s="1820"/>
      <c r="AM214" s="21"/>
      <c r="AN214" s="21"/>
      <c r="AO214" s="21"/>
      <c r="AP214" s="21"/>
      <c r="AQ214" s="21"/>
      <c r="AR214" s="21"/>
      <c r="AS214" s="21"/>
      <c r="AT214" s="21"/>
      <c r="AU214" s="21"/>
      <c r="AV214" s="21"/>
      <c r="AW214" s="21"/>
      <c r="AX214" s="21"/>
      <c r="AY214" s="21"/>
      <c r="BC214" t="s">
        <v>539</v>
      </c>
      <c r="BN214" s="23" t="s">
        <v>327</v>
      </c>
      <c r="BT214" s="32" t="s">
        <v>206</v>
      </c>
    </row>
    <row r="215" spans="1:72" ht="12.95" customHeight="1">
      <c r="D215" s="3" t="s">
        <v>1833</v>
      </c>
      <c r="Z215" s="40"/>
      <c r="AB215" s="1820"/>
      <c r="AC215" s="1820"/>
      <c r="AD215" s="1820"/>
      <c r="AE215" s="1820"/>
      <c r="AF215" s="1820"/>
      <c r="AG215" s="1820"/>
      <c r="AH215" s="1820"/>
      <c r="AI215" s="1820"/>
      <c r="AJ215" s="1820"/>
      <c r="AK215" s="1820"/>
      <c r="AL215" s="1820"/>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654" t="s">
        <v>1128</v>
      </c>
      <c r="E219" s="1654"/>
      <c r="F219" s="1654"/>
      <c r="G219" s="1654"/>
      <c r="H219" s="1654"/>
      <c r="I219" s="1654"/>
      <c r="J219" s="1654"/>
      <c r="K219" s="1654"/>
      <c r="L219" s="1654"/>
      <c r="M219" s="1654"/>
      <c r="N219" s="1654"/>
      <c r="O219" s="1654"/>
      <c r="P219" s="1654"/>
      <c r="Q219" s="1654"/>
      <c r="R219" s="1654"/>
      <c r="S219" s="1654"/>
      <c r="T219" s="1654"/>
      <c r="U219" s="1654"/>
      <c r="V219" s="1654"/>
      <c r="W219" s="1654"/>
      <c r="X219" s="1654"/>
      <c r="Y219" s="1654"/>
      <c r="Z219" s="1654"/>
      <c r="AZ219" s="3"/>
      <c r="BA219" s="3"/>
      <c r="BC219" t="s">
        <v>378</v>
      </c>
    </row>
    <row r="220" spans="1:72" ht="12.95" customHeight="1">
      <c r="A220" s="2"/>
      <c r="B220" s="14"/>
      <c r="C220" s="2"/>
      <c r="BA220" s="3"/>
      <c r="BC220" t="s">
        <v>301</v>
      </c>
    </row>
    <row r="221" spans="1:72" ht="12.95" customHeight="1">
      <c r="A221" s="1648" t="s">
        <v>549</v>
      </c>
      <c r="B221" s="1648"/>
      <c r="C221" s="1648"/>
      <c r="D221" s="1648"/>
      <c r="E221" s="1648"/>
      <c r="F221" s="1648"/>
      <c r="G221" s="1648"/>
      <c r="H221" s="1648"/>
      <c r="I221" s="1648"/>
      <c r="J221" s="1648"/>
      <c r="K221" s="1648"/>
      <c r="L221" s="1648"/>
      <c r="M221" s="1648"/>
      <c r="N221" s="1648"/>
      <c r="O221" s="1648"/>
      <c r="P221" s="1648"/>
      <c r="Q221" s="1648"/>
      <c r="R221" s="1648"/>
      <c r="S221" s="1648"/>
      <c r="T221" s="1648"/>
      <c r="U221" s="1648"/>
      <c r="V221" s="1648"/>
      <c r="W221" s="1648"/>
      <c r="X221" s="1648"/>
      <c r="Y221" s="1648"/>
      <c r="Z221" s="1648"/>
      <c r="AA221" s="1648"/>
      <c r="AB221" s="1648"/>
      <c r="AC221" s="1648"/>
      <c r="AD221" s="1648"/>
      <c r="AE221" s="1648"/>
      <c r="AF221" s="1648"/>
      <c r="AG221" s="1648"/>
      <c r="AH221" s="1648"/>
      <c r="AI221" s="1648"/>
      <c r="AJ221" s="1648"/>
      <c r="AK221" s="1648"/>
      <c r="AL221" s="1648"/>
      <c r="AM221" s="95"/>
      <c r="AN221" s="95"/>
      <c r="AO221" s="95"/>
      <c r="AP221" s="95"/>
      <c r="AQ221" s="95"/>
      <c r="AR221" s="95"/>
      <c r="AS221" s="95"/>
      <c r="AT221" s="95"/>
      <c r="AU221" s="95"/>
      <c r="AV221" s="95"/>
      <c r="AW221" s="95"/>
      <c r="AX221" s="95"/>
      <c r="AY221" s="95"/>
      <c r="BA221" s="3"/>
    </row>
    <row r="222" spans="1:72" ht="12.95" customHeight="1" thickBot="1">
      <c r="A222" s="1649"/>
      <c r="B222" s="1649"/>
      <c r="C222" s="1649"/>
      <c r="D222" s="1649"/>
      <c r="E222" s="1649"/>
      <c r="F222" s="1649"/>
      <c r="G222" s="1649"/>
      <c r="H222" s="1649"/>
      <c r="I222" s="1649"/>
      <c r="J222" s="1649"/>
      <c r="K222" s="1649"/>
      <c r="L222" s="1649"/>
      <c r="M222" s="1649"/>
      <c r="N222" s="1649"/>
      <c r="O222" s="1649"/>
      <c r="P222" s="1649"/>
      <c r="Q222" s="1649"/>
      <c r="R222" s="1649"/>
      <c r="S222" s="1649"/>
      <c r="T222" s="1649"/>
      <c r="U222" s="1649"/>
      <c r="V222" s="1649"/>
      <c r="W222" s="1649"/>
      <c r="X222" s="1649"/>
      <c r="Y222" s="1649"/>
      <c r="Z222" s="1649"/>
      <c r="AA222" s="1649"/>
      <c r="AB222" s="1649"/>
      <c r="AC222" s="1649"/>
      <c r="AD222" s="1649"/>
      <c r="AE222" s="1649"/>
      <c r="AF222" s="1649"/>
      <c r="AG222" s="1649"/>
      <c r="AH222" s="1649"/>
      <c r="AI222" s="1649"/>
      <c r="AJ222" s="1649"/>
      <c r="AK222" s="1649"/>
      <c r="AL222" s="1649"/>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320</v>
      </c>
      <c r="B224" s="2"/>
      <c r="C224" s="2" t="s">
        <v>2507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8" t="s">
        <v>600</v>
      </c>
      <c r="AJ225" s="1358"/>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8" t="s">
        <v>600</v>
      </c>
      <c r="AJ226" s="1358"/>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8" t="s">
        <v>554</v>
      </c>
      <c r="AJ227" s="1358"/>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8" t="s">
        <v>600</v>
      </c>
      <c r="AJ228" s="1358"/>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2.95" customHeight="1">
      <c r="A230" s="2" t="s">
        <v>585</v>
      </c>
      <c r="B230" s="4"/>
      <c r="C230" s="2" t="s">
        <v>2508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777" t="str">
        <f>H16</f>
        <v xml:space="preserve">Palm Communities or Assignee </v>
      </c>
      <c r="N231" s="1777"/>
      <c r="O231" s="1777"/>
      <c r="P231" s="1777"/>
      <c r="Q231" s="1777"/>
      <c r="R231" s="1777"/>
      <c r="S231" s="1777"/>
      <c r="T231" s="1777"/>
      <c r="U231" s="1777"/>
      <c r="V231" s="1777"/>
      <c r="W231" s="1777"/>
      <c r="X231" s="1777"/>
      <c r="Y231" s="1777"/>
      <c r="Z231" s="1777"/>
      <c r="AA231" s="1777"/>
      <c r="AB231" s="1777"/>
      <c r="AC231" s="1777"/>
      <c r="AD231" s="1777"/>
      <c r="AE231" s="1777"/>
      <c r="AF231" s="1777"/>
      <c r="AG231" s="1777"/>
      <c r="AH231" s="1777"/>
      <c r="AI231" s="1777"/>
      <c r="AJ231" s="1777"/>
      <c r="AK231" s="1777"/>
      <c r="BA231" s="3"/>
      <c r="BB231" s="218"/>
      <c r="BG231" s="218"/>
      <c r="BQ231" s="34"/>
    </row>
    <row r="232" spans="1:69" ht="12.95" customHeight="1">
      <c r="D232" s="4" t="s">
        <v>86</v>
      </c>
      <c r="E232" s="4"/>
      <c r="F232" s="4"/>
      <c r="G232" s="4"/>
      <c r="H232" s="4"/>
      <c r="I232" s="4"/>
      <c r="J232" s="4"/>
      <c r="K232" s="4"/>
      <c r="M232" s="1371" t="s">
        <v>2639</v>
      </c>
      <c r="N232" s="1654"/>
      <c r="O232" s="1654"/>
      <c r="P232" s="1654"/>
      <c r="Q232" s="1654"/>
      <c r="R232" s="1654"/>
      <c r="S232" s="1654"/>
      <c r="T232" s="1654"/>
      <c r="U232" s="1654"/>
      <c r="V232" s="1654"/>
      <c r="W232" s="1654"/>
      <c r="X232" s="1654"/>
      <c r="Y232" s="1654"/>
      <c r="Z232" s="1654"/>
      <c r="AA232" s="1654"/>
      <c r="AB232" s="1654"/>
      <c r="AC232" s="1654"/>
      <c r="AD232" s="1654"/>
      <c r="AE232" s="1654"/>
      <c r="AZ232" s="4"/>
      <c r="BA232" s="3"/>
      <c r="BB232" s="219" t="s">
        <v>547</v>
      </c>
      <c r="BG232" s="259">
        <f>IF(AND(AND($M$248="nonprofit",$M$256="nonprofit",$M$264="for profit")),2,0)</f>
        <v>0</v>
      </c>
      <c r="BQ232" s="34"/>
    </row>
    <row r="233" spans="1:69" ht="12.95" customHeight="1">
      <c r="D233" s="4" t="s">
        <v>589</v>
      </c>
      <c r="E233" s="4"/>
      <c r="M233" s="1371" t="s">
        <v>2640</v>
      </c>
      <c r="N233" s="1654"/>
      <c r="O233" s="1654"/>
      <c r="P233" s="1654"/>
      <c r="Q233" s="1654"/>
      <c r="R233" s="1654"/>
      <c r="S233" s="1654"/>
      <c r="T233" s="1654"/>
      <c r="V233" s="33" t="s">
        <v>87</v>
      </c>
      <c r="W233" s="1365" t="s">
        <v>2641</v>
      </c>
      <c r="X233" s="1355"/>
      <c r="Y233" s="4" t="s">
        <v>592</v>
      </c>
      <c r="AC233" s="1654">
        <v>92618</v>
      </c>
      <c r="AD233" s="1654"/>
      <c r="AE233" s="1654"/>
      <c r="BB233" s="219" t="s">
        <v>547</v>
      </c>
      <c r="BG233" s="259">
        <f>IF(AND(AND($M$248="nonprofit",$M$256="for profit",$M$264="nonprofit")),2,0)</f>
        <v>0</v>
      </c>
    </row>
    <row r="234" spans="1:69" ht="12.95" customHeight="1">
      <c r="D234" s="4" t="s">
        <v>88</v>
      </c>
      <c r="E234" s="4"/>
      <c r="F234" s="4"/>
      <c r="G234" s="4"/>
      <c r="H234" s="4"/>
      <c r="I234" s="4"/>
      <c r="J234" s="4"/>
      <c r="K234" s="19"/>
      <c r="M234" s="1371" t="s">
        <v>2642</v>
      </c>
      <c r="N234" s="1654"/>
      <c r="O234" s="1654"/>
      <c r="P234" s="1654"/>
      <c r="Q234" s="1654"/>
      <c r="R234" s="1654"/>
      <c r="S234" s="1654"/>
      <c r="T234" s="1654"/>
      <c r="U234" s="1654"/>
      <c r="V234" s="1654"/>
      <c r="W234" s="1654"/>
      <c r="X234" s="1654"/>
      <c r="Y234" s="1654"/>
      <c r="Z234" s="1654"/>
      <c r="AA234" s="1654"/>
      <c r="AB234" s="1654"/>
      <c r="AC234" s="1654"/>
      <c r="AD234" s="1654"/>
      <c r="AE234" s="1654"/>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359" t="s">
        <v>2643</v>
      </c>
      <c r="N235" s="1360"/>
      <c r="O235" s="1360"/>
      <c r="P235" s="1360"/>
      <c r="Q235" s="1360"/>
      <c r="R235" s="1360"/>
      <c r="S235" s="4" t="s">
        <v>207</v>
      </c>
      <c r="T235" s="4"/>
      <c r="U235" s="1355"/>
      <c r="V235" s="1355"/>
      <c r="W235" s="1355"/>
      <c r="X235" s="4" t="s">
        <v>90</v>
      </c>
      <c r="Z235" s="1360"/>
      <c r="AA235" s="1360"/>
      <c r="AB235" s="1360"/>
      <c r="AC235" s="1360"/>
      <c r="AD235" s="1360"/>
      <c r="AE235" s="1360"/>
      <c r="BB235" s="219"/>
      <c r="BG235" s="218"/>
    </row>
    <row r="236" spans="1:69" ht="12.95" customHeight="1">
      <c r="D236" s="4" t="s">
        <v>91</v>
      </c>
      <c r="E236" s="4"/>
      <c r="F236" s="4"/>
      <c r="M236" s="1753" t="s">
        <v>2644</v>
      </c>
      <c r="N236" s="1753"/>
      <c r="O236" s="1753"/>
      <c r="P236" s="1753"/>
      <c r="Q236" s="1753"/>
      <c r="R236" s="1753"/>
      <c r="S236" s="1753"/>
      <c r="T236" s="1753"/>
      <c r="U236" s="1753"/>
      <c r="V236" s="1753"/>
      <c r="W236" s="1753"/>
      <c r="X236" s="1753"/>
      <c r="Y236" s="1753"/>
      <c r="Z236" s="1753"/>
      <c r="AA236" s="1753"/>
      <c r="AB236" s="1753"/>
      <c r="AC236" s="1753"/>
      <c r="AD236" s="1753"/>
      <c r="AE236" s="1753"/>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6" t="s">
        <v>535</v>
      </c>
      <c r="N237" s="1366"/>
      <c r="O237" s="1366"/>
      <c r="P237" s="1366"/>
      <c r="Q237" s="1366"/>
      <c r="R237" s="1366"/>
      <c r="S237" s="1366"/>
      <c r="T237" s="1366"/>
      <c r="U237" s="218" t="s">
        <v>939</v>
      </c>
      <c r="V237" s="218"/>
      <c r="W237" s="218"/>
      <c r="X237" s="218"/>
      <c r="Y237" s="218"/>
      <c r="Z237" s="218"/>
      <c r="AA237" s="1755"/>
      <c r="AB237" s="1755"/>
      <c r="AC237" s="1755"/>
      <c r="AD237" s="1755"/>
      <c r="AE237" s="1755"/>
      <c r="AF237" s="1755"/>
      <c r="AG237" s="1755"/>
      <c r="AH237" s="1755"/>
      <c r="AI237" s="1755"/>
      <c r="AJ237" s="1755"/>
      <c r="AK237" s="1755"/>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57"/>
      <c r="N238" s="1357"/>
      <c r="O238" s="1357"/>
      <c r="P238" s="1357"/>
      <c r="Q238" s="1357"/>
      <c r="R238" s="1357"/>
      <c r="S238" s="1357"/>
      <c r="T238" s="1357"/>
      <c r="U238" s="1357"/>
      <c r="V238" s="1357"/>
      <c r="W238" s="1357"/>
      <c r="X238" s="1357"/>
      <c r="Y238" s="1357"/>
      <c r="Z238" s="1357"/>
      <c r="AA238" s="1357"/>
      <c r="AB238" s="1357"/>
      <c r="AC238" s="1357"/>
      <c r="AD238" s="1357"/>
      <c r="AE238" s="1357"/>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765" t="s">
        <v>2650</v>
      </c>
      <c r="N242" s="1758"/>
      <c r="O242" s="1758"/>
      <c r="P242" s="1758"/>
      <c r="Q242" s="1758"/>
      <c r="R242" s="1758"/>
      <c r="S242" s="1758"/>
      <c r="T242" s="1758"/>
      <c r="U242" s="1758"/>
      <c r="V242" s="1758"/>
      <c r="W242" s="1758"/>
      <c r="X242" s="1758"/>
      <c r="Y242" s="1758"/>
      <c r="Z242" s="1758"/>
      <c r="AA242" s="1758"/>
      <c r="AB242" s="1758"/>
      <c r="AC242" s="1758"/>
      <c r="AD242" s="1758"/>
      <c r="AE242" s="1758"/>
      <c r="AF242" s="1758" t="s">
        <v>2651</v>
      </c>
      <c r="AG242" s="1758"/>
      <c r="AH242" s="1758"/>
      <c r="AI242" s="1758"/>
      <c r="AJ242" s="1758"/>
      <c r="AK242" s="1758"/>
      <c r="BO242" s="34"/>
      <c r="BP242" s="4"/>
      <c r="BQ242" s="4"/>
      <c r="BR242" s="4"/>
      <c r="BS242" s="4"/>
    </row>
    <row r="243" spans="1:71" ht="12.95" customHeight="1">
      <c r="A243" s="19"/>
      <c r="B243" s="4"/>
      <c r="C243" s="4"/>
      <c r="D243" s="4" t="s">
        <v>86</v>
      </c>
      <c r="E243" s="4"/>
      <c r="F243" s="4"/>
      <c r="G243" s="4"/>
      <c r="H243" s="4"/>
      <c r="I243" s="4"/>
      <c r="J243" s="4"/>
      <c r="K243" s="4"/>
      <c r="L243" s="4"/>
      <c r="M243" s="1371" t="s">
        <v>2645</v>
      </c>
      <c r="N243" s="1654"/>
      <c r="O243" s="1654"/>
      <c r="P243" s="1654"/>
      <c r="Q243" s="1654"/>
      <c r="R243" s="1654"/>
      <c r="S243" s="1654"/>
      <c r="T243" s="1654"/>
      <c r="U243" s="1654"/>
      <c r="V243" s="1654"/>
      <c r="W243" s="1654"/>
      <c r="X243" s="1654"/>
      <c r="Y243" s="1654"/>
      <c r="Z243" s="1654"/>
      <c r="AA243" s="1654"/>
      <c r="AB243" s="1654"/>
      <c r="AC243" s="1654"/>
      <c r="AD243" s="1654"/>
      <c r="AE243" s="1654"/>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371" t="s">
        <v>2640</v>
      </c>
      <c r="N244" s="1654"/>
      <c r="O244" s="1654"/>
      <c r="P244" s="1654"/>
      <c r="Q244" s="1654"/>
      <c r="R244" s="1654"/>
      <c r="S244" s="1654"/>
      <c r="T244" s="1654"/>
      <c r="V244" s="33" t="s">
        <v>87</v>
      </c>
      <c r="W244" s="1365" t="s">
        <v>2641</v>
      </c>
      <c r="X244" s="1355"/>
      <c r="Y244" s="4" t="s">
        <v>592</v>
      </c>
      <c r="AC244" s="1654">
        <v>92618</v>
      </c>
      <c r="AD244" s="1654"/>
      <c r="AE244" s="1654"/>
      <c r="AF244" s="3" t="s">
        <v>1323</v>
      </c>
      <c r="BB244" t="s">
        <v>308</v>
      </c>
      <c r="BG244">
        <v>1</v>
      </c>
      <c r="BH244" t="s">
        <v>543</v>
      </c>
    </row>
    <row r="245" spans="1:71" ht="12.95" customHeight="1">
      <c r="A245" s="19"/>
      <c r="B245" s="4"/>
      <c r="C245" s="4"/>
      <c r="D245" s="4" t="s">
        <v>88</v>
      </c>
      <c r="E245" s="4"/>
      <c r="F245" s="4"/>
      <c r="G245" s="4"/>
      <c r="H245" s="4"/>
      <c r="I245" s="4"/>
      <c r="J245" s="4"/>
      <c r="K245" s="4"/>
      <c r="L245" s="19"/>
      <c r="M245" s="1371" t="s">
        <v>2646</v>
      </c>
      <c r="N245" s="1654"/>
      <c r="O245" s="1654"/>
      <c r="P245" s="1654"/>
      <c r="Q245" s="1654"/>
      <c r="R245" s="1654"/>
      <c r="S245" s="1654"/>
      <c r="T245" s="1654"/>
      <c r="U245" s="1654"/>
      <c r="V245" s="1654"/>
      <c r="W245" s="1654"/>
      <c r="X245" s="1654"/>
      <c r="Y245" s="1654"/>
      <c r="Z245" s="1654"/>
      <c r="AA245" s="1654"/>
      <c r="AB245" s="1654"/>
      <c r="AC245" s="1654"/>
      <c r="AD245" s="1654"/>
      <c r="AE245" s="1654"/>
      <c r="AH245" s="1751">
        <v>5.0000000000000001E-3</v>
      </c>
      <c r="AI245" s="1751"/>
      <c r="AJ245" s="1751"/>
      <c r="AK245" s="1751"/>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2.95" customHeight="1">
      <c r="A246" s="19"/>
      <c r="B246" s="4"/>
      <c r="C246" s="4"/>
      <c r="D246" s="4" t="s">
        <v>89</v>
      </c>
      <c r="E246" s="4"/>
      <c r="F246" s="4"/>
      <c r="M246" s="1359" t="s">
        <v>2647</v>
      </c>
      <c r="N246" s="1360"/>
      <c r="O246" s="1360"/>
      <c r="P246" s="1360"/>
      <c r="Q246" s="1360"/>
      <c r="R246" s="1360"/>
      <c r="S246" s="4" t="s">
        <v>207</v>
      </c>
      <c r="T246" s="4"/>
      <c r="U246" s="1355"/>
      <c r="V246" s="1355"/>
      <c r="W246" s="1355"/>
      <c r="X246" s="4" t="s">
        <v>90</v>
      </c>
      <c r="Z246" s="1360"/>
      <c r="AA246" s="1360"/>
      <c r="AB246" s="1360"/>
      <c r="AC246" s="1360"/>
      <c r="AD246" s="1360"/>
      <c r="AE246" s="1360"/>
      <c r="BB246" s="4" t="s">
        <v>173</v>
      </c>
      <c r="BG246">
        <v>3</v>
      </c>
      <c r="BH246" t="s">
        <v>545</v>
      </c>
      <c r="BN246" s="34"/>
    </row>
    <row r="247" spans="1:71" ht="12.95" customHeight="1">
      <c r="A247" s="19"/>
      <c r="B247" s="4"/>
      <c r="C247" s="4"/>
      <c r="D247" s="4" t="s">
        <v>91</v>
      </c>
      <c r="E247" s="4"/>
      <c r="F247" s="4"/>
      <c r="M247" s="1753" t="s">
        <v>2648</v>
      </c>
      <c r="N247" s="1753"/>
      <c r="O247" s="1753"/>
      <c r="P247" s="1753"/>
      <c r="Q247" s="1753"/>
      <c r="R247" s="1753"/>
      <c r="S247" s="1753"/>
      <c r="T247" s="1753"/>
      <c r="U247" s="1753"/>
      <c r="V247" s="1753"/>
      <c r="W247" s="1753"/>
      <c r="X247" s="1753"/>
      <c r="Y247" s="1753"/>
      <c r="Z247" s="1753"/>
      <c r="AA247" s="1753"/>
      <c r="AB247" s="1753"/>
      <c r="AC247" s="1753"/>
      <c r="AD247" s="1753"/>
      <c r="AE247" s="1753"/>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6" t="s">
        <v>545</v>
      </c>
      <c r="N248" s="1366"/>
      <c r="O248" s="1366"/>
      <c r="P248" s="1366"/>
      <c r="Q248" s="1366"/>
      <c r="R248" s="1366"/>
      <c r="S248" s="1366"/>
      <c r="T248" s="1366"/>
      <c r="U248" s="218" t="s">
        <v>939</v>
      </c>
      <c r="V248" s="218"/>
      <c r="W248" s="218"/>
      <c r="X248" s="218"/>
      <c r="Y248" s="218"/>
      <c r="Z248" s="218"/>
      <c r="AA248" s="1782" t="s">
        <v>2637</v>
      </c>
      <c r="AB248" s="1755"/>
      <c r="AC248" s="1755"/>
      <c r="AD248" s="1755"/>
      <c r="AE248" s="1755"/>
      <c r="AF248" s="1755"/>
      <c r="AG248" s="1755"/>
      <c r="AH248" s="1755"/>
      <c r="AI248" s="1755"/>
      <c r="AJ248" s="1755"/>
      <c r="AK248" s="1755"/>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765" t="s">
        <v>2652</v>
      </c>
      <c r="N250" s="1758"/>
      <c r="O250" s="1758"/>
      <c r="P250" s="1758"/>
      <c r="Q250" s="1758"/>
      <c r="R250" s="1758"/>
      <c r="S250" s="1758"/>
      <c r="T250" s="1758"/>
      <c r="U250" s="1758"/>
      <c r="V250" s="1758"/>
      <c r="W250" s="1758"/>
      <c r="X250" s="1758"/>
      <c r="Y250" s="1758"/>
      <c r="Z250" s="1758"/>
      <c r="AA250" s="1758"/>
      <c r="AB250" s="1758"/>
      <c r="AC250" s="1758"/>
      <c r="AD250" s="1758"/>
      <c r="AE250" s="1758"/>
      <c r="AF250" s="1758" t="s">
        <v>2649</v>
      </c>
      <c r="AG250" s="1758"/>
      <c r="AH250" s="1758"/>
      <c r="AI250" s="1758"/>
      <c r="AJ250" s="1758"/>
      <c r="AK250" s="1758"/>
      <c r="BN250" s="34"/>
    </row>
    <row r="251" spans="1:71" ht="12.95" customHeight="1">
      <c r="A251" s="19"/>
      <c r="B251" s="4"/>
      <c r="C251" s="4"/>
      <c r="D251" s="4" t="s">
        <v>86</v>
      </c>
      <c r="E251" s="4"/>
      <c r="F251" s="4"/>
      <c r="G251" s="4"/>
      <c r="H251" s="4"/>
      <c r="I251" s="4"/>
      <c r="J251" s="4"/>
      <c r="K251" s="4"/>
      <c r="L251" s="4"/>
      <c r="M251" s="1371" t="s">
        <v>2653</v>
      </c>
      <c r="N251" s="1654"/>
      <c r="O251" s="1654"/>
      <c r="P251" s="1654"/>
      <c r="Q251" s="1654"/>
      <c r="R251" s="1654"/>
      <c r="S251" s="1654"/>
      <c r="T251" s="1654"/>
      <c r="U251" s="1654"/>
      <c r="V251" s="1654"/>
      <c r="W251" s="1654"/>
      <c r="X251" s="1654"/>
      <c r="Y251" s="1654"/>
      <c r="Z251" s="1654"/>
      <c r="AA251" s="1654"/>
      <c r="AB251" s="1654"/>
      <c r="AC251" s="1654"/>
      <c r="AD251" s="1654"/>
      <c r="AE251" s="1654"/>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371" t="s">
        <v>2654</v>
      </c>
      <c r="N252" s="1654"/>
      <c r="O252" s="1654"/>
      <c r="P252" s="1654"/>
      <c r="Q252" s="1654"/>
      <c r="R252" s="1654"/>
      <c r="S252" s="1654"/>
      <c r="T252" s="1654"/>
      <c r="V252" s="33" t="s">
        <v>87</v>
      </c>
      <c r="W252" s="1365" t="s">
        <v>2641</v>
      </c>
      <c r="X252" s="1355"/>
      <c r="Y252" s="4" t="s">
        <v>592</v>
      </c>
      <c r="AC252" s="1654">
        <v>92024</v>
      </c>
      <c r="AD252" s="1654"/>
      <c r="AE252" s="1654"/>
      <c r="AF252" s="3" t="s">
        <v>1323</v>
      </c>
      <c r="BN252" s="34"/>
    </row>
    <row r="253" spans="1:71" ht="12.95" customHeight="1">
      <c r="A253" s="19"/>
      <c r="B253" s="4"/>
      <c r="C253" s="4"/>
      <c r="D253" s="4" t="s">
        <v>88</v>
      </c>
      <c r="E253" s="4"/>
      <c r="F253" s="4"/>
      <c r="G253" s="4"/>
      <c r="H253" s="4"/>
      <c r="I253" s="4"/>
      <c r="J253" s="4"/>
      <c r="K253" s="4"/>
      <c r="L253" s="19"/>
      <c r="M253" s="1371" t="s">
        <v>2758</v>
      </c>
      <c r="N253" s="1654"/>
      <c r="O253" s="1654"/>
      <c r="P253" s="1654"/>
      <c r="Q253" s="1654"/>
      <c r="R253" s="1654"/>
      <c r="S253" s="1654"/>
      <c r="T253" s="1654"/>
      <c r="U253" s="1654"/>
      <c r="V253" s="1654"/>
      <c r="W253" s="1654"/>
      <c r="X253" s="1654"/>
      <c r="Y253" s="1654"/>
      <c r="Z253" s="1654"/>
      <c r="AA253" s="1654"/>
      <c r="AB253" s="1654"/>
      <c r="AC253" s="1654"/>
      <c r="AD253" s="1654"/>
      <c r="AE253" s="1654"/>
      <c r="AH253" s="1751">
        <v>5.0000000000000001E-3</v>
      </c>
      <c r="AI253" s="1751"/>
      <c r="AJ253" s="1751"/>
      <c r="AK253" s="1751"/>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9" t="s">
        <v>2759</v>
      </c>
      <c r="N254" s="1360"/>
      <c r="O254" s="1360"/>
      <c r="P254" s="1360"/>
      <c r="Q254" s="1360"/>
      <c r="R254" s="1360"/>
      <c r="S254" s="4" t="s">
        <v>207</v>
      </c>
      <c r="T254" s="4"/>
      <c r="U254" s="1355"/>
      <c r="V254" s="1355"/>
      <c r="W254" s="1355"/>
      <c r="X254" s="4" t="s">
        <v>90</v>
      </c>
      <c r="Z254" s="1359" t="s">
        <v>2760</v>
      </c>
      <c r="AA254" s="1360"/>
      <c r="AB254" s="1360"/>
      <c r="AC254" s="1360"/>
      <c r="AD254" s="1360"/>
      <c r="AE254" s="1360"/>
    </row>
    <row r="255" spans="1:71" ht="12.95" customHeight="1">
      <c r="A255" s="19"/>
      <c r="B255" s="4"/>
      <c r="C255" s="4"/>
      <c r="D255" s="4" t="s">
        <v>91</v>
      </c>
      <c r="E255" s="4"/>
      <c r="F255" s="4"/>
      <c r="M255" s="1753" t="s">
        <v>2761</v>
      </c>
      <c r="N255" s="1753"/>
      <c r="O255" s="1753"/>
      <c r="P255" s="1753"/>
      <c r="Q255" s="1753"/>
      <c r="R255" s="1753"/>
      <c r="S255" s="1753"/>
      <c r="T255" s="1753"/>
      <c r="U255" s="1753"/>
      <c r="V255" s="1753"/>
      <c r="W255" s="1753"/>
      <c r="X255" s="1753"/>
      <c r="Y255" s="1753"/>
      <c r="Z255" s="1753"/>
      <c r="AA255" s="1753"/>
      <c r="AB255" s="1753"/>
      <c r="AC255" s="1753"/>
      <c r="AD255" s="1753"/>
      <c r="AE255" s="1753"/>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6" t="s">
        <v>543</v>
      </c>
      <c r="N256" s="1366"/>
      <c r="O256" s="1366"/>
      <c r="P256" s="1366"/>
      <c r="Q256" s="1366"/>
      <c r="R256" s="1366"/>
      <c r="S256" s="1366"/>
      <c r="T256" s="1366"/>
      <c r="U256" s="218" t="s">
        <v>939</v>
      </c>
      <c r="V256" s="218"/>
      <c r="W256" s="218"/>
      <c r="X256" s="218"/>
      <c r="Y256" s="218"/>
      <c r="Z256" s="218"/>
      <c r="AA256" s="1755"/>
      <c r="AB256" s="1755"/>
      <c r="AC256" s="1755"/>
      <c r="AD256" s="1755"/>
      <c r="AE256" s="1755"/>
      <c r="AF256" s="1755"/>
      <c r="AG256" s="1755"/>
      <c r="AH256" s="1755"/>
      <c r="AI256" s="1755"/>
      <c r="AJ256" s="1755"/>
      <c r="AK256" s="1755"/>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758"/>
      <c r="N258" s="1758"/>
      <c r="O258" s="1758"/>
      <c r="P258" s="1758"/>
      <c r="Q258" s="1758"/>
      <c r="R258" s="1758"/>
      <c r="S258" s="1758"/>
      <c r="T258" s="1758"/>
      <c r="U258" s="1758"/>
      <c r="V258" s="1758"/>
      <c r="W258" s="1758"/>
      <c r="X258" s="1758"/>
      <c r="Y258" s="1758"/>
      <c r="Z258" s="1758"/>
      <c r="AA258" s="1758"/>
      <c r="AB258" s="1758"/>
      <c r="AC258" s="1758"/>
      <c r="AD258" s="1758"/>
      <c r="AE258" s="1758"/>
      <c r="AF258" s="1758" t="s">
        <v>308</v>
      </c>
      <c r="AG258" s="1758"/>
      <c r="AH258" s="1758"/>
      <c r="AI258" s="1758"/>
      <c r="AJ258" s="1758"/>
      <c r="AK258" s="1758"/>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54"/>
      <c r="N259" s="1654"/>
      <c r="O259" s="1654"/>
      <c r="P259" s="1654"/>
      <c r="Q259" s="1654"/>
      <c r="R259" s="1654"/>
      <c r="S259" s="1654"/>
      <c r="T259" s="1654"/>
      <c r="U259" s="1654"/>
      <c r="V259" s="1654"/>
      <c r="W259" s="1654"/>
      <c r="X259" s="1654"/>
      <c r="Y259" s="1654"/>
      <c r="Z259" s="1654"/>
      <c r="AA259" s="1654"/>
      <c r="AB259" s="1654"/>
      <c r="AC259" s="1654"/>
      <c r="AD259" s="1654"/>
      <c r="AE259" s="1654"/>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654"/>
      <c r="N260" s="1654"/>
      <c r="O260" s="1654"/>
      <c r="P260" s="1654"/>
      <c r="Q260" s="1654"/>
      <c r="R260" s="1654"/>
      <c r="S260" s="1654"/>
      <c r="T260" s="1654"/>
      <c r="V260" s="33" t="s">
        <v>87</v>
      </c>
      <c r="W260" s="1355"/>
      <c r="X260" s="1355"/>
      <c r="Y260" s="4" t="s">
        <v>592</v>
      </c>
      <c r="AC260" s="1654"/>
      <c r="AD260" s="1654"/>
      <c r="AE260" s="1654"/>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54"/>
      <c r="N261" s="1654"/>
      <c r="O261" s="1654"/>
      <c r="P261" s="1654"/>
      <c r="Q261" s="1654"/>
      <c r="R261" s="1654"/>
      <c r="S261" s="1654"/>
      <c r="T261" s="1654"/>
      <c r="U261" s="1654"/>
      <c r="V261" s="1654"/>
      <c r="W261" s="1654"/>
      <c r="X261" s="1654"/>
      <c r="Y261" s="1654"/>
      <c r="Z261" s="1654"/>
      <c r="AA261" s="1654"/>
      <c r="AB261" s="1654"/>
      <c r="AC261" s="1654"/>
      <c r="AD261" s="1654"/>
      <c r="AE261" s="1654"/>
      <c r="AH261" s="1751"/>
      <c r="AI261" s="1751"/>
      <c r="AJ261" s="1751"/>
      <c r="AK261" s="1751"/>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60"/>
      <c r="N262" s="1360"/>
      <c r="O262" s="1360"/>
      <c r="P262" s="1360"/>
      <c r="Q262" s="1360"/>
      <c r="R262" s="1360"/>
      <c r="S262" s="4" t="s">
        <v>207</v>
      </c>
      <c r="T262" s="4"/>
      <c r="U262" s="1355"/>
      <c r="V262" s="1355"/>
      <c r="W262" s="1355"/>
      <c r="X262" s="4" t="s">
        <v>90</v>
      </c>
      <c r="Z262" s="1360"/>
      <c r="AA262" s="1360"/>
      <c r="AB262" s="1360"/>
      <c r="AC262" s="1360"/>
      <c r="AD262" s="1360"/>
      <c r="AE262" s="1360"/>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53"/>
      <c r="N263" s="1753"/>
      <c r="O263" s="1753"/>
      <c r="P263" s="1753"/>
      <c r="Q263" s="1753"/>
      <c r="R263" s="1753"/>
      <c r="S263" s="1753"/>
      <c r="T263" s="1753"/>
      <c r="U263" s="1753"/>
      <c r="V263" s="1753"/>
      <c r="W263" s="1753"/>
      <c r="X263" s="1753"/>
      <c r="Y263" s="1753"/>
      <c r="Z263" s="1753"/>
      <c r="AA263" s="1784"/>
      <c r="AB263" s="1784"/>
      <c r="AC263" s="1784"/>
      <c r="AD263" s="1784"/>
      <c r="AE263" s="1784"/>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6" t="s">
        <v>308</v>
      </c>
      <c r="N264" s="1366"/>
      <c r="O264" s="1366"/>
      <c r="P264" s="1366"/>
      <c r="Q264" s="1366"/>
      <c r="R264" s="1366"/>
      <c r="S264" s="1366"/>
      <c r="T264" s="1366"/>
      <c r="U264" s="218" t="s">
        <v>939</v>
      </c>
      <c r="V264" s="218"/>
      <c r="W264" s="218"/>
      <c r="X264" s="218"/>
      <c r="Y264" s="218"/>
      <c r="Z264" s="218"/>
      <c r="AA264" s="1752"/>
      <c r="AB264" s="1752"/>
      <c r="AC264" s="1752"/>
      <c r="AD264" s="1752"/>
      <c r="AE264" s="1752"/>
      <c r="AF264" s="1752"/>
      <c r="AG264" s="1752"/>
      <c r="AH264" s="1752"/>
      <c r="AI264" s="1752"/>
      <c r="AJ264" s="1752"/>
      <c r="AK264" s="1752"/>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296</v>
      </c>
      <c r="D266" s="4"/>
      <c r="E266" s="4"/>
      <c r="F266" s="4"/>
      <c r="G266" s="4"/>
      <c r="H266" s="4"/>
      <c r="I266" s="4"/>
      <c r="J266" s="4"/>
      <c r="K266" s="4"/>
      <c r="L266" s="4"/>
      <c r="M266" s="35"/>
      <c r="N266" s="35"/>
      <c r="O266" s="35"/>
      <c r="P266" s="35"/>
      <c r="Q266" s="35"/>
      <c r="T266" s="1783" t="str">
        <f>BO245</f>
        <v>Joint Venture</v>
      </c>
      <c r="U266" s="1783"/>
      <c r="V266" s="1783"/>
      <c r="W266" s="1783"/>
      <c r="X266" s="1783"/>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654" t="s">
        <v>173</v>
      </c>
      <c r="E269" s="1654"/>
      <c r="F269" s="1654"/>
      <c r="G269" s="1654"/>
      <c r="H269" s="1654"/>
      <c r="J269" t="s">
        <v>280</v>
      </c>
      <c r="X269" s="1642"/>
      <c r="Y269" s="1642"/>
      <c r="Z269" s="1642"/>
      <c r="AA269" s="1642"/>
      <c r="AB269" s="1642"/>
      <c r="AC269" s="1642"/>
      <c r="BN269" s="34"/>
    </row>
    <row r="270" spans="1:66" ht="12.95"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297</v>
      </c>
      <c r="E273" s="4"/>
      <c r="F273" s="4"/>
      <c r="G273" s="4"/>
      <c r="H273" s="4"/>
      <c r="I273" s="4"/>
      <c r="J273" s="4"/>
      <c r="K273" s="4"/>
      <c r="L273" s="1765" t="s">
        <v>2655</v>
      </c>
      <c r="M273" s="1758"/>
      <c r="N273" s="1758"/>
      <c r="O273" s="1758"/>
      <c r="P273" s="1758"/>
      <c r="Q273" s="1758"/>
      <c r="R273" s="1758"/>
      <c r="S273" s="1758"/>
      <c r="T273" s="1758"/>
      <c r="U273" s="1758"/>
      <c r="V273" s="1758"/>
      <c r="W273" s="1758"/>
      <c r="X273" s="1758"/>
      <c r="Y273" s="1758"/>
      <c r="Z273" s="1758"/>
      <c r="AA273" s="1758"/>
      <c r="AB273" s="1758"/>
      <c r="AC273" s="1758"/>
      <c r="AD273" s="1758"/>
      <c r="AE273" s="1758"/>
      <c r="AF273" s="1758"/>
      <c r="AG273" s="1758"/>
      <c r="AH273" s="1758"/>
      <c r="AI273" s="1758"/>
      <c r="AJ273" s="1758"/>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71" t="s">
        <v>2656</v>
      </c>
      <c r="M274" s="1654"/>
      <c r="N274" s="1654"/>
      <c r="O274" s="1654"/>
      <c r="P274" s="1654"/>
      <c r="Q274" s="1654"/>
      <c r="R274" s="1654"/>
      <c r="S274" s="1654"/>
      <c r="T274" s="1654"/>
      <c r="U274" s="1654"/>
      <c r="V274" s="1654"/>
      <c r="W274" s="1654"/>
      <c r="X274" s="1654"/>
      <c r="Y274" s="1654"/>
      <c r="Z274" s="1654"/>
      <c r="AA274" s="1654"/>
      <c r="AB274" s="1654"/>
      <c r="AC274" s="1654"/>
      <c r="AD274" s="1654"/>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371" t="s">
        <v>68</v>
      </c>
      <c r="M275" s="1654"/>
      <c r="N275" s="1654"/>
      <c r="O275" s="1654"/>
      <c r="P275" s="1654"/>
      <c r="Q275" s="1654"/>
      <c r="R275" s="1654"/>
      <c r="S275" s="1654"/>
      <c r="U275" s="33" t="s">
        <v>87</v>
      </c>
      <c r="V275" s="1365" t="s">
        <v>2641</v>
      </c>
      <c r="W275" s="1355"/>
      <c r="X275" s="4" t="s">
        <v>592</v>
      </c>
      <c r="AB275" s="1654">
        <v>95811</v>
      </c>
      <c r="AC275" s="1654"/>
      <c r="AD275" s="1654"/>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71" t="s">
        <v>2657</v>
      </c>
      <c r="M276" s="1654"/>
      <c r="N276" s="1654"/>
      <c r="O276" s="1654"/>
      <c r="P276" s="1654"/>
      <c r="Q276" s="1654"/>
      <c r="R276" s="1654"/>
      <c r="S276" s="1654"/>
      <c r="T276" s="1654"/>
      <c r="U276" s="1654"/>
      <c r="V276" s="1654"/>
      <c r="W276" s="1654"/>
      <c r="X276" s="1654"/>
      <c r="Y276" s="1654"/>
      <c r="Z276" s="1654"/>
      <c r="AA276" s="1654"/>
      <c r="AB276" s="1654"/>
      <c r="AC276" s="1654"/>
      <c r="AD276" s="1654"/>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9" t="s">
        <v>2658</v>
      </c>
      <c r="M277" s="1360"/>
      <c r="N277" s="1360"/>
      <c r="O277" s="1360"/>
      <c r="P277" s="1360"/>
      <c r="Q277" s="1360"/>
      <c r="R277" s="4" t="s">
        <v>207</v>
      </c>
      <c r="S277" s="4"/>
      <c r="T277" s="1355">
        <v>267</v>
      </c>
      <c r="U277" s="1355"/>
      <c r="V277" s="1355"/>
      <c r="W277" s="4" t="s">
        <v>90</v>
      </c>
      <c r="Y277" s="1359" t="s">
        <v>2668</v>
      </c>
      <c r="Z277" s="1360"/>
      <c r="AA277" s="1360"/>
      <c r="AB277" s="1360"/>
      <c r="AC277" s="1360"/>
      <c r="AD277" s="1360"/>
      <c r="BN277" s="34"/>
    </row>
    <row r="278" spans="1:66" ht="12.95" customHeight="1">
      <c r="D278" s="4" t="s">
        <v>91</v>
      </c>
      <c r="E278" s="4"/>
      <c r="F278" s="4"/>
      <c r="L278" s="1753" t="s">
        <v>2659</v>
      </c>
      <c r="M278" s="1753"/>
      <c r="N278" s="1753"/>
      <c r="O278" s="1753"/>
      <c r="P278" s="1753"/>
      <c r="Q278" s="1753"/>
      <c r="R278" s="1753"/>
      <c r="S278" s="1753"/>
      <c r="T278" s="1753"/>
      <c r="U278" s="1753"/>
      <c r="V278" s="1753"/>
      <c r="W278" s="1753"/>
      <c r="X278" s="1753"/>
      <c r="Y278" s="1753"/>
      <c r="Z278" s="1753"/>
      <c r="AA278" s="1753"/>
      <c r="AB278" s="1753"/>
      <c r="AC278" s="1753"/>
      <c r="AD278" s="1753"/>
      <c r="AF278" s="4"/>
      <c r="AG278" s="4"/>
      <c r="AH278" s="4"/>
      <c r="AI278" s="4"/>
      <c r="AJ278" s="4"/>
      <c r="BN278" s="34"/>
    </row>
    <row r="279" spans="1:66" ht="12.95" customHeight="1">
      <c r="D279" s="3" t="s">
        <v>632</v>
      </c>
      <c r="E279" s="3"/>
      <c r="F279" s="3"/>
      <c r="G279" s="3"/>
      <c r="H279" s="3"/>
      <c r="I279" s="3"/>
      <c r="L279" s="1365" t="s">
        <v>2660</v>
      </c>
      <c r="M279" s="1365"/>
      <c r="N279" s="1365"/>
      <c r="O279" s="1365"/>
      <c r="P279" s="1365"/>
      <c r="Q279" s="1365"/>
      <c r="R279" s="1365"/>
      <c r="S279" s="1365"/>
      <c r="T279" s="1365"/>
      <c r="U279" s="1365"/>
      <c r="V279" s="1365"/>
      <c r="W279" s="1365"/>
      <c r="X279" s="1365"/>
      <c r="Y279" s="1365"/>
      <c r="Z279" s="1365"/>
      <c r="AA279" s="1365"/>
      <c r="AB279" s="1365"/>
      <c r="AC279" s="1365"/>
      <c r="AD279" s="1365"/>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648" t="s">
        <v>550</v>
      </c>
      <c r="B281" s="1648"/>
      <c r="C281" s="1648"/>
      <c r="D281" s="1648"/>
      <c r="E281" s="1648"/>
      <c r="F281" s="1648"/>
      <c r="G281" s="1648"/>
      <c r="H281" s="1648"/>
      <c r="I281" s="1648"/>
      <c r="J281" s="1648"/>
      <c r="K281" s="1648"/>
      <c r="L281" s="1648"/>
      <c r="M281" s="1648"/>
      <c r="N281" s="1648"/>
      <c r="O281" s="1648"/>
      <c r="P281" s="1648"/>
      <c r="Q281" s="1648"/>
      <c r="R281" s="1648"/>
      <c r="S281" s="1648"/>
      <c r="T281" s="1648"/>
      <c r="U281" s="1648"/>
      <c r="V281" s="1648"/>
      <c r="W281" s="1648"/>
      <c r="X281" s="1648"/>
      <c r="Y281" s="1648"/>
      <c r="Z281" s="1648"/>
      <c r="AA281" s="1648"/>
      <c r="AB281" s="1648"/>
      <c r="AC281" s="1648"/>
      <c r="AD281" s="1648"/>
      <c r="AE281" s="1648"/>
      <c r="AF281" s="1648"/>
      <c r="AG281" s="1648"/>
      <c r="AH281" s="1648"/>
      <c r="AI281" s="1648"/>
      <c r="AJ281" s="1648"/>
      <c r="AK281" s="1648"/>
      <c r="AL281" s="1648"/>
      <c r="AM281" s="95"/>
      <c r="AN281" s="95"/>
      <c r="AO281" s="95"/>
      <c r="AP281" s="95"/>
      <c r="AQ281" s="95"/>
      <c r="AR281" s="95"/>
      <c r="AS281" s="95"/>
      <c r="AT281" s="95"/>
      <c r="AU281" s="95"/>
      <c r="AV281" s="95"/>
      <c r="AW281" s="95"/>
      <c r="AX281" s="95"/>
      <c r="AY281" s="95"/>
      <c r="BN281" s="34"/>
    </row>
    <row r="282" spans="1:66" ht="12.95" customHeight="1" thickBot="1">
      <c r="A282" s="1649"/>
      <c r="B282" s="1649"/>
      <c r="C282" s="1649"/>
      <c r="D282" s="1649"/>
      <c r="E282" s="1649"/>
      <c r="F282" s="1649"/>
      <c r="G282" s="1649"/>
      <c r="H282" s="1649"/>
      <c r="I282" s="1649"/>
      <c r="J282" s="1649"/>
      <c r="K282" s="1649"/>
      <c r="L282" s="1649"/>
      <c r="M282" s="1649"/>
      <c r="N282" s="1649"/>
      <c r="O282" s="1649"/>
      <c r="P282" s="1649"/>
      <c r="Q282" s="1649"/>
      <c r="R282" s="1649"/>
      <c r="S282" s="1649"/>
      <c r="T282" s="1649"/>
      <c r="U282" s="1649"/>
      <c r="V282" s="1649"/>
      <c r="W282" s="1649"/>
      <c r="X282" s="1649"/>
      <c r="Y282" s="1649"/>
      <c r="Z282" s="1649"/>
      <c r="AA282" s="1649"/>
      <c r="AB282" s="1649"/>
      <c r="AC282" s="1649"/>
      <c r="AD282" s="1649"/>
      <c r="AE282" s="1649"/>
      <c r="AF282" s="1649"/>
      <c r="AG282" s="1649"/>
      <c r="AH282" s="1649"/>
      <c r="AI282" s="1649"/>
      <c r="AJ282" s="1649"/>
      <c r="AK282" s="1649"/>
      <c r="AL282" s="1649"/>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71" t="s">
        <v>2661</v>
      </c>
      <c r="I286" s="1357"/>
      <c r="J286" s="1357"/>
      <c r="K286" s="1357"/>
      <c r="L286" s="1357"/>
      <c r="M286" s="1357"/>
      <c r="N286" s="1357"/>
      <c r="O286" s="1357"/>
      <c r="P286" s="1357"/>
      <c r="Q286" s="1357"/>
      <c r="R286" s="1357"/>
      <c r="T286" s="3" t="s">
        <v>576</v>
      </c>
      <c r="V286" s="3"/>
      <c r="W286" s="3"/>
      <c r="X286" s="3"/>
      <c r="Y286" s="3"/>
      <c r="AA286" s="1357" t="s">
        <v>2683</v>
      </c>
      <c r="AB286" s="1357"/>
      <c r="AC286" s="1357"/>
      <c r="AD286" s="1357"/>
      <c r="AE286" s="1357"/>
      <c r="AF286" s="1357"/>
      <c r="AG286" s="1357"/>
      <c r="AH286" s="1357"/>
      <c r="AI286" s="1357"/>
      <c r="AJ286" s="1357"/>
      <c r="AK286" s="1357"/>
      <c r="BN286" s="34"/>
    </row>
    <row r="287" spans="1:66" ht="12.95" customHeight="1">
      <c r="B287" s="3" t="s">
        <v>480</v>
      </c>
      <c r="C287" s="3"/>
      <c r="D287" s="3"/>
      <c r="E287" s="3"/>
      <c r="F287" s="3"/>
      <c r="H287" s="1366" t="s">
        <v>2662</v>
      </c>
      <c r="I287" s="1366"/>
      <c r="J287" s="1366"/>
      <c r="K287" s="1366"/>
      <c r="L287" s="1366"/>
      <c r="M287" s="1366"/>
      <c r="N287" s="1366"/>
      <c r="O287" s="1366"/>
      <c r="P287" s="1366"/>
      <c r="Q287" s="1366"/>
      <c r="R287" s="1366"/>
      <c r="T287" s="3" t="s">
        <v>480</v>
      </c>
      <c r="V287" s="3"/>
      <c r="W287" s="3"/>
      <c r="X287" s="3"/>
      <c r="Y287" s="3"/>
      <c r="AA287" s="1366" t="s">
        <v>2684</v>
      </c>
      <c r="AB287" s="1366"/>
      <c r="AC287" s="1366"/>
      <c r="AD287" s="1366"/>
      <c r="AE287" s="1366"/>
      <c r="AF287" s="1366"/>
      <c r="AG287" s="1366"/>
      <c r="AH287" s="1366"/>
      <c r="AI287" s="1366"/>
      <c r="AJ287" s="1366"/>
      <c r="AK287" s="1366"/>
      <c r="BN287" s="34"/>
    </row>
    <row r="288" spans="1:66" ht="12.95" customHeight="1">
      <c r="B288" s="3" t="s">
        <v>481</v>
      </c>
      <c r="C288" s="3"/>
      <c r="D288" s="3"/>
      <c r="E288" s="3"/>
      <c r="F288" s="3"/>
      <c r="H288" s="1366" t="s">
        <v>2663</v>
      </c>
      <c r="I288" s="1366"/>
      <c r="J288" s="1366"/>
      <c r="K288" s="1366"/>
      <c r="L288" s="1366"/>
      <c r="M288" s="1366"/>
      <c r="N288" s="1366"/>
      <c r="O288" s="1366"/>
      <c r="P288" s="1366"/>
      <c r="Q288" s="1366"/>
      <c r="R288" s="1366"/>
      <c r="T288" s="3" t="s">
        <v>76</v>
      </c>
      <c r="V288" s="3"/>
      <c r="W288" s="3"/>
      <c r="X288" s="3"/>
      <c r="Y288" s="3"/>
      <c r="AA288" s="1366" t="s">
        <v>2685</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2646</v>
      </c>
      <c r="I289" s="1366"/>
      <c r="J289" s="1366"/>
      <c r="K289" s="1366"/>
      <c r="L289" s="1366"/>
      <c r="M289" s="1366"/>
      <c r="N289" s="1366"/>
      <c r="O289" s="1366"/>
      <c r="P289" s="1366"/>
      <c r="Q289" s="1366"/>
      <c r="R289" s="1366"/>
      <c r="T289" s="3" t="s">
        <v>88</v>
      </c>
      <c r="V289" s="3"/>
      <c r="W289" s="3"/>
      <c r="X289" s="3"/>
      <c r="Y289" s="3"/>
      <c r="AA289" s="1366" t="s">
        <v>2686</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663" t="s">
        <v>2647</v>
      </c>
      <c r="I290" s="1655"/>
      <c r="J290" s="1655"/>
      <c r="K290" s="1655"/>
      <c r="L290" s="1655"/>
      <c r="M290" s="1655"/>
      <c r="N290" s="4" t="s">
        <v>207</v>
      </c>
      <c r="O290" s="4"/>
      <c r="P290" s="1654"/>
      <c r="Q290" s="1654"/>
      <c r="R290" s="1654"/>
      <c r="S290" s="3"/>
      <c r="T290" s="3" t="s">
        <v>89</v>
      </c>
      <c r="V290" s="3"/>
      <c r="W290" s="3"/>
      <c r="X290" s="3"/>
      <c r="Y290" s="3"/>
      <c r="AA290" s="1663" t="s">
        <v>2687</v>
      </c>
      <c r="AB290" s="1655"/>
      <c r="AC290" s="1655"/>
      <c r="AD290" s="1655"/>
      <c r="AE290" s="1655"/>
      <c r="AF290" s="1655"/>
      <c r="AG290" s="4" t="s">
        <v>207</v>
      </c>
      <c r="AH290" s="4"/>
      <c r="AI290" s="1654"/>
      <c r="AJ290" s="1654"/>
      <c r="AK290" s="1654"/>
      <c r="BN290" s="34"/>
    </row>
    <row r="291" spans="2:66" ht="12.95" customHeight="1">
      <c r="B291" s="3" t="s">
        <v>90</v>
      </c>
      <c r="C291" s="3"/>
      <c r="D291" s="3"/>
      <c r="E291" s="3"/>
      <c r="F291" s="3"/>
      <c r="G291" s="3"/>
      <c r="H291" s="1360"/>
      <c r="I291" s="1360"/>
      <c r="J291" s="1360"/>
      <c r="K291" s="1360"/>
      <c r="L291" s="1360"/>
      <c r="M291" s="1360"/>
      <c r="N291" s="4"/>
      <c r="O291" s="4"/>
      <c r="P291" s="35"/>
      <c r="Q291" s="35"/>
      <c r="R291" s="35"/>
      <c r="S291" s="3"/>
      <c r="T291" s="3" t="s">
        <v>90</v>
      </c>
      <c r="V291" s="3"/>
      <c r="W291" s="3"/>
      <c r="X291" s="3"/>
      <c r="Y291" s="3"/>
      <c r="AA291" s="1360"/>
      <c r="AB291" s="1360"/>
      <c r="AC291" s="1360"/>
      <c r="AD291" s="1360"/>
      <c r="AE291" s="1360"/>
      <c r="AF291" s="1360"/>
      <c r="AG291" s="4"/>
      <c r="AH291" s="4"/>
      <c r="AI291" s="35"/>
      <c r="AJ291" s="35"/>
      <c r="AK291" s="35"/>
      <c r="BN291" s="34"/>
    </row>
    <row r="292" spans="2:66" ht="12.95" customHeight="1">
      <c r="B292" s="3" t="s">
        <v>77</v>
      </c>
      <c r="C292" s="3"/>
      <c r="D292" s="3"/>
      <c r="E292" s="3"/>
      <c r="F292" s="3"/>
      <c r="G292" s="3"/>
      <c r="H292" s="1365" t="s">
        <v>2648</v>
      </c>
      <c r="I292" s="1366"/>
      <c r="J292" s="1366"/>
      <c r="K292" s="1366"/>
      <c r="L292" s="1366"/>
      <c r="M292" s="1366"/>
      <c r="N292" s="1357"/>
      <c r="O292" s="1357"/>
      <c r="P292" s="1357"/>
      <c r="Q292" s="1357"/>
      <c r="R292" s="1357"/>
      <c r="S292" s="3"/>
      <c r="T292" s="3" t="s">
        <v>77</v>
      </c>
      <c r="V292" s="3"/>
      <c r="W292" s="3"/>
      <c r="X292" s="3"/>
      <c r="Y292" s="3"/>
      <c r="AA292" s="1365" t="s">
        <v>2688</v>
      </c>
      <c r="AB292" s="1366"/>
      <c r="AC292" s="1366"/>
      <c r="AD292" s="1366"/>
      <c r="AE292" s="1366"/>
      <c r="AF292" s="1366"/>
      <c r="AG292" s="1357"/>
      <c r="AH292" s="1357"/>
      <c r="AI292" s="1357"/>
      <c r="AJ292" s="1357"/>
      <c r="AK292" s="1357"/>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324</v>
      </c>
      <c r="C294" s="3"/>
      <c r="D294" s="3"/>
      <c r="E294" s="3"/>
      <c r="F294" s="3"/>
      <c r="H294" s="1357" t="s">
        <v>2664</v>
      </c>
      <c r="I294" s="1357"/>
      <c r="J294" s="1357"/>
      <c r="K294" s="1357"/>
      <c r="L294" s="1357"/>
      <c r="M294" s="1357"/>
      <c r="N294" s="1357"/>
      <c r="O294" s="1357"/>
      <c r="P294" s="1357"/>
      <c r="Q294" s="1357"/>
      <c r="R294" s="1357"/>
      <c r="T294" s="3" t="s">
        <v>365</v>
      </c>
      <c r="V294" s="3"/>
      <c r="W294" s="3"/>
      <c r="X294" s="3"/>
      <c r="Y294" s="3"/>
      <c r="AA294" s="1371" t="s">
        <v>2689</v>
      </c>
      <c r="AB294" s="1357"/>
      <c r="AC294" s="1357"/>
      <c r="AD294" s="1357"/>
      <c r="AE294" s="1357"/>
      <c r="AF294" s="1357"/>
      <c r="AG294" s="1357"/>
      <c r="AH294" s="1357"/>
      <c r="AI294" s="1357"/>
      <c r="AJ294" s="1357"/>
      <c r="AK294" s="1357"/>
      <c r="BN294" s="34"/>
    </row>
    <row r="295" spans="2:66" ht="12.95" customHeight="1">
      <c r="B295" s="3" t="s">
        <v>480</v>
      </c>
      <c r="C295" s="3"/>
      <c r="D295" s="3"/>
      <c r="E295" s="3"/>
      <c r="F295" s="3"/>
      <c r="H295" s="1366" t="s">
        <v>2665</v>
      </c>
      <c r="I295" s="1366"/>
      <c r="J295" s="1366"/>
      <c r="K295" s="1366"/>
      <c r="L295" s="1366"/>
      <c r="M295" s="1366"/>
      <c r="N295" s="1366"/>
      <c r="O295" s="1366"/>
      <c r="P295" s="1366"/>
      <c r="Q295" s="1366"/>
      <c r="R295" s="1366"/>
      <c r="T295" s="3" t="s">
        <v>480</v>
      </c>
      <c r="V295" s="3"/>
      <c r="W295" s="3"/>
      <c r="X295" s="3"/>
      <c r="Y295" s="3"/>
      <c r="AA295" s="1366"/>
      <c r="AB295" s="1366"/>
      <c r="AC295" s="1366"/>
      <c r="AD295" s="1366"/>
      <c r="AE295" s="1366"/>
      <c r="AF295" s="1366"/>
      <c r="AG295" s="1366"/>
      <c r="AH295" s="1366"/>
      <c r="AI295" s="1366"/>
      <c r="AJ295" s="1366"/>
      <c r="AK295" s="1366"/>
      <c r="BN295" s="34"/>
    </row>
    <row r="296" spans="2:66" ht="12.95" customHeight="1">
      <c r="B296" s="3" t="s">
        <v>481</v>
      </c>
      <c r="C296" s="3"/>
      <c r="D296" s="3"/>
      <c r="E296" s="3"/>
      <c r="F296" s="3"/>
      <c r="H296" s="1366" t="s">
        <v>2666</v>
      </c>
      <c r="I296" s="1366"/>
      <c r="J296" s="1366"/>
      <c r="K296" s="1366"/>
      <c r="L296" s="1366"/>
      <c r="M296" s="1366"/>
      <c r="N296" s="1366"/>
      <c r="O296" s="1366"/>
      <c r="P296" s="1366"/>
      <c r="Q296" s="1366"/>
      <c r="R296" s="1366"/>
      <c r="T296" s="3" t="s">
        <v>76</v>
      </c>
      <c r="V296" s="3"/>
      <c r="W296" s="3"/>
      <c r="X296" s="3"/>
      <c r="Y296" s="3"/>
      <c r="AA296" s="1366"/>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t="s">
        <v>2667</v>
      </c>
      <c r="I297" s="1366"/>
      <c r="J297" s="1366"/>
      <c r="K297" s="1366"/>
      <c r="L297" s="1366"/>
      <c r="M297" s="1366"/>
      <c r="N297" s="1366"/>
      <c r="O297" s="1366"/>
      <c r="P297" s="1366"/>
      <c r="Q297" s="1366"/>
      <c r="R297" s="1366"/>
      <c r="T297" s="3" t="s">
        <v>88</v>
      </c>
      <c r="V297" s="3"/>
      <c r="W297" s="3"/>
      <c r="X297" s="3"/>
      <c r="Y297" s="3"/>
      <c r="AA297" s="1366"/>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655" t="str">
        <f>L277</f>
        <v>(916)444-0286</v>
      </c>
      <c r="I298" s="1655"/>
      <c r="J298" s="1655"/>
      <c r="K298" s="1655"/>
      <c r="L298" s="1655"/>
      <c r="M298" s="1655"/>
      <c r="N298" s="4" t="s">
        <v>207</v>
      </c>
      <c r="O298" s="4"/>
      <c r="P298" s="1655"/>
      <c r="Q298" s="1654"/>
      <c r="R298" s="1654"/>
      <c r="S298" s="3"/>
      <c r="T298" s="3" t="s">
        <v>89</v>
      </c>
      <c r="V298" s="3"/>
      <c r="W298" s="3"/>
      <c r="X298" s="3"/>
      <c r="Y298" s="3"/>
      <c r="AA298" s="1655"/>
      <c r="AB298" s="1655"/>
      <c r="AC298" s="1655"/>
      <c r="AD298" s="1655"/>
      <c r="AE298" s="1655"/>
      <c r="AF298" s="1655"/>
      <c r="AG298" s="4" t="s">
        <v>207</v>
      </c>
      <c r="AH298" s="4"/>
      <c r="AI298" s="1654"/>
      <c r="AJ298" s="1654"/>
      <c r="AK298" s="1654"/>
      <c r="BN298" s="34"/>
    </row>
    <row r="299" spans="2:66" ht="12.95" customHeight="1">
      <c r="B299" s="3" t="s">
        <v>90</v>
      </c>
      <c r="C299" s="3"/>
      <c r="D299" s="3"/>
      <c r="E299" s="3"/>
      <c r="F299" s="3"/>
      <c r="G299" s="3"/>
      <c r="H299" s="1360" t="str">
        <f>Y277</f>
        <v>(916)444-3408</v>
      </c>
      <c r="I299" s="1360"/>
      <c r="J299" s="1360"/>
      <c r="K299" s="1360"/>
      <c r="L299" s="1360"/>
      <c r="M299" s="1360"/>
      <c r="N299" s="4"/>
      <c r="O299" s="4"/>
      <c r="P299" s="35"/>
      <c r="Q299" s="35"/>
      <c r="R299" s="35"/>
      <c r="S299" s="3"/>
      <c r="T299" s="3" t="s">
        <v>90</v>
      </c>
      <c r="V299" s="3"/>
      <c r="W299" s="3"/>
      <c r="X299" s="3"/>
      <c r="Y299" s="3"/>
      <c r="AA299" s="1360"/>
      <c r="AB299" s="1360"/>
      <c r="AC299" s="1360"/>
      <c r="AD299" s="1360"/>
      <c r="AE299" s="1360"/>
      <c r="AF299" s="1360"/>
      <c r="AG299" s="4"/>
      <c r="AH299" s="4"/>
      <c r="AI299" s="35"/>
      <c r="AJ299" s="35"/>
      <c r="AK299" s="35"/>
      <c r="BN299" s="34"/>
    </row>
    <row r="300" spans="2:66" ht="12.95" customHeight="1">
      <c r="B300" s="3" t="s">
        <v>77</v>
      </c>
      <c r="C300" s="3"/>
      <c r="D300" s="3"/>
      <c r="E300" s="3"/>
      <c r="F300" s="3"/>
      <c r="G300" s="3"/>
      <c r="H300" s="1366" t="str">
        <f>L278</f>
        <v>pat@sabelhauslaw.com</v>
      </c>
      <c r="I300" s="1366"/>
      <c r="J300" s="1366"/>
      <c r="K300" s="1366"/>
      <c r="L300" s="1366"/>
      <c r="M300" s="1366"/>
      <c r="N300" s="1357"/>
      <c r="O300" s="1357"/>
      <c r="P300" s="1357"/>
      <c r="Q300" s="1357"/>
      <c r="R300" s="1357"/>
      <c r="S300" s="3"/>
      <c r="T300" s="3" t="s">
        <v>77</v>
      </c>
      <c r="V300" s="3"/>
      <c r="W300" s="3"/>
      <c r="X300" s="3"/>
      <c r="Y300" s="3"/>
      <c r="AA300" s="1366"/>
      <c r="AB300" s="1366"/>
      <c r="AC300" s="1366"/>
      <c r="AD300" s="1366"/>
      <c r="AE300" s="1366"/>
      <c r="AF300" s="1366"/>
      <c r="AG300" s="1357"/>
      <c r="AH300" s="1357"/>
      <c r="AI300" s="1357"/>
      <c r="AJ300" s="1357"/>
      <c r="AK300" s="1357"/>
      <c r="BN300" s="34"/>
    </row>
    <row r="301" spans="2:66" ht="12.95" customHeight="1">
      <c r="BN301" s="34"/>
    </row>
    <row r="302" spans="2:66" ht="12.95" customHeight="1">
      <c r="B302" s="3" t="s">
        <v>78</v>
      </c>
      <c r="C302" s="3"/>
      <c r="D302" s="3"/>
      <c r="E302" s="3"/>
      <c r="F302" s="3"/>
      <c r="H302" s="1357" t="str">
        <f t="shared" ref="H302:H308" si="0">H294</f>
        <v>Sabelhaus and Strain, LLP</v>
      </c>
      <c r="I302" s="1357"/>
      <c r="J302" s="1357"/>
      <c r="K302" s="1357"/>
      <c r="L302" s="1357"/>
      <c r="M302" s="1357"/>
      <c r="N302" s="1357"/>
      <c r="O302" s="1357"/>
      <c r="P302" s="1357"/>
      <c r="Q302" s="1357"/>
      <c r="R302" s="1357"/>
      <c r="T302" s="4" t="s">
        <v>907</v>
      </c>
      <c r="V302" s="3"/>
      <c r="W302" s="3"/>
      <c r="X302" s="3"/>
      <c r="Y302" s="3"/>
      <c r="AA302" s="1371" t="s">
        <v>600</v>
      </c>
      <c r="AB302" s="1357"/>
      <c r="AC302" s="1357"/>
      <c r="AD302" s="1357"/>
      <c r="AE302" s="1357"/>
      <c r="AF302" s="1357"/>
      <c r="AG302" s="1357"/>
      <c r="AH302" s="1357"/>
      <c r="AI302" s="1357"/>
      <c r="AJ302" s="1357"/>
      <c r="AK302" s="1357"/>
      <c r="BN302" s="34"/>
    </row>
    <row r="303" spans="2:66" ht="12.95" customHeight="1">
      <c r="B303" s="3" t="s">
        <v>480</v>
      </c>
      <c r="C303" s="3"/>
      <c r="D303" s="3"/>
      <c r="E303" s="3"/>
      <c r="F303" s="3"/>
      <c r="H303" s="1366" t="str">
        <f t="shared" si="0"/>
        <v>1724 10th St. Suite 100</v>
      </c>
      <c r="I303" s="1366"/>
      <c r="J303" s="1366"/>
      <c r="K303" s="1366"/>
      <c r="L303" s="1366"/>
      <c r="M303" s="1366"/>
      <c r="N303" s="1366"/>
      <c r="O303" s="1366"/>
      <c r="P303" s="1366"/>
      <c r="Q303" s="1366"/>
      <c r="R303" s="1366"/>
      <c r="T303" s="3" t="s">
        <v>480</v>
      </c>
      <c r="V303" s="3"/>
      <c r="W303" s="3"/>
      <c r="X303" s="3"/>
      <c r="Y303" s="3"/>
      <c r="AA303" s="1366"/>
      <c r="AB303" s="1366"/>
      <c r="AC303" s="1366"/>
      <c r="AD303" s="1366"/>
      <c r="AE303" s="1366"/>
      <c r="AF303" s="1366"/>
      <c r="AG303" s="1366"/>
      <c r="AH303" s="1366"/>
      <c r="AI303" s="1366"/>
      <c r="AJ303" s="1366"/>
      <c r="AK303" s="1366"/>
      <c r="BN303" s="34"/>
    </row>
    <row r="304" spans="2:66" ht="12.95" customHeight="1">
      <c r="B304" s="3" t="s">
        <v>481</v>
      </c>
      <c r="C304" s="3"/>
      <c r="D304" s="3"/>
      <c r="E304" s="3"/>
      <c r="F304" s="3"/>
      <c r="H304" s="1366" t="str">
        <f t="shared" si="0"/>
        <v>Sacramento, CA 95811</v>
      </c>
      <c r="I304" s="1366"/>
      <c r="J304" s="1366"/>
      <c r="K304" s="1366"/>
      <c r="L304" s="1366"/>
      <c r="M304" s="1366"/>
      <c r="N304" s="1366"/>
      <c r="O304" s="1366"/>
      <c r="P304" s="1366"/>
      <c r="Q304" s="1366"/>
      <c r="R304" s="1366"/>
      <c r="T304" s="3" t="s">
        <v>76</v>
      </c>
      <c r="V304" s="3"/>
      <c r="W304" s="3"/>
      <c r="X304" s="3"/>
      <c r="Y304" s="3"/>
      <c r="AA304" s="1366"/>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tr">
        <f t="shared" si="0"/>
        <v>Patrick Sabelhaus</v>
      </c>
      <c r="I305" s="1366"/>
      <c r="J305" s="1366"/>
      <c r="K305" s="1366"/>
      <c r="L305" s="1366"/>
      <c r="M305" s="1366"/>
      <c r="N305" s="1366"/>
      <c r="O305" s="1366"/>
      <c r="P305" s="1366"/>
      <c r="Q305" s="1366"/>
      <c r="R305" s="1366"/>
      <c r="T305" s="3" t="s">
        <v>88</v>
      </c>
      <c r="V305" s="3"/>
      <c r="W305" s="3"/>
      <c r="X305" s="3"/>
      <c r="Y305" s="3"/>
      <c r="AA305" s="1366"/>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663" t="str">
        <f t="shared" si="0"/>
        <v>(916)444-0286</v>
      </c>
      <c r="I306" s="1655"/>
      <c r="J306" s="1655"/>
      <c r="K306" s="1655"/>
      <c r="L306" s="1655"/>
      <c r="M306" s="1655"/>
      <c r="N306" s="4" t="s">
        <v>207</v>
      </c>
      <c r="O306" s="4"/>
      <c r="P306" s="1654"/>
      <c r="Q306" s="1654"/>
      <c r="R306" s="1654"/>
      <c r="S306" s="3"/>
      <c r="T306" s="3" t="s">
        <v>89</v>
      </c>
      <c r="V306" s="3"/>
      <c r="W306" s="3"/>
      <c r="X306" s="3"/>
      <c r="Y306" s="3"/>
      <c r="AA306" s="1655"/>
      <c r="AB306" s="1655"/>
      <c r="AC306" s="1655"/>
      <c r="AD306" s="1655"/>
      <c r="AE306" s="1655"/>
      <c r="AF306" s="1655"/>
      <c r="AG306" s="4" t="s">
        <v>207</v>
      </c>
      <c r="AH306" s="4"/>
      <c r="AI306" s="1654"/>
      <c r="AJ306" s="1654"/>
      <c r="AK306" s="1654"/>
      <c r="BN306" s="34"/>
    </row>
    <row r="307" spans="2:66" ht="12.95" customHeight="1">
      <c r="B307" s="3" t="s">
        <v>90</v>
      </c>
      <c r="C307" s="3"/>
      <c r="D307" s="3"/>
      <c r="E307" s="3"/>
      <c r="F307" s="3"/>
      <c r="G307" s="3"/>
      <c r="H307" s="1359" t="str">
        <f t="shared" si="0"/>
        <v>(916)444-3408</v>
      </c>
      <c r="I307" s="1360"/>
      <c r="J307" s="1360"/>
      <c r="K307" s="1360"/>
      <c r="L307" s="1360"/>
      <c r="M307" s="1360"/>
      <c r="N307" s="4"/>
      <c r="O307" s="4"/>
      <c r="P307" s="35"/>
      <c r="Q307" s="35"/>
      <c r="R307" s="35"/>
      <c r="S307" s="3"/>
      <c r="T307" s="3" t="s">
        <v>90</v>
      </c>
      <c r="V307" s="3"/>
      <c r="W307" s="3"/>
      <c r="X307" s="3"/>
      <c r="Y307" s="3"/>
      <c r="AA307" s="1360"/>
      <c r="AB307" s="1360"/>
      <c r="AC307" s="1360"/>
      <c r="AD307" s="1360"/>
      <c r="AE307" s="1360"/>
      <c r="AF307" s="1360"/>
      <c r="AG307" s="4"/>
      <c r="AH307" s="4"/>
      <c r="AI307" s="35"/>
      <c r="AJ307" s="35"/>
      <c r="AK307" s="35"/>
      <c r="BN307" s="34"/>
    </row>
    <row r="308" spans="2:66" ht="12.95" customHeight="1">
      <c r="B308" s="3" t="s">
        <v>77</v>
      </c>
      <c r="C308" s="3"/>
      <c r="D308" s="3"/>
      <c r="E308" s="3"/>
      <c r="F308" s="3"/>
      <c r="G308" s="3"/>
      <c r="H308" s="1365" t="str">
        <f t="shared" si="0"/>
        <v>pat@sabelhauslaw.com</v>
      </c>
      <c r="I308" s="1366"/>
      <c r="J308" s="1366"/>
      <c r="K308" s="1366"/>
      <c r="L308" s="1366"/>
      <c r="M308" s="1366"/>
      <c r="N308" s="1357"/>
      <c r="O308" s="1357"/>
      <c r="P308" s="1357"/>
      <c r="Q308" s="1357"/>
      <c r="R308" s="1357"/>
      <c r="S308" s="3"/>
      <c r="T308" s="3" t="s">
        <v>77</v>
      </c>
      <c r="V308" s="3"/>
      <c r="W308" s="3"/>
      <c r="X308" s="3"/>
      <c r="Y308" s="3"/>
      <c r="AA308" s="1366"/>
      <c r="AB308" s="1366"/>
      <c r="AC308" s="1366"/>
      <c r="AD308" s="1366"/>
      <c r="AE308" s="1366"/>
      <c r="AF308" s="1366"/>
      <c r="AG308" s="1357"/>
      <c r="AH308" s="1357"/>
      <c r="AI308" s="1357"/>
      <c r="AJ308" s="1357"/>
      <c r="AK308" s="1357"/>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57" t="s">
        <v>2669</v>
      </c>
      <c r="I310" s="1357"/>
      <c r="J310" s="1357"/>
      <c r="K310" s="1357"/>
      <c r="L310" s="1357"/>
      <c r="M310" s="1357"/>
      <c r="N310" s="1357"/>
      <c r="O310" s="1357"/>
      <c r="P310" s="1357"/>
      <c r="Q310" s="1357"/>
      <c r="R310" s="1357"/>
      <c r="S310" s="3"/>
      <c r="T310" s="3" t="s">
        <v>366</v>
      </c>
      <c r="V310" s="3"/>
      <c r="W310" s="3"/>
      <c r="X310" s="3"/>
      <c r="Y310" s="3"/>
      <c r="AA310" s="1357" t="s">
        <v>2763</v>
      </c>
      <c r="AB310" s="1357"/>
      <c r="AC310" s="1357"/>
      <c r="AD310" s="1357"/>
      <c r="AE310" s="1357"/>
      <c r="AF310" s="1357"/>
      <c r="AG310" s="1357"/>
      <c r="AH310" s="1357"/>
      <c r="AI310" s="1357"/>
      <c r="AJ310" s="1357"/>
      <c r="AK310" s="1357"/>
      <c r="BN310" s="34"/>
    </row>
    <row r="311" spans="2:66" ht="12.95" customHeight="1">
      <c r="B311" s="3" t="s">
        <v>480</v>
      </c>
      <c r="C311" s="3"/>
      <c r="D311" s="3"/>
      <c r="E311" s="3"/>
      <c r="F311" s="3"/>
      <c r="H311" s="1366" t="s">
        <v>2670</v>
      </c>
      <c r="I311" s="1366"/>
      <c r="J311" s="1366"/>
      <c r="K311" s="1366"/>
      <c r="L311" s="1366"/>
      <c r="M311" s="1366"/>
      <c r="N311" s="1366"/>
      <c r="O311" s="1366"/>
      <c r="P311" s="1366"/>
      <c r="Q311" s="1366"/>
      <c r="R311" s="1366"/>
      <c r="S311" s="3"/>
      <c r="T311" s="3" t="s">
        <v>480</v>
      </c>
      <c r="V311" s="3"/>
      <c r="W311" s="3"/>
      <c r="X311" s="3"/>
      <c r="Y311" s="3"/>
      <c r="AA311" s="1366" t="str">
        <f>G574</f>
        <v>One PNC Plaza, 249 Fifth Avenue</v>
      </c>
      <c r="AB311" s="1366"/>
      <c r="AC311" s="1366"/>
      <c r="AD311" s="1366"/>
      <c r="AE311" s="1366"/>
      <c r="AF311" s="1366"/>
      <c r="AG311" s="1366"/>
      <c r="AH311" s="1366"/>
      <c r="AI311" s="1366"/>
      <c r="AJ311" s="1366"/>
      <c r="AK311" s="1366"/>
      <c r="BN311" s="34"/>
    </row>
    <row r="312" spans="2:66" ht="12.95" customHeight="1">
      <c r="B312" s="3" t="s">
        <v>481</v>
      </c>
      <c r="C312" s="3"/>
      <c r="D312" s="3"/>
      <c r="E312" s="3"/>
      <c r="F312" s="3"/>
      <c r="H312" s="1366" t="s">
        <v>2671</v>
      </c>
      <c r="I312" s="1366"/>
      <c r="J312" s="1366"/>
      <c r="K312" s="1366"/>
      <c r="L312" s="1366"/>
      <c r="M312" s="1366"/>
      <c r="N312" s="1366"/>
      <c r="O312" s="1366"/>
      <c r="P312" s="1366"/>
      <c r="Q312" s="1366"/>
      <c r="R312" s="1366"/>
      <c r="S312" s="3"/>
      <c r="T312" s="3" t="s">
        <v>76</v>
      </c>
      <c r="V312" s="3"/>
      <c r="W312" s="3"/>
      <c r="X312" s="3"/>
      <c r="Y312" s="3"/>
      <c r="AA312" s="1366" t="str">
        <f>G575</f>
        <v>Pittsburgh, Pennsylvania 15222-27073</v>
      </c>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2672</v>
      </c>
      <c r="I313" s="1366"/>
      <c r="J313" s="1366"/>
      <c r="K313" s="1366"/>
      <c r="L313" s="1366"/>
      <c r="M313" s="1366"/>
      <c r="N313" s="1366"/>
      <c r="O313" s="1366"/>
      <c r="P313" s="1366"/>
      <c r="Q313" s="1366"/>
      <c r="R313" s="1366"/>
      <c r="S313" s="3"/>
      <c r="T313" s="3" t="s">
        <v>88</v>
      </c>
      <c r="V313" s="3"/>
      <c r="W313" s="3"/>
      <c r="X313" s="3"/>
      <c r="Y313" s="3"/>
      <c r="AA313" s="1366" t="str">
        <f>G567</f>
        <v>Michael Gaber</v>
      </c>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655" t="s">
        <v>2673</v>
      </c>
      <c r="I314" s="1655"/>
      <c r="J314" s="1655"/>
      <c r="K314" s="1655"/>
      <c r="L314" s="1655"/>
      <c r="M314" s="1655"/>
      <c r="N314" s="4" t="s">
        <v>207</v>
      </c>
      <c r="O314" s="4"/>
      <c r="P314" s="1654"/>
      <c r="Q314" s="1654"/>
      <c r="R314" s="1654"/>
      <c r="S314" s="3"/>
      <c r="T314" s="3" t="s">
        <v>89</v>
      </c>
      <c r="V314" s="3"/>
      <c r="W314" s="3"/>
      <c r="X314" s="3"/>
      <c r="Y314" s="3"/>
      <c r="AA314" s="1663" t="s">
        <v>2764</v>
      </c>
      <c r="AB314" s="1655"/>
      <c r="AC314" s="1655"/>
      <c r="AD314" s="1655"/>
      <c r="AE314" s="1655"/>
      <c r="AF314" s="1655"/>
      <c r="AG314" s="4" t="s">
        <v>207</v>
      </c>
      <c r="AH314" s="4"/>
      <c r="AI314" s="1654"/>
      <c r="AJ314" s="1654"/>
      <c r="AK314" s="1654"/>
      <c r="BN314" s="34"/>
    </row>
    <row r="315" spans="2:66" ht="12.95" customHeight="1">
      <c r="B315" s="3" t="s">
        <v>90</v>
      </c>
      <c r="C315" s="3"/>
      <c r="D315" s="3"/>
      <c r="E315" s="3"/>
      <c r="F315" s="3"/>
      <c r="G315" s="3"/>
      <c r="H315" s="1360" t="s">
        <v>2674</v>
      </c>
      <c r="I315" s="1360"/>
      <c r="J315" s="1360"/>
      <c r="K315" s="1360"/>
      <c r="L315" s="1360"/>
      <c r="M315" s="1360"/>
      <c r="N315" s="4"/>
      <c r="O315" s="4"/>
      <c r="P315" s="35"/>
      <c r="Q315" s="35"/>
      <c r="R315" s="35"/>
      <c r="S315" s="3"/>
      <c r="T315" s="3" t="s">
        <v>90</v>
      </c>
      <c r="V315" s="3"/>
      <c r="W315" s="3"/>
      <c r="X315" s="3"/>
      <c r="Y315" s="3"/>
      <c r="AA315" s="1360"/>
      <c r="AB315" s="1360"/>
      <c r="AC315" s="1360"/>
      <c r="AD315" s="1360"/>
      <c r="AE315" s="1360"/>
      <c r="AF315" s="1360"/>
      <c r="AG315" s="4"/>
      <c r="AH315" s="4"/>
      <c r="AI315" s="35"/>
      <c r="AJ315" s="35"/>
      <c r="AK315" s="35"/>
      <c r="BN315" s="34"/>
    </row>
    <row r="316" spans="2:66" ht="12.95" customHeight="1">
      <c r="B316" s="3" t="s">
        <v>77</v>
      </c>
      <c r="C316" s="3"/>
      <c r="D316" s="3"/>
      <c r="E316" s="3"/>
      <c r="F316" s="3"/>
      <c r="G316" s="3"/>
      <c r="H316" s="1365" t="s">
        <v>2675</v>
      </c>
      <c r="I316" s="1366"/>
      <c r="J316" s="1366"/>
      <c r="K316" s="1366"/>
      <c r="L316" s="1366"/>
      <c r="M316" s="1366"/>
      <c r="N316" s="1357"/>
      <c r="O316" s="1357"/>
      <c r="P316" s="1357"/>
      <c r="Q316" s="1357"/>
      <c r="R316" s="1357"/>
      <c r="S316" s="3"/>
      <c r="T316" s="3" t="s">
        <v>77</v>
      </c>
      <c r="V316" s="3"/>
      <c r="W316" s="3"/>
      <c r="X316" s="3"/>
      <c r="Y316" s="3"/>
      <c r="AA316" s="1796" t="str">
        <f>G568</f>
        <v>michael.gaber@pnc.com</v>
      </c>
      <c r="AB316" s="1366"/>
      <c r="AC316" s="1366"/>
      <c r="AD316" s="1366"/>
      <c r="AE316" s="1366"/>
      <c r="AF316" s="1366"/>
      <c r="AG316" s="1357"/>
      <c r="AH316" s="1357"/>
      <c r="AI316" s="1357"/>
      <c r="AJ316" s="1357"/>
      <c r="AK316" s="1357"/>
      <c r="BN316" s="34"/>
    </row>
    <row r="317" spans="2:66" ht="12.95" customHeight="1">
      <c r="BN317" s="34"/>
    </row>
    <row r="318" spans="2:66" ht="12.95" customHeight="1">
      <c r="B318" s="4" t="s">
        <v>941</v>
      </c>
      <c r="C318" s="3"/>
      <c r="D318" s="3"/>
      <c r="E318" s="3"/>
      <c r="F318" s="3"/>
      <c r="H318" s="1357" t="str">
        <f t="shared" ref="H318:H324" si="1">H294</f>
        <v>Sabelhaus and Strain, LLP</v>
      </c>
      <c r="I318" s="1357"/>
      <c r="J318" s="1357"/>
      <c r="K318" s="1357"/>
      <c r="L318" s="1357"/>
      <c r="M318" s="1357"/>
      <c r="N318" s="1357"/>
      <c r="O318" s="1357"/>
      <c r="P318" s="1357"/>
      <c r="Q318" s="1357"/>
      <c r="R318" s="1357"/>
      <c r="T318" s="3" t="s">
        <v>367</v>
      </c>
      <c r="V318" s="3"/>
      <c r="W318" s="3"/>
      <c r="X318" s="3"/>
      <c r="Y318" s="3"/>
      <c r="AA318" s="1357" t="s">
        <v>2690</v>
      </c>
      <c r="AB318" s="1357"/>
      <c r="AC318" s="1357"/>
      <c r="AD318" s="1357"/>
      <c r="AE318" s="1357"/>
      <c r="AF318" s="1357"/>
      <c r="AG318" s="1357"/>
      <c r="AH318" s="1357"/>
      <c r="AI318" s="1357"/>
      <c r="AJ318" s="1357"/>
      <c r="AK318" s="1357"/>
      <c r="BN318" s="34"/>
    </row>
    <row r="319" spans="2:66" ht="12.95" customHeight="1">
      <c r="B319" s="3" t="s">
        <v>480</v>
      </c>
      <c r="C319" s="3"/>
      <c r="D319" s="3"/>
      <c r="E319" s="3"/>
      <c r="F319" s="3"/>
      <c r="H319" s="1366" t="str">
        <f t="shared" si="1"/>
        <v>1724 10th St. Suite 100</v>
      </c>
      <c r="I319" s="1366"/>
      <c r="J319" s="1366"/>
      <c r="K319" s="1366"/>
      <c r="L319" s="1366"/>
      <c r="M319" s="1366"/>
      <c r="N319" s="1366"/>
      <c r="O319" s="1366"/>
      <c r="P319" s="1366"/>
      <c r="Q319" s="1366"/>
      <c r="R319" s="1366"/>
      <c r="T319" s="3" t="s">
        <v>480</v>
      </c>
      <c r="V319" s="3"/>
      <c r="W319" s="3"/>
      <c r="X319" s="3"/>
      <c r="Y319" s="3"/>
      <c r="AA319" s="1366" t="s">
        <v>2691</v>
      </c>
      <c r="AB319" s="1366"/>
      <c r="AC319" s="1366"/>
      <c r="AD319" s="1366"/>
      <c r="AE319" s="1366"/>
      <c r="AF319" s="1366"/>
      <c r="AG319" s="1366"/>
      <c r="AH319" s="1366"/>
      <c r="AI319" s="1366"/>
      <c r="AJ319" s="1366"/>
      <c r="AK319" s="1366"/>
      <c r="BN319" s="34"/>
    </row>
    <row r="320" spans="2:66" ht="12.95" customHeight="1">
      <c r="B320" s="3" t="s">
        <v>481</v>
      </c>
      <c r="C320" s="3"/>
      <c r="D320" s="3"/>
      <c r="E320" s="3"/>
      <c r="F320" s="3"/>
      <c r="H320" s="1366" t="str">
        <f t="shared" si="1"/>
        <v>Sacramento, CA 95811</v>
      </c>
      <c r="I320" s="1366"/>
      <c r="J320" s="1366"/>
      <c r="K320" s="1366"/>
      <c r="L320" s="1366"/>
      <c r="M320" s="1366"/>
      <c r="N320" s="1366"/>
      <c r="O320" s="1366"/>
      <c r="P320" s="1366"/>
      <c r="Q320" s="1366"/>
      <c r="R320" s="1366"/>
      <c r="T320" s="3" t="s">
        <v>76</v>
      </c>
      <c r="V320" s="3"/>
      <c r="W320" s="3"/>
      <c r="X320" s="3"/>
      <c r="Y320" s="3"/>
      <c r="AA320" s="1366" t="s">
        <v>2692</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t="str">
        <f t="shared" si="1"/>
        <v>Patrick Sabelhaus</v>
      </c>
      <c r="I321" s="1366"/>
      <c r="J321" s="1366"/>
      <c r="K321" s="1366"/>
      <c r="L321" s="1366"/>
      <c r="M321" s="1366"/>
      <c r="N321" s="1366"/>
      <c r="O321" s="1366"/>
      <c r="P321" s="1366"/>
      <c r="Q321" s="1366"/>
      <c r="R321" s="1366"/>
      <c r="T321" s="3" t="s">
        <v>88</v>
      </c>
      <c r="V321" s="3"/>
      <c r="W321" s="3"/>
      <c r="X321" s="3"/>
      <c r="Y321" s="3"/>
      <c r="AA321" s="1366" t="s">
        <v>2693</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655" t="str">
        <f t="shared" si="1"/>
        <v>(916)444-0286</v>
      </c>
      <c r="I322" s="1655"/>
      <c r="J322" s="1655"/>
      <c r="K322" s="1655"/>
      <c r="L322" s="1655"/>
      <c r="M322" s="1655"/>
      <c r="N322" s="4" t="s">
        <v>207</v>
      </c>
      <c r="O322" s="4"/>
      <c r="P322" s="1654"/>
      <c r="Q322" s="1654"/>
      <c r="R322" s="1654"/>
      <c r="S322" s="3"/>
      <c r="T322" s="3" t="s">
        <v>89</v>
      </c>
      <c r="V322" s="3"/>
      <c r="W322" s="3"/>
      <c r="X322" s="3"/>
      <c r="Y322" s="3"/>
      <c r="AA322" s="1663" t="s">
        <v>2769</v>
      </c>
      <c r="AB322" s="1655"/>
      <c r="AC322" s="1655"/>
      <c r="AD322" s="1655"/>
      <c r="AE322" s="1655"/>
      <c r="AF322" s="1655"/>
      <c r="AG322" s="4" t="s">
        <v>207</v>
      </c>
      <c r="AH322" s="4"/>
      <c r="AI322" s="1654"/>
      <c r="AJ322" s="1654"/>
      <c r="AK322" s="1654"/>
      <c r="BN322" s="34"/>
    </row>
    <row r="323" spans="2:66" ht="12.95" customHeight="1">
      <c r="B323" s="3" t="s">
        <v>90</v>
      </c>
      <c r="C323" s="3"/>
      <c r="D323" s="3"/>
      <c r="E323" s="3"/>
      <c r="F323" s="3"/>
      <c r="G323" s="3"/>
      <c r="H323" s="1360" t="str">
        <f t="shared" si="1"/>
        <v>(916)444-3408</v>
      </c>
      <c r="I323" s="1360"/>
      <c r="J323" s="1360"/>
      <c r="K323" s="1360"/>
      <c r="L323" s="1360"/>
      <c r="M323" s="1360"/>
      <c r="N323" s="4"/>
      <c r="O323" s="4"/>
      <c r="P323" s="35"/>
      <c r="Q323" s="35"/>
      <c r="R323" s="35"/>
      <c r="S323" s="3"/>
      <c r="T323" s="3" t="s">
        <v>90</v>
      </c>
      <c r="V323" s="3"/>
      <c r="W323" s="3"/>
      <c r="X323" s="3"/>
      <c r="Y323" s="3"/>
      <c r="AA323" s="1359" t="s">
        <v>2770</v>
      </c>
      <c r="AB323" s="1360"/>
      <c r="AC323" s="1360"/>
      <c r="AD323" s="1360"/>
      <c r="AE323" s="1360"/>
      <c r="AF323" s="1360"/>
      <c r="AG323" s="4"/>
      <c r="AH323" s="4"/>
      <c r="AI323" s="35"/>
      <c r="AJ323" s="35"/>
      <c r="AK323" s="35"/>
    </row>
    <row r="324" spans="2:66" ht="12.95" customHeight="1">
      <c r="B324" s="3" t="s">
        <v>77</v>
      </c>
      <c r="C324" s="3"/>
      <c r="D324" s="3"/>
      <c r="E324" s="3"/>
      <c r="F324" s="3"/>
      <c r="G324" s="3"/>
      <c r="H324" s="1366" t="str">
        <f t="shared" si="1"/>
        <v>pat@sabelhauslaw.com</v>
      </c>
      <c r="I324" s="1366"/>
      <c r="J324" s="1366"/>
      <c r="K324" s="1366"/>
      <c r="L324" s="1366"/>
      <c r="M324" s="1366"/>
      <c r="N324" s="1357"/>
      <c r="O324" s="1357"/>
      <c r="P324" s="1357"/>
      <c r="Q324" s="1357"/>
      <c r="R324" s="1357"/>
      <c r="S324" s="3"/>
      <c r="T324" s="3" t="s">
        <v>77</v>
      </c>
      <c r="V324" s="3"/>
      <c r="W324" s="3"/>
      <c r="X324" s="3"/>
      <c r="Y324" s="3"/>
      <c r="AA324" s="1365" t="s">
        <v>2771</v>
      </c>
      <c r="AB324" s="1366"/>
      <c r="AC324" s="1366"/>
      <c r="AD324" s="1366"/>
      <c r="AE324" s="1366"/>
      <c r="AF324" s="1366"/>
      <c r="AG324" s="1357"/>
      <c r="AH324" s="1357"/>
      <c r="AI324" s="1357"/>
      <c r="AJ324" s="1357"/>
      <c r="AK324" s="1357"/>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368</v>
      </c>
      <c r="C326" s="3"/>
      <c r="D326" s="3"/>
      <c r="E326" s="3"/>
      <c r="F326" s="3"/>
      <c r="H326" s="1371" t="s">
        <v>2706</v>
      </c>
      <c r="I326" s="1357"/>
      <c r="J326" s="1357"/>
      <c r="K326" s="1357"/>
      <c r="L326" s="1357"/>
      <c r="M326" s="1357"/>
      <c r="N326" s="1357"/>
      <c r="O326" s="1357"/>
      <c r="P326" s="1357"/>
      <c r="Q326" s="1357"/>
      <c r="R326" s="1357"/>
      <c r="T326" s="3" t="s">
        <v>369</v>
      </c>
      <c r="V326" s="3"/>
      <c r="W326" s="3"/>
      <c r="X326" s="3"/>
      <c r="Y326" s="3"/>
      <c r="AA326" s="1357"/>
      <c r="AB326" s="1357"/>
      <c r="AC326" s="1357"/>
      <c r="AD326" s="1357"/>
      <c r="AE326" s="1357"/>
      <c r="AF326" s="1357"/>
      <c r="AG326" s="1357"/>
      <c r="AH326" s="1357"/>
      <c r="AI326" s="1357"/>
      <c r="AJ326" s="1357"/>
      <c r="AK326" s="1357"/>
    </row>
    <row r="327" spans="2:66" ht="12.95" customHeight="1">
      <c r="B327" s="3" t="s">
        <v>480</v>
      </c>
      <c r="C327" s="3"/>
      <c r="D327" s="3"/>
      <c r="E327" s="3"/>
      <c r="F327" s="3"/>
      <c r="H327" s="1365" t="s">
        <v>2703</v>
      </c>
      <c r="I327" s="1366"/>
      <c r="J327" s="1366"/>
      <c r="K327" s="1366"/>
      <c r="L327" s="1366"/>
      <c r="M327" s="1366"/>
      <c r="N327" s="1366"/>
      <c r="O327" s="1366"/>
      <c r="P327" s="1366"/>
      <c r="Q327" s="1366"/>
      <c r="R327" s="1366"/>
      <c r="T327" s="3" t="s">
        <v>480</v>
      </c>
      <c r="V327" s="3"/>
      <c r="W327" s="3"/>
      <c r="X327" s="3"/>
      <c r="Y327" s="3"/>
      <c r="AA327" s="1366"/>
      <c r="AB327" s="1366"/>
      <c r="AC327" s="1366"/>
      <c r="AD327" s="1366"/>
      <c r="AE327" s="1366"/>
      <c r="AF327" s="1366"/>
      <c r="AG327" s="1366"/>
      <c r="AH327" s="1366"/>
      <c r="AI327" s="1366"/>
      <c r="AJ327" s="1366"/>
      <c r="AK327" s="1366"/>
    </row>
    <row r="328" spans="2:66" ht="12.95" customHeight="1">
      <c r="B328" s="3" t="s">
        <v>481</v>
      </c>
      <c r="C328" s="3"/>
      <c r="D328" s="3"/>
      <c r="E328" s="3"/>
      <c r="F328" s="3"/>
      <c r="H328" s="1365" t="s">
        <v>2704</v>
      </c>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5" customHeight="1">
      <c r="B329" s="3" t="s">
        <v>88</v>
      </c>
      <c r="C329" s="3"/>
      <c r="D329" s="3"/>
      <c r="E329" s="3"/>
      <c r="F329" s="3"/>
      <c r="H329" s="1365" t="s">
        <v>2705</v>
      </c>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663" t="s">
        <v>2707</v>
      </c>
      <c r="I330" s="1655"/>
      <c r="J330" s="1655"/>
      <c r="K330" s="1655"/>
      <c r="L330" s="1655"/>
      <c r="M330" s="1655"/>
      <c r="N330" s="4" t="s">
        <v>207</v>
      </c>
      <c r="O330" s="4"/>
      <c r="P330" s="1654"/>
      <c r="Q330" s="1654"/>
      <c r="R330" s="1654"/>
      <c r="S330" s="3"/>
      <c r="T330" s="3" t="s">
        <v>89</v>
      </c>
      <c r="V330" s="3"/>
      <c r="W330" s="3"/>
      <c r="X330" s="3"/>
      <c r="Y330" s="3"/>
      <c r="AA330" s="1655"/>
      <c r="AB330" s="1655"/>
      <c r="AC330" s="1655"/>
      <c r="AD330" s="1655"/>
      <c r="AE330" s="1655"/>
      <c r="AF330" s="1655"/>
      <c r="AG330" s="4" t="s">
        <v>207</v>
      </c>
      <c r="AH330" s="4"/>
      <c r="AI330" s="1654"/>
      <c r="AJ330" s="1654"/>
      <c r="AK330" s="1654"/>
    </row>
    <row r="331" spans="2:66" ht="12.95" customHeight="1">
      <c r="B331" s="3" t="s">
        <v>90</v>
      </c>
      <c r="C331" s="3"/>
      <c r="D331" s="3"/>
      <c r="E331" s="3"/>
      <c r="F331" s="3"/>
      <c r="G331" s="3"/>
      <c r="H331" s="1359" t="s">
        <v>2708</v>
      </c>
      <c r="I331" s="1360"/>
      <c r="J331" s="1360"/>
      <c r="K331" s="1360"/>
      <c r="L331" s="1360"/>
      <c r="M331" s="1360"/>
      <c r="N331" s="4"/>
      <c r="O331" s="4"/>
      <c r="P331" s="35"/>
      <c r="Q331" s="35"/>
      <c r="R331" s="35"/>
      <c r="S331" s="3"/>
      <c r="T331" s="3" t="s">
        <v>90</v>
      </c>
      <c r="V331" s="3"/>
      <c r="W331" s="3"/>
      <c r="X331" s="3"/>
      <c r="Y331" s="3"/>
      <c r="AA331" s="1360"/>
      <c r="AB331" s="1360"/>
      <c r="AC331" s="1360"/>
      <c r="AD331" s="1360"/>
      <c r="AE331" s="1360"/>
      <c r="AF331" s="1360"/>
      <c r="AG331" s="4"/>
      <c r="AH331" s="4"/>
      <c r="AI331" s="35"/>
      <c r="AJ331" s="35"/>
      <c r="AK331" s="35"/>
    </row>
    <row r="332" spans="2:66" ht="12.95" customHeight="1">
      <c r="B332" s="3" t="s">
        <v>77</v>
      </c>
      <c r="C332" s="3"/>
      <c r="D332" s="3"/>
      <c r="E332" s="3"/>
      <c r="F332" s="3"/>
      <c r="G332" s="3"/>
      <c r="H332" s="1365" t="s">
        <v>2709</v>
      </c>
      <c r="I332" s="1366"/>
      <c r="J332" s="1366"/>
      <c r="K332" s="1366"/>
      <c r="L332" s="1366"/>
      <c r="M332" s="1366"/>
      <c r="N332" s="1357"/>
      <c r="O332" s="1357"/>
      <c r="P332" s="1357"/>
      <c r="Q332" s="1357"/>
      <c r="R332" s="1357"/>
      <c r="S332" s="3"/>
      <c r="T332" s="3" t="s">
        <v>77</v>
      </c>
      <c r="V332" s="3"/>
      <c r="W332" s="3"/>
      <c r="X332" s="3"/>
      <c r="Y332" s="3"/>
      <c r="AA332" s="1366"/>
      <c r="AB332" s="1366"/>
      <c r="AC332" s="1366"/>
      <c r="AD332" s="1366"/>
      <c r="AE332" s="1366"/>
      <c r="AF332" s="1366"/>
      <c r="AG332" s="1357"/>
      <c r="AH332" s="1357"/>
      <c r="AI332" s="1357"/>
      <c r="AJ332" s="1357"/>
      <c r="AK332" s="1357"/>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330</v>
      </c>
      <c r="C334" s="3"/>
      <c r="D334" s="3"/>
      <c r="E334" s="3"/>
      <c r="F334" s="3"/>
      <c r="H334" s="1357" t="s">
        <v>2676</v>
      </c>
      <c r="I334" s="1357"/>
      <c r="J334" s="1357"/>
      <c r="K334" s="1357"/>
      <c r="L334" s="1357"/>
      <c r="M334" s="1357"/>
      <c r="N334" s="1357"/>
      <c r="O334" s="1357"/>
      <c r="P334" s="1357"/>
      <c r="Q334" s="1357"/>
      <c r="R334" s="1357"/>
      <c r="T334" s="218" t="s">
        <v>916</v>
      </c>
      <c r="V334" s="3"/>
      <c r="W334" s="3"/>
      <c r="X334" s="3"/>
      <c r="Y334" s="3"/>
      <c r="AA334" s="1371" t="s">
        <v>2765</v>
      </c>
      <c r="AB334" s="1357"/>
      <c r="AC334" s="1357"/>
      <c r="AD334" s="1357"/>
      <c r="AE334" s="1357"/>
      <c r="AF334" s="1357"/>
      <c r="AG334" s="1357"/>
      <c r="AH334" s="1357"/>
      <c r="AI334" s="1357"/>
      <c r="AJ334" s="1357"/>
      <c r="AK334" s="1357"/>
    </row>
    <row r="335" spans="2:66" ht="12.95" customHeight="1">
      <c r="B335" s="3" t="s">
        <v>480</v>
      </c>
      <c r="C335" s="3"/>
      <c r="D335" s="3"/>
      <c r="E335" s="3"/>
      <c r="F335" s="3"/>
      <c r="H335" s="1366" t="s">
        <v>2677</v>
      </c>
      <c r="I335" s="1366"/>
      <c r="J335" s="1366"/>
      <c r="K335" s="1366"/>
      <c r="L335" s="1366"/>
      <c r="M335" s="1366"/>
      <c r="N335" s="1366"/>
      <c r="O335" s="1366"/>
      <c r="P335" s="1366"/>
      <c r="Q335" s="1366"/>
      <c r="R335" s="1366"/>
      <c r="T335" s="3" t="s">
        <v>480</v>
      </c>
      <c r="V335" s="3"/>
      <c r="W335" s="3"/>
      <c r="X335" s="3"/>
      <c r="Y335" s="3"/>
      <c r="AA335" s="1365" t="s">
        <v>2753</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2678</v>
      </c>
      <c r="I336" s="1366"/>
      <c r="J336" s="1366"/>
      <c r="K336" s="1366"/>
      <c r="L336" s="1366"/>
      <c r="M336" s="1366"/>
      <c r="N336" s="1366"/>
      <c r="O336" s="1366"/>
      <c r="P336" s="1366"/>
      <c r="Q336" s="1366"/>
      <c r="R336" s="1366"/>
      <c r="T336" s="3" t="s">
        <v>76</v>
      </c>
      <c r="V336" s="3"/>
      <c r="W336" s="3"/>
      <c r="X336" s="3"/>
      <c r="Y336" s="3"/>
      <c r="AA336" s="1365" t="s">
        <v>2663</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2679</v>
      </c>
      <c r="I337" s="1366"/>
      <c r="J337" s="1366"/>
      <c r="K337" s="1366"/>
      <c r="L337" s="1366"/>
      <c r="M337" s="1366"/>
      <c r="N337" s="1366"/>
      <c r="O337" s="1366"/>
      <c r="P337" s="1366"/>
      <c r="Q337" s="1366"/>
      <c r="R337" s="1366"/>
      <c r="T337" s="3" t="s">
        <v>88</v>
      </c>
      <c r="V337" s="3"/>
      <c r="W337" s="3"/>
      <c r="X337" s="3"/>
      <c r="Y337" s="3"/>
      <c r="AA337" s="1366" t="s">
        <v>2766</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655" t="s">
        <v>2680</v>
      </c>
      <c r="I338" s="1655"/>
      <c r="J338" s="1655"/>
      <c r="K338" s="1655"/>
      <c r="L338" s="1655"/>
      <c r="M338" s="1655"/>
      <c r="N338" s="4" t="s">
        <v>207</v>
      </c>
      <c r="O338" s="4"/>
      <c r="P338" s="1654"/>
      <c r="Q338" s="1654"/>
      <c r="R338" s="1654"/>
      <c r="S338" s="3"/>
      <c r="T338" s="3" t="s">
        <v>89</v>
      </c>
      <c r="V338" s="3"/>
      <c r="W338" s="3"/>
      <c r="X338" s="3"/>
      <c r="Y338" s="3"/>
      <c r="AA338" s="1663" t="s">
        <v>2767</v>
      </c>
      <c r="AB338" s="1655"/>
      <c r="AC338" s="1655"/>
      <c r="AD338" s="1655"/>
      <c r="AE338" s="1655"/>
      <c r="AF338" s="1655"/>
      <c r="AG338" s="4" t="s">
        <v>207</v>
      </c>
      <c r="AH338" s="4"/>
      <c r="AI338" s="1654"/>
      <c r="AJ338" s="1654"/>
      <c r="AK338" s="1654"/>
    </row>
    <row r="339" spans="1:66" ht="12.95" customHeight="1">
      <c r="B339" s="3" t="s">
        <v>90</v>
      </c>
      <c r="C339" s="3"/>
      <c r="D339" s="3"/>
      <c r="E339" s="3"/>
      <c r="F339" s="3"/>
      <c r="G339" s="3"/>
      <c r="H339" s="1360" t="s">
        <v>2681</v>
      </c>
      <c r="I339" s="1360"/>
      <c r="J339" s="1360"/>
      <c r="K339" s="1360"/>
      <c r="L339" s="1360"/>
      <c r="M339" s="1360"/>
      <c r="N339" s="4"/>
      <c r="O339" s="4"/>
      <c r="P339" s="35"/>
      <c r="Q339" s="35"/>
      <c r="R339" s="35"/>
      <c r="S339" s="3"/>
      <c r="T339" s="3" t="s">
        <v>90</v>
      </c>
      <c r="V339" s="3"/>
      <c r="W339" s="3"/>
      <c r="X339" s="3"/>
      <c r="Y339" s="3"/>
      <c r="AA339" s="1360"/>
      <c r="AB339" s="1360"/>
      <c r="AC339" s="1360"/>
      <c r="AD339" s="1360"/>
      <c r="AE339" s="1360"/>
      <c r="AF339" s="1360"/>
      <c r="AG339" s="4"/>
      <c r="AH339" s="4"/>
      <c r="AI339" s="35"/>
      <c r="AJ339" s="35"/>
      <c r="AK339" s="35"/>
    </row>
    <row r="340" spans="1:66" ht="12.95" customHeight="1">
      <c r="B340" s="3" t="s">
        <v>77</v>
      </c>
      <c r="C340" s="3"/>
      <c r="D340" s="3"/>
      <c r="E340" s="3"/>
      <c r="F340" s="3"/>
      <c r="G340" s="3"/>
      <c r="H340" s="1365" t="s">
        <v>2682</v>
      </c>
      <c r="I340" s="1366"/>
      <c r="J340" s="1366"/>
      <c r="K340" s="1366"/>
      <c r="L340" s="1366"/>
      <c r="M340" s="1366"/>
      <c r="N340" s="1357"/>
      <c r="O340" s="1357"/>
      <c r="P340" s="1357"/>
      <c r="Q340" s="1357"/>
      <c r="R340" s="1357"/>
      <c r="S340" s="3"/>
      <c r="T340" s="3" t="s">
        <v>77</v>
      </c>
      <c r="V340" s="3"/>
      <c r="W340" s="3"/>
      <c r="X340" s="3"/>
      <c r="Y340" s="3"/>
      <c r="AA340" s="1366" t="s">
        <v>2768</v>
      </c>
      <c r="AB340" s="1366"/>
      <c r="AC340" s="1366"/>
      <c r="AD340" s="1366"/>
      <c r="AE340" s="1366"/>
      <c r="AF340" s="1366"/>
      <c r="AG340" s="1357"/>
      <c r="AH340" s="1357"/>
      <c r="AI340" s="1357"/>
      <c r="AJ340" s="1357"/>
      <c r="AK340" s="1357"/>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57"/>
      <c r="Q342" s="1357"/>
      <c r="R342" s="1357"/>
      <c r="S342" s="1357"/>
      <c r="T342" s="1357"/>
      <c r="U342" s="1357"/>
      <c r="V342" s="1357"/>
      <c r="W342" s="1357"/>
      <c r="X342" s="1357"/>
      <c r="Y342" s="1357"/>
      <c r="Z342" s="1357"/>
      <c r="AA342" s="1357"/>
      <c r="AB342" s="1357"/>
      <c r="AC342" s="1357"/>
      <c r="AD342" s="1357"/>
      <c r="AE342" s="1357"/>
      <c r="BN342" t="s">
        <v>600</v>
      </c>
    </row>
    <row r="343" spans="1:66" ht="12.95" customHeight="1">
      <c r="B343" s="4"/>
      <c r="C343" s="4"/>
      <c r="D343" s="4"/>
      <c r="E343" s="4"/>
      <c r="F343" s="4"/>
      <c r="I343" s="4" t="s">
        <v>480</v>
      </c>
      <c r="P343" s="1366"/>
      <c r="Q343" s="1366"/>
      <c r="R343" s="1366"/>
      <c r="S343" s="1366"/>
      <c r="T343" s="1366"/>
      <c r="U343" s="1366"/>
      <c r="V343" s="1366"/>
      <c r="W343" s="1366"/>
      <c r="X343" s="1366"/>
      <c r="Y343" s="1366"/>
      <c r="Z343" s="1366"/>
      <c r="AA343" s="1366"/>
      <c r="AB343" s="1366"/>
      <c r="AC343" s="1366"/>
      <c r="AD343" s="1366"/>
      <c r="AE343" s="1366"/>
      <c r="BN343" t="s">
        <v>678</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554</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360"/>
      <c r="Q346" s="1360"/>
      <c r="R346" s="1360"/>
      <c r="S346" s="1360"/>
      <c r="T346" s="1360"/>
      <c r="U346" s="1360"/>
      <c r="V346" s="1360"/>
      <c r="W346" s="1360"/>
      <c r="X346" s="1360"/>
      <c r="Y346" s="1360"/>
      <c r="Z346" s="1360"/>
      <c r="AA346" s="4" t="s">
        <v>207</v>
      </c>
      <c r="AB346" s="4"/>
      <c r="AC346" s="1355"/>
      <c r="AD346" s="1355"/>
      <c r="AE346" s="1355"/>
      <c r="AF346" s="324"/>
      <c r="AG346" s="4"/>
      <c r="AH346" s="4"/>
      <c r="AI346" s="4"/>
      <c r="AJ346" s="4"/>
      <c r="AK346" s="4"/>
    </row>
    <row r="347" spans="1:66" ht="12.95" customHeight="1">
      <c r="B347" s="4"/>
      <c r="C347" s="4"/>
      <c r="D347" s="4"/>
      <c r="E347" s="4"/>
      <c r="F347" s="4"/>
      <c r="G347" s="4"/>
      <c r="H347" s="324"/>
      <c r="I347" s="4" t="s">
        <v>90</v>
      </c>
      <c r="P347" s="1360"/>
      <c r="Q347" s="1360"/>
      <c r="R347" s="1360"/>
      <c r="S347" s="1360"/>
      <c r="T347" s="1360"/>
      <c r="U347" s="1360"/>
      <c r="V347" s="1360"/>
      <c r="W347" s="1360"/>
      <c r="X347" s="1360"/>
      <c r="Y347" s="1360"/>
      <c r="Z347" s="1360"/>
      <c r="AF347" s="324"/>
      <c r="AG347" s="4"/>
      <c r="AH347" s="4"/>
      <c r="AI347" s="35"/>
      <c r="AJ347" s="35"/>
      <c r="AK347" s="35"/>
    </row>
    <row r="348" spans="1:66" ht="12.95" customHeight="1">
      <c r="B348" s="4"/>
      <c r="C348" s="4"/>
      <c r="D348" s="4"/>
      <c r="E348" s="4"/>
      <c r="F348" s="4"/>
      <c r="G348" s="4"/>
      <c r="I348" s="4" t="s">
        <v>77</v>
      </c>
      <c r="P348" s="1357"/>
      <c r="Q348" s="1357"/>
      <c r="R348" s="1357"/>
      <c r="S348" s="1357"/>
      <c r="T348" s="1357"/>
      <c r="U348" s="1357"/>
      <c r="V348" s="1357"/>
      <c r="W348" s="1357"/>
      <c r="X348" s="1357"/>
      <c r="Y348" s="1357"/>
      <c r="Z348" s="1357"/>
      <c r="AA348" s="1357"/>
      <c r="AB348" s="1357"/>
      <c r="AC348" s="1357"/>
      <c r="AD348" s="1357"/>
      <c r="AE348" s="1357"/>
    </row>
    <row r="349" spans="1:66" ht="12.95" customHeight="1">
      <c r="T349" s="8"/>
      <c r="U349" s="8"/>
      <c r="V349" s="8"/>
      <c r="W349" s="8"/>
      <c r="X349" s="8"/>
      <c r="Y349" s="8"/>
      <c r="Z349" s="8"/>
    </row>
    <row r="350" spans="1:66" ht="12.95" customHeight="1">
      <c r="A350" s="1648" t="s">
        <v>551</v>
      </c>
      <c r="B350" s="1648"/>
      <c r="C350" s="1648"/>
      <c r="D350" s="1648"/>
      <c r="E350" s="1648"/>
      <c r="F350" s="1648"/>
      <c r="G350" s="1648"/>
      <c r="H350" s="1648"/>
      <c r="I350" s="1648"/>
      <c r="J350" s="1648"/>
      <c r="K350" s="1648"/>
      <c r="L350" s="1648"/>
      <c r="M350" s="1648"/>
      <c r="N350" s="1648"/>
      <c r="O350" s="1648"/>
      <c r="P350" s="1648"/>
      <c r="Q350" s="1648"/>
      <c r="R350" s="1648"/>
      <c r="S350" s="1648"/>
      <c r="T350" s="1648"/>
      <c r="U350" s="1648"/>
      <c r="V350" s="1648"/>
      <c r="W350" s="1648"/>
      <c r="X350" s="1648"/>
      <c r="Y350" s="1648"/>
      <c r="Z350" s="1648"/>
      <c r="AA350" s="1648"/>
      <c r="AB350" s="1648"/>
      <c r="AC350" s="1648"/>
      <c r="AD350" s="1648"/>
      <c r="AE350" s="1648"/>
      <c r="AF350" s="1648"/>
      <c r="AG350" s="1648"/>
      <c r="AH350" s="1648"/>
      <c r="AI350" s="1648"/>
      <c r="AJ350" s="1648"/>
      <c r="AK350" s="1648"/>
      <c r="AL350" s="1648"/>
      <c r="AM350" s="95"/>
      <c r="AN350" s="95"/>
      <c r="AO350" s="95"/>
      <c r="AP350" s="95"/>
      <c r="AQ350" s="95"/>
      <c r="AR350" s="95"/>
      <c r="AS350" s="95"/>
      <c r="AT350" s="95"/>
      <c r="AU350" s="95"/>
      <c r="AV350" s="95"/>
      <c r="AW350" s="95"/>
      <c r="AX350" s="95"/>
      <c r="AY350" s="95"/>
    </row>
    <row r="351" spans="1:66" ht="12.95" customHeight="1" thickBot="1">
      <c r="A351" s="1649"/>
      <c r="B351" s="1649"/>
      <c r="C351" s="1649"/>
      <c r="D351" s="1649"/>
      <c r="E351" s="1649"/>
      <c r="F351" s="1649"/>
      <c r="G351" s="1649"/>
      <c r="H351" s="1649"/>
      <c r="I351" s="1649"/>
      <c r="J351" s="1649"/>
      <c r="K351" s="1649"/>
      <c r="L351" s="1649"/>
      <c r="M351" s="1649"/>
      <c r="N351" s="1649"/>
      <c r="O351" s="1649"/>
      <c r="P351" s="1649"/>
      <c r="Q351" s="1649"/>
      <c r="R351" s="1649"/>
      <c r="S351" s="1649"/>
      <c r="T351" s="1649"/>
      <c r="U351" s="1649"/>
      <c r="V351" s="1649"/>
      <c r="W351" s="1649"/>
      <c r="X351" s="1649"/>
      <c r="Y351" s="1649"/>
      <c r="Z351" s="1649"/>
      <c r="AA351" s="1649"/>
      <c r="AB351" s="1649"/>
      <c r="AC351" s="1649"/>
      <c r="AD351" s="1649"/>
      <c r="AE351" s="1649"/>
      <c r="AF351" s="1649"/>
      <c r="AG351" s="1649"/>
      <c r="AH351" s="1649"/>
      <c r="AI351" s="1649"/>
      <c r="AJ351" s="1649"/>
      <c r="AK351" s="1649"/>
      <c r="AL351" s="1649"/>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320</v>
      </c>
      <c r="B353" s="2"/>
      <c r="C353" s="2" t="s">
        <v>806</v>
      </c>
    </row>
    <row r="354" spans="1:37" ht="12.95" customHeight="1">
      <c r="D354" s="3" t="s">
        <v>2527</v>
      </c>
      <c r="M354" s="1358" t="s">
        <v>554</v>
      </c>
      <c r="N354" s="1358"/>
      <c r="P354" t="s">
        <v>1832</v>
      </c>
      <c r="AJ354" s="1358" t="s">
        <v>600</v>
      </c>
      <c r="AK354" s="1358"/>
    </row>
    <row r="355" spans="1:37" ht="12.95" customHeight="1">
      <c r="D355" s="3" t="s">
        <v>1821</v>
      </c>
      <c r="M355" s="1358" t="s">
        <v>600</v>
      </c>
      <c r="N355" s="1358"/>
      <c r="P355" s="3" t="s">
        <v>1981</v>
      </c>
      <c r="AJ355" s="1438"/>
      <c r="AK355" s="1438"/>
    </row>
    <row r="356" spans="1:37" ht="12.95" customHeight="1">
      <c r="D356" s="3" t="s">
        <v>716</v>
      </c>
      <c r="M356" s="1358" t="s">
        <v>600</v>
      </c>
      <c r="N356" s="1358"/>
      <c r="P356" t="s">
        <v>1831</v>
      </c>
      <c r="AJ356" s="1358" t="s">
        <v>600</v>
      </c>
      <c r="AK356" s="1358"/>
    </row>
    <row r="357" spans="1:37" ht="12.95" customHeight="1">
      <c r="D357" s="3" t="s">
        <v>717</v>
      </c>
      <c r="M357" s="1358" t="s">
        <v>600</v>
      </c>
      <c r="N357" s="1358"/>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186</v>
      </c>
      <c r="E362" s="40"/>
      <c r="F362" s="40"/>
      <c r="G362" s="40"/>
      <c r="H362" s="40"/>
      <c r="I362" s="40"/>
      <c r="J362" s="40"/>
      <c r="K362" s="40"/>
      <c r="L362" s="40"/>
      <c r="M362" s="40"/>
      <c r="N362" s="1358" t="s">
        <v>600</v>
      </c>
      <c r="O362" s="1358"/>
      <c r="P362" s="40"/>
      <c r="Q362" s="40"/>
      <c r="R362" s="40"/>
      <c r="S362" s="40"/>
      <c r="T362" s="40"/>
      <c r="U362" s="40"/>
      <c r="V362" s="40"/>
      <c r="W362" s="40"/>
      <c r="X362" s="40"/>
      <c r="Y362" s="40"/>
      <c r="Z362" s="40"/>
      <c r="AC362" s="40"/>
      <c r="AD362" s="40"/>
      <c r="AE362" s="40"/>
    </row>
    <row r="363" spans="1:37" ht="12.95" customHeight="1">
      <c r="E363" t="s">
        <v>371</v>
      </c>
      <c r="Y363" s="1358" t="s">
        <v>600</v>
      </c>
      <c r="Z363" s="1358"/>
    </row>
    <row r="364" spans="1:37" ht="12.95" customHeight="1">
      <c r="D364" s="4" t="s">
        <v>1018</v>
      </c>
      <c r="Q364" s="1357"/>
      <c r="R364" s="1357"/>
      <c r="S364" s="1357"/>
      <c r="T364" s="1357"/>
      <c r="U364" s="1357"/>
      <c r="V364" s="1357"/>
      <c r="W364" s="1357"/>
      <c r="X364" s="1357"/>
      <c r="Y364" s="1357"/>
      <c r="Z364" s="1357"/>
      <c r="AA364" s="1357"/>
      <c r="AB364" s="1357"/>
      <c r="AC364" s="1357"/>
      <c r="AD364" s="1357"/>
      <c r="AE364" s="1357"/>
      <c r="AF364" s="1357"/>
      <c r="AG364" s="1357"/>
    </row>
    <row r="365" spans="1:37" ht="12.95"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189</v>
      </c>
      <c r="E366" s="40"/>
      <c r="F366" s="40"/>
      <c r="G366" s="40"/>
      <c r="H366" s="40"/>
      <c r="I366" s="40"/>
      <c r="J366" s="1358" t="s">
        <v>600</v>
      </c>
      <c r="K366" s="1358"/>
      <c r="L366" s="40"/>
      <c r="M366" s="40"/>
      <c r="N366" s="40"/>
      <c r="O366" s="40"/>
      <c r="P366" s="40"/>
      <c r="Q366" s="40"/>
      <c r="R366" s="40"/>
      <c r="S366" s="40"/>
      <c r="T366" s="40"/>
      <c r="U366" s="40"/>
      <c r="V366" s="40"/>
      <c r="W366" s="40"/>
      <c r="X366" s="40"/>
      <c r="Y366" s="40"/>
      <c r="Z366" s="40"/>
      <c r="AC366" s="40"/>
      <c r="AD366" s="40"/>
      <c r="AE366" s="40"/>
    </row>
    <row r="367" spans="1:37" ht="12.95" customHeight="1">
      <c r="E367" s="1739" t="s">
        <v>718</v>
      </c>
      <c r="F367" s="1739"/>
      <c r="G367" s="1739"/>
      <c r="H367" s="1739"/>
      <c r="I367" s="1739"/>
      <c r="J367" s="1739"/>
      <c r="K367" s="1739"/>
      <c r="L367" s="1739"/>
      <c r="M367" s="1739"/>
      <c r="N367" s="1739"/>
      <c r="O367" s="1739"/>
      <c r="P367" s="1739"/>
      <c r="Q367" s="1739"/>
      <c r="R367" s="1739"/>
      <c r="S367" s="1739"/>
      <c r="T367" s="1739"/>
      <c r="U367" s="1739"/>
      <c r="V367" s="1739"/>
      <c r="W367" s="1739"/>
      <c r="X367" s="1739"/>
      <c r="Y367" s="1739"/>
      <c r="Z367" s="1739"/>
      <c r="AA367" s="1739"/>
      <c r="AB367" s="1739"/>
      <c r="AC367" s="1739"/>
      <c r="AD367" s="1739"/>
      <c r="AE367" s="1739"/>
      <c r="AF367" s="1739"/>
      <c r="AG367" s="1739"/>
      <c r="AH367" s="1739"/>
    </row>
    <row r="368" spans="1:37" ht="12.95" customHeight="1">
      <c r="E368" s="1739"/>
      <c r="F368" s="1739"/>
      <c r="G368" s="1739"/>
      <c r="H368" s="1739"/>
      <c r="I368" s="1739"/>
      <c r="J368" s="1739"/>
      <c r="K368" s="1739"/>
      <c r="L368" s="1739"/>
      <c r="M368" s="1739"/>
      <c r="N368" s="1739"/>
      <c r="O368" s="1739"/>
      <c r="P368" s="1739"/>
      <c r="Q368" s="1739"/>
      <c r="R368" s="1739"/>
      <c r="S368" s="1739"/>
      <c r="T368" s="1739"/>
      <c r="U368" s="1739"/>
      <c r="V368" s="1739"/>
      <c r="W368" s="1739"/>
      <c r="X368" s="1739"/>
      <c r="Y368" s="1739"/>
      <c r="Z368" s="1739"/>
      <c r="AA368" s="1739"/>
      <c r="AB368" s="1739"/>
      <c r="AC368" s="1739"/>
      <c r="AD368" s="1739"/>
      <c r="AE368" s="1739"/>
      <c r="AF368" s="1739"/>
      <c r="AG368" s="1739"/>
      <c r="AH368" s="1739"/>
    </row>
    <row r="369" spans="1:36" ht="12.95" customHeight="1">
      <c r="E369" s="4" t="s">
        <v>457</v>
      </c>
      <c r="F369" s="4"/>
      <c r="G369" s="4"/>
      <c r="H369" s="4"/>
      <c r="I369" s="4"/>
      <c r="J369" s="4"/>
      <c r="K369" s="4"/>
      <c r="L369" s="4"/>
      <c r="N369" s="1738"/>
      <c r="O369" s="1738"/>
      <c r="P369" s="1738"/>
      <c r="Q369" s="1738"/>
      <c r="R369" s="4"/>
      <c r="U369" s="4" t="s">
        <v>458</v>
      </c>
      <c r="V369" s="4"/>
      <c r="W369" s="4"/>
      <c r="X369" s="4"/>
      <c r="Y369" s="4"/>
      <c r="Z369" s="4"/>
      <c r="AA369" s="4"/>
      <c r="AB369" s="4"/>
      <c r="AC369" s="1738"/>
      <c r="AD369" s="1738"/>
      <c r="AE369" s="1738"/>
      <c r="AF369" s="1738"/>
    </row>
    <row r="370" spans="1:36" ht="12.95" customHeight="1">
      <c r="E370" s="4" t="s">
        <v>459</v>
      </c>
      <c r="F370" s="4"/>
      <c r="G370" s="4"/>
      <c r="H370" s="4"/>
      <c r="I370" s="4"/>
      <c r="J370" s="4"/>
      <c r="K370" s="4"/>
      <c r="L370" s="4"/>
      <c r="N370" s="1738"/>
      <c r="O370" s="1738"/>
      <c r="P370" s="1738"/>
      <c r="Q370" s="1738"/>
      <c r="R370" s="4"/>
      <c r="U370" s="4" t="s">
        <v>0</v>
      </c>
      <c r="V370" s="4"/>
      <c r="W370" s="4"/>
      <c r="X370" s="4"/>
      <c r="Y370" s="4"/>
      <c r="Z370" s="4"/>
      <c r="AA370" s="4"/>
      <c r="AB370" s="4"/>
      <c r="AC370" s="1738"/>
      <c r="AD370" s="1738"/>
      <c r="AE370" s="1738"/>
      <c r="AF370" s="1738"/>
    </row>
    <row r="371" spans="1:36" ht="12.95" customHeight="1">
      <c r="E371" s="4" t="s">
        <v>1</v>
      </c>
      <c r="F371" s="4"/>
      <c r="G371" s="4"/>
      <c r="H371" s="4"/>
      <c r="I371" s="4"/>
      <c r="J371" s="4"/>
      <c r="K371" s="4"/>
      <c r="L371" s="4"/>
      <c r="N371" s="1738"/>
      <c r="O371" s="1738"/>
      <c r="P371" s="1738"/>
      <c r="Q371" s="1738"/>
      <c r="R371" s="4"/>
      <c r="V371" s="4"/>
      <c r="W371" s="4"/>
      <c r="X371" s="4"/>
      <c r="Y371" s="4"/>
      <c r="Z371" s="4"/>
      <c r="AA371" s="4"/>
      <c r="AB371" s="4"/>
    </row>
    <row r="372" spans="1:36" ht="12.95" customHeight="1">
      <c r="E372" s="4" t="s">
        <v>2</v>
      </c>
      <c r="F372" s="4"/>
      <c r="G372" s="4"/>
      <c r="H372" s="4"/>
      <c r="I372" s="4"/>
      <c r="J372" s="4"/>
      <c r="K372" s="4"/>
      <c r="L372" s="4"/>
      <c r="N372" s="1839"/>
      <c r="O372" s="1839"/>
      <c r="P372" s="1839"/>
      <c r="Q372" s="1839"/>
      <c r="R372" s="1839"/>
      <c r="S372" s="1839"/>
      <c r="T372" s="1839"/>
      <c r="U372" s="1839"/>
      <c r="V372" s="1839"/>
      <c r="W372" s="1839"/>
      <c r="X372" s="1839"/>
      <c r="Y372" s="1839"/>
      <c r="Z372" s="1839"/>
      <c r="AA372" s="1839"/>
      <c r="AB372" s="1839"/>
      <c r="AC372" s="1839"/>
      <c r="AD372" s="1839"/>
      <c r="AE372" s="1839"/>
      <c r="AF372" s="1839"/>
    </row>
    <row r="373" spans="1:36" ht="12.95" customHeight="1">
      <c r="E373" s="4"/>
      <c r="F373" s="4"/>
      <c r="G373" s="4"/>
      <c r="H373" s="4"/>
      <c r="I373" s="4"/>
      <c r="J373" s="4"/>
      <c r="K373" s="4"/>
      <c r="L373" s="4"/>
      <c r="N373" s="1840"/>
      <c r="O373" s="1840"/>
      <c r="P373" s="1840"/>
      <c r="Q373" s="1840"/>
      <c r="R373" s="1840"/>
      <c r="S373" s="1840"/>
      <c r="T373" s="1840"/>
      <c r="U373" s="1840"/>
      <c r="V373" s="1840"/>
      <c r="W373" s="1840"/>
      <c r="X373" s="1840"/>
      <c r="Y373" s="1840"/>
      <c r="Z373" s="1840"/>
      <c r="AA373" s="1840"/>
      <c r="AB373" s="1840"/>
      <c r="AC373" s="1840"/>
      <c r="AD373" s="1840"/>
      <c r="AE373" s="1840"/>
      <c r="AF373" s="1840"/>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2509</v>
      </c>
      <c r="F376" s="4"/>
      <c r="G376" s="4"/>
      <c r="H376" s="4"/>
      <c r="I376" s="4"/>
      <c r="J376" s="4"/>
      <c r="K376" s="4"/>
      <c r="L376" s="4"/>
      <c r="N376" t="s">
        <v>2503</v>
      </c>
      <c r="R376" s="27" t="s">
        <v>306</v>
      </c>
      <c r="S376" s="1737"/>
      <c r="T376" s="1737"/>
      <c r="U376" s="1" t="s">
        <v>307</v>
      </c>
      <c r="V376" s="1737"/>
      <c r="W376" s="1737"/>
      <c r="Y376" t="s">
        <v>2503</v>
      </c>
      <c r="AC376" s="27" t="s">
        <v>306</v>
      </c>
      <c r="AD376" s="1737"/>
      <c r="AE376" s="1737"/>
      <c r="AF376" s="1" t="s">
        <v>307</v>
      </c>
      <c r="AG376" s="1737"/>
      <c r="AH376" s="1737"/>
    </row>
    <row r="377" spans="1:36" ht="12.95" customHeight="1">
      <c r="E377" s="4" t="s">
        <v>1044</v>
      </c>
      <c r="F377" s="4"/>
      <c r="G377" s="4"/>
      <c r="H377" s="4"/>
      <c r="I377" s="4"/>
      <c r="J377" s="4"/>
      <c r="K377" s="4"/>
      <c r="L377" s="4"/>
      <c r="N377" s="1737"/>
      <c r="O377" s="1737"/>
      <c r="P377" s="1737"/>
    </row>
    <row r="378" spans="1:36" ht="12.95" customHeight="1">
      <c r="E378" s="218" t="s">
        <v>2510</v>
      </c>
      <c r="F378" s="4"/>
      <c r="G378" s="4"/>
      <c r="H378" s="4"/>
      <c r="I378" s="4"/>
      <c r="J378" s="4"/>
      <c r="K378" s="4"/>
      <c r="L378" s="4"/>
      <c r="AG378" s="1659" t="s">
        <v>600</v>
      </c>
      <c r="AH378" s="1659"/>
    </row>
    <row r="379" spans="1:36" ht="12.95" customHeight="1">
      <c r="E379" s="4"/>
      <c r="F379" s="4"/>
      <c r="G379" s="4" t="s">
        <v>2511</v>
      </c>
      <c r="H379" s="4"/>
      <c r="I379" s="4"/>
      <c r="J379" s="4"/>
      <c r="K379" s="4"/>
      <c r="L379" s="4"/>
      <c r="AG379" s="1659" t="s">
        <v>600</v>
      </c>
      <c r="AH379" s="1659"/>
    </row>
    <row r="380" spans="1:36" ht="12.95" customHeight="1">
      <c r="E380" s="4"/>
      <c r="F380" s="4"/>
      <c r="G380" s="349" t="s">
        <v>1045</v>
      </c>
      <c r="H380" s="4"/>
      <c r="I380" s="4"/>
      <c r="J380" s="4"/>
      <c r="K380" s="4"/>
      <c r="L380" s="4"/>
      <c r="V380" s="1358" t="s">
        <v>600</v>
      </c>
      <c r="W380" s="1358"/>
      <c r="Y380" s="22" t="s">
        <v>1020</v>
      </c>
    </row>
    <row r="381" spans="1:36" ht="12.95" customHeight="1">
      <c r="E381" s="4" t="s">
        <v>1021</v>
      </c>
      <c r="F381" s="4"/>
      <c r="G381" s="4"/>
      <c r="H381" s="4"/>
      <c r="I381" s="4"/>
      <c r="J381" s="4"/>
      <c r="K381" s="4"/>
      <c r="L381" s="4"/>
      <c r="V381" s="1358" t="s">
        <v>600</v>
      </c>
      <c r="W381" s="1358"/>
      <c r="Y381" s="4" t="s">
        <v>1022</v>
      </c>
    </row>
    <row r="382" spans="1:36" ht="12.95" customHeight="1"/>
    <row r="383" spans="1:36" ht="12.95" customHeight="1">
      <c r="A383" s="2" t="s">
        <v>79</v>
      </c>
      <c r="B383" s="2"/>
    </row>
    <row r="384" spans="1:36" ht="12.95" customHeight="1">
      <c r="D384" t="s">
        <v>429</v>
      </c>
      <c r="J384" s="1371" t="s">
        <v>2694</v>
      </c>
      <c r="K384" s="1357"/>
      <c r="L384" s="1357"/>
      <c r="M384" s="1357"/>
      <c r="N384" s="1357"/>
      <c r="O384" s="1357"/>
      <c r="P384" s="1357"/>
      <c r="Q384" s="1357"/>
      <c r="R384" s="1357"/>
      <c r="S384" s="1357"/>
      <c r="T384" s="1357"/>
      <c r="U384" s="1357"/>
      <c r="V384" s="8" t="s">
        <v>84</v>
      </c>
      <c r="W384" s="8"/>
      <c r="X384" s="8"/>
      <c r="Y384" s="8"/>
      <c r="Z384" s="8"/>
      <c r="AA384" s="8"/>
      <c r="AB384" s="8"/>
      <c r="AC384" s="1371" t="s">
        <v>2695</v>
      </c>
      <c r="AD384" s="1357"/>
      <c r="AE384" s="1357"/>
      <c r="AF384" s="1357"/>
      <c r="AG384" s="1357"/>
      <c r="AH384" s="1357"/>
      <c r="AI384" s="1357"/>
      <c r="AJ384" s="1357"/>
    </row>
    <row r="385" spans="4:36" ht="12.95" customHeight="1">
      <c r="D385" s="3" t="s">
        <v>1325</v>
      </c>
      <c r="J385" s="1365" t="s">
        <v>2695</v>
      </c>
      <c r="K385" s="1366"/>
      <c r="L385" s="1366"/>
      <c r="M385" s="1366"/>
      <c r="N385" s="1366"/>
      <c r="O385" s="1366"/>
      <c r="P385" s="1366"/>
      <c r="Q385" s="1366"/>
      <c r="R385" s="1366"/>
      <c r="S385" s="1366"/>
      <c r="T385" s="1366"/>
      <c r="U385" s="1366"/>
      <c r="V385" s="3" t="s">
        <v>1325</v>
      </c>
      <c r="W385" s="8"/>
      <c r="X385" s="8"/>
      <c r="Y385" s="8"/>
      <c r="Z385" s="8"/>
      <c r="AA385" s="8"/>
      <c r="AB385" s="8"/>
      <c r="AC385" s="1357"/>
      <c r="AD385" s="1357"/>
      <c r="AE385" s="1357"/>
      <c r="AF385" s="1357"/>
      <c r="AG385" s="1357"/>
      <c r="AH385" s="1357"/>
      <c r="AI385" s="1357"/>
      <c r="AJ385" s="1357"/>
    </row>
    <row r="386" spans="4:36" ht="12.95" customHeight="1">
      <c r="D386" s="3" t="s">
        <v>444</v>
      </c>
      <c r="J386" s="1365" t="s">
        <v>443</v>
      </c>
      <c r="K386" s="1366"/>
      <c r="L386" s="1366"/>
      <c r="M386" s="1366"/>
      <c r="N386" s="1366"/>
      <c r="O386" s="1366"/>
      <c r="P386" s="1366"/>
      <c r="Q386" s="1366"/>
      <c r="R386" s="1366"/>
      <c r="S386" s="1366"/>
      <c r="T386" s="1366"/>
      <c r="U386" s="1366"/>
      <c r="V386" s="3" t="s">
        <v>444</v>
      </c>
      <c r="W386" s="8"/>
      <c r="X386" s="8"/>
      <c r="Y386" s="8"/>
      <c r="Z386" s="8"/>
      <c r="AA386" s="8"/>
      <c r="AB386" s="8"/>
      <c r="AC386" s="1357"/>
      <c r="AD386" s="1357"/>
      <c r="AE386" s="1357"/>
      <c r="AF386" s="1357"/>
      <c r="AG386" s="1357"/>
      <c r="AH386" s="1357"/>
      <c r="AI386" s="1357"/>
      <c r="AJ386" s="1357"/>
    </row>
    <row r="387" spans="4:36" ht="12.95" customHeight="1">
      <c r="D387" t="s">
        <v>1321</v>
      </c>
      <c r="J387" s="1844" t="s">
        <v>2631</v>
      </c>
      <c r="K387" s="1525"/>
      <c r="L387" s="1525"/>
      <c r="M387" s="1525"/>
      <c r="N387" s="1525"/>
      <c r="O387" s="1525"/>
      <c r="P387" s="1525"/>
      <c r="Q387" s="1525"/>
      <c r="R387" s="1525"/>
      <c r="S387" s="1525"/>
      <c r="T387" s="1525"/>
      <c r="U387" s="1525"/>
      <c r="V387" s="1371" t="s">
        <v>2696</v>
      </c>
      <c r="W387" s="1357"/>
      <c r="X387" s="1357"/>
      <c r="Y387" s="1357"/>
      <c r="Z387" s="1357"/>
      <c r="AA387" s="1357"/>
      <c r="AB387" s="1357"/>
      <c r="AC387" s="1357"/>
      <c r="AD387" s="1357"/>
      <c r="AE387" s="1357"/>
      <c r="AF387" s="1357"/>
      <c r="AG387" s="1357"/>
      <c r="AH387" s="1357"/>
      <c r="AI387" s="1357"/>
      <c r="AJ387" s="1357"/>
    </row>
    <row r="388" spans="4:36" ht="12.95" customHeight="1">
      <c r="D388" t="s">
        <v>4</v>
      </c>
      <c r="Q388" s="1626">
        <v>44888</v>
      </c>
      <c r="R388" s="1626"/>
      <c r="S388" s="1626"/>
      <c r="T388" s="1626"/>
      <c r="U388" s="1626"/>
      <c r="V388" t="s">
        <v>310</v>
      </c>
      <c r="AI388" s="1358" t="s">
        <v>678</v>
      </c>
      <c r="AJ388" s="1358"/>
    </row>
    <row r="389" spans="4:36" ht="12.95" customHeight="1">
      <c r="D389" t="s">
        <v>5</v>
      </c>
      <c r="Q389" s="1683"/>
      <c r="R389" s="1445"/>
      <c r="S389" s="1445"/>
      <c r="T389" s="1445"/>
      <c r="U389" s="1445"/>
      <c r="W389" s="21" t="s">
        <v>75</v>
      </c>
      <c r="AG389" s="1671"/>
      <c r="AH389" s="1671"/>
      <c r="AI389" s="1671"/>
      <c r="AJ389" s="1671"/>
    </row>
    <row r="390" spans="4:36" ht="12.95" customHeight="1">
      <c r="D390" t="s">
        <v>428</v>
      </c>
      <c r="Q390" s="1736">
        <v>1965539</v>
      </c>
      <c r="R390" s="1736"/>
      <c r="S390" s="1736"/>
      <c r="T390" s="1736"/>
      <c r="U390" s="1736"/>
      <c r="V390" s="3" t="s">
        <v>1324</v>
      </c>
      <c r="AG390" s="1831">
        <v>45231</v>
      </c>
      <c r="AH390" s="1831"/>
      <c r="AI390" s="1831"/>
      <c r="AJ390" s="1831"/>
    </row>
    <row r="391" spans="4:36" ht="12.95" customHeight="1">
      <c r="D391" t="s">
        <v>89</v>
      </c>
      <c r="I391" s="1663" t="s">
        <v>2697</v>
      </c>
      <c r="J391" s="1655"/>
      <c r="K391" s="1655"/>
      <c r="L391" s="1655"/>
      <c r="M391" s="1655"/>
      <c r="N391" s="1655"/>
      <c r="Q391" s="4" t="s">
        <v>207</v>
      </c>
      <c r="S391" s="1744"/>
      <c r="T391" s="1744"/>
      <c r="U391" s="1744"/>
      <c r="V391" t="s">
        <v>74</v>
      </c>
      <c r="AI391" s="1358" t="s">
        <v>678</v>
      </c>
      <c r="AJ391" s="1358"/>
    </row>
    <row r="392" spans="4:36" ht="12.95" customHeight="1">
      <c r="D392" t="s">
        <v>311</v>
      </c>
      <c r="Q392" s="1537"/>
      <c r="R392" s="1537"/>
      <c r="S392" s="1537"/>
      <c r="T392" s="1537"/>
      <c r="U392" s="1537"/>
      <c r="V392" t="s">
        <v>312</v>
      </c>
      <c r="AG392" s="1671"/>
      <c r="AH392" s="1671"/>
      <c r="AI392" s="1671"/>
      <c r="AJ392" s="1671"/>
    </row>
    <row r="393" spans="4:36" ht="12.95" customHeight="1">
      <c r="D393" t="s">
        <v>313</v>
      </c>
      <c r="Q393" s="1670"/>
      <c r="R393" s="1670"/>
      <c r="S393" s="1670"/>
      <c r="T393" s="1670"/>
      <c r="U393" s="1670"/>
      <c r="V393" t="s">
        <v>1305</v>
      </c>
      <c r="AG393" s="1671"/>
      <c r="AH393" s="1671"/>
      <c r="AI393" s="1671"/>
      <c r="AJ393" s="1671"/>
    </row>
    <row r="394" spans="4:36" ht="12.95" customHeight="1">
      <c r="D394" t="s">
        <v>1304</v>
      </c>
      <c r="AG394" s="1671"/>
      <c r="AH394" s="1671"/>
      <c r="AI394" s="1671"/>
      <c r="AJ394" s="1671"/>
    </row>
    <row r="395" spans="4:36" ht="12.95" customHeight="1">
      <c r="AG395" s="491"/>
      <c r="AH395" s="491"/>
      <c r="AI395" s="491"/>
      <c r="AJ395" s="491"/>
    </row>
    <row r="396" spans="4:36" ht="12.95" customHeight="1">
      <c r="D396" s="3" t="s">
        <v>2622</v>
      </c>
      <c r="AG396" s="491"/>
      <c r="AH396" s="491"/>
      <c r="AI396" s="1358" t="s">
        <v>554</v>
      </c>
      <c r="AJ396" s="1358"/>
    </row>
    <row r="397" spans="4:36" ht="12.95" customHeight="1">
      <c r="D397" s="3" t="s">
        <v>1850</v>
      </c>
      <c r="T397" s="1797" t="s">
        <v>2637</v>
      </c>
      <c r="U397" s="1798"/>
      <c r="V397" s="1798"/>
      <c r="W397" s="1798"/>
      <c r="X397" s="1798"/>
      <c r="Y397" s="1798"/>
      <c r="Z397" s="1798"/>
      <c r="AA397" s="1798"/>
      <c r="AB397" s="1798"/>
      <c r="AC397" s="1798"/>
      <c r="AD397" s="1798"/>
      <c r="AE397" s="1798"/>
      <c r="AF397" s="1798"/>
      <c r="AG397" s="1798"/>
      <c r="AH397" s="1798"/>
      <c r="AI397" s="1798"/>
      <c r="AJ397" s="1798"/>
    </row>
    <row r="398" spans="4:36" ht="12.95" customHeight="1">
      <c r="D398" s="3" t="s">
        <v>1849</v>
      </c>
      <c r="T398" s="1798"/>
      <c r="U398" s="1798"/>
      <c r="V398" s="1798"/>
      <c r="W398" s="1798"/>
      <c r="X398" s="1798"/>
      <c r="Y398" s="1798"/>
      <c r="Z398" s="1798"/>
      <c r="AA398" s="1798"/>
      <c r="AB398" s="1798"/>
      <c r="AC398" s="1798"/>
      <c r="AD398" s="1798"/>
      <c r="AE398" s="1798"/>
      <c r="AF398" s="1798"/>
      <c r="AG398" s="1798"/>
      <c r="AH398" s="1798"/>
      <c r="AI398" s="1798"/>
      <c r="AJ398" s="1798"/>
    </row>
    <row r="399" spans="4:36" ht="12.95" customHeight="1">
      <c r="AG399" s="491"/>
      <c r="AH399" s="491"/>
      <c r="AI399" s="491"/>
      <c r="AJ399" s="491"/>
    </row>
    <row r="400" spans="4:36" ht="12.95" customHeight="1">
      <c r="D400" s="3" t="s">
        <v>1843</v>
      </c>
      <c r="S400" s="1798" t="s">
        <v>678</v>
      </c>
      <c r="T400" s="1798"/>
      <c r="U400" s="1798"/>
      <c r="V400" t="s">
        <v>1844</v>
      </c>
      <c r="AG400" s="1830"/>
      <c r="AH400" s="1830"/>
      <c r="AI400" s="1830"/>
      <c r="AJ400" s="1830"/>
    </row>
    <row r="401" spans="1:36" ht="12.95" customHeight="1">
      <c r="D401" s="3" t="s">
        <v>1841</v>
      </c>
      <c r="S401" s="1798" t="s">
        <v>600</v>
      </c>
      <c r="T401" s="1798"/>
      <c r="U401" s="1798"/>
      <c r="V401" t="s">
        <v>1846</v>
      </c>
      <c r="AE401" s="1818"/>
      <c r="AF401" s="1818"/>
      <c r="AG401" s="1818"/>
      <c r="AH401" s="1818"/>
      <c r="AI401" s="1818"/>
      <c r="AJ401" s="1818"/>
    </row>
    <row r="402" spans="1:36" ht="12.95" customHeight="1">
      <c r="D402" s="3" t="s">
        <v>1842</v>
      </c>
      <c r="K402" s="1820"/>
      <c r="L402" s="1820"/>
      <c r="M402" s="1820"/>
      <c r="N402" s="1820"/>
      <c r="O402" s="1820"/>
      <c r="P402" s="1820"/>
      <c r="Q402" s="1820"/>
      <c r="R402" s="1820"/>
      <c r="S402" s="1820"/>
      <c r="T402" s="1820"/>
      <c r="U402" s="1820"/>
      <c r="V402" s="1820"/>
      <c r="W402" s="1820"/>
      <c r="X402" s="1820"/>
      <c r="Y402" s="1820"/>
      <c r="Z402" s="1820"/>
      <c r="AA402" s="1820"/>
      <c r="AB402" s="1820"/>
      <c r="AC402" s="1820"/>
      <c r="AD402" s="1820"/>
      <c r="AE402" s="1820"/>
      <c r="AF402" s="1820"/>
      <c r="AG402" s="1820"/>
      <c r="AH402" s="1820"/>
      <c r="AI402" s="1820"/>
      <c r="AJ402" s="1820"/>
    </row>
    <row r="403" spans="1:36" ht="12.95" customHeight="1">
      <c r="D403" s="3" t="s">
        <v>1845</v>
      </c>
      <c r="K403" s="1820"/>
      <c r="L403" s="1820"/>
      <c r="M403" s="1820"/>
      <c r="N403" s="1820"/>
      <c r="O403" s="1820"/>
      <c r="P403" s="1820"/>
      <c r="Q403" s="1820"/>
      <c r="R403" s="1820"/>
      <c r="S403" s="1820"/>
      <c r="T403" s="1820"/>
      <c r="U403" s="1820"/>
      <c r="V403" s="1820"/>
      <c r="W403" s="1820"/>
      <c r="X403" s="1820"/>
      <c r="Y403" s="1820"/>
      <c r="Z403" s="1820"/>
      <c r="AA403" s="1820"/>
      <c r="AB403" s="1820"/>
      <c r="AC403" s="1820"/>
      <c r="AD403" s="1820"/>
      <c r="AE403" s="1820"/>
      <c r="AF403" s="1820"/>
      <c r="AG403" s="1820"/>
      <c r="AH403" s="1820"/>
      <c r="AI403" s="1820"/>
      <c r="AJ403" s="1820"/>
    </row>
    <row r="404" spans="1:36" ht="12.95" customHeight="1">
      <c r="D404" s="3" t="s">
        <v>1848</v>
      </c>
      <c r="E404" s="512"/>
      <c r="F404" s="512"/>
      <c r="G404" s="512"/>
      <c r="H404" s="512"/>
      <c r="I404" s="512"/>
      <c r="J404" s="512"/>
      <c r="K404" s="512"/>
      <c r="L404" s="512"/>
      <c r="M404" s="512"/>
      <c r="N404" s="512"/>
      <c r="O404" s="512"/>
      <c r="P404" s="512"/>
      <c r="Q404" s="512"/>
      <c r="R404" s="512"/>
      <c r="S404" s="1788" t="s">
        <v>1327</v>
      </c>
      <c r="T404" s="1788"/>
      <c r="U404" s="1788"/>
      <c r="V404" s="1788"/>
      <c r="W404" s="1788"/>
      <c r="X404" s="1788"/>
      <c r="Y404" s="1788"/>
      <c r="Z404" s="1788"/>
      <c r="AA404" s="1788"/>
      <c r="AB404" s="1788"/>
      <c r="AC404" s="1788"/>
      <c r="AD404" s="1788"/>
      <c r="AE404" s="1788"/>
      <c r="AF404" s="1788"/>
      <c r="AG404" s="1788"/>
      <c r="AH404" s="1788"/>
      <c r="AI404" s="1788"/>
      <c r="AJ404" s="1788"/>
    </row>
    <row r="405" spans="1:36" ht="12.95" customHeight="1">
      <c r="D405" s="1268" t="s">
        <v>1847</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2.9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371" t="s">
        <v>1371</v>
      </c>
      <c r="J409" s="1371"/>
      <c r="K409" s="1371"/>
      <c r="L409" s="1371"/>
      <c r="M409" s="1371"/>
      <c r="N409" s="1371"/>
      <c r="O409" s="1371"/>
      <c r="P409" s="1371"/>
      <c r="Q409" s="1371"/>
      <c r="R409" s="1371"/>
      <c r="S409" s="1371"/>
      <c r="T409" s="1371"/>
      <c r="U409" s="1371"/>
      <c r="V409" s="1371"/>
      <c r="W409" s="1371"/>
      <c r="X409" s="1371"/>
      <c r="Y409" s="1371"/>
      <c r="Z409" s="1371"/>
      <c r="AA409" s="1371"/>
      <c r="AB409" s="1371"/>
      <c r="AC409" s="1371"/>
      <c r="AD409" s="1371"/>
      <c r="AE409" s="1371"/>
    </row>
    <row r="410" spans="1:36" ht="12.95" customHeight="1">
      <c r="E410" t="s">
        <v>107</v>
      </c>
      <c r="R410" s="1358" t="s">
        <v>600</v>
      </c>
      <c r="S410" s="1358"/>
      <c r="T410" t="s">
        <v>579</v>
      </c>
      <c r="AD410" s="1738">
        <v>0</v>
      </c>
      <c r="AE410" s="1738"/>
    </row>
    <row r="411" spans="1:36" ht="12.95" customHeight="1">
      <c r="E411" t="s">
        <v>108</v>
      </c>
      <c r="R411" s="1358" t="s">
        <v>554</v>
      </c>
      <c r="S411" s="1358"/>
      <c r="T411" t="s">
        <v>579</v>
      </c>
      <c r="AD411" s="1738">
        <v>3</v>
      </c>
      <c r="AE411" s="1738"/>
    </row>
    <row r="412" spans="1:36" ht="12.95" customHeight="1">
      <c r="E412" t="s">
        <v>109</v>
      </c>
      <c r="S412" s="1358" t="s">
        <v>600</v>
      </c>
      <c r="T412" s="1358"/>
    </row>
    <row r="413" spans="1:36" ht="12.95" customHeight="1">
      <c r="E413" t="s">
        <v>170</v>
      </c>
      <c r="H413" s="1668" t="s">
        <v>2698</v>
      </c>
      <c r="I413" s="1668"/>
      <c r="J413" s="1668"/>
      <c r="K413" s="1668"/>
      <c r="L413" s="1668"/>
      <c r="M413" s="1668"/>
      <c r="N413" s="1668"/>
      <c r="O413" s="1668"/>
      <c r="P413" s="1668"/>
      <c r="Q413" s="1668"/>
      <c r="R413" s="1668"/>
      <c r="S413" s="1668"/>
      <c r="T413" s="1668"/>
      <c r="U413" s="1668"/>
      <c r="V413" s="1668"/>
      <c r="W413" s="1668"/>
      <c r="X413" s="1668"/>
      <c r="Y413" s="1668"/>
      <c r="Z413" s="1668"/>
      <c r="AA413" s="1668"/>
      <c r="AB413" s="1668"/>
      <c r="AC413" s="1668"/>
      <c r="AD413" s="1668"/>
      <c r="AE413" s="1668"/>
    </row>
    <row r="414" spans="1:36" ht="12.95" customHeight="1">
      <c r="H414" s="1669"/>
      <c r="I414" s="1669"/>
      <c r="J414" s="1669"/>
      <c r="K414" s="1669"/>
      <c r="L414" s="1669"/>
      <c r="M414" s="1669"/>
      <c r="N414" s="1669"/>
      <c r="O414" s="1669"/>
      <c r="P414" s="1669"/>
      <c r="Q414" s="1669"/>
      <c r="R414" s="1669"/>
      <c r="S414" s="1669"/>
      <c r="T414" s="1669"/>
      <c r="U414" s="1669"/>
      <c r="V414" s="1669"/>
      <c r="W414" s="1669"/>
      <c r="X414" s="1669"/>
      <c r="Y414" s="1669"/>
      <c r="Z414" s="1669"/>
      <c r="AA414" s="1669"/>
      <c r="AB414" s="1669"/>
      <c r="AC414" s="1669"/>
      <c r="AD414" s="1669"/>
      <c r="AE414" s="1669"/>
    </row>
    <row r="415" spans="1:36" ht="12.95" customHeight="1"/>
    <row r="416" spans="1:36" ht="12.95" customHeight="1">
      <c r="A416" s="2" t="s">
        <v>599</v>
      </c>
      <c r="B416" s="2"/>
      <c r="C416" s="2"/>
      <c r="D416" s="2" t="s">
        <v>115</v>
      </c>
      <c r="AF416" s="2" t="s">
        <v>997</v>
      </c>
    </row>
    <row r="417" spans="1:39" ht="12.95" customHeight="1">
      <c r="E417" s="1737"/>
      <c r="F417" s="1737"/>
      <c r="G417" s="1737"/>
      <c r="H417" s="13" t="s">
        <v>116</v>
      </c>
      <c r="I417" s="1737"/>
      <c r="J417" s="1737"/>
      <c r="K417" s="1737"/>
      <c r="L417" t="s">
        <v>117</v>
      </c>
      <c r="N417" s="27" t="s">
        <v>584</v>
      </c>
      <c r="P417" s="1743">
        <v>6.02</v>
      </c>
      <c r="Q417" s="1743"/>
      <c r="R417" s="1743"/>
      <c r="S417" t="s">
        <v>118</v>
      </c>
      <c r="W417" s="1855">
        <f>IF(E417&gt;0,(E417*I417),(P417*43560))</f>
        <v>262231.19999999995</v>
      </c>
      <c r="X417" s="1855"/>
      <c r="Y417" s="1855"/>
      <c r="Z417" t="s">
        <v>119</v>
      </c>
      <c r="AF417" s="1806">
        <f>IF(P417&gt;0,(AG436/P417),(AG436/(W417/43560)))</f>
        <v>20.099667774086381</v>
      </c>
      <c r="AG417" s="1806"/>
      <c r="AH417" s="1806"/>
      <c r="AM417" s="3"/>
    </row>
    <row r="418" spans="1:39" ht="12.95" customHeight="1">
      <c r="E418" t="s">
        <v>51</v>
      </c>
    </row>
    <row r="419" spans="1:39" ht="12.95" customHeight="1">
      <c r="E419" s="1804"/>
      <c r="F419" s="1804"/>
      <c r="G419" s="1804"/>
      <c r="H419" s="1804"/>
      <c r="I419" s="1804"/>
      <c r="J419" s="1804"/>
      <c r="K419" s="1804"/>
      <c r="L419" s="1804"/>
      <c r="M419" s="1804"/>
      <c r="N419" s="1804"/>
      <c r="O419" s="1804"/>
      <c r="P419" s="1804"/>
      <c r="Q419" s="1804"/>
      <c r="R419" s="1804"/>
      <c r="S419" s="1804"/>
      <c r="T419" s="1804"/>
      <c r="U419" s="1804"/>
      <c r="V419" s="1804"/>
      <c r="W419" s="1804"/>
      <c r="X419" s="1804"/>
      <c r="Y419" s="1804"/>
      <c r="Z419" s="1804"/>
      <c r="AA419" s="1804"/>
      <c r="AB419" s="1804"/>
      <c r="AC419" s="1804"/>
      <c r="AD419" s="1804"/>
      <c r="AE419" s="1804"/>
      <c r="AF419" s="1804"/>
      <c r="AG419" s="1804"/>
      <c r="AH419" s="1804"/>
      <c r="AI419" s="1804"/>
      <c r="AJ419" s="1804"/>
    </row>
    <row r="420" spans="1:39" ht="12.95" customHeight="1">
      <c r="E420" s="118" t="s">
        <v>1998</v>
      </c>
      <c r="F420" s="1050"/>
      <c r="G420" s="1050"/>
      <c r="H420" s="1050"/>
      <c r="I420" s="1665">
        <v>4.67</v>
      </c>
      <c r="J420" s="1665"/>
      <c r="K420" s="1665"/>
      <c r="L420" s="1050"/>
      <c r="M420" s="118"/>
      <c r="N420" s="1050"/>
      <c r="O420" s="1050"/>
      <c r="P420" s="1616">
        <f>(CS623+CS631+CS647)/I420</f>
        <v>55.24625267665953</v>
      </c>
      <c r="Q420" s="1616"/>
      <c r="R420" s="1616"/>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58">
        <v>7</v>
      </c>
      <c r="Q423" s="1358"/>
      <c r="S423" t="s">
        <v>190</v>
      </c>
      <c r="AE423" s="1358">
        <v>0</v>
      </c>
      <c r="AF423" s="1358"/>
    </row>
    <row r="424" spans="1:39" ht="12.95" customHeight="1">
      <c r="E424" t="s">
        <v>191</v>
      </c>
      <c r="P424" s="1358">
        <v>1</v>
      </c>
      <c r="Q424" s="1358"/>
      <c r="S424" t="s">
        <v>132</v>
      </c>
      <c r="AE424" s="1358" t="s">
        <v>600</v>
      </c>
      <c r="AF424" s="1358"/>
    </row>
    <row r="425" spans="1:39" ht="12.95" customHeight="1">
      <c r="F425" s="28" t="s">
        <v>133</v>
      </c>
    </row>
    <row r="426" spans="1:39" ht="12.95" customHeight="1">
      <c r="F426" s="1779" t="s">
        <v>2776</v>
      </c>
      <c r="G426" s="1779"/>
      <c r="H426" s="1779"/>
      <c r="I426" s="1779"/>
      <c r="J426" s="1779"/>
      <c r="K426" s="1779"/>
      <c r="L426" s="1779"/>
      <c r="M426" s="1779"/>
      <c r="N426" s="1779"/>
      <c r="O426" s="1779"/>
      <c r="P426" s="1779"/>
      <c r="Q426" s="1779"/>
      <c r="R426" s="1779"/>
      <c r="S426" s="1779"/>
      <c r="T426" s="1779"/>
      <c r="U426" s="1779"/>
      <c r="V426" s="1779"/>
      <c r="W426" s="1779"/>
      <c r="X426" s="1779"/>
      <c r="Y426" s="1779"/>
      <c r="Z426" s="1779"/>
      <c r="AA426" s="1779"/>
      <c r="AB426" s="1779"/>
      <c r="AC426" s="1779"/>
      <c r="AD426" s="1779"/>
      <c r="AE426" s="1779"/>
      <c r="AF426" s="1779"/>
      <c r="AG426" s="1779"/>
      <c r="AH426" s="1779"/>
    </row>
    <row r="427" spans="1:39" ht="12.95" customHeight="1">
      <c r="F427" s="1604"/>
      <c r="G427" s="1604"/>
      <c r="H427" s="1604"/>
      <c r="I427" s="1604"/>
      <c r="J427" s="1604"/>
      <c r="K427" s="1604"/>
      <c r="L427" s="1604"/>
      <c r="M427" s="1604"/>
      <c r="N427" s="1604"/>
      <c r="O427" s="1604"/>
      <c r="P427" s="1604"/>
      <c r="Q427" s="1604"/>
      <c r="R427" s="1604"/>
      <c r="S427" s="1604"/>
      <c r="T427" s="1604"/>
      <c r="U427" s="1604"/>
      <c r="V427" s="1604"/>
      <c r="W427" s="1604"/>
      <c r="X427" s="1604"/>
      <c r="Y427" s="1604"/>
      <c r="Z427" s="1604"/>
      <c r="AA427" s="1604"/>
      <c r="AB427" s="1604"/>
      <c r="AC427" s="1604"/>
      <c r="AD427" s="1604"/>
      <c r="AE427" s="1604"/>
      <c r="AF427" s="1604"/>
      <c r="AG427" s="1604"/>
      <c r="AH427" s="1604"/>
    </row>
    <row r="428" spans="1:39" ht="12.95" customHeight="1">
      <c r="E428" t="s">
        <v>617</v>
      </c>
      <c r="P428" s="1"/>
      <c r="Q428" s="1358" t="s">
        <v>554</v>
      </c>
      <c r="R428" s="1358"/>
    </row>
    <row r="429" spans="1:39" ht="12.95" customHeight="1">
      <c r="F429" t="s">
        <v>618</v>
      </c>
      <c r="P429" s="1"/>
      <c r="Q429" s="1"/>
      <c r="AF429" s="1358" t="s">
        <v>600</v>
      </c>
      <c r="AG429" s="1749"/>
    </row>
    <row r="430" spans="1:39" ht="12.95" customHeight="1"/>
    <row r="431" spans="1:39" ht="12.95" customHeight="1">
      <c r="A431" s="2"/>
      <c r="B431" s="2"/>
      <c r="C431" s="2"/>
      <c r="E431" s="4" t="s">
        <v>309</v>
      </c>
      <c r="Z431" s="1358" t="s">
        <v>554</v>
      </c>
      <c r="AA431" s="1358"/>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58" t="s">
        <v>678</v>
      </c>
      <c r="AA433" s="1358"/>
    </row>
    <row r="434" spans="1:110" ht="12.95" customHeight="1"/>
    <row r="435" spans="1:110" ht="12.95" customHeight="1">
      <c r="A435" s="2" t="s">
        <v>476</v>
      </c>
      <c r="B435" s="2"/>
      <c r="C435" s="2"/>
      <c r="D435" s="2" t="s">
        <v>788</v>
      </c>
      <c r="AF435" s="48"/>
    </row>
    <row r="436" spans="1:110" ht="12.95" customHeight="1">
      <c r="D436" s="1645" t="s">
        <v>43</v>
      </c>
      <c r="E436" s="1646"/>
      <c r="F436" s="1646"/>
      <c r="G436" s="1646"/>
      <c r="H436" s="1646"/>
      <c r="I436" s="1646"/>
      <c r="J436" s="1646"/>
      <c r="K436" s="1646"/>
      <c r="L436" s="1646"/>
      <c r="M436" s="1646"/>
      <c r="N436" s="1646"/>
      <c r="O436" s="1646"/>
      <c r="P436" s="1646"/>
      <c r="Q436" s="1646"/>
      <c r="R436" s="1646"/>
      <c r="S436" s="1646"/>
      <c r="T436" s="1646"/>
      <c r="U436" s="1646"/>
      <c r="V436" s="1646"/>
      <c r="W436" s="1646"/>
      <c r="X436" s="1646"/>
      <c r="Y436" s="1646"/>
      <c r="Z436" s="1646"/>
      <c r="AA436" s="1646"/>
      <c r="AB436" s="1646"/>
      <c r="AC436" s="1646"/>
      <c r="AD436" s="1646"/>
      <c r="AE436" s="1646"/>
      <c r="AF436" s="1832"/>
      <c r="AG436" s="1825">
        <v>121</v>
      </c>
      <c r="AH436" s="1825"/>
      <c r="AI436" s="1825"/>
      <c r="AJ436" s="1825"/>
    </row>
    <row r="437" spans="1:110" ht="12.95" customHeight="1">
      <c r="D437" s="1660" t="s">
        <v>1369</v>
      </c>
      <c r="E437" s="1661"/>
      <c r="F437" s="1661"/>
      <c r="G437" s="1661"/>
      <c r="H437" s="1661"/>
      <c r="I437" s="1661"/>
      <c r="J437" s="1661"/>
      <c r="K437" s="1661"/>
      <c r="L437" s="1661"/>
      <c r="M437" s="1661"/>
      <c r="N437" s="1661"/>
      <c r="O437" s="1661"/>
      <c r="P437" s="1661"/>
      <c r="Q437" s="1661"/>
      <c r="R437" s="1661"/>
      <c r="S437" s="1661"/>
      <c r="T437" s="1661"/>
      <c r="U437" s="1661"/>
      <c r="V437" s="1661"/>
      <c r="W437" s="1661"/>
      <c r="X437" s="1661"/>
      <c r="Y437" s="1661"/>
      <c r="Z437" s="1661"/>
      <c r="AA437" s="1661"/>
      <c r="AB437" s="1661"/>
      <c r="AC437" s="1661"/>
      <c r="AD437" s="1661"/>
      <c r="AE437" s="1661"/>
      <c r="AF437" s="1662"/>
      <c r="AG437" s="1856">
        <v>0</v>
      </c>
      <c r="AH437" s="1630"/>
      <c r="AI437" s="1630"/>
      <c r="AJ437" s="1630"/>
    </row>
    <row r="438" spans="1:110" ht="12.95" customHeight="1">
      <c r="D438" s="1660" t="s">
        <v>1092</v>
      </c>
      <c r="E438" s="1661"/>
      <c r="F438" s="1661"/>
      <c r="G438" s="1661"/>
      <c r="H438" s="1661"/>
      <c r="I438" s="1661"/>
      <c r="J438" s="1661"/>
      <c r="K438" s="1661"/>
      <c r="L438" s="1661"/>
      <c r="M438" s="1661"/>
      <c r="N438" s="1661"/>
      <c r="O438" s="1661"/>
      <c r="P438" s="1661"/>
      <c r="Q438" s="1661"/>
      <c r="R438" s="1661"/>
      <c r="S438" s="1661"/>
      <c r="T438" s="1661"/>
      <c r="U438" s="1661"/>
      <c r="V438" s="1661"/>
      <c r="W438" s="1661"/>
      <c r="X438" s="1661"/>
      <c r="Y438" s="1661"/>
      <c r="Z438" s="1661"/>
      <c r="AA438" s="1661"/>
      <c r="AB438" s="1661"/>
      <c r="AC438" s="1661"/>
      <c r="AD438" s="1661"/>
      <c r="AE438" s="1661"/>
      <c r="AF438" s="1662"/>
      <c r="AG438" s="1825">
        <v>120</v>
      </c>
      <c r="AH438" s="1825"/>
      <c r="AI438" s="1825"/>
      <c r="AJ438" s="1825"/>
    </row>
    <row r="439" spans="1:110" ht="12.95" customHeight="1">
      <c r="D439" s="1660" t="s">
        <v>1093</v>
      </c>
      <c r="E439" s="1661"/>
      <c r="F439" s="1661"/>
      <c r="G439" s="1661"/>
      <c r="H439" s="1661"/>
      <c r="I439" s="1661"/>
      <c r="J439" s="1661"/>
      <c r="K439" s="1661"/>
      <c r="L439" s="1661"/>
      <c r="M439" s="1661"/>
      <c r="N439" s="1661"/>
      <c r="O439" s="1661"/>
      <c r="P439" s="1661"/>
      <c r="Q439" s="1661"/>
      <c r="R439" s="1661"/>
      <c r="S439" s="1661"/>
      <c r="T439" s="1661"/>
      <c r="U439" s="1661"/>
      <c r="V439" s="1661"/>
      <c r="W439" s="1661"/>
      <c r="X439" s="1661"/>
      <c r="Y439" s="1661"/>
      <c r="Z439" s="1661"/>
      <c r="AA439" s="1661"/>
      <c r="AB439" s="1661"/>
      <c r="AC439" s="1661"/>
      <c r="AD439" s="1661"/>
      <c r="AE439" s="1661"/>
      <c r="AF439" s="1662"/>
      <c r="AG439" s="1825">
        <v>120</v>
      </c>
      <c r="AH439" s="1825"/>
      <c r="AI439" s="1825"/>
      <c r="AJ439" s="1825"/>
    </row>
    <row r="440" spans="1:110" ht="12.95" customHeight="1">
      <c r="D440" s="1660" t="s">
        <v>1095</v>
      </c>
      <c r="E440" s="1661"/>
      <c r="F440" s="1661"/>
      <c r="G440" s="1661"/>
      <c r="H440" s="1661"/>
      <c r="I440" s="1661"/>
      <c r="J440" s="1661"/>
      <c r="K440" s="1661"/>
      <c r="L440" s="1661"/>
      <c r="M440" s="1661"/>
      <c r="N440" s="1661"/>
      <c r="O440" s="1661"/>
      <c r="P440" s="1661"/>
      <c r="Q440" s="1661"/>
      <c r="R440" s="1661"/>
      <c r="S440" s="1661"/>
      <c r="T440" s="1661"/>
      <c r="U440" s="1661"/>
      <c r="V440" s="1661"/>
      <c r="W440" s="1661"/>
      <c r="X440" s="1661"/>
      <c r="Y440" s="1661"/>
      <c r="Z440" s="1661"/>
      <c r="AA440" s="1661"/>
      <c r="AB440" s="1661"/>
      <c r="AC440" s="1661"/>
      <c r="AD440" s="1661"/>
      <c r="AE440" s="1661"/>
      <c r="AF440" s="1662"/>
      <c r="AG440" s="1838">
        <f>IF(ISERROR(AG439/AG438),"",AG439/AG438)</f>
        <v>1</v>
      </c>
      <c r="AH440" s="1838"/>
      <c r="AI440" s="1838"/>
      <c r="AJ440" s="1838"/>
    </row>
    <row r="441" spans="1:110" ht="12.95" customHeight="1">
      <c r="D441" s="1660" t="s">
        <v>1094</v>
      </c>
      <c r="E441" s="1661"/>
      <c r="F441" s="1661"/>
      <c r="G441" s="1661"/>
      <c r="H441" s="1661"/>
      <c r="I441" s="1661"/>
      <c r="J441" s="1661"/>
      <c r="K441" s="1661"/>
      <c r="L441" s="1661"/>
      <c r="M441" s="1661"/>
      <c r="N441" s="1661"/>
      <c r="O441" s="1661"/>
      <c r="P441" s="1661"/>
      <c r="Q441" s="1661"/>
      <c r="R441" s="1661"/>
      <c r="S441" s="1661"/>
      <c r="T441" s="1661"/>
      <c r="U441" s="1661"/>
      <c r="V441" s="1661"/>
      <c r="W441" s="1661"/>
      <c r="X441" s="1661"/>
      <c r="Y441" s="1661"/>
      <c r="Z441" s="1661"/>
      <c r="AA441" s="1661"/>
      <c r="AB441" s="1661"/>
      <c r="AC441" s="1661"/>
      <c r="AD441" s="1661"/>
      <c r="AE441" s="1661"/>
      <c r="AF441" s="1662"/>
      <c r="AG441" s="1827">
        <v>121510</v>
      </c>
      <c r="AH441" s="1827"/>
      <c r="AI441" s="1827"/>
      <c r="AJ441" s="1827"/>
    </row>
    <row r="442" spans="1:110" ht="12.95" customHeight="1">
      <c r="D442" s="1660" t="s">
        <v>1096</v>
      </c>
      <c r="E442" s="1661"/>
      <c r="F442" s="1661"/>
      <c r="G442" s="1661"/>
      <c r="H442" s="1661"/>
      <c r="I442" s="1661"/>
      <c r="J442" s="1661"/>
      <c r="K442" s="1661"/>
      <c r="L442" s="1661"/>
      <c r="M442" s="1661"/>
      <c r="N442" s="1661"/>
      <c r="O442" s="1661"/>
      <c r="P442" s="1661"/>
      <c r="Q442" s="1661"/>
      <c r="R442" s="1661"/>
      <c r="S442" s="1661"/>
      <c r="T442" s="1661"/>
      <c r="U442" s="1661"/>
      <c r="V442" s="1661"/>
      <c r="W442" s="1661"/>
      <c r="X442" s="1661"/>
      <c r="Y442" s="1661"/>
      <c r="Z442" s="1661"/>
      <c r="AA442" s="1661"/>
      <c r="AB442" s="1661"/>
      <c r="AC442" s="1661"/>
      <c r="AD442" s="1661"/>
      <c r="AE442" s="1661"/>
      <c r="AF442" s="1662"/>
      <c r="AG442" s="1827">
        <v>121510</v>
      </c>
      <c r="AH442" s="1827"/>
      <c r="AI442" s="1827"/>
      <c r="AJ442" s="1827"/>
    </row>
    <row r="443" spans="1:110" ht="12.95" customHeight="1">
      <c r="D443" s="1660" t="s">
        <v>1097</v>
      </c>
      <c r="E443" s="1661"/>
      <c r="F443" s="1661"/>
      <c r="G443" s="1661"/>
      <c r="H443" s="1661"/>
      <c r="I443" s="1661"/>
      <c r="J443" s="1661"/>
      <c r="K443" s="1661"/>
      <c r="L443" s="1661"/>
      <c r="M443" s="1661"/>
      <c r="N443" s="1661"/>
      <c r="O443" s="1661"/>
      <c r="P443" s="1661"/>
      <c r="Q443" s="1661"/>
      <c r="R443" s="1661"/>
      <c r="S443" s="1661"/>
      <c r="T443" s="1661"/>
      <c r="U443" s="1661"/>
      <c r="V443" s="1661"/>
      <c r="W443" s="1661"/>
      <c r="X443" s="1661"/>
      <c r="Y443" s="1661"/>
      <c r="Z443" s="1661"/>
      <c r="AA443" s="1661"/>
      <c r="AB443" s="1661"/>
      <c r="AC443" s="1661"/>
      <c r="AD443" s="1661"/>
      <c r="AE443" s="1661"/>
      <c r="AF443" s="1662"/>
      <c r="AG443" s="1838">
        <f>IF(ISERROR(AG442/AG441),"",AG442/AG441)</f>
        <v>1</v>
      </c>
      <c r="AH443" s="1838"/>
      <c r="AI443" s="1838"/>
      <c r="AJ443" s="1838"/>
    </row>
    <row r="444" spans="1:110" ht="12.95" customHeight="1">
      <c r="D444" s="1660" t="s">
        <v>1098</v>
      </c>
      <c r="E444" s="1661"/>
      <c r="F444" s="1661"/>
      <c r="G444" s="1661"/>
      <c r="H444" s="1661"/>
      <c r="I444" s="1661"/>
      <c r="J444" s="1661"/>
      <c r="K444" s="1661"/>
      <c r="L444" s="1661"/>
      <c r="M444" s="1661"/>
      <c r="N444" s="1661"/>
      <c r="O444" s="1661"/>
      <c r="P444" s="1661"/>
      <c r="Q444" s="1661"/>
      <c r="R444" s="1661"/>
      <c r="S444" s="1661"/>
      <c r="T444" s="1661"/>
      <c r="U444" s="1661"/>
      <c r="V444" s="1661"/>
      <c r="W444" s="1661"/>
      <c r="X444" s="1661"/>
      <c r="Y444" s="1661"/>
      <c r="Z444" s="1661"/>
      <c r="AA444" s="1661"/>
      <c r="AB444" s="1661"/>
      <c r="AC444" s="1661"/>
      <c r="AD444" s="1661"/>
      <c r="AE444" s="1661"/>
      <c r="AF444" s="1662"/>
      <c r="AG444" s="1838">
        <f>MIN(IF(AG440&gt;AG443,AG443,AG440),1)</f>
        <v>1</v>
      </c>
      <c r="AH444" s="1838"/>
      <c r="AI444" s="1838"/>
      <c r="AJ444" s="1838"/>
    </row>
    <row r="445" spans="1:110" ht="12.95" customHeight="1">
      <c r="D445" s="1660" t="s">
        <v>2512</v>
      </c>
      <c r="E445" s="1646"/>
      <c r="F445" s="1646"/>
      <c r="G445" s="1646"/>
      <c r="H445" s="1646"/>
      <c r="I445" s="1646"/>
      <c r="J445" s="1646"/>
      <c r="K445" s="1646"/>
      <c r="L445" s="1646"/>
      <c r="M445" s="1646"/>
      <c r="N445" s="1646"/>
      <c r="O445" s="1646"/>
      <c r="P445" s="1646"/>
      <c r="Q445" s="1646"/>
      <c r="R445" s="1646"/>
      <c r="S445" s="1646"/>
      <c r="T445" s="1646"/>
      <c r="U445" s="1646"/>
      <c r="V445" s="1646"/>
      <c r="W445" s="1646"/>
      <c r="X445" s="1646"/>
      <c r="Y445" s="1646"/>
      <c r="Z445" s="1646"/>
      <c r="AA445" s="1646"/>
      <c r="AB445" s="1646"/>
      <c r="AC445" s="1646"/>
      <c r="AD445" s="1646"/>
      <c r="AE445" s="1646"/>
      <c r="AF445" s="1832"/>
      <c r="AG445" s="1827">
        <v>2144</v>
      </c>
      <c r="AH445" s="1827"/>
      <c r="AI445" s="1827"/>
      <c r="AJ445" s="1827"/>
    </row>
    <row r="446" spans="1:110" ht="12.95" customHeight="1">
      <c r="D446" s="1645" t="s">
        <v>578</v>
      </c>
      <c r="E446" s="1646"/>
      <c r="F446" s="1646"/>
      <c r="G446" s="1646"/>
      <c r="H446" s="1646"/>
      <c r="I446" s="1646"/>
      <c r="J446" s="1646"/>
      <c r="K446" s="1646"/>
      <c r="L446" s="1646"/>
      <c r="M446" s="1646"/>
      <c r="N446" s="1646"/>
      <c r="O446" s="1646"/>
      <c r="P446" s="1646"/>
      <c r="Q446" s="1646"/>
      <c r="R446" s="1646"/>
      <c r="S446" s="1646"/>
      <c r="T446" s="1646"/>
      <c r="U446" s="1646"/>
      <c r="V446" s="1646"/>
      <c r="W446" s="1646"/>
      <c r="X446" s="1646"/>
      <c r="Y446" s="1646"/>
      <c r="Z446" s="1646"/>
      <c r="AA446" s="1646"/>
      <c r="AB446" s="1646"/>
      <c r="AC446" s="1646"/>
      <c r="AD446" s="1646"/>
      <c r="AE446" s="1646"/>
      <c r="AF446" s="1832"/>
      <c r="AG446" s="1827"/>
      <c r="AH446" s="1827"/>
      <c r="AI446" s="1827"/>
      <c r="AJ446" s="18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60" t="s">
        <v>1348</v>
      </c>
      <c r="E447" s="1646"/>
      <c r="F447" s="1646"/>
      <c r="G447" s="1646"/>
      <c r="H447" s="1646"/>
      <c r="I447" s="1646"/>
      <c r="J447" s="1646"/>
      <c r="K447" s="1646"/>
      <c r="L447" s="1646"/>
      <c r="M447" s="1646"/>
      <c r="N447" s="1646"/>
      <c r="O447" s="1646"/>
      <c r="P447" s="1646"/>
      <c r="Q447" s="1646"/>
      <c r="R447" s="1646"/>
      <c r="S447" s="1646"/>
      <c r="T447" s="1646"/>
      <c r="U447" s="1646"/>
      <c r="V447" s="1646"/>
      <c r="W447" s="1646"/>
      <c r="X447" s="1646"/>
      <c r="Y447" s="1646"/>
      <c r="Z447" s="1646"/>
      <c r="AA447" s="1646"/>
      <c r="AB447" s="1646"/>
      <c r="AC447" s="1646"/>
      <c r="AD447" s="1646"/>
      <c r="AE447" s="1646"/>
      <c r="AF447" s="1832"/>
      <c r="AG447" s="1827">
        <v>1995</v>
      </c>
      <c r="AH447" s="1827"/>
      <c r="AI447" s="1827"/>
      <c r="AJ447" s="18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60" t="s">
        <v>1099</v>
      </c>
      <c r="E448" s="1646"/>
      <c r="F448" s="1646"/>
      <c r="G448" s="1646"/>
      <c r="H448" s="1646"/>
      <c r="I448" s="1646"/>
      <c r="J448" s="1646"/>
      <c r="K448" s="1646"/>
      <c r="L448" s="1646"/>
      <c r="M448" s="1646"/>
      <c r="N448" s="1646"/>
      <c r="O448" s="1646"/>
      <c r="P448" s="1646"/>
      <c r="Q448" s="1646"/>
      <c r="R448" s="1646"/>
      <c r="S448" s="1646"/>
      <c r="T448" s="1646"/>
      <c r="U448" s="1646"/>
      <c r="V448" s="1646"/>
      <c r="W448" s="1646"/>
      <c r="X448" s="1646"/>
      <c r="Y448" s="1646"/>
      <c r="Z448" s="1646"/>
      <c r="AA448" s="1646"/>
      <c r="AB448" s="1646"/>
      <c r="AC448" s="1646"/>
      <c r="AD448" s="1646"/>
      <c r="AE448" s="1646"/>
      <c r="AF448" s="1832"/>
      <c r="AG448" s="1827">
        <v>0</v>
      </c>
      <c r="AH448" s="1827"/>
      <c r="AI448" s="1827"/>
      <c r="AJ448" s="18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99" t="s">
        <v>1100</v>
      </c>
      <c r="E449" s="1800"/>
      <c r="F449" s="1800"/>
      <c r="G449" s="1800"/>
      <c r="H449" s="1800"/>
      <c r="I449" s="1800"/>
      <c r="J449" s="1800"/>
      <c r="K449" s="1800"/>
      <c r="L449" s="1800"/>
      <c r="M449" s="1800"/>
      <c r="N449" s="1800"/>
      <c r="O449" s="1800"/>
      <c r="P449" s="1800"/>
      <c r="Q449" s="1800"/>
      <c r="R449" s="1800"/>
      <c r="S449" s="1800"/>
      <c r="T449" s="1800"/>
      <c r="U449" s="1800"/>
      <c r="V449" s="1800"/>
      <c r="W449" s="1800"/>
      <c r="X449" s="1800"/>
      <c r="Y449" s="1800"/>
      <c r="Z449" s="1800"/>
      <c r="AA449" s="1800"/>
      <c r="AB449" s="1800"/>
      <c r="AC449" s="1800"/>
      <c r="AD449" s="1800"/>
      <c r="AE449" s="1800"/>
      <c r="AF449" s="1801"/>
      <c r="AG449" s="1826">
        <f>AG441+AG445+AG447+AG448</f>
        <v>125649</v>
      </c>
      <c r="AH449" s="1826"/>
      <c r="AI449" s="1826"/>
      <c r="AJ449" s="182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2" t="s">
        <v>1349</v>
      </c>
      <c r="E450" s="1802"/>
      <c r="F450" s="1802"/>
      <c r="G450" s="1802"/>
      <c r="H450" s="1802"/>
      <c r="I450" s="1802"/>
      <c r="J450" s="1802"/>
      <c r="K450" s="1802"/>
      <c r="L450" s="1802"/>
      <c r="M450" s="1802"/>
      <c r="N450" s="1802"/>
      <c r="O450" s="1802"/>
      <c r="P450" s="1802"/>
      <c r="Q450" s="1802"/>
      <c r="R450" s="1802"/>
      <c r="S450" s="1802"/>
      <c r="T450" s="1802"/>
      <c r="U450" s="1802"/>
      <c r="V450" s="1802"/>
      <c r="W450" s="1802"/>
      <c r="X450" s="1802"/>
      <c r="Y450" s="1802"/>
      <c r="Z450" s="1802"/>
      <c r="AA450" s="1802"/>
      <c r="AB450" s="1802"/>
      <c r="AC450" s="1802"/>
      <c r="AD450" s="1802"/>
      <c r="AE450" s="1802"/>
      <c r="AF450" s="1802"/>
      <c r="AG450" s="1802"/>
      <c r="AH450" s="1802"/>
      <c r="AI450" s="1802"/>
      <c r="AJ450" s="180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03"/>
      <c r="E451" s="1803"/>
      <c r="F451" s="1803"/>
      <c r="G451" s="1803"/>
      <c r="H451" s="1803"/>
      <c r="I451" s="1803"/>
      <c r="J451" s="1803"/>
      <c r="K451" s="1803"/>
      <c r="L451" s="1803"/>
      <c r="M451" s="1803"/>
      <c r="N451" s="1803"/>
      <c r="O451" s="1803"/>
      <c r="P451" s="1803"/>
      <c r="Q451" s="1803"/>
      <c r="R451" s="1803"/>
      <c r="S451" s="1803"/>
      <c r="T451" s="1803"/>
      <c r="U451" s="1803"/>
      <c r="V451" s="1803"/>
      <c r="W451" s="1803"/>
      <c r="X451" s="1803"/>
      <c r="Y451" s="1803"/>
      <c r="Z451" s="1803"/>
      <c r="AA451" s="1803"/>
      <c r="AB451" s="1803"/>
      <c r="AC451" s="1803"/>
      <c r="AD451" s="1803"/>
      <c r="AE451" s="1803"/>
      <c r="AF451" s="1803"/>
      <c r="AG451" s="1803"/>
      <c r="AH451" s="1803"/>
      <c r="AI451" s="1803"/>
      <c r="AJ451" s="180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7">
        <f>'Sources and Uses Budget'!B105/Application!AG436</f>
        <v>614878.50413223135</v>
      </c>
      <c r="AD453" s="1807"/>
      <c r="AE453" s="1807"/>
      <c r="AF453" s="1807"/>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7">
        <f>'Sources and Uses Budget'!C105/Application!AG436</f>
        <v>614878.50413223135</v>
      </c>
      <c r="AD454" s="1807"/>
      <c r="AE454" s="1807"/>
      <c r="AF454" s="1807"/>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7">
        <f>('Sources and Uses Budget'!$S$107+'Sources and Uses Budget'!$T$107)/Application!AG436</f>
        <v>581077.38016528927</v>
      </c>
      <c r="AD455" s="1807"/>
      <c r="AE455" s="1807"/>
      <c r="AF455" s="180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05" t="str">
        <f>IFERROR(IF(AC453&gt;650000,"Please provide a justification of cost per unit in Tab 12 for all projects with per unit costs of greater than $650,000.",""),"")</f>
        <v/>
      </c>
      <c r="G456" s="1805"/>
      <c r="H456" s="1805"/>
      <c r="I456" s="1805"/>
      <c r="J456" s="1805"/>
      <c r="K456" s="1805"/>
      <c r="L456" s="1805"/>
      <c r="M456" s="1805"/>
      <c r="N456" s="1805"/>
      <c r="O456" s="1805"/>
      <c r="P456" s="1805"/>
      <c r="Q456" s="1805"/>
      <c r="R456" s="1805"/>
      <c r="S456" s="1805"/>
      <c r="T456" s="1805"/>
      <c r="U456" s="1805"/>
      <c r="V456" s="1805"/>
      <c r="W456" s="1805"/>
      <c r="X456" s="1805"/>
      <c r="Y456" s="1805"/>
      <c r="Z456" s="1805"/>
      <c r="AA456" s="1805"/>
      <c r="AB456" s="1805"/>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05"/>
      <c r="G457" s="1805"/>
      <c r="H457" s="1805"/>
      <c r="I457" s="1805"/>
      <c r="J457" s="1805"/>
      <c r="K457" s="1805"/>
      <c r="L457" s="1805"/>
      <c r="M457" s="1805"/>
      <c r="N457" s="1805"/>
      <c r="O457" s="1805"/>
      <c r="P457" s="1805"/>
      <c r="Q457" s="1805"/>
      <c r="R457" s="1805"/>
      <c r="S457" s="1805"/>
      <c r="T457" s="1805"/>
      <c r="U457" s="1805"/>
      <c r="V457" s="1805"/>
      <c r="W457" s="1805"/>
      <c r="X457" s="1805"/>
      <c r="Y457" s="1805"/>
      <c r="Z457" s="1805"/>
      <c r="AA457" s="1805"/>
      <c r="AB457" s="1805"/>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19" t="s">
        <v>2528</v>
      </c>
      <c r="E464" s="1786"/>
      <c r="F464" s="1786"/>
      <c r="G464" s="1786"/>
      <c r="H464" s="1786"/>
      <c r="I464" s="1786"/>
      <c r="J464" s="1786"/>
      <c r="K464" s="1786"/>
      <c r="L464" s="1786"/>
      <c r="M464" s="1786"/>
      <c r="N464" s="1786"/>
      <c r="O464" s="1786"/>
      <c r="P464" s="1786"/>
      <c r="Q464" s="1786"/>
      <c r="R464" s="1786"/>
      <c r="S464" s="1786"/>
      <c r="T464" s="1786"/>
      <c r="U464" s="1786"/>
      <c r="V464" s="1787"/>
      <c r="W464" s="1656">
        <v>0</v>
      </c>
      <c r="X464" s="1657"/>
      <c r="Y464" s="1658"/>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5" t="s">
        <v>703</v>
      </c>
      <c r="E465" s="1786"/>
      <c r="F465" s="1786"/>
      <c r="G465" s="1786"/>
      <c r="H465" s="1786"/>
      <c r="I465" s="1786"/>
      <c r="J465" s="1786"/>
      <c r="K465" s="1786"/>
      <c r="L465" s="1786"/>
      <c r="M465" s="1786"/>
      <c r="N465" s="1786"/>
      <c r="O465" s="1786"/>
      <c r="P465" s="1786"/>
      <c r="Q465" s="1786"/>
      <c r="R465" s="1786"/>
      <c r="S465" s="1786"/>
      <c r="T465" s="1786"/>
      <c r="U465" s="1786"/>
      <c r="V465" s="1787"/>
      <c r="W465" s="1656">
        <v>0</v>
      </c>
      <c r="X465" s="1657"/>
      <c r="Y465" s="1658"/>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5" t="s">
        <v>704</v>
      </c>
      <c r="E466" s="1786"/>
      <c r="F466" s="1786"/>
      <c r="G466" s="1786"/>
      <c r="H466" s="1786"/>
      <c r="I466" s="1786"/>
      <c r="J466" s="1786"/>
      <c r="K466" s="1786"/>
      <c r="L466" s="1786"/>
      <c r="M466" s="1786"/>
      <c r="N466" s="1786"/>
      <c r="O466" s="1786"/>
      <c r="P466" s="1786"/>
      <c r="Q466" s="1786"/>
      <c r="R466" s="1786"/>
      <c r="S466" s="1786"/>
      <c r="T466" s="1786"/>
      <c r="U466" s="1786"/>
      <c r="V466" s="1787"/>
      <c r="W466" s="1656">
        <v>0</v>
      </c>
      <c r="X466" s="1657"/>
      <c r="Y466" s="165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5" t="s">
        <v>705</v>
      </c>
      <c r="E467" s="1786"/>
      <c r="F467" s="1786"/>
      <c r="G467" s="1786"/>
      <c r="H467" s="1786"/>
      <c r="I467" s="1786"/>
      <c r="J467" s="1786"/>
      <c r="K467" s="1786"/>
      <c r="L467" s="1786"/>
      <c r="M467" s="1786"/>
      <c r="N467" s="1786"/>
      <c r="O467" s="1786"/>
      <c r="P467" s="1786"/>
      <c r="Q467" s="1786"/>
      <c r="R467" s="1786"/>
      <c r="S467" s="1786"/>
      <c r="T467" s="1786"/>
      <c r="U467" s="1786"/>
      <c r="V467" s="1787"/>
      <c r="W467" s="1656">
        <v>0</v>
      </c>
      <c r="X467" s="1657"/>
      <c r="Y467" s="165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5" t="s">
        <v>910</v>
      </c>
      <c r="E468" s="1786"/>
      <c r="F468" s="1786"/>
      <c r="G468" s="1786"/>
      <c r="H468" s="1786"/>
      <c r="I468" s="1786"/>
      <c r="J468" s="1786"/>
      <c r="K468" s="1786"/>
      <c r="L468" s="1786"/>
      <c r="M468" s="1786"/>
      <c r="N468" s="1786"/>
      <c r="O468" s="1786"/>
      <c r="P468" s="1786"/>
      <c r="Q468" s="1786"/>
      <c r="R468" s="1786"/>
      <c r="S468" s="1786"/>
      <c r="T468" s="1786"/>
      <c r="U468" s="1786"/>
      <c r="V468" s="1787"/>
      <c r="W468" s="1656">
        <v>0</v>
      </c>
      <c r="X468" s="1657"/>
      <c r="Y468" s="165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5" t="s">
        <v>706</v>
      </c>
      <c r="E469" s="1786"/>
      <c r="F469" s="1786"/>
      <c r="G469" s="1786"/>
      <c r="H469" s="1786"/>
      <c r="I469" s="1786"/>
      <c r="J469" s="1786"/>
      <c r="K469" s="1786"/>
      <c r="L469" s="1786"/>
      <c r="M469" s="1786"/>
      <c r="N469" s="1786"/>
      <c r="O469" s="1786"/>
      <c r="P469" s="1786"/>
      <c r="Q469" s="1786"/>
      <c r="R469" s="1786"/>
      <c r="S469" s="1786"/>
      <c r="T469" s="1786"/>
      <c r="U469" s="1786"/>
      <c r="V469" s="1787"/>
      <c r="W469" s="1656">
        <v>0</v>
      </c>
      <c r="X469" s="1657"/>
      <c r="Y469" s="1658"/>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5" t="s">
        <v>1069</v>
      </c>
      <c r="E470" s="1786"/>
      <c r="F470" s="1786"/>
      <c r="G470" s="1786"/>
      <c r="H470" s="1786"/>
      <c r="I470" s="1786"/>
      <c r="J470" s="1786"/>
      <c r="K470" s="1786"/>
      <c r="L470" s="1786"/>
      <c r="M470" s="1786"/>
      <c r="N470" s="1786"/>
      <c r="O470" s="1786"/>
      <c r="P470" s="1786"/>
      <c r="Q470" s="1786"/>
      <c r="R470" s="1786"/>
      <c r="S470" s="1786"/>
      <c r="T470" s="1786"/>
      <c r="U470" s="1786"/>
      <c r="V470" s="1787"/>
      <c r="W470" s="1656">
        <v>0</v>
      </c>
      <c r="X470" s="1657"/>
      <c r="Y470" s="1658"/>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9" t="s">
        <v>1836</v>
      </c>
      <c r="E471" s="1786"/>
      <c r="F471" s="1786"/>
      <c r="G471" s="1786"/>
      <c r="H471" s="1786"/>
      <c r="I471" s="1786"/>
      <c r="J471" s="1786"/>
      <c r="K471" s="1786"/>
      <c r="L471" s="1786"/>
      <c r="M471" s="1786"/>
      <c r="N471" s="1786"/>
      <c r="O471" s="1786"/>
      <c r="P471" s="1786"/>
      <c r="Q471" s="1786"/>
      <c r="R471" s="1786"/>
      <c r="S471" s="1786"/>
      <c r="T471" s="1786"/>
      <c r="U471" s="1786"/>
      <c r="V471" s="1787"/>
      <c r="W471" s="1656">
        <v>0</v>
      </c>
      <c r="X471" s="1657"/>
      <c r="Y471" s="165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170</v>
      </c>
      <c r="E472" s="262"/>
      <c r="F472" s="263"/>
      <c r="G472" s="1822" t="s">
        <v>1102</v>
      </c>
      <c r="H472" s="1823"/>
      <c r="I472" s="1823"/>
      <c r="J472" s="1823"/>
      <c r="K472" s="1823"/>
      <c r="L472" s="1823"/>
      <c r="M472" s="1823"/>
      <c r="N472" s="1823"/>
      <c r="O472" s="1823"/>
      <c r="P472" s="1823"/>
      <c r="Q472" s="1823"/>
      <c r="R472" s="1823"/>
      <c r="S472" s="1823"/>
      <c r="T472" s="1823"/>
      <c r="U472" s="1823"/>
      <c r="V472" s="1824"/>
      <c r="W472" s="1656">
        <v>120</v>
      </c>
      <c r="X472" s="1657"/>
      <c r="Y472" s="165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8" t="s">
        <v>835</v>
      </c>
      <c r="B478" s="1648"/>
      <c r="C478" s="1648"/>
      <c r="D478" s="1648"/>
      <c r="E478" s="1648"/>
      <c r="F478" s="1648"/>
      <c r="G478" s="1648"/>
      <c r="H478" s="1648"/>
      <c r="I478" s="1648"/>
      <c r="J478" s="1648"/>
      <c r="K478" s="1648"/>
      <c r="L478" s="1648"/>
      <c r="M478" s="1648"/>
      <c r="N478" s="1648"/>
      <c r="O478" s="1648"/>
      <c r="P478" s="1648"/>
      <c r="Q478" s="1648"/>
      <c r="R478" s="1648"/>
      <c r="S478" s="1648"/>
      <c r="T478" s="1648"/>
      <c r="U478" s="1648"/>
      <c r="V478" s="1648"/>
      <c r="W478" s="1648"/>
      <c r="X478" s="1648"/>
      <c r="Y478" s="1648"/>
      <c r="Z478" s="1648"/>
      <c r="AA478" s="1648"/>
      <c r="AB478" s="1648"/>
      <c r="AC478" s="1648"/>
      <c r="AD478" s="1648"/>
      <c r="AE478" s="1648"/>
      <c r="AF478" s="1648"/>
      <c r="AG478" s="1648"/>
      <c r="AH478" s="1648"/>
      <c r="AI478" s="1648"/>
      <c r="AJ478" s="1648"/>
      <c r="AK478" s="1648"/>
      <c r="AL478" s="1648"/>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9"/>
      <c r="B479" s="1649"/>
      <c r="C479" s="1649"/>
      <c r="D479" s="1649"/>
      <c r="E479" s="1649"/>
      <c r="F479" s="1649"/>
      <c r="G479" s="1649"/>
      <c r="H479" s="1649"/>
      <c r="I479" s="1649"/>
      <c r="J479" s="1649"/>
      <c r="K479" s="1649"/>
      <c r="L479" s="1649"/>
      <c r="M479" s="1649"/>
      <c r="N479" s="1649"/>
      <c r="O479" s="1649"/>
      <c r="P479" s="1649"/>
      <c r="Q479" s="1649"/>
      <c r="R479" s="1649"/>
      <c r="S479" s="1649"/>
      <c r="T479" s="1649"/>
      <c r="U479" s="1649"/>
      <c r="V479" s="1649"/>
      <c r="W479" s="1649"/>
      <c r="X479" s="1649"/>
      <c r="Y479" s="1649"/>
      <c r="Z479" s="1649"/>
      <c r="AA479" s="1649"/>
      <c r="AB479" s="1649"/>
      <c r="AC479" s="1649"/>
      <c r="AD479" s="1649"/>
      <c r="AE479" s="1649"/>
      <c r="AF479" s="1649"/>
      <c r="AG479" s="1649"/>
      <c r="AH479" s="1649"/>
      <c r="AI479" s="1649"/>
      <c r="AJ479" s="1649"/>
      <c r="AK479" s="1649"/>
      <c r="AL479" s="1649"/>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93" t="s">
        <v>394</v>
      </c>
      <c r="R483" s="1794"/>
      <c r="S483" s="1794"/>
      <c r="T483" s="1794"/>
      <c r="U483" s="1794"/>
      <c r="V483" s="1794"/>
      <c r="W483" s="1794"/>
      <c r="X483" s="1794"/>
      <c r="Y483" s="1794"/>
      <c r="Z483" s="1794"/>
      <c r="AA483" s="1794"/>
      <c r="AB483" s="1794"/>
      <c r="AC483" s="1794"/>
      <c r="AD483" s="1794"/>
      <c r="AE483" s="1794"/>
      <c r="AF483" s="1794"/>
      <c r="AG483" s="1794"/>
      <c r="AH483" s="1794"/>
      <c r="AI483" s="1794"/>
      <c r="AJ483" s="1794"/>
      <c r="AK483" s="179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395</v>
      </c>
      <c r="C484" s="5"/>
      <c r="D484" s="5"/>
      <c r="E484" s="5"/>
      <c r="F484" s="5"/>
      <c r="G484" s="5"/>
      <c r="H484" s="5"/>
      <c r="I484" s="5"/>
      <c r="J484" s="5"/>
      <c r="K484" s="5"/>
      <c r="L484" s="5"/>
      <c r="M484" s="5"/>
      <c r="N484" s="5"/>
      <c r="O484" s="5"/>
      <c r="P484" s="5"/>
      <c r="Q484" s="1633" t="s">
        <v>2699</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686"/>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396</v>
      </c>
      <c r="C485" s="5"/>
      <c r="D485" s="5"/>
      <c r="E485" s="5"/>
      <c r="F485" s="5"/>
      <c r="G485" s="5"/>
      <c r="H485" s="5"/>
      <c r="I485" s="5"/>
      <c r="J485" s="5"/>
      <c r="K485" s="5"/>
      <c r="L485" s="5"/>
      <c r="M485" s="5"/>
      <c r="N485" s="5"/>
      <c r="O485" s="5"/>
      <c r="P485" s="5"/>
      <c r="Q485" s="1633" t="s">
        <v>2700</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68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397</v>
      </c>
      <c r="C486" s="5"/>
      <c r="D486" s="5"/>
      <c r="E486" s="5"/>
      <c r="F486" s="5"/>
      <c r="G486" s="5"/>
      <c r="H486" s="5"/>
      <c r="I486" s="5"/>
      <c r="J486" s="5"/>
      <c r="K486" s="5"/>
      <c r="L486" s="5"/>
      <c r="M486" s="5"/>
      <c r="N486" s="5"/>
      <c r="O486" s="5"/>
      <c r="P486" s="5"/>
      <c r="Q486" s="1633" t="s">
        <v>2701</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686"/>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45" t="s">
        <v>398</v>
      </c>
      <c r="C487" s="1846"/>
      <c r="D487" s="1846"/>
      <c r="E487" s="1846"/>
      <c r="F487" s="1846"/>
      <c r="G487" s="1846"/>
      <c r="H487" s="1846"/>
      <c r="I487" s="1846"/>
      <c r="J487" s="1846"/>
      <c r="K487" s="1846"/>
      <c r="L487" s="1846"/>
      <c r="M487" s="1846"/>
      <c r="N487" s="1846"/>
      <c r="O487" s="1846"/>
      <c r="P487" s="1847"/>
      <c r="Q487" s="1851" t="s">
        <v>554</v>
      </c>
      <c r="R487" s="1852"/>
      <c r="S487" s="1600" t="s">
        <v>2702</v>
      </c>
      <c r="T487" s="1601"/>
      <c r="U487" s="1601"/>
      <c r="V487" s="1601"/>
      <c r="W487" s="1601"/>
      <c r="X487" s="1601"/>
      <c r="Y487" s="1601"/>
      <c r="Z487" s="1601"/>
      <c r="AA487" s="1601"/>
      <c r="AB487" s="1601"/>
      <c r="AC487" s="1601"/>
      <c r="AD487" s="1601"/>
      <c r="AE487" s="1601"/>
      <c r="AF487" s="1601"/>
      <c r="AG487" s="1601"/>
      <c r="AH487" s="1601"/>
      <c r="AI487" s="1601"/>
      <c r="AJ487" s="1601"/>
      <c r="AK487" s="160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48"/>
      <c r="C488" s="1849"/>
      <c r="D488" s="1849"/>
      <c r="E488" s="1849"/>
      <c r="F488" s="1849"/>
      <c r="G488" s="1849"/>
      <c r="H488" s="1849"/>
      <c r="I488" s="1849"/>
      <c r="J488" s="1849"/>
      <c r="K488" s="1849"/>
      <c r="L488" s="1849"/>
      <c r="M488" s="1849"/>
      <c r="N488" s="1849"/>
      <c r="O488" s="1849"/>
      <c r="P488" s="1850"/>
      <c r="Q488" s="1853"/>
      <c r="R488" s="1854"/>
      <c r="S488" s="1603"/>
      <c r="T488" s="1604"/>
      <c r="U488" s="1604"/>
      <c r="V488" s="1604"/>
      <c r="W488" s="1604"/>
      <c r="X488" s="1604"/>
      <c r="Y488" s="1604"/>
      <c r="Z488" s="1604"/>
      <c r="AA488" s="1604"/>
      <c r="AB488" s="1604"/>
      <c r="AC488" s="1604"/>
      <c r="AD488" s="1604"/>
      <c r="AE488" s="1604"/>
      <c r="AF488" s="1604"/>
      <c r="AG488" s="1604"/>
      <c r="AH488" s="1604"/>
      <c r="AI488" s="1604"/>
      <c r="AJ488" s="1604"/>
      <c r="AK488" s="1605"/>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835" t="s">
        <v>678</v>
      </c>
      <c r="R489" s="1836"/>
      <c r="S489" s="1836"/>
      <c r="T489" s="1836"/>
      <c r="U489" s="1836"/>
      <c r="V489" s="1836"/>
      <c r="W489" s="1836"/>
      <c r="X489" s="1836"/>
      <c r="Y489" s="1836"/>
      <c r="Z489" s="1836"/>
      <c r="AA489" s="1836"/>
      <c r="AB489" s="1836"/>
      <c r="AC489" s="1836"/>
      <c r="AD489" s="1836"/>
      <c r="AE489" s="1836"/>
      <c r="AF489" s="1836"/>
      <c r="AG489" s="1836"/>
      <c r="AH489" s="1836"/>
      <c r="AI489" s="1836"/>
      <c r="AJ489" s="1836"/>
      <c r="AK489" s="183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399</v>
      </c>
      <c r="C490" s="5"/>
      <c r="D490" s="5"/>
      <c r="E490" s="5"/>
      <c r="F490" s="5"/>
      <c r="G490" s="5"/>
      <c r="H490" s="5"/>
      <c r="I490" s="5"/>
      <c r="J490" s="5"/>
      <c r="K490" s="5"/>
      <c r="L490" s="5"/>
      <c r="M490" s="5"/>
      <c r="N490" s="5"/>
      <c r="O490" s="5"/>
      <c r="P490" s="5"/>
      <c r="Q490" s="1351" t="s">
        <v>2772</v>
      </c>
      <c r="R490" s="1352"/>
      <c r="S490" s="1352"/>
      <c r="T490" s="1352"/>
      <c r="U490" s="1352"/>
      <c r="V490" s="1352"/>
      <c r="W490" s="1352"/>
      <c r="X490" s="1352"/>
      <c r="Y490" s="1352"/>
      <c r="Z490" s="1352"/>
      <c r="AA490" s="1352"/>
      <c r="AB490" s="1352"/>
      <c r="AC490" s="1352"/>
      <c r="AD490" s="1352"/>
      <c r="AE490" s="1352"/>
      <c r="AF490" s="1352"/>
      <c r="AG490" s="1352"/>
      <c r="AH490" s="1352"/>
      <c r="AI490" s="1352"/>
      <c r="AJ490" s="1352"/>
      <c r="AK490" s="135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400</v>
      </c>
      <c r="C491" s="5"/>
      <c r="D491" s="5"/>
      <c r="E491" s="5"/>
      <c r="F491" s="5"/>
      <c r="G491" s="5"/>
      <c r="H491" s="5"/>
      <c r="I491" s="5"/>
      <c r="J491" s="5"/>
      <c r="K491" s="5"/>
      <c r="L491" s="5"/>
      <c r="M491" s="5"/>
      <c r="N491" s="5"/>
      <c r="O491" s="5"/>
      <c r="P491" s="5"/>
      <c r="Q491" s="1351" t="s">
        <v>2773</v>
      </c>
      <c r="R491" s="1352"/>
      <c r="S491" s="1352"/>
      <c r="T491" s="1352"/>
      <c r="U491" s="1352"/>
      <c r="V491" s="1352"/>
      <c r="W491" s="1352"/>
      <c r="X491" s="1352"/>
      <c r="Y491" s="1352"/>
      <c r="Z491" s="1352"/>
      <c r="AA491" s="1352"/>
      <c r="AB491" s="1352"/>
      <c r="AC491" s="1352"/>
      <c r="AD491" s="1352"/>
      <c r="AE491" s="1352"/>
      <c r="AF491" s="1352"/>
      <c r="AG491" s="1352"/>
      <c r="AH491" s="1352"/>
      <c r="AI491" s="1352"/>
      <c r="AJ491" s="1352"/>
      <c r="AK491" s="135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685">
        <v>174</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686"/>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37">
        <v>121</v>
      </c>
      <c r="N493" s="1438"/>
      <c r="O493" s="1438"/>
      <c r="P493" s="1439"/>
      <c r="Q493" s="121" t="s">
        <v>1853</v>
      </c>
      <c r="R493" s="5"/>
      <c r="S493" s="5"/>
      <c r="T493" s="5"/>
      <c r="U493" s="5"/>
      <c r="V493" s="5"/>
      <c r="W493" s="5"/>
      <c r="X493" s="5"/>
      <c r="Y493" s="5"/>
      <c r="Z493" s="5"/>
      <c r="AA493" s="5"/>
      <c r="AB493" s="5"/>
      <c r="AC493" s="5"/>
      <c r="AD493" s="5"/>
      <c r="AE493" s="5"/>
      <c r="AF493" s="5"/>
      <c r="AG493" s="5"/>
      <c r="AH493" s="1437">
        <v>56</v>
      </c>
      <c r="AI493" s="1438"/>
      <c r="AJ493" s="1438"/>
      <c r="AK493" s="1439"/>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3" t="s">
        <v>402</v>
      </c>
      <c r="AD497" s="1794"/>
      <c r="AE497" s="1794"/>
      <c r="AF497" s="1794"/>
      <c r="AG497" s="1794"/>
      <c r="AH497" s="1794"/>
      <c r="AI497" s="1794"/>
      <c r="AJ497" s="1794"/>
      <c r="AK497" s="179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3" t="s">
        <v>403</v>
      </c>
      <c r="AD498" s="1794"/>
      <c r="AE498" s="1794"/>
      <c r="AF498" s="1794"/>
      <c r="AG498" s="50" t="s">
        <v>404</v>
      </c>
      <c r="AH498" s="1794" t="s">
        <v>405</v>
      </c>
      <c r="AI498" s="1794"/>
      <c r="AJ498" s="1794"/>
      <c r="AK498" s="179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40" t="s">
        <v>406</v>
      </c>
      <c r="C499" s="1379"/>
      <c r="D499" s="1379"/>
      <c r="E499" s="1379"/>
      <c r="F499" s="1379"/>
      <c r="G499" s="1379"/>
      <c r="H499" s="1380"/>
      <c r="I499" s="42" t="s">
        <v>407</v>
      </c>
      <c r="J499" s="42"/>
      <c r="K499" s="42"/>
      <c r="L499" s="42"/>
      <c r="M499" s="42"/>
      <c r="N499" s="42"/>
      <c r="O499" s="42"/>
      <c r="P499" s="42"/>
      <c r="Q499" s="42"/>
      <c r="R499" s="42"/>
      <c r="S499" s="42"/>
      <c r="T499" s="42"/>
      <c r="U499" s="42"/>
      <c r="V499" s="42"/>
      <c r="W499" s="42"/>
      <c r="AC499" s="1789" t="s">
        <v>600</v>
      </c>
      <c r="AD499" s="1738"/>
      <c r="AE499" s="1738"/>
      <c r="AF499" s="1738"/>
      <c r="AG499" s="13" t="s">
        <v>404</v>
      </c>
      <c r="AH499" s="1525">
        <v>0</v>
      </c>
      <c r="AI499" s="1525"/>
      <c r="AJ499" s="1525"/>
      <c r="AK499" s="152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41"/>
      <c r="C500" s="1381"/>
      <c r="D500" s="1381"/>
      <c r="E500" s="1381"/>
      <c r="F500" s="1381"/>
      <c r="G500" s="1381"/>
      <c r="H500" s="1382"/>
      <c r="I500" s="48" t="s">
        <v>408</v>
      </c>
      <c r="J500" s="48"/>
      <c r="K500" s="48"/>
      <c r="L500" s="48"/>
      <c r="M500" s="48"/>
      <c r="N500" s="48"/>
      <c r="O500" s="48"/>
      <c r="P500" s="48"/>
      <c r="Q500" s="48"/>
      <c r="R500" s="48"/>
      <c r="S500" s="48"/>
      <c r="T500" s="48"/>
      <c r="U500" s="48"/>
      <c r="V500" s="48"/>
      <c r="W500" s="48"/>
      <c r="X500" s="48"/>
      <c r="Y500" s="48"/>
      <c r="Z500" s="48"/>
      <c r="AA500" s="48"/>
      <c r="AB500" s="48"/>
      <c r="AC500" s="1789">
        <v>11</v>
      </c>
      <c r="AD500" s="1738"/>
      <c r="AE500" s="1738"/>
      <c r="AF500" s="1738"/>
      <c r="AG500" s="38" t="s">
        <v>404</v>
      </c>
      <c r="AH500" s="1525">
        <v>2022</v>
      </c>
      <c r="AI500" s="1525"/>
      <c r="AJ500" s="1525"/>
      <c r="AK500" s="152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40" t="s">
        <v>409</v>
      </c>
      <c r="C501" s="1379"/>
      <c r="D501" s="1379"/>
      <c r="E501" s="1379"/>
      <c r="F501" s="1379"/>
      <c r="G501" s="1379"/>
      <c r="H501" s="1380"/>
      <c r="I501" s="42" t="s">
        <v>410</v>
      </c>
      <c r="J501" s="42"/>
      <c r="K501" s="42"/>
      <c r="L501" s="42"/>
      <c r="M501" s="42"/>
      <c r="N501" s="42"/>
      <c r="O501" s="42"/>
      <c r="P501" s="42"/>
      <c r="Q501" s="42"/>
      <c r="R501" s="42"/>
      <c r="S501" s="42"/>
      <c r="T501" s="42"/>
      <c r="U501" s="42"/>
      <c r="V501" s="42"/>
      <c r="W501" s="42"/>
      <c r="AC501" s="1843">
        <v>6</v>
      </c>
      <c r="AD501" s="1738"/>
      <c r="AE501" s="1738"/>
      <c r="AF501" s="1738"/>
      <c r="AG501" s="13" t="s">
        <v>404</v>
      </c>
      <c r="AH501" s="1525">
        <v>2022</v>
      </c>
      <c r="AI501" s="1525"/>
      <c r="AJ501" s="1525"/>
      <c r="AK501" s="152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41"/>
      <c r="C502" s="1381"/>
      <c r="D502" s="1381"/>
      <c r="E502" s="1381"/>
      <c r="F502" s="1381"/>
      <c r="G502" s="1381"/>
      <c r="H502" s="1382"/>
      <c r="I502" t="s">
        <v>411</v>
      </c>
      <c r="AC502" s="1789" t="s">
        <v>600</v>
      </c>
      <c r="AD502" s="1738"/>
      <c r="AE502" s="1738"/>
      <c r="AF502" s="1738"/>
      <c r="AG502" s="13" t="s">
        <v>404</v>
      </c>
      <c r="AH502" s="1525"/>
      <c r="AI502" s="1525"/>
      <c r="AJ502" s="1525"/>
      <c r="AK502" s="152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41"/>
      <c r="C503" s="1381"/>
      <c r="D503" s="1381"/>
      <c r="E503" s="1381"/>
      <c r="F503" s="1381"/>
      <c r="G503" s="1381"/>
      <c r="H503" s="1382"/>
      <c r="I503" t="s">
        <v>412</v>
      </c>
      <c r="AC503" s="1789">
        <v>6</v>
      </c>
      <c r="AD503" s="1738"/>
      <c r="AE503" s="1738"/>
      <c r="AF503" s="1738"/>
      <c r="AG503" s="13" t="s">
        <v>404</v>
      </c>
      <c r="AH503" s="1525">
        <v>2022</v>
      </c>
      <c r="AI503" s="1525"/>
      <c r="AJ503" s="1525"/>
      <c r="AK503" s="152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41"/>
      <c r="C504" s="1381"/>
      <c r="D504" s="1381"/>
      <c r="E504" s="1381"/>
      <c r="F504" s="1381"/>
      <c r="G504" s="1381"/>
      <c r="H504" s="1382"/>
      <c r="I504" t="s">
        <v>413</v>
      </c>
      <c r="AC504" s="1789">
        <v>11</v>
      </c>
      <c r="AD504" s="1738"/>
      <c r="AE504" s="1738"/>
      <c r="AF504" s="1738"/>
      <c r="AG504" s="13" t="s">
        <v>404</v>
      </c>
      <c r="AH504" s="1525">
        <v>2023</v>
      </c>
      <c r="AI504" s="1525"/>
      <c r="AJ504" s="1525"/>
      <c r="AK504" s="152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41"/>
      <c r="C505" s="1381"/>
      <c r="D505" s="1381"/>
      <c r="E505" s="1381"/>
      <c r="F505" s="1381"/>
      <c r="G505" s="1381"/>
      <c r="H505" s="1382"/>
      <c r="I505" s="3" t="s">
        <v>414</v>
      </c>
      <c r="AC505" s="1391">
        <v>11</v>
      </c>
      <c r="AD505" s="1392"/>
      <c r="AE505" s="1392"/>
      <c r="AF505" s="1392"/>
      <c r="AG505" s="13" t="s">
        <v>404</v>
      </c>
      <c r="AH505" s="1525">
        <v>2023</v>
      </c>
      <c r="AI505" s="1525"/>
      <c r="AJ505" s="1525"/>
      <c r="AK505" s="152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41"/>
      <c r="C506" s="1381"/>
      <c r="D506" s="1381"/>
      <c r="E506" s="1381"/>
      <c r="F506" s="1381"/>
      <c r="G506" s="1381"/>
      <c r="H506" s="1382"/>
      <c r="I506" s="933" t="s">
        <v>170</v>
      </c>
      <c r="J506" s="48"/>
      <c r="K506" s="48"/>
      <c r="L506" s="1797" t="s">
        <v>335</v>
      </c>
      <c r="M506" s="1798"/>
      <c r="N506" s="1798"/>
      <c r="O506" s="1798"/>
      <c r="P506" s="1798"/>
      <c r="Q506" s="1798"/>
      <c r="R506" s="1798"/>
      <c r="S506" s="1798"/>
      <c r="T506" s="1798"/>
      <c r="U506" s="1798"/>
      <c r="V506" s="1798"/>
      <c r="W506" s="1798"/>
      <c r="X506" s="1798"/>
      <c r="Y506" s="1798"/>
      <c r="Z506" s="1798"/>
      <c r="AA506" s="1798"/>
      <c r="AB506" s="1841"/>
      <c r="AC506" s="1789" t="s">
        <v>600</v>
      </c>
      <c r="AD506" s="1738"/>
      <c r="AE506" s="1738"/>
      <c r="AF506" s="1738"/>
      <c r="AG506" s="38" t="s">
        <v>404</v>
      </c>
      <c r="AH506" s="1525"/>
      <c r="AI506" s="1525"/>
      <c r="AJ506" s="1525"/>
      <c r="AK506" s="152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825" t="s">
        <v>678</v>
      </c>
      <c r="AD507" s="1825"/>
      <c r="AE507" s="1825"/>
      <c r="AF507" s="1825"/>
      <c r="AG507" s="13"/>
      <c r="AH507" s="1299"/>
      <c r="AI507" s="1299"/>
      <c r="AJ507" s="1299"/>
      <c r="AK507" s="184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91"/>
      <c r="AD508" s="1392"/>
      <c r="AE508" s="1392"/>
      <c r="AF508" s="1393"/>
      <c r="AG508" s="13"/>
      <c r="AH508" s="1299"/>
      <c r="AI508" s="1299"/>
      <c r="AJ508" s="1299"/>
      <c r="AK508" s="184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57">
        <v>0.5</v>
      </c>
      <c r="AD510" s="1858"/>
      <c r="AE510" s="1858"/>
      <c r="AF510" s="1859"/>
      <c r="AG510" s="38"/>
      <c r="AH510" s="1860"/>
      <c r="AI510" s="1860"/>
      <c r="AJ510" s="1860"/>
      <c r="AK510" s="186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33" t="s">
        <v>403</v>
      </c>
      <c r="AD511" s="1554"/>
      <c r="AE511" s="1554"/>
      <c r="AF511" s="1554"/>
      <c r="AG511" s="38" t="s">
        <v>404</v>
      </c>
      <c r="AH511" s="1554" t="s">
        <v>405</v>
      </c>
      <c r="AI511" s="1554"/>
      <c r="AJ511" s="1554"/>
      <c r="AK511" s="1834"/>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40" t="s">
        <v>415</v>
      </c>
      <c r="C512" s="1379"/>
      <c r="D512" s="1379"/>
      <c r="E512" s="1379"/>
      <c r="F512" s="1379"/>
      <c r="G512" s="1379"/>
      <c r="H512" s="1380"/>
      <c r="I512" s="42" t="s">
        <v>416</v>
      </c>
      <c r="J512" s="42"/>
      <c r="K512" s="42"/>
      <c r="L512" s="42"/>
      <c r="M512" s="42"/>
      <c r="N512" s="42"/>
      <c r="O512" s="42"/>
      <c r="P512" s="42"/>
      <c r="Q512" s="42"/>
      <c r="R512" s="42"/>
      <c r="S512" s="42"/>
      <c r="T512" s="42"/>
      <c r="U512" s="42"/>
      <c r="V512" s="42"/>
      <c r="W512" s="42"/>
      <c r="AC512" s="1789">
        <v>1</v>
      </c>
      <c r="AD512" s="1738"/>
      <c r="AE512" s="1738"/>
      <c r="AF512" s="1738"/>
      <c r="AG512" s="13" t="s">
        <v>404</v>
      </c>
      <c r="AH512" s="1525">
        <v>2023</v>
      </c>
      <c r="AI512" s="1525"/>
      <c r="AJ512" s="1525"/>
      <c r="AK512" s="1526"/>
      <c r="AZ512" s="3"/>
      <c r="BA512" s="3"/>
      <c r="BB512" s="3"/>
      <c r="BC512" s="3"/>
      <c r="BD512" s="3"/>
      <c r="BE512" s="3"/>
      <c r="BF512" s="3"/>
      <c r="BG512" s="3"/>
      <c r="BH512" s="3"/>
      <c r="BI512" s="3"/>
      <c r="BJ512" s="3"/>
      <c r="BK512" s="3"/>
      <c r="BL512" s="3"/>
      <c r="BM512" s="3"/>
      <c r="BN512" s="3" t="s">
        <v>2534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41"/>
      <c r="C513" s="1381"/>
      <c r="D513" s="1381"/>
      <c r="E513" s="1381"/>
      <c r="F513" s="1381"/>
      <c r="G513" s="1381"/>
      <c r="H513" s="1382"/>
      <c r="I513" t="s">
        <v>417</v>
      </c>
      <c r="AC513" s="1789">
        <v>1</v>
      </c>
      <c r="AD513" s="1738"/>
      <c r="AE513" s="1738"/>
      <c r="AF513" s="1738"/>
      <c r="AG513" s="13" t="s">
        <v>404</v>
      </c>
      <c r="AH513" s="1525">
        <v>2023</v>
      </c>
      <c r="AI513" s="1525"/>
      <c r="AJ513" s="1525"/>
      <c r="AK513" s="1526"/>
      <c r="AZ513" s="3"/>
      <c r="BA513" s="3"/>
      <c r="BB513" s="3"/>
      <c r="BC513" s="3"/>
      <c r="BD513" s="3"/>
      <c r="BE513" s="3"/>
      <c r="BF513" s="3"/>
      <c r="BG513" s="3"/>
      <c r="BH513" s="3"/>
      <c r="BI513" s="3"/>
      <c r="BJ513" s="3"/>
      <c r="BK513" s="3"/>
      <c r="BL513" s="3"/>
      <c r="BM513" s="3"/>
      <c r="BN513" s="3" t="s">
        <v>2535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41"/>
      <c r="C514" s="1381"/>
      <c r="D514" s="1381"/>
      <c r="E514" s="1381"/>
      <c r="F514" s="1381"/>
      <c r="G514" s="1381"/>
      <c r="H514" s="1382"/>
      <c r="I514" s="48" t="s">
        <v>418</v>
      </c>
      <c r="J514" s="48"/>
      <c r="K514" s="48"/>
      <c r="L514" s="48"/>
      <c r="M514" s="48"/>
      <c r="N514" s="48"/>
      <c r="O514" s="48"/>
      <c r="P514" s="48"/>
      <c r="Q514" s="48"/>
      <c r="R514" s="48"/>
      <c r="S514" s="48"/>
      <c r="T514" s="48"/>
      <c r="U514" s="48"/>
      <c r="V514" s="48"/>
      <c r="W514" s="48"/>
      <c r="X514" s="48"/>
      <c r="Y514" s="48"/>
      <c r="Z514" s="48"/>
      <c r="AA514" s="48"/>
      <c r="AB514" s="48"/>
      <c r="AC514" s="1789">
        <v>11</v>
      </c>
      <c r="AD514" s="1738"/>
      <c r="AE514" s="1738"/>
      <c r="AF514" s="1738"/>
      <c r="AG514" s="38" t="s">
        <v>404</v>
      </c>
      <c r="AH514" s="1525">
        <v>2023</v>
      </c>
      <c r="AI514" s="1525"/>
      <c r="AJ514" s="1525"/>
      <c r="AK514" s="1526"/>
      <c r="AZ514" s="3"/>
      <c r="BA514" s="3"/>
      <c r="BB514" s="3"/>
      <c r="BC514" s="3"/>
      <c r="BD514" s="3"/>
      <c r="BE514" s="3"/>
      <c r="BF514" s="3"/>
      <c r="BG514" s="3"/>
      <c r="BH514" s="3"/>
      <c r="BI514" s="3"/>
      <c r="BJ514" s="3"/>
      <c r="BK514" s="3"/>
      <c r="BL514" s="3"/>
      <c r="BM514" s="3"/>
      <c r="BN514" s="3" t="s">
        <v>2536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40" t="s">
        <v>419</v>
      </c>
      <c r="C515" s="1379"/>
      <c r="D515" s="1379"/>
      <c r="E515" s="1379"/>
      <c r="F515" s="1379"/>
      <c r="G515" s="1379"/>
      <c r="H515" s="1380"/>
      <c r="I515" s="42" t="s">
        <v>416</v>
      </c>
      <c r="J515" s="42"/>
      <c r="K515" s="42"/>
      <c r="L515" s="42"/>
      <c r="M515" s="42"/>
      <c r="N515" s="42"/>
      <c r="O515" s="42"/>
      <c r="P515" s="42"/>
      <c r="Q515" s="42"/>
      <c r="R515" s="42"/>
      <c r="S515" s="42"/>
      <c r="T515" s="42"/>
      <c r="U515" s="42"/>
      <c r="V515" s="42"/>
      <c r="W515" s="42"/>
      <c r="X515" s="42"/>
      <c r="Y515" s="42"/>
      <c r="Z515" s="42"/>
      <c r="AA515" s="42"/>
      <c r="AB515" s="42"/>
      <c r="AC515" s="1391">
        <v>1</v>
      </c>
      <c r="AD515" s="1392"/>
      <c r="AE515" s="1392"/>
      <c r="AF515" s="1392"/>
      <c r="AG515" s="129" t="s">
        <v>404</v>
      </c>
      <c r="AH515" s="1525">
        <v>2023</v>
      </c>
      <c r="AI515" s="1525"/>
      <c r="AJ515" s="1525"/>
      <c r="AK515" s="1526"/>
      <c r="AZ515" s="3"/>
      <c r="BA515" s="3"/>
      <c r="BB515" s="3"/>
      <c r="BC515" s="3"/>
      <c r="BD515" s="3"/>
      <c r="BE515" s="3"/>
      <c r="BF515" s="3"/>
      <c r="BG515" s="3"/>
      <c r="BH515" s="3"/>
      <c r="BI515" s="3"/>
      <c r="BJ515" s="3"/>
      <c r="BK515" s="3"/>
      <c r="BL515" s="3"/>
      <c r="BM515" s="3"/>
      <c r="BN515" s="3" t="s">
        <v>2537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41"/>
      <c r="C516" s="1381"/>
      <c r="D516" s="1381"/>
      <c r="E516" s="1381"/>
      <c r="F516" s="1381"/>
      <c r="G516" s="1381"/>
      <c r="H516" s="1382"/>
      <c r="I516" t="s">
        <v>417</v>
      </c>
      <c r="AC516" s="1789">
        <v>1</v>
      </c>
      <c r="AD516" s="1738"/>
      <c r="AE516" s="1738"/>
      <c r="AF516" s="1738"/>
      <c r="AG516" s="13" t="s">
        <v>404</v>
      </c>
      <c r="AH516" s="1525">
        <v>2023</v>
      </c>
      <c r="AI516" s="1525"/>
      <c r="AJ516" s="1525"/>
      <c r="AK516" s="1526"/>
      <c r="AZ516" s="3"/>
      <c r="BB516" s="3"/>
      <c r="BC516" s="3"/>
      <c r="BD516" s="3"/>
      <c r="BE516" s="3"/>
      <c r="BF516" s="3"/>
      <c r="BG516" s="3"/>
      <c r="BH516" s="3"/>
      <c r="BI516" s="3"/>
      <c r="BJ516" s="3"/>
      <c r="BK516" s="3"/>
      <c r="BL516" s="3"/>
      <c r="BM516" s="3"/>
      <c r="BN516" s="3" t="s">
        <v>2538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42"/>
      <c r="C517" s="1383"/>
      <c r="D517" s="1383"/>
      <c r="E517" s="1383"/>
      <c r="F517" s="1383"/>
      <c r="G517" s="1383"/>
      <c r="H517" s="1384"/>
      <c r="I517" s="48" t="s">
        <v>418</v>
      </c>
      <c r="J517" s="48"/>
      <c r="K517" s="48"/>
      <c r="L517" s="48"/>
      <c r="M517" s="48"/>
      <c r="N517" s="48"/>
      <c r="O517" s="48"/>
      <c r="P517" s="48"/>
      <c r="Q517" s="48"/>
      <c r="R517" s="48"/>
      <c r="S517" s="48"/>
      <c r="T517" s="48"/>
      <c r="U517" s="48"/>
      <c r="V517" s="48"/>
      <c r="W517" s="48"/>
      <c r="X517" s="48"/>
      <c r="Y517" s="48"/>
      <c r="Z517" s="48"/>
      <c r="AA517" s="48"/>
      <c r="AB517" s="48"/>
      <c r="AC517" s="1789">
        <v>11</v>
      </c>
      <c r="AD517" s="1738"/>
      <c r="AE517" s="1738"/>
      <c r="AF517" s="1738"/>
      <c r="AG517" s="38" t="s">
        <v>404</v>
      </c>
      <c r="AH517" s="1525">
        <v>2025</v>
      </c>
      <c r="AI517" s="1525"/>
      <c r="AJ517" s="1525"/>
      <c r="AK517" s="1526"/>
      <c r="BB517" s="3"/>
      <c r="BC517" s="3"/>
      <c r="BD517" s="3"/>
      <c r="BE517" s="3"/>
      <c r="BF517" s="3"/>
      <c r="BG517" s="3"/>
      <c r="BH517" s="3"/>
      <c r="BI517" s="3"/>
      <c r="BJ517" s="3"/>
      <c r="BK517" s="3"/>
      <c r="BL517" s="3"/>
      <c r="BM517" s="3"/>
      <c r="BN517" s="3" t="s">
        <v>2539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40" t="s">
        <v>420</v>
      </c>
      <c r="C518" s="1379"/>
      <c r="D518" s="1379"/>
      <c r="E518" s="1379"/>
      <c r="F518" s="1379"/>
      <c r="G518" s="1379"/>
      <c r="H518" s="1380"/>
      <c r="I518" s="41" t="s">
        <v>421</v>
      </c>
      <c r="J518" s="42"/>
      <c r="K518" s="42"/>
      <c r="L518" s="42"/>
      <c r="M518" s="42"/>
      <c r="N518" s="42"/>
      <c r="O518" s="1797" t="s">
        <v>2710</v>
      </c>
      <c r="P518" s="1798"/>
      <c r="Q518" s="1798"/>
      <c r="R518" s="1798"/>
      <c r="S518" s="1798"/>
      <c r="T518" s="1798"/>
      <c r="U518" s="1798"/>
      <c r="V518" s="1798"/>
      <c r="W518" s="1798"/>
      <c r="X518" s="1798"/>
      <c r="Y518" s="1798"/>
      <c r="Z518" s="1798"/>
      <c r="AA518" s="1798"/>
      <c r="AB518" s="58"/>
      <c r="AC518" s="1391"/>
      <c r="AD518" s="1392"/>
      <c r="AE518" s="1392"/>
      <c r="AF518" s="1392"/>
      <c r="AG518" s="129" t="s">
        <v>404</v>
      </c>
      <c r="AH518" s="1525"/>
      <c r="AI518" s="1525"/>
      <c r="AJ518" s="1525"/>
      <c r="AK518" s="1526"/>
      <c r="BB518" s="3"/>
      <c r="BC518" s="3"/>
      <c r="BD518" s="3"/>
      <c r="BE518" s="3"/>
      <c r="BF518" s="3"/>
      <c r="BG518" s="3"/>
      <c r="BH518" s="3"/>
      <c r="BI518" s="3"/>
      <c r="BJ518" s="3"/>
      <c r="BK518" s="3"/>
      <c r="BL518" s="3"/>
      <c r="BM518" s="3"/>
      <c r="BN518" s="3" t="s">
        <v>2540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41"/>
      <c r="C519" s="1381"/>
      <c r="D519" s="1381"/>
      <c r="E519" s="1381"/>
      <c r="F519" s="1381"/>
      <c r="G519" s="1381"/>
      <c r="H519" s="1382"/>
      <c r="I519" s="114" t="s">
        <v>422</v>
      </c>
      <c r="AB519" s="65"/>
      <c r="AC519" s="1789">
        <v>12</v>
      </c>
      <c r="AD519" s="1738"/>
      <c r="AE519" s="1738"/>
      <c r="AF519" s="1738"/>
      <c r="AG519" s="13" t="s">
        <v>404</v>
      </c>
      <c r="AH519" s="1525">
        <v>2022</v>
      </c>
      <c r="AI519" s="1525"/>
      <c r="AJ519" s="1525"/>
      <c r="AK519" s="1526"/>
      <c r="AZ519" s="3"/>
      <c r="BB519" s="3"/>
      <c r="BC519" s="3"/>
      <c r="BD519" s="3"/>
      <c r="BE519" s="3"/>
      <c r="BF519" s="3"/>
      <c r="BG519" s="3"/>
      <c r="BH519" s="3"/>
      <c r="BI519" s="3"/>
      <c r="BJ519" s="3"/>
      <c r="BK519" s="3"/>
      <c r="BL519" s="3"/>
      <c r="BM519" s="3"/>
      <c r="BN519" s="3" t="s">
        <v>2541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41"/>
      <c r="C520" s="1381"/>
      <c r="D520" s="1381"/>
      <c r="E520" s="1381"/>
      <c r="F520" s="1381"/>
      <c r="G520" s="1381"/>
      <c r="H520" s="1382"/>
      <c r="I520" s="47" t="s">
        <v>423</v>
      </c>
      <c r="J520" s="48"/>
      <c r="K520" s="48"/>
      <c r="L520" s="48"/>
      <c r="M520" s="48"/>
      <c r="N520" s="48"/>
      <c r="O520" s="48"/>
      <c r="P520" s="48"/>
      <c r="Q520" s="48"/>
      <c r="R520" s="48"/>
      <c r="S520" s="48"/>
      <c r="T520" s="48"/>
      <c r="U520" s="48"/>
      <c r="V520" s="48"/>
      <c r="W520" s="48"/>
      <c r="X520" s="48"/>
      <c r="Y520" s="48"/>
      <c r="Z520" s="48"/>
      <c r="AA520" s="48"/>
      <c r="AB520" s="49"/>
      <c r="AC520" s="1789">
        <v>11</v>
      </c>
      <c r="AD520" s="1738"/>
      <c r="AE520" s="1738"/>
      <c r="AF520" s="1738"/>
      <c r="AG520" s="38" t="s">
        <v>404</v>
      </c>
      <c r="AH520" s="1525">
        <v>2023</v>
      </c>
      <c r="AI520" s="1525"/>
      <c r="AJ520" s="1525"/>
      <c r="AK520" s="1526"/>
      <c r="AZ520" s="3"/>
      <c r="BB520" s="3"/>
      <c r="BC520" s="3"/>
      <c r="BD520" s="3"/>
      <c r="BE520" s="3"/>
      <c r="BF520" s="3"/>
      <c r="BG520" s="3"/>
      <c r="BH520" s="3"/>
      <c r="BI520" s="3"/>
      <c r="BJ520" s="3"/>
      <c r="BK520" s="3"/>
      <c r="BL520" s="3"/>
      <c r="BM520" s="3"/>
      <c r="BN520" s="3" t="s">
        <v>2542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41"/>
      <c r="C521" s="1381"/>
      <c r="D521" s="1381"/>
      <c r="E521" s="1381"/>
      <c r="F521" s="1381"/>
      <c r="G521" s="1381"/>
      <c r="H521" s="1382"/>
      <c r="I521" s="42" t="s">
        <v>424</v>
      </c>
      <c r="J521" s="42"/>
      <c r="K521" s="42"/>
      <c r="L521" s="42"/>
      <c r="M521" s="42"/>
      <c r="N521" s="42"/>
      <c r="O521" s="1797" t="s">
        <v>2711</v>
      </c>
      <c r="P521" s="1798"/>
      <c r="Q521" s="1798"/>
      <c r="R521" s="1798"/>
      <c r="S521" s="1798"/>
      <c r="T521" s="1798"/>
      <c r="U521" s="1798"/>
      <c r="V521" s="1798"/>
      <c r="W521" s="1798"/>
      <c r="X521" s="1798"/>
      <c r="Y521" s="1798"/>
      <c r="Z521" s="1798"/>
      <c r="AA521" s="1798"/>
      <c r="AC521" s="1789"/>
      <c r="AD521" s="1738"/>
      <c r="AE521" s="1738"/>
      <c r="AF521" s="1738"/>
      <c r="AG521" s="13" t="s">
        <v>404</v>
      </c>
      <c r="AH521" s="1525"/>
      <c r="AI521" s="1525"/>
      <c r="AJ521" s="1525"/>
      <c r="AK521" s="1526"/>
      <c r="AZ521" s="3"/>
      <c r="BA521" s="3"/>
      <c r="BB521" s="3"/>
      <c r="BC521" s="3"/>
      <c r="BD521" s="3"/>
      <c r="BE521" s="3"/>
      <c r="BF521" s="3"/>
      <c r="BG521" s="3"/>
      <c r="BH521" s="3"/>
      <c r="BI521" s="3"/>
      <c r="BJ521" s="3"/>
      <c r="BK521" s="3"/>
      <c r="BL521" s="3"/>
      <c r="BM521" s="3"/>
      <c r="BN521" s="3" t="s">
        <v>2543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41"/>
      <c r="C522" s="1381"/>
      <c r="D522" s="1381"/>
      <c r="E522" s="1381"/>
      <c r="F522" s="1381"/>
      <c r="G522" s="1381"/>
      <c r="H522" s="1382"/>
      <c r="I522" t="s">
        <v>422</v>
      </c>
      <c r="AC522" s="1789">
        <v>7</v>
      </c>
      <c r="AD522" s="1738"/>
      <c r="AE522" s="1738"/>
      <c r="AF522" s="1738"/>
      <c r="AG522" s="13" t="s">
        <v>404</v>
      </c>
      <c r="AH522" s="1525">
        <v>2022</v>
      </c>
      <c r="AI522" s="1525"/>
      <c r="AJ522" s="1525"/>
      <c r="AK522" s="1526"/>
      <c r="AZ522" s="3"/>
      <c r="BA522" s="3"/>
      <c r="BB522" s="3"/>
      <c r="BC522" s="3"/>
      <c r="BD522" s="3"/>
      <c r="BE522" s="3"/>
      <c r="BF522" s="3"/>
      <c r="BG522" s="3"/>
      <c r="BH522" s="3"/>
      <c r="BI522" s="3"/>
      <c r="BJ522" s="3"/>
      <c r="BK522" s="3"/>
      <c r="BL522" s="3"/>
      <c r="BM522" s="3"/>
      <c r="BN522" s="3" t="s">
        <v>2544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41"/>
      <c r="C523" s="1381"/>
      <c r="D523" s="1381"/>
      <c r="E523" s="1381"/>
      <c r="F523" s="1381"/>
      <c r="G523" s="1381"/>
      <c r="H523" s="1382"/>
      <c r="I523" s="48" t="s">
        <v>423</v>
      </c>
      <c r="J523" s="48"/>
      <c r="K523" s="48"/>
      <c r="L523" s="48"/>
      <c r="M523" s="48"/>
      <c r="N523" s="48"/>
      <c r="O523" s="48"/>
      <c r="P523" s="48"/>
      <c r="Q523" s="48"/>
      <c r="R523" s="48"/>
      <c r="S523" s="48"/>
      <c r="T523" s="48"/>
      <c r="U523" s="48"/>
      <c r="V523" s="48"/>
      <c r="W523" s="48"/>
      <c r="X523" s="48"/>
      <c r="Y523" s="48"/>
      <c r="Z523" s="48"/>
      <c r="AA523" s="48"/>
      <c r="AB523" s="48"/>
      <c r="AC523" s="1789">
        <v>11</v>
      </c>
      <c r="AD523" s="1738"/>
      <c r="AE523" s="1738"/>
      <c r="AF523" s="1738"/>
      <c r="AG523" s="38" t="s">
        <v>404</v>
      </c>
      <c r="AH523" s="1525">
        <v>2023</v>
      </c>
      <c r="AI523" s="1525"/>
      <c r="AJ523" s="1525"/>
      <c r="AK523" s="1526"/>
      <c r="AZ523" s="3"/>
      <c r="BA523" s="3"/>
      <c r="BB523" s="3"/>
      <c r="BC523" s="3"/>
      <c r="BD523" s="3"/>
      <c r="BE523" s="3"/>
      <c r="BF523" s="3"/>
      <c r="BG523" s="3"/>
      <c r="BH523" s="3"/>
      <c r="BI523" s="3"/>
      <c r="BJ523" s="3"/>
      <c r="BK523" s="3"/>
      <c r="BL523" s="3"/>
      <c r="BM523" s="3"/>
      <c r="BN523" s="3" t="s">
        <v>2545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41"/>
      <c r="C524" s="1381"/>
      <c r="D524" s="1381"/>
      <c r="E524" s="1381"/>
      <c r="F524" s="1381"/>
      <c r="G524" s="1381"/>
      <c r="H524" s="1382"/>
      <c r="I524" s="42" t="s">
        <v>424</v>
      </c>
      <c r="J524" s="42"/>
      <c r="K524" s="42"/>
      <c r="L524" s="42"/>
      <c r="M524" s="42"/>
      <c r="N524" s="42"/>
      <c r="O524" s="1797" t="s">
        <v>2712</v>
      </c>
      <c r="P524" s="1798"/>
      <c r="Q524" s="1798"/>
      <c r="R524" s="1798"/>
      <c r="S524" s="1798"/>
      <c r="T524" s="1798"/>
      <c r="U524" s="1798"/>
      <c r="V524" s="1798"/>
      <c r="W524" s="1798"/>
      <c r="X524" s="1798"/>
      <c r="Y524" s="1798"/>
      <c r="Z524" s="1798"/>
      <c r="AA524" s="1798"/>
      <c r="AC524" s="1789">
        <v>12</v>
      </c>
      <c r="AD524" s="1738"/>
      <c r="AE524" s="1738"/>
      <c r="AF524" s="1738"/>
      <c r="AG524" s="13" t="s">
        <v>404</v>
      </c>
      <c r="AH524" s="1525">
        <v>2022</v>
      </c>
      <c r="AI524" s="1525"/>
      <c r="AJ524" s="1525"/>
      <c r="AK524" s="1526"/>
      <c r="AZ524" s="3"/>
      <c r="BA524" s="3"/>
      <c r="BB524" s="3"/>
      <c r="BC524" s="3"/>
      <c r="BD524" s="3"/>
      <c r="BE524" s="3"/>
      <c r="BF524" s="3"/>
      <c r="BG524" s="3"/>
      <c r="BH524" s="3"/>
      <c r="BI524" s="3"/>
      <c r="BJ524" s="3"/>
      <c r="BK524" s="3"/>
      <c r="BL524" s="3"/>
      <c r="BM524" s="3"/>
      <c r="BN524" s="3" t="s">
        <v>2546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41"/>
      <c r="C525" s="1381"/>
      <c r="D525" s="1381"/>
      <c r="E525" s="1381"/>
      <c r="F525" s="1381"/>
      <c r="G525" s="1381"/>
      <c r="H525" s="1382"/>
      <c r="I525" t="s">
        <v>422</v>
      </c>
      <c r="AC525" s="1789">
        <v>11</v>
      </c>
      <c r="AD525" s="1738"/>
      <c r="AE525" s="1738"/>
      <c r="AF525" s="1738"/>
      <c r="AG525" s="13" t="s">
        <v>404</v>
      </c>
      <c r="AH525" s="1525">
        <v>2023</v>
      </c>
      <c r="AI525" s="1525"/>
      <c r="AJ525" s="1525"/>
      <c r="AK525" s="1526"/>
      <c r="AZ525" s="3"/>
      <c r="BA525" s="3"/>
      <c r="BB525" s="3"/>
      <c r="BC525" s="3"/>
      <c r="BD525" s="3"/>
      <c r="BE525" s="3"/>
      <c r="BF525" s="3"/>
      <c r="BG525" s="3"/>
      <c r="BH525" s="3"/>
      <c r="BI525" s="3"/>
      <c r="BJ525" s="3"/>
      <c r="BK525" s="3"/>
      <c r="BL525" s="3"/>
      <c r="BM525" s="3"/>
      <c r="BN525" s="3" t="s">
        <v>2547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41"/>
      <c r="C526" s="1381"/>
      <c r="D526" s="1381"/>
      <c r="E526" s="1381"/>
      <c r="F526" s="1381"/>
      <c r="G526" s="1381"/>
      <c r="H526" s="1382"/>
      <c r="I526" s="48" t="s">
        <v>423</v>
      </c>
      <c r="J526" s="48"/>
      <c r="K526" s="48"/>
      <c r="L526" s="48"/>
      <c r="M526" s="48"/>
      <c r="N526" s="48"/>
      <c r="O526" s="48"/>
      <c r="P526" s="48"/>
      <c r="Q526" s="48"/>
      <c r="R526" s="48"/>
      <c r="S526" s="48"/>
      <c r="T526" s="48"/>
      <c r="U526" s="48"/>
      <c r="V526" s="48"/>
      <c r="W526" s="48"/>
      <c r="X526" s="48"/>
      <c r="Y526" s="48"/>
      <c r="Z526" s="48"/>
      <c r="AA526" s="48"/>
      <c r="AB526" s="48"/>
      <c r="AC526" s="1789" t="s">
        <v>600</v>
      </c>
      <c r="AD526" s="1738"/>
      <c r="AE526" s="1738"/>
      <c r="AF526" s="1738"/>
      <c r="AG526" s="38" t="s">
        <v>404</v>
      </c>
      <c r="AH526" s="1525"/>
      <c r="AI526" s="1525"/>
      <c r="AJ526" s="1525"/>
      <c r="AK526" s="1526"/>
      <c r="AZ526" s="3"/>
      <c r="BA526" s="3"/>
      <c r="BB526" s="3"/>
      <c r="BC526" s="3"/>
      <c r="BD526" s="3"/>
      <c r="BE526" s="3"/>
      <c r="BF526" s="3"/>
      <c r="BG526" s="3"/>
      <c r="BH526" s="3"/>
      <c r="BI526" s="3"/>
      <c r="BJ526" s="3"/>
      <c r="BK526" s="3"/>
      <c r="BL526" s="3"/>
      <c r="BM526" s="3"/>
      <c r="BN526" s="3" t="s">
        <v>2548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41"/>
      <c r="C527" s="1381"/>
      <c r="D527" s="1381"/>
      <c r="E527" s="1381"/>
      <c r="F527" s="1381"/>
      <c r="G527" s="1381"/>
      <c r="H527" s="1382"/>
      <c r="I527" s="42" t="s">
        <v>424</v>
      </c>
      <c r="J527" s="42"/>
      <c r="K527" s="42"/>
      <c r="L527" s="42"/>
      <c r="M527" s="42"/>
      <c r="N527" s="42"/>
      <c r="O527" s="1797" t="s">
        <v>335</v>
      </c>
      <c r="P527" s="1798"/>
      <c r="Q527" s="1798"/>
      <c r="R527" s="1798"/>
      <c r="S527" s="1798"/>
      <c r="T527" s="1798"/>
      <c r="U527" s="1798"/>
      <c r="V527" s="1798"/>
      <c r="W527" s="1798"/>
      <c r="X527" s="1798"/>
      <c r="Y527" s="1798"/>
      <c r="Z527" s="1798"/>
      <c r="AA527" s="1798"/>
      <c r="AC527" s="1789" t="s">
        <v>600</v>
      </c>
      <c r="AD527" s="1738"/>
      <c r="AE527" s="1738"/>
      <c r="AF527" s="1738"/>
      <c r="AG527" s="13" t="s">
        <v>404</v>
      </c>
      <c r="AH527" s="1525"/>
      <c r="AI527" s="1525"/>
      <c r="AJ527" s="1525"/>
      <c r="AK527" s="1526"/>
      <c r="AZ527" s="3"/>
      <c r="BA527" s="3"/>
      <c r="BB527" s="3"/>
      <c r="BC527" s="3"/>
      <c r="BD527" s="3"/>
      <c r="BE527" s="3"/>
      <c r="BF527" s="3"/>
      <c r="BG527" s="3"/>
      <c r="BH527" s="3"/>
      <c r="BI527" s="3"/>
      <c r="BJ527" s="3"/>
      <c r="BK527" s="3"/>
      <c r="BL527" s="3"/>
      <c r="BM527" s="3"/>
      <c r="BN527" s="3" t="s">
        <v>2549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41"/>
      <c r="C528" s="1381"/>
      <c r="D528" s="1381"/>
      <c r="E528" s="1381"/>
      <c r="F528" s="1381"/>
      <c r="G528" s="1381"/>
      <c r="H528" s="1382"/>
      <c r="I528" t="s">
        <v>422</v>
      </c>
      <c r="AC528" s="1789" t="s">
        <v>600</v>
      </c>
      <c r="AD528" s="1738"/>
      <c r="AE528" s="1738"/>
      <c r="AF528" s="1738"/>
      <c r="AG528" s="13" t="s">
        <v>404</v>
      </c>
      <c r="AH528" s="1525"/>
      <c r="AI528" s="1525"/>
      <c r="AJ528" s="1525"/>
      <c r="AK528" s="1526"/>
      <c r="AZ528" s="3"/>
      <c r="BA528" s="3"/>
      <c r="BB528" s="3"/>
      <c r="BC528" s="3"/>
      <c r="BD528" s="3"/>
      <c r="BE528" s="3"/>
      <c r="BF528" s="3"/>
      <c r="BG528" s="3"/>
      <c r="BH528" s="3"/>
      <c r="BI528" s="3"/>
      <c r="BJ528" s="3"/>
      <c r="BK528" s="3"/>
      <c r="BL528" s="3"/>
      <c r="BM528" s="3"/>
      <c r="BN528" s="3" t="s">
        <v>2550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41"/>
      <c r="C529" s="1381"/>
      <c r="D529" s="1381"/>
      <c r="E529" s="1381"/>
      <c r="F529" s="1381"/>
      <c r="G529" s="1381"/>
      <c r="H529" s="1382"/>
      <c r="I529" s="48" t="s">
        <v>423</v>
      </c>
      <c r="J529" s="48"/>
      <c r="K529" s="48"/>
      <c r="L529" s="48"/>
      <c r="M529" s="48"/>
      <c r="N529" s="48"/>
      <c r="O529" s="48"/>
      <c r="P529" s="48"/>
      <c r="Q529" s="48"/>
      <c r="R529" s="48"/>
      <c r="S529" s="48"/>
      <c r="T529" s="48"/>
      <c r="U529" s="48"/>
      <c r="V529" s="48"/>
      <c r="W529" s="48"/>
      <c r="X529" s="48"/>
      <c r="Y529" s="48"/>
      <c r="Z529" s="48"/>
      <c r="AA529" s="48"/>
      <c r="AB529" s="48"/>
      <c r="AC529" s="1789" t="s">
        <v>600</v>
      </c>
      <c r="AD529" s="1738"/>
      <c r="AE529" s="1738"/>
      <c r="AF529" s="1738"/>
      <c r="AG529" s="38" t="s">
        <v>404</v>
      </c>
      <c r="AH529" s="1525"/>
      <c r="AI529" s="1525"/>
      <c r="AJ529" s="1525"/>
      <c r="AK529" s="1526"/>
      <c r="AZ529" s="3"/>
      <c r="BA529" s="3"/>
      <c r="BB529" s="3"/>
      <c r="BC529" s="3"/>
      <c r="BD529" s="3"/>
      <c r="BE529" s="3"/>
      <c r="BF529" s="3"/>
      <c r="BG529" s="3"/>
      <c r="BH529" s="3"/>
      <c r="BI529" s="3"/>
      <c r="BJ529" s="3"/>
      <c r="BK529" s="3"/>
      <c r="BL529" s="3"/>
      <c r="BM529" s="3"/>
      <c r="BN529" s="3" t="s">
        <v>2551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41"/>
      <c r="C530" s="1381"/>
      <c r="D530" s="1381"/>
      <c r="E530" s="1381"/>
      <c r="F530" s="1381"/>
      <c r="G530" s="1381"/>
      <c r="H530" s="1382"/>
      <c r="I530" s="42" t="s">
        <v>424</v>
      </c>
      <c r="J530" s="42"/>
      <c r="K530" s="42"/>
      <c r="L530" s="42"/>
      <c r="M530" s="42"/>
      <c r="N530" s="42"/>
      <c r="O530" s="1797" t="s">
        <v>335</v>
      </c>
      <c r="P530" s="1798"/>
      <c r="Q530" s="1798"/>
      <c r="R530" s="1798"/>
      <c r="S530" s="1798"/>
      <c r="T530" s="1798"/>
      <c r="U530" s="1798"/>
      <c r="V530" s="1798"/>
      <c r="W530" s="1798"/>
      <c r="X530" s="1798"/>
      <c r="Y530" s="1798"/>
      <c r="Z530" s="1798"/>
      <c r="AA530" s="1798"/>
      <c r="AC530" s="1789" t="s">
        <v>600</v>
      </c>
      <c r="AD530" s="1738"/>
      <c r="AE530" s="1738"/>
      <c r="AF530" s="1738"/>
      <c r="AG530" s="13" t="s">
        <v>404</v>
      </c>
      <c r="AH530" s="1525"/>
      <c r="AI530" s="1525"/>
      <c r="AJ530" s="1525"/>
      <c r="AK530" s="1526"/>
      <c r="AZ530" s="3"/>
      <c r="BA530" s="3"/>
      <c r="BB530" s="3"/>
      <c r="BC530" s="3"/>
      <c r="BD530" s="3"/>
      <c r="BE530" s="3"/>
      <c r="BF530" s="3"/>
      <c r="BG530" s="3"/>
      <c r="BH530" s="3"/>
      <c r="BI530" s="3"/>
      <c r="BJ530" s="3"/>
      <c r="BK530" s="3"/>
      <c r="BL530" s="3"/>
      <c r="BM530" s="3"/>
      <c r="BN530" s="3" t="s">
        <v>2552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41"/>
      <c r="C531" s="1381"/>
      <c r="D531" s="1381"/>
      <c r="E531" s="1381"/>
      <c r="F531" s="1381"/>
      <c r="G531" s="1381"/>
      <c r="H531" s="1382"/>
      <c r="I531" t="s">
        <v>422</v>
      </c>
      <c r="AC531" s="1789" t="s">
        <v>600</v>
      </c>
      <c r="AD531" s="1738"/>
      <c r="AE531" s="1738"/>
      <c r="AF531" s="1738"/>
      <c r="AG531" s="38" t="s">
        <v>404</v>
      </c>
      <c r="AH531" s="1525"/>
      <c r="AI531" s="1525"/>
      <c r="AJ531" s="1525"/>
      <c r="AK531" s="1526"/>
      <c r="AZ531" s="3"/>
      <c r="BA531" s="3"/>
      <c r="BB531" s="3"/>
      <c r="BC531" s="3"/>
      <c r="BD531" s="3"/>
      <c r="BE531" s="3"/>
      <c r="BF531" s="3"/>
      <c r="BG531" s="3"/>
      <c r="BH531" s="3"/>
      <c r="BI531" s="3"/>
      <c r="BJ531" s="3"/>
      <c r="BK531" s="3"/>
      <c r="BL531" s="3"/>
      <c r="BM531" s="3"/>
      <c r="BN531" s="3" t="s">
        <v>2553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41"/>
      <c r="C532" s="1381"/>
      <c r="D532" s="1381"/>
      <c r="E532" s="1381"/>
      <c r="F532" s="1381"/>
      <c r="G532" s="1381"/>
      <c r="H532" s="1382"/>
      <c r="I532" s="48" t="s">
        <v>423</v>
      </c>
      <c r="J532" s="48"/>
      <c r="K532" s="48"/>
      <c r="L532" s="48"/>
      <c r="M532" s="48"/>
      <c r="N532" s="48"/>
      <c r="O532" s="48"/>
      <c r="P532" s="48"/>
      <c r="Q532" s="48"/>
      <c r="R532" s="48"/>
      <c r="S532" s="48"/>
      <c r="T532" s="48"/>
      <c r="U532" s="48"/>
      <c r="V532" s="48"/>
      <c r="W532" s="48"/>
      <c r="X532" s="48"/>
      <c r="Y532" s="48"/>
      <c r="Z532" s="48"/>
      <c r="AA532" s="48"/>
      <c r="AB532" s="48"/>
      <c r="AC532" s="1789" t="s">
        <v>600</v>
      </c>
      <c r="AD532" s="1738"/>
      <c r="AE532" s="1738"/>
      <c r="AF532" s="1738"/>
      <c r="AG532" s="13" t="s">
        <v>404</v>
      </c>
      <c r="AH532" s="1525"/>
      <c r="AI532" s="1525"/>
      <c r="AJ532" s="1525"/>
      <c r="AK532" s="1526"/>
      <c r="AZ532" s="3"/>
      <c r="BA532" s="3"/>
      <c r="BB532" s="3"/>
      <c r="BC532" s="3"/>
      <c r="BD532" s="3"/>
      <c r="BE532" s="3"/>
      <c r="BF532" s="3"/>
      <c r="BG532" s="3"/>
      <c r="BH532" s="3"/>
      <c r="BI532" s="3"/>
      <c r="BJ532" s="3"/>
      <c r="BK532" s="3"/>
      <c r="BL532" s="3"/>
      <c r="BM532" s="3"/>
      <c r="BN532" s="3" t="s">
        <v>2554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41"/>
      <c r="C533" s="1381"/>
      <c r="D533" s="1381"/>
      <c r="E533" s="1381"/>
      <c r="F533" s="1381"/>
      <c r="G533" s="1381"/>
      <c r="H533" s="1382"/>
      <c r="I533" s="42" t="s">
        <v>424</v>
      </c>
      <c r="J533" s="42"/>
      <c r="K533" s="42"/>
      <c r="L533" s="42"/>
      <c r="M533" s="42"/>
      <c r="N533" s="42"/>
      <c r="O533" s="1797" t="s">
        <v>335</v>
      </c>
      <c r="P533" s="1798"/>
      <c r="Q533" s="1798"/>
      <c r="R533" s="1798"/>
      <c r="S533" s="1798"/>
      <c r="T533" s="1798"/>
      <c r="U533" s="1798"/>
      <c r="V533" s="1798"/>
      <c r="W533" s="1798"/>
      <c r="X533" s="1798"/>
      <c r="Y533" s="1798"/>
      <c r="Z533" s="1798"/>
      <c r="AA533" s="1798"/>
      <c r="AC533" s="1789" t="s">
        <v>600</v>
      </c>
      <c r="AD533" s="1738"/>
      <c r="AE533" s="1738"/>
      <c r="AF533" s="1738"/>
      <c r="AG533" s="38" t="s">
        <v>404</v>
      </c>
      <c r="AH533" s="1525"/>
      <c r="AI533" s="1525"/>
      <c r="AJ533" s="1525"/>
      <c r="AK533" s="1526"/>
      <c r="AZ533" s="3"/>
      <c r="BA533" s="3"/>
      <c r="BB533" s="3"/>
      <c r="BC533" s="3"/>
      <c r="BD533" s="3"/>
      <c r="BE533" s="3"/>
      <c r="BF533" s="3"/>
      <c r="BG533" s="3"/>
      <c r="BH533" s="3"/>
      <c r="BI533" s="3"/>
      <c r="BJ533" s="3"/>
      <c r="BK533" s="3"/>
      <c r="BL533" s="3"/>
      <c r="BM533" s="3"/>
      <c r="BN533" s="3" t="s">
        <v>2555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41"/>
      <c r="C534" s="1381"/>
      <c r="D534" s="1381"/>
      <c r="E534" s="1381"/>
      <c r="F534" s="1381"/>
      <c r="G534" s="1381"/>
      <c r="H534" s="1382"/>
      <c r="I534" t="s">
        <v>422</v>
      </c>
      <c r="AC534" s="1789" t="s">
        <v>600</v>
      </c>
      <c r="AD534" s="1738"/>
      <c r="AE534" s="1738"/>
      <c r="AF534" s="1738"/>
      <c r="AG534" s="13" t="s">
        <v>404</v>
      </c>
      <c r="AH534" s="1525"/>
      <c r="AI534" s="1525"/>
      <c r="AJ534" s="1525"/>
      <c r="AK534" s="1526"/>
      <c r="AZ534" s="3"/>
      <c r="BA534" s="3"/>
      <c r="BB534" s="3"/>
      <c r="BC534" s="3"/>
      <c r="BD534" s="3"/>
      <c r="BE534" s="3"/>
      <c r="BF534" s="3"/>
      <c r="BG534" s="3"/>
      <c r="BH534" s="3"/>
      <c r="BI534" s="3"/>
      <c r="BJ534" s="3"/>
      <c r="BK534" s="3"/>
      <c r="BL534" s="3"/>
      <c r="BM534" s="3"/>
      <c r="BN534" s="3" t="s">
        <v>2556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41"/>
      <c r="C535" s="1381"/>
      <c r="D535" s="1381"/>
      <c r="E535" s="1381"/>
      <c r="F535" s="1381"/>
      <c r="G535" s="1381"/>
      <c r="H535" s="1382"/>
      <c r="I535" s="48" t="s">
        <v>423</v>
      </c>
      <c r="J535" s="48"/>
      <c r="K535" s="48"/>
      <c r="L535" s="48"/>
      <c r="M535" s="48"/>
      <c r="N535" s="48"/>
      <c r="O535" s="48"/>
      <c r="P535" s="48"/>
      <c r="Q535" s="48"/>
      <c r="R535" s="48"/>
      <c r="S535" s="48"/>
      <c r="T535" s="48"/>
      <c r="U535" s="48"/>
      <c r="V535" s="48"/>
      <c r="W535" s="48"/>
      <c r="X535" s="48"/>
      <c r="Y535" s="48"/>
      <c r="Z535" s="48"/>
      <c r="AA535" s="48"/>
      <c r="AB535" s="48"/>
      <c r="AC535" s="1789" t="s">
        <v>600</v>
      </c>
      <c r="AD535" s="1738"/>
      <c r="AE535" s="1738"/>
      <c r="AF535" s="1738"/>
      <c r="AG535" s="38" t="s">
        <v>404</v>
      </c>
      <c r="AH535" s="1525"/>
      <c r="AI535" s="1525"/>
      <c r="AJ535" s="1525"/>
      <c r="AK535" s="1526"/>
      <c r="AZ535" s="3"/>
      <c r="BA535" s="3"/>
      <c r="BB535" s="3"/>
      <c r="BC535" s="3"/>
      <c r="BD535" s="3"/>
      <c r="BE535" s="3"/>
      <c r="BF535" s="3"/>
      <c r="BG535" s="3"/>
      <c r="BH535" s="3"/>
      <c r="BI535" s="3"/>
      <c r="BJ535" s="3"/>
      <c r="BK535" s="3"/>
      <c r="BL535" s="3"/>
      <c r="BM535" s="3"/>
      <c r="BN535" s="3" t="s">
        <v>2557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41"/>
      <c r="C536" s="1381"/>
      <c r="D536" s="1381"/>
      <c r="E536" s="1381"/>
      <c r="F536" s="1381"/>
      <c r="G536" s="1381"/>
      <c r="H536" s="1382"/>
      <c r="I536" s="42" t="s">
        <v>571</v>
      </c>
      <c r="J536" s="42"/>
      <c r="K536" s="42"/>
      <c r="L536" s="42"/>
      <c r="M536" s="42"/>
      <c r="N536" s="42"/>
      <c r="O536" s="42"/>
      <c r="P536" s="42"/>
      <c r="Q536" s="42"/>
      <c r="R536" s="42"/>
      <c r="S536" s="42"/>
      <c r="T536" s="42"/>
      <c r="U536" s="42"/>
      <c r="V536" s="42"/>
      <c r="W536" s="42"/>
      <c r="AC536" s="1789">
        <v>12</v>
      </c>
      <c r="AD536" s="1738"/>
      <c r="AE536" s="1738"/>
      <c r="AF536" s="1738"/>
      <c r="AG536" s="38" t="s">
        <v>404</v>
      </c>
      <c r="AH536" s="1525">
        <v>2024</v>
      </c>
      <c r="AI536" s="1525"/>
      <c r="AJ536" s="1525"/>
      <c r="AK536" s="1526"/>
      <c r="AZ536" s="3"/>
      <c r="BA536" s="3"/>
      <c r="BB536" s="3"/>
      <c r="BC536" s="3"/>
      <c r="BD536" s="3"/>
      <c r="BE536" s="3"/>
      <c r="BF536" s="3"/>
      <c r="BG536" s="3"/>
      <c r="BH536" s="3"/>
      <c r="BI536" s="3"/>
      <c r="BJ536" s="3"/>
      <c r="BK536" s="3"/>
      <c r="BL536" s="3"/>
      <c r="BM536" s="3"/>
      <c r="BN536" s="3" t="s">
        <v>2558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41"/>
      <c r="C537" s="1381"/>
      <c r="D537" s="1381"/>
      <c r="E537" s="1381"/>
      <c r="F537" s="1381"/>
      <c r="G537" s="1381"/>
      <c r="H537" s="1382"/>
      <c r="I537" t="s">
        <v>572</v>
      </c>
      <c r="AC537" s="1789">
        <v>11</v>
      </c>
      <c r="AD537" s="1738"/>
      <c r="AE537" s="1738"/>
      <c r="AF537" s="1738"/>
      <c r="AG537" s="13" t="s">
        <v>404</v>
      </c>
      <c r="AH537" s="1525">
        <v>2023</v>
      </c>
      <c r="AI537" s="1525"/>
      <c r="AJ537" s="1525"/>
      <c r="AK537" s="152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41"/>
      <c r="C538" s="1381"/>
      <c r="D538" s="1381"/>
      <c r="E538" s="1381"/>
      <c r="F538" s="1381"/>
      <c r="G538" s="1381"/>
      <c r="H538" s="1382"/>
      <c r="I538" t="s">
        <v>573</v>
      </c>
      <c r="AC538" s="1789">
        <v>5</v>
      </c>
      <c r="AD538" s="1738"/>
      <c r="AE538" s="1738"/>
      <c r="AF538" s="1738"/>
      <c r="AG538" s="38" t="s">
        <v>404</v>
      </c>
      <c r="AH538" s="1525">
        <v>2025</v>
      </c>
      <c r="AI538" s="1525"/>
      <c r="AJ538" s="1525"/>
      <c r="AK538" s="152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41"/>
      <c r="C539" s="1381"/>
      <c r="D539" s="1381"/>
      <c r="E539" s="1381"/>
      <c r="F539" s="1381"/>
      <c r="G539" s="1381"/>
      <c r="H539" s="1382"/>
      <c r="I539" t="s">
        <v>574</v>
      </c>
      <c r="AC539" s="1789">
        <v>11</v>
      </c>
      <c r="AD539" s="1738"/>
      <c r="AE539" s="1738"/>
      <c r="AF539" s="1738"/>
      <c r="AG539" s="38" t="s">
        <v>404</v>
      </c>
      <c r="AH539" s="1525">
        <v>2025</v>
      </c>
      <c r="AI539" s="1525"/>
      <c r="AJ539" s="1525"/>
      <c r="AK539" s="152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42"/>
      <c r="C540" s="1383"/>
      <c r="D540" s="1383"/>
      <c r="E540" s="1383"/>
      <c r="F540" s="1383"/>
      <c r="G540" s="1383"/>
      <c r="H540" s="1384"/>
      <c r="I540" s="48" t="s">
        <v>460</v>
      </c>
      <c r="J540" s="48"/>
      <c r="K540" s="48"/>
      <c r="L540" s="48"/>
      <c r="M540" s="48"/>
      <c r="N540" s="48"/>
      <c r="O540" s="48"/>
      <c r="P540" s="48"/>
      <c r="Q540" s="48"/>
      <c r="R540" s="48"/>
      <c r="S540" s="48"/>
      <c r="T540" s="48"/>
      <c r="U540" s="48"/>
      <c r="V540" s="48"/>
      <c r="W540" s="48"/>
      <c r="X540" s="48"/>
      <c r="Y540" s="48"/>
      <c r="Z540" s="48"/>
      <c r="AA540" s="48"/>
      <c r="AB540" s="48"/>
      <c r="AC540" s="1789">
        <v>12</v>
      </c>
      <c r="AD540" s="1738"/>
      <c r="AE540" s="1738"/>
      <c r="AF540" s="1738"/>
      <c r="AG540" s="38" t="s">
        <v>404</v>
      </c>
      <c r="AH540" s="1525">
        <v>2025</v>
      </c>
      <c r="AI540" s="1525"/>
      <c r="AJ540" s="1525"/>
      <c r="AK540" s="152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2" t="s">
        <v>552</v>
      </c>
      <c r="B542" s="1262"/>
      <c r="C542" s="1262"/>
      <c r="D542" s="1262"/>
      <c r="E542" s="1262"/>
      <c r="F542" s="1262"/>
      <c r="G542" s="1262"/>
      <c r="H542" s="1262"/>
      <c r="I542" s="1262"/>
      <c r="J542" s="1262"/>
      <c r="K542" s="1262"/>
      <c r="L542" s="1262"/>
      <c r="M542" s="1262"/>
      <c r="N542" s="1262"/>
      <c r="O542" s="1262"/>
      <c r="P542" s="1262"/>
      <c r="Q542" s="1262"/>
      <c r="R542" s="1262"/>
      <c r="S542" s="1262"/>
      <c r="T542" s="1262"/>
      <c r="U542" s="1262"/>
      <c r="V542" s="1262"/>
      <c r="W542" s="1262"/>
      <c r="X542" s="1262"/>
      <c r="Y542" s="1262"/>
      <c r="Z542" s="1262"/>
      <c r="AA542" s="1262"/>
      <c r="AB542" s="1262"/>
      <c r="AC542" s="1262"/>
      <c r="AD542" s="1262"/>
      <c r="AE542" s="1262"/>
      <c r="AF542" s="1262"/>
      <c r="AG542" s="1262"/>
      <c r="AH542" s="1262"/>
      <c r="AI542" s="1262"/>
      <c r="AJ542" s="1262"/>
      <c r="AK542" s="1262"/>
      <c r="AL542" s="1262"/>
      <c r="AM542" s="1262"/>
      <c r="AN542" s="1262"/>
      <c r="AO542" s="1262"/>
      <c r="AP542" s="1262"/>
      <c r="AQ542" s="1262"/>
      <c r="AR542" s="1262"/>
      <c r="AS542" s="1262"/>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2"/>
      <c r="B543" s="1262"/>
      <c r="C543" s="1262"/>
      <c r="D543" s="1262"/>
      <c r="E543" s="1262"/>
      <c r="F543" s="1262"/>
      <c r="G543" s="1262"/>
      <c r="H543" s="1262"/>
      <c r="I543" s="1262"/>
      <c r="J543" s="1262"/>
      <c r="K543" s="1262"/>
      <c r="L543" s="1262"/>
      <c r="M543" s="1262"/>
      <c r="N543" s="1262"/>
      <c r="O543" s="1262"/>
      <c r="P543" s="1262"/>
      <c r="Q543" s="1262"/>
      <c r="R543" s="1262"/>
      <c r="S543" s="1262"/>
      <c r="T543" s="1262"/>
      <c r="U543" s="1262"/>
      <c r="V543" s="1262"/>
      <c r="W543" s="1262"/>
      <c r="X543" s="1262"/>
      <c r="Y543" s="1262"/>
      <c r="Z543" s="1262"/>
      <c r="AA543" s="1262"/>
      <c r="AB543" s="1262"/>
      <c r="AC543" s="1262"/>
      <c r="AD543" s="1262"/>
      <c r="AE543" s="1262"/>
      <c r="AF543" s="1262"/>
      <c r="AG543" s="1262"/>
      <c r="AH543" s="1262"/>
      <c r="AI543" s="1262"/>
      <c r="AJ543" s="1262"/>
      <c r="AK543" s="1262"/>
      <c r="AL543" s="1262"/>
      <c r="AM543" s="1262"/>
      <c r="AN543" s="1262"/>
      <c r="AO543" s="1262"/>
      <c r="AP543" s="1262"/>
      <c r="AQ543" s="1262"/>
      <c r="AR543" s="1262"/>
      <c r="AS543" s="1262"/>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2530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0" t="s">
        <v>2532</v>
      </c>
      <c r="C549" s="1791"/>
      <c r="D549" s="1791"/>
      <c r="E549" s="1791"/>
      <c r="F549" s="1791"/>
      <c r="G549" s="1791"/>
      <c r="H549" s="1791"/>
      <c r="I549" s="1791"/>
      <c r="J549" s="1791"/>
      <c r="K549" s="1791"/>
      <c r="L549" s="1792"/>
      <c r="M549" s="1376" t="s">
        <v>2533</v>
      </c>
      <c r="N549" s="1376"/>
      <c r="O549" s="1376"/>
      <c r="P549" s="1376"/>
      <c r="Q549" s="1790" t="s">
        <v>2559</v>
      </c>
      <c r="R549" s="1791"/>
      <c r="S549" s="1792"/>
      <c r="T549" s="1790" t="s">
        <v>2560</v>
      </c>
      <c r="U549" s="1791"/>
      <c r="V549" s="1792"/>
      <c r="W549" s="1790" t="s">
        <v>462</v>
      </c>
      <c r="X549" s="1791"/>
      <c r="Y549" s="1792"/>
      <c r="Z549" s="1790" t="s">
        <v>2116</v>
      </c>
      <c r="AA549" s="1791"/>
      <c r="AB549" s="1791"/>
      <c r="AC549" s="1791"/>
      <c r="AD549" s="1791"/>
      <c r="AE549" s="1790" t="s">
        <v>1937</v>
      </c>
      <c r="AF549" s="1791"/>
      <c r="AG549" s="1791"/>
      <c r="AH549" s="1792"/>
      <c r="AI549" s="1790" t="s">
        <v>1938</v>
      </c>
      <c r="AJ549" s="1791"/>
      <c r="AK549" s="1791"/>
      <c r="AL549" s="1792"/>
      <c r="AM549" s="1790" t="s">
        <v>463</v>
      </c>
      <c r="AN549" s="1791"/>
      <c r="AO549" s="1791"/>
      <c r="AP549" s="1791"/>
      <c r="AQ549" s="1791"/>
      <c r="AR549" s="1791"/>
      <c r="AS549" s="1792"/>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64" t="s">
        <v>2733</v>
      </c>
      <c r="D550" s="1364"/>
      <c r="E550" s="1364"/>
      <c r="F550" s="1364"/>
      <c r="G550" s="1364"/>
      <c r="H550" s="1364"/>
      <c r="I550" s="1364"/>
      <c r="J550" s="1364"/>
      <c r="K550" s="1364"/>
      <c r="L550" s="1364"/>
      <c r="M550" s="1364" t="s">
        <v>2549</v>
      </c>
      <c r="N550" s="1364"/>
      <c r="O550" s="1364"/>
      <c r="P550" s="1364"/>
      <c r="Q550" s="1368">
        <v>24</v>
      </c>
      <c r="R550" s="1368"/>
      <c r="S550" s="1369"/>
      <c r="T550" s="1367"/>
      <c r="U550" s="1368"/>
      <c r="V550" s="1369"/>
      <c r="W550" s="1627">
        <v>6.5000000000000002E-2</v>
      </c>
      <c r="X550" s="1628"/>
      <c r="Y550" s="1629"/>
      <c r="Z550" s="1370" t="s">
        <v>2755</v>
      </c>
      <c r="AA550" s="1370"/>
      <c r="AB550" s="1370"/>
      <c r="AC550" s="1370"/>
      <c r="AD550" s="1370"/>
      <c r="AE550" s="1808">
        <v>1</v>
      </c>
      <c r="AF550" s="1809"/>
      <c r="AG550" s="1809"/>
      <c r="AH550" s="1810"/>
      <c r="AI550" s="1814"/>
      <c r="AJ550" s="1815"/>
      <c r="AK550" s="1815"/>
      <c r="AL550" s="1816"/>
      <c r="AM550" s="1811">
        <v>38763000</v>
      </c>
      <c r="AN550" s="1812"/>
      <c r="AO550" s="1812"/>
      <c r="AP550" s="1812"/>
      <c r="AQ550" s="1812"/>
      <c r="AR550" s="1812"/>
      <c r="AS550" s="1813"/>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64" t="s">
        <v>2734</v>
      </c>
      <c r="D551" s="1664"/>
      <c r="E551" s="1664"/>
      <c r="F551" s="1664"/>
      <c r="G551" s="1664"/>
      <c r="H551" s="1664"/>
      <c r="I551" s="1664"/>
      <c r="J551" s="1664"/>
      <c r="K551" s="1664"/>
      <c r="L551" s="1664"/>
      <c r="M551" s="1364" t="s">
        <v>2548</v>
      </c>
      <c r="N551" s="1364"/>
      <c r="O551" s="1364"/>
      <c r="P551" s="1364"/>
      <c r="Q551" s="1367">
        <v>24</v>
      </c>
      <c r="R551" s="1368"/>
      <c r="S551" s="1369"/>
      <c r="T551" s="1367"/>
      <c r="U551" s="1368"/>
      <c r="V551" s="1369"/>
      <c r="W551" s="1627">
        <v>6.7500000000000004E-2</v>
      </c>
      <c r="X551" s="1628"/>
      <c r="Y551" s="1629"/>
      <c r="Z551" s="1370" t="s">
        <v>2755</v>
      </c>
      <c r="AA551" s="1370"/>
      <c r="AB551" s="1370"/>
      <c r="AC551" s="1370"/>
      <c r="AD551" s="1370"/>
      <c r="AE551" s="1808">
        <v>1</v>
      </c>
      <c r="AF551" s="1809"/>
      <c r="AG551" s="1809"/>
      <c r="AH551" s="1810"/>
      <c r="AI551" s="1814"/>
      <c r="AJ551" s="1815"/>
      <c r="AK551" s="1815"/>
      <c r="AL551" s="1816"/>
      <c r="AM551" s="1811">
        <v>9433752</v>
      </c>
      <c r="AN551" s="1812"/>
      <c r="AO551" s="1812"/>
      <c r="AP551" s="1812"/>
      <c r="AQ551" s="1812"/>
      <c r="AR551" s="1812"/>
      <c r="AS551" s="1813"/>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64" t="s">
        <v>2749</v>
      </c>
      <c r="D552" s="1664"/>
      <c r="E552" s="1664"/>
      <c r="F552" s="1664"/>
      <c r="G552" s="1664"/>
      <c r="H552" s="1664"/>
      <c r="I552" s="1664"/>
      <c r="J552" s="1664"/>
      <c r="K552" s="1664"/>
      <c r="L552" s="1664"/>
      <c r="M552" s="1364" t="s">
        <v>2540</v>
      </c>
      <c r="N552" s="1364"/>
      <c r="O552" s="1364"/>
      <c r="P552" s="1364"/>
      <c r="Q552" s="1367">
        <v>24</v>
      </c>
      <c r="R552" s="1368"/>
      <c r="S552" s="1369"/>
      <c r="T552" s="1367"/>
      <c r="U552" s="1368"/>
      <c r="V552" s="1369"/>
      <c r="W552" s="1627"/>
      <c r="X552" s="1628"/>
      <c r="Y552" s="1629"/>
      <c r="Z552" s="1370" t="s">
        <v>1327</v>
      </c>
      <c r="AA552" s="1370"/>
      <c r="AB552" s="1370"/>
      <c r="AC552" s="1370"/>
      <c r="AD552" s="1370"/>
      <c r="AE552" s="1808"/>
      <c r="AF552" s="1809"/>
      <c r="AG552" s="1809"/>
      <c r="AH552" s="1810"/>
      <c r="AI552" s="1814"/>
      <c r="AJ552" s="1815"/>
      <c r="AK552" s="1815"/>
      <c r="AL552" s="1816"/>
      <c r="AM552" s="1811">
        <v>9942733</v>
      </c>
      <c r="AN552" s="1812"/>
      <c r="AO552" s="1812"/>
      <c r="AP552" s="1812"/>
      <c r="AQ552" s="1812"/>
      <c r="AR552" s="1812"/>
      <c r="AS552" s="1813"/>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664" t="s">
        <v>2714</v>
      </c>
      <c r="D553" s="1664"/>
      <c r="E553" s="1664"/>
      <c r="F553" s="1664"/>
      <c r="G553" s="1664"/>
      <c r="H553" s="1664"/>
      <c r="I553" s="1664"/>
      <c r="J553" s="1664"/>
      <c r="K553" s="1664"/>
      <c r="L553" s="1664"/>
      <c r="M553" s="1364" t="s">
        <v>2545</v>
      </c>
      <c r="N553" s="1364"/>
      <c r="O553" s="1364"/>
      <c r="P553" s="1364"/>
      <c r="Q553" s="1367">
        <v>24</v>
      </c>
      <c r="R553" s="1368"/>
      <c r="S553" s="1369"/>
      <c r="T553" s="1367"/>
      <c r="U553" s="1368"/>
      <c r="V553" s="1369"/>
      <c r="W553" s="1627">
        <v>0.03</v>
      </c>
      <c r="X553" s="1628"/>
      <c r="Y553" s="1629"/>
      <c r="Z553" s="1370" t="s">
        <v>2756</v>
      </c>
      <c r="AA553" s="1370"/>
      <c r="AB553" s="1370"/>
      <c r="AC553" s="1370"/>
      <c r="AD553" s="1370"/>
      <c r="AE553" s="1808">
        <v>2</v>
      </c>
      <c r="AF553" s="1809"/>
      <c r="AG553" s="1809"/>
      <c r="AH553" s="1810"/>
      <c r="AI553" s="1814"/>
      <c r="AJ553" s="1815"/>
      <c r="AK553" s="1815"/>
      <c r="AL553" s="1816"/>
      <c r="AM553" s="1811">
        <v>6000000</v>
      </c>
      <c r="AN553" s="1812"/>
      <c r="AO553" s="1812"/>
      <c r="AP553" s="1812"/>
      <c r="AQ553" s="1812"/>
      <c r="AR553" s="1812"/>
      <c r="AS553" s="1813"/>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664" t="s">
        <v>2710</v>
      </c>
      <c r="D554" s="1664"/>
      <c r="E554" s="1664"/>
      <c r="F554" s="1664"/>
      <c r="G554" s="1664"/>
      <c r="H554" s="1664"/>
      <c r="I554" s="1664"/>
      <c r="J554" s="1664"/>
      <c r="K554" s="1664"/>
      <c r="L554" s="1664"/>
      <c r="M554" s="1364" t="s">
        <v>2545</v>
      </c>
      <c r="N554" s="1364"/>
      <c r="O554" s="1364"/>
      <c r="P554" s="1364"/>
      <c r="Q554" s="1367">
        <v>24</v>
      </c>
      <c r="R554" s="1368"/>
      <c r="S554" s="1369"/>
      <c r="T554" s="1367"/>
      <c r="U554" s="1368"/>
      <c r="V554" s="1369"/>
      <c r="W554" s="1627">
        <v>0.03</v>
      </c>
      <c r="X554" s="1628"/>
      <c r="Y554" s="1629"/>
      <c r="Z554" s="1370" t="s">
        <v>2756</v>
      </c>
      <c r="AA554" s="1370"/>
      <c r="AB554" s="1370"/>
      <c r="AC554" s="1370"/>
      <c r="AD554" s="1370"/>
      <c r="AE554" s="1808">
        <v>3</v>
      </c>
      <c r="AF554" s="1809"/>
      <c r="AG554" s="1809"/>
      <c r="AH554" s="1810"/>
      <c r="AI554" s="1814"/>
      <c r="AJ554" s="1815"/>
      <c r="AK554" s="1815"/>
      <c r="AL554" s="1816"/>
      <c r="AM554" s="1811">
        <v>5000000</v>
      </c>
      <c r="AN554" s="1812"/>
      <c r="AO554" s="1812"/>
      <c r="AP554" s="1812"/>
      <c r="AQ554" s="1812"/>
      <c r="AR554" s="1812"/>
      <c r="AS554" s="1813"/>
      <c r="AT554" s="1201" t="str">
        <f t="shared" ref="AT554:AT561" si="2">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664" t="s">
        <v>2715</v>
      </c>
      <c r="D555" s="1664"/>
      <c r="E555" s="1664"/>
      <c r="F555" s="1664"/>
      <c r="G555" s="1664"/>
      <c r="H555" s="1664"/>
      <c r="I555" s="1664"/>
      <c r="J555" s="1664"/>
      <c r="K555" s="1664"/>
      <c r="L555" s="1664"/>
      <c r="M555" s="1364" t="s">
        <v>2535</v>
      </c>
      <c r="N555" s="1364"/>
      <c r="O555" s="1364"/>
      <c r="P555" s="1364"/>
      <c r="Q555" s="1367"/>
      <c r="R555" s="1368"/>
      <c r="S555" s="1369"/>
      <c r="T555" s="1367"/>
      <c r="U555" s="1368"/>
      <c r="V555" s="1369"/>
      <c r="W555" s="1627"/>
      <c r="X555" s="1628"/>
      <c r="Y555" s="1629"/>
      <c r="Z555" s="1370" t="s">
        <v>1327</v>
      </c>
      <c r="AA555" s="1370"/>
      <c r="AB555" s="1370"/>
      <c r="AC555" s="1370"/>
      <c r="AD555" s="1370"/>
      <c r="AE555" s="1808"/>
      <c r="AF555" s="1809"/>
      <c r="AG555" s="1809"/>
      <c r="AH555" s="1810"/>
      <c r="AI555" s="1814"/>
      <c r="AJ555" s="1815"/>
      <c r="AK555" s="1815"/>
      <c r="AL555" s="1816"/>
      <c r="AM555" s="1811">
        <v>391291</v>
      </c>
      <c r="AN555" s="1812"/>
      <c r="AO555" s="1812"/>
      <c r="AP555" s="1812"/>
      <c r="AQ555" s="1812"/>
      <c r="AR555" s="1812"/>
      <c r="AS555" s="1813"/>
      <c r="AT555" s="1201" t="str">
        <f t="shared" si="2"/>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664" t="s">
        <v>1923</v>
      </c>
      <c r="D556" s="1664"/>
      <c r="E556" s="1664"/>
      <c r="F556" s="1664"/>
      <c r="G556" s="1664"/>
      <c r="H556" s="1664"/>
      <c r="I556" s="1664"/>
      <c r="J556" s="1664"/>
      <c r="K556" s="1664"/>
      <c r="L556" s="1664"/>
      <c r="M556" s="1364" t="s">
        <v>2536</v>
      </c>
      <c r="N556" s="1364"/>
      <c r="O556" s="1364"/>
      <c r="P556" s="1364"/>
      <c r="Q556" s="1367"/>
      <c r="R556" s="1368"/>
      <c r="S556" s="1369"/>
      <c r="T556" s="1367"/>
      <c r="U556" s="1368"/>
      <c r="V556" s="1369"/>
      <c r="W556" s="1627"/>
      <c r="X556" s="1628"/>
      <c r="Y556" s="1629"/>
      <c r="Z556" s="1370" t="s">
        <v>1327</v>
      </c>
      <c r="AA556" s="1370"/>
      <c r="AB556" s="1370"/>
      <c r="AC556" s="1370"/>
      <c r="AD556" s="1370"/>
      <c r="AE556" s="1808"/>
      <c r="AF556" s="1809"/>
      <c r="AG556" s="1809"/>
      <c r="AH556" s="1810"/>
      <c r="AI556" s="1814"/>
      <c r="AJ556" s="1815"/>
      <c r="AK556" s="1815"/>
      <c r="AL556" s="1816"/>
      <c r="AM556" s="1811">
        <v>4869523</v>
      </c>
      <c r="AN556" s="1812"/>
      <c r="AO556" s="1812"/>
      <c r="AP556" s="1812"/>
      <c r="AQ556" s="1812"/>
      <c r="AR556" s="1812"/>
      <c r="AS556" s="1813"/>
      <c r="AT556" s="1201" t="str">
        <f t="shared" si="2"/>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664"/>
      <c r="D557" s="1664"/>
      <c r="E557" s="1664"/>
      <c r="F557" s="1664"/>
      <c r="G557" s="1664"/>
      <c r="H557" s="1664"/>
      <c r="I557" s="1664"/>
      <c r="J557" s="1664"/>
      <c r="K557" s="1664"/>
      <c r="L557" s="1664"/>
      <c r="M557" s="1364" t="s">
        <v>1327</v>
      </c>
      <c r="N557" s="1364"/>
      <c r="O557" s="1364"/>
      <c r="P557" s="1364"/>
      <c r="Q557" s="1367"/>
      <c r="R557" s="1368"/>
      <c r="S557" s="1369"/>
      <c r="T557" s="1367"/>
      <c r="U557" s="1368"/>
      <c r="V557" s="1369"/>
      <c r="W557" s="1627"/>
      <c r="X557" s="1628"/>
      <c r="Y557" s="1629"/>
      <c r="Z557" s="1370" t="s">
        <v>1327</v>
      </c>
      <c r="AA557" s="1370"/>
      <c r="AB557" s="1370"/>
      <c r="AC557" s="1370"/>
      <c r="AD557" s="1370"/>
      <c r="AE557" s="1808"/>
      <c r="AF557" s="1809"/>
      <c r="AG557" s="1809"/>
      <c r="AH557" s="1810"/>
      <c r="AI557" s="1814"/>
      <c r="AJ557" s="1815"/>
      <c r="AK557" s="1815"/>
      <c r="AL557" s="1816"/>
      <c r="AM557" s="1811"/>
      <c r="AN557" s="1812"/>
      <c r="AO557" s="1812"/>
      <c r="AP557" s="1812"/>
      <c r="AQ557" s="1812"/>
      <c r="AR557" s="1812"/>
      <c r="AS557" s="1813"/>
      <c r="AT557" s="1201" t="str">
        <f t="shared" si="2"/>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664"/>
      <c r="D558" s="1664"/>
      <c r="E558" s="1664"/>
      <c r="F558" s="1664"/>
      <c r="G558" s="1664"/>
      <c r="H558" s="1664"/>
      <c r="I558" s="1664"/>
      <c r="J558" s="1664"/>
      <c r="K558" s="1664"/>
      <c r="L558" s="1664"/>
      <c r="M558" s="1364" t="s">
        <v>1327</v>
      </c>
      <c r="N558" s="1364"/>
      <c r="O558" s="1364"/>
      <c r="P558" s="1364"/>
      <c r="Q558" s="1367"/>
      <c r="R558" s="1368"/>
      <c r="S558" s="1369"/>
      <c r="T558" s="1367"/>
      <c r="U558" s="1368"/>
      <c r="V558" s="1369"/>
      <c r="W558" s="1627"/>
      <c r="X558" s="1628"/>
      <c r="Y558" s="1629"/>
      <c r="Z558" s="1370" t="s">
        <v>1327</v>
      </c>
      <c r="AA558" s="1370"/>
      <c r="AB558" s="1370"/>
      <c r="AC558" s="1370"/>
      <c r="AD558" s="1370"/>
      <c r="AE558" s="1808"/>
      <c r="AF558" s="1809"/>
      <c r="AG558" s="1809"/>
      <c r="AH558" s="1810"/>
      <c r="AI558" s="1814"/>
      <c r="AJ558" s="1815"/>
      <c r="AK558" s="1815"/>
      <c r="AL558" s="1816"/>
      <c r="AM558" s="1811">
        <f>SUM(AM550:AS551)</f>
        <v>48196752</v>
      </c>
      <c r="AN558" s="1812"/>
      <c r="AO558" s="1812"/>
      <c r="AP558" s="1812"/>
      <c r="AQ558" s="1812"/>
      <c r="AR558" s="1812"/>
      <c r="AS558" s="1813"/>
      <c r="AT558" s="1201" t="str">
        <f t="shared" si="2"/>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664"/>
      <c r="D559" s="1664"/>
      <c r="E559" s="1664"/>
      <c r="F559" s="1664"/>
      <c r="G559" s="1664"/>
      <c r="H559" s="1664"/>
      <c r="I559" s="1664"/>
      <c r="J559" s="1664"/>
      <c r="K559" s="1664"/>
      <c r="L559" s="1664"/>
      <c r="M559" s="1364" t="s">
        <v>1327</v>
      </c>
      <c r="N559" s="1364"/>
      <c r="O559" s="1364"/>
      <c r="P559" s="1364"/>
      <c r="Q559" s="1367"/>
      <c r="R559" s="1368"/>
      <c r="S559" s="1369"/>
      <c r="T559" s="1367"/>
      <c r="U559" s="1368"/>
      <c r="V559" s="1369"/>
      <c r="W559" s="1627"/>
      <c r="X559" s="1628"/>
      <c r="Y559" s="1629"/>
      <c r="Z559" s="1370" t="s">
        <v>1327</v>
      </c>
      <c r="AA559" s="1370"/>
      <c r="AB559" s="1370"/>
      <c r="AC559" s="1370"/>
      <c r="AD559" s="1370"/>
      <c r="AE559" s="1808"/>
      <c r="AF559" s="1809"/>
      <c r="AG559" s="1809"/>
      <c r="AH559" s="1810"/>
      <c r="AI559" s="1814"/>
      <c r="AJ559" s="1815"/>
      <c r="AK559" s="1815"/>
      <c r="AL559" s="1816"/>
      <c r="AM559" s="1811"/>
      <c r="AN559" s="1812"/>
      <c r="AO559" s="1812"/>
      <c r="AP559" s="1812"/>
      <c r="AQ559" s="1812"/>
      <c r="AR559" s="1812"/>
      <c r="AS559" s="1813"/>
      <c r="AT559" s="1201" t="str">
        <f t="shared" si="2"/>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363</v>
      </c>
      <c r="C560" s="1664"/>
      <c r="D560" s="1664"/>
      <c r="E560" s="1664"/>
      <c r="F560" s="1664"/>
      <c r="G560" s="1664"/>
      <c r="H560" s="1664"/>
      <c r="I560" s="1664"/>
      <c r="J560" s="1664"/>
      <c r="K560" s="1664"/>
      <c r="L560" s="1664"/>
      <c r="M560" s="1364" t="s">
        <v>1327</v>
      </c>
      <c r="N560" s="1364"/>
      <c r="O560" s="1364"/>
      <c r="P560" s="1364"/>
      <c r="Q560" s="1367"/>
      <c r="R560" s="1368"/>
      <c r="S560" s="1369"/>
      <c r="T560" s="1367"/>
      <c r="U560" s="1368"/>
      <c r="V560" s="1369"/>
      <c r="W560" s="1627"/>
      <c r="X560" s="1628"/>
      <c r="Y560" s="1629"/>
      <c r="Z560" s="1370" t="s">
        <v>1327</v>
      </c>
      <c r="AA560" s="1370"/>
      <c r="AB560" s="1370"/>
      <c r="AC560" s="1370"/>
      <c r="AD560" s="1370"/>
      <c r="AE560" s="1808"/>
      <c r="AF560" s="1809"/>
      <c r="AG560" s="1809"/>
      <c r="AH560" s="1810"/>
      <c r="AI560" s="1814"/>
      <c r="AJ560" s="1815"/>
      <c r="AK560" s="1815"/>
      <c r="AL560" s="1816"/>
      <c r="AM560" s="1811"/>
      <c r="AN560" s="1812"/>
      <c r="AO560" s="1812"/>
      <c r="AP560" s="1812"/>
      <c r="AQ560" s="1812"/>
      <c r="AR560" s="1812"/>
      <c r="AS560" s="1813"/>
      <c r="AT560" s="1201" t="str">
        <f t="shared" si="2"/>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364</v>
      </c>
      <c r="C561" s="1664"/>
      <c r="D561" s="1664"/>
      <c r="E561" s="1664"/>
      <c r="F561" s="1664"/>
      <c r="G561" s="1664"/>
      <c r="H561" s="1664"/>
      <c r="I561" s="1664"/>
      <c r="J561" s="1664"/>
      <c r="K561" s="1664"/>
      <c r="L561" s="1664"/>
      <c r="M561" s="1364" t="s">
        <v>1327</v>
      </c>
      <c r="N561" s="1364"/>
      <c r="O561" s="1364"/>
      <c r="P561" s="1364"/>
      <c r="Q561" s="1367"/>
      <c r="R561" s="1368"/>
      <c r="S561" s="1369"/>
      <c r="T561" s="1367"/>
      <c r="U561" s="1368"/>
      <c r="V561" s="1369"/>
      <c r="W561" s="1627"/>
      <c r="X561" s="1628"/>
      <c r="Y561" s="1629"/>
      <c r="Z561" s="1370" t="s">
        <v>1327</v>
      </c>
      <c r="AA561" s="1370"/>
      <c r="AB561" s="1370"/>
      <c r="AC561" s="1370"/>
      <c r="AD561" s="1370"/>
      <c r="AE561" s="1808"/>
      <c r="AF561" s="1809"/>
      <c r="AG561" s="1809"/>
      <c r="AH561" s="1810"/>
      <c r="AI561" s="1814"/>
      <c r="AJ561" s="1815"/>
      <c r="AK561" s="1815"/>
      <c r="AL561" s="1816"/>
      <c r="AM561" s="1811"/>
      <c r="AN561" s="1812"/>
      <c r="AO561" s="1812"/>
      <c r="AP561" s="1812"/>
      <c r="AQ561" s="1812"/>
      <c r="AR561" s="1812"/>
      <c r="AS561" s="1813"/>
      <c r="AT561" s="1201" t="str">
        <f t="shared" si="2"/>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85" t="s">
        <v>128</v>
      </c>
      <c r="C562" s="1586"/>
      <c r="D562" s="1586"/>
      <c r="E562" s="1586"/>
      <c r="F562" s="1586"/>
      <c r="G562" s="1586"/>
      <c r="H562" s="1586"/>
      <c r="I562" s="1586"/>
      <c r="J562" s="1586"/>
      <c r="K562" s="1586"/>
      <c r="L562" s="1586"/>
      <c r="M562" s="1586"/>
      <c r="N562" s="1586"/>
      <c r="O562" s="1586"/>
      <c r="P562" s="1586"/>
      <c r="Q562" s="1586"/>
      <c r="R562" s="1586"/>
      <c r="S562" s="1586"/>
      <c r="T562" s="1586"/>
      <c r="U562" s="1746"/>
      <c r="V562" s="1586"/>
      <c r="W562" s="1586"/>
      <c r="X562" s="1586"/>
      <c r="Y562" s="1586"/>
      <c r="Z562" s="1586"/>
      <c r="AA562" s="1586"/>
      <c r="AB562" s="1586"/>
      <c r="AC562" s="1586"/>
      <c r="AD562" s="1586"/>
      <c r="AE562" s="1586"/>
      <c r="AF562" s="1586"/>
      <c r="AG562" s="1586"/>
      <c r="AH562" s="1586"/>
      <c r="AI562" s="1586"/>
      <c r="AJ562" s="1586"/>
      <c r="AK562" s="1586"/>
      <c r="AL562" s="1587"/>
      <c r="AM562" s="1595">
        <f>SUM(AM550:AS561)</f>
        <v>122597051</v>
      </c>
      <c r="AN562" s="1596"/>
      <c r="AO562" s="1596"/>
      <c r="AP562" s="1596"/>
      <c r="AQ562" s="1596"/>
      <c r="AR562" s="1596"/>
      <c r="AS562" s="159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356" t="str">
        <f>C550</f>
        <v>PNC Bank - Tax Exempt Construction Loan</v>
      </c>
      <c r="H564" s="1356"/>
      <c r="I564" s="1356"/>
      <c r="J564" s="1356"/>
      <c r="K564" s="1356"/>
      <c r="L564" s="1356"/>
      <c r="M564" s="1356"/>
      <c r="N564" s="1356"/>
      <c r="O564" s="1356"/>
      <c r="P564" s="1356"/>
      <c r="Q564" s="1356"/>
      <c r="R564" s="1356"/>
      <c r="S564" s="8"/>
      <c r="T564" s="55" t="s">
        <v>114</v>
      </c>
      <c r="U564" t="s">
        <v>472</v>
      </c>
      <c r="Z564" s="1356" t="str">
        <f>C551</f>
        <v>PNC Bank - Taxable Tail</v>
      </c>
      <c r="AA564" s="1356"/>
      <c r="AB564" s="1356"/>
      <c r="AC564" s="1356"/>
      <c r="AD564" s="1356"/>
      <c r="AE564" s="1356"/>
      <c r="AF564" s="1356"/>
      <c r="AG564" s="1356"/>
      <c r="AH564" s="1356"/>
      <c r="AI564" s="1356"/>
      <c r="AJ564" s="1356"/>
      <c r="AK564" s="1356"/>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71" t="s">
        <v>2731</v>
      </c>
      <c r="H565" s="1357"/>
      <c r="I565" s="1357"/>
      <c r="J565" s="1357"/>
      <c r="K565" s="1357"/>
      <c r="L565" s="1357"/>
      <c r="M565" s="1357"/>
      <c r="N565" s="1357"/>
      <c r="O565" s="1357"/>
      <c r="P565" s="1357"/>
      <c r="Q565" s="1357"/>
      <c r="R565" s="1357"/>
      <c r="S565" s="8"/>
      <c r="T565" s="22"/>
      <c r="U565" t="s">
        <v>86</v>
      </c>
      <c r="Z565" s="1357" t="str">
        <f>G565</f>
        <v>One PNC Plaza, 249 Fifth Avenue</v>
      </c>
      <c r="AA565" s="1357"/>
      <c r="AB565" s="1357"/>
      <c r="AC565" s="1357"/>
      <c r="AD565" s="1357"/>
      <c r="AE565" s="1357"/>
      <c r="AF565" s="1357"/>
      <c r="AG565" s="1357"/>
      <c r="AH565" s="1357"/>
      <c r="AI565" s="1357"/>
      <c r="AJ565" s="1357"/>
      <c r="AK565" s="1357"/>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71" t="s">
        <v>2732</v>
      </c>
      <c r="H566" s="1357"/>
      <c r="I566" s="1357"/>
      <c r="J566" s="1357"/>
      <c r="K566" s="1357"/>
      <c r="L566" s="1357"/>
      <c r="M566" s="1357"/>
      <c r="N566" s="1357"/>
      <c r="O566" s="1357"/>
      <c r="P566" s="1357"/>
      <c r="Q566" s="1357"/>
      <c r="R566" s="1357"/>
      <c r="T566" s="22"/>
      <c r="U566" t="s">
        <v>589</v>
      </c>
      <c r="Z566" s="1366" t="str">
        <f>G566</f>
        <v>Pittsburgh, Pennsylvania 15222-27073</v>
      </c>
      <c r="AA566" s="1366"/>
      <c r="AB566" s="1366"/>
      <c r="AC566" s="1366"/>
      <c r="AD566" s="1366"/>
      <c r="AE566" s="1366"/>
      <c r="AF566" s="1366"/>
      <c r="AG566" s="1366"/>
      <c r="AH566" s="1366"/>
      <c r="AI566" s="1366"/>
      <c r="AJ566" s="1366"/>
      <c r="AK566" s="1366"/>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71" t="s">
        <v>2730</v>
      </c>
      <c r="H567" s="1357"/>
      <c r="I567" s="1357"/>
      <c r="J567" s="1357"/>
      <c r="K567" s="1357"/>
      <c r="L567" s="1357"/>
      <c r="M567" s="1357"/>
      <c r="N567" s="1357"/>
      <c r="O567" s="1357"/>
      <c r="P567" s="1357"/>
      <c r="Q567" s="1357"/>
      <c r="R567" s="1357"/>
      <c r="S567" s="8"/>
      <c r="T567" s="22"/>
      <c r="U567" t="s">
        <v>17</v>
      </c>
      <c r="Z567" s="1366" t="str">
        <f>G567</f>
        <v>Michael Gaber</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317</v>
      </c>
      <c r="G568" s="1359" t="s">
        <v>2737</v>
      </c>
      <c r="H568" s="1360"/>
      <c r="I568" s="1360"/>
      <c r="J568" s="1360"/>
      <c r="K568" s="1360"/>
      <c r="L568" s="1360"/>
      <c r="O568" s="33" t="s">
        <v>207</v>
      </c>
      <c r="P568" s="1355"/>
      <c r="Q568" s="1355"/>
      <c r="R568" s="1355"/>
      <c r="S568" s="10"/>
      <c r="T568" s="22"/>
      <c r="U568" t="s">
        <v>317</v>
      </c>
      <c r="Z568" s="1359" t="s">
        <v>2737</v>
      </c>
      <c r="AA568" s="1360"/>
      <c r="AB568" s="1360"/>
      <c r="AC568" s="1360"/>
      <c r="AD568" s="1360"/>
      <c r="AE568" s="1360"/>
      <c r="AH568" s="33" t="s">
        <v>207</v>
      </c>
      <c r="AI568" s="1355"/>
      <c r="AJ568" s="1355"/>
      <c r="AK568" s="135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71" t="s">
        <v>2713</v>
      </c>
      <c r="I569" s="1357"/>
      <c r="J569" s="1357"/>
      <c r="K569" s="1357"/>
      <c r="L569" s="1357"/>
      <c r="M569" s="1357"/>
      <c r="N569" s="1357"/>
      <c r="O569" s="1357"/>
      <c r="P569" s="1357"/>
      <c r="Q569" s="1357"/>
      <c r="R569" s="1357"/>
      <c r="S569" s="8"/>
      <c r="T569" s="22"/>
      <c r="U569" t="s">
        <v>18</v>
      </c>
      <c r="AA569" s="1371" t="s">
        <v>2736</v>
      </c>
      <c r="AB569" s="1357"/>
      <c r="AC569" s="1357"/>
      <c r="AD569" s="1357"/>
      <c r="AE569" s="1357"/>
      <c r="AF569" s="1357"/>
      <c r="AG569" s="1357"/>
      <c r="AH569" s="1357"/>
      <c r="AI569" s="1357"/>
      <c r="AJ569" s="1357"/>
      <c r="AK569" s="135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666" t="s">
        <v>2735</v>
      </c>
      <c r="N570" s="1667"/>
      <c r="O570" s="1667"/>
      <c r="P570" s="1667"/>
      <c r="Q570" s="1667"/>
      <c r="R570" s="1667"/>
      <c r="S570" s="8"/>
      <c r="T570" s="22"/>
      <c r="U570" s="349" t="s">
        <v>1328</v>
      </c>
      <c r="AA570" s="8"/>
      <c r="AB570" s="8"/>
      <c r="AC570" s="8"/>
      <c r="AD570" s="8"/>
      <c r="AE570" s="8"/>
      <c r="AF570" s="1666" t="s">
        <v>2735</v>
      </c>
      <c r="AG570" s="1667"/>
      <c r="AH570" s="1667"/>
      <c r="AI570" s="1667"/>
      <c r="AJ570" s="1667"/>
      <c r="AK570" s="166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8" t="s">
        <v>554</v>
      </c>
      <c r="O571" s="1358"/>
      <c r="T571" s="22"/>
      <c r="U571" t="s">
        <v>20</v>
      </c>
      <c r="AG571" s="1358" t="s">
        <v>554</v>
      </c>
      <c r="AH571" s="135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356" t="str">
        <f>C552</f>
        <v>PNC Bank - Investor's Equity</v>
      </c>
      <c r="H573" s="1356"/>
      <c r="I573" s="1356"/>
      <c r="J573" s="1356"/>
      <c r="K573" s="1356"/>
      <c r="L573" s="1356"/>
      <c r="M573" s="1356"/>
      <c r="N573" s="1356"/>
      <c r="O573" s="1356"/>
      <c r="P573" s="1356"/>
      <c r="Q573" s="1356"/>
      <c r="R573" s="1356"/>
      <c r="T573" s="55" t="s">
        <v>590</v>
      </c>
      <c r="U573" t="s">
        <v>472</v>
      </c>
      <c r="Z573" s="1356" t="str">
        <f>C553</f>
        <v>Palm Desert Housing Authority</v>
      </c>
      <c r="AA573" s="1356"/>
      <c r="AB573" s="1356"/>
      <c r="AC573" s="1356"/>
      <c r="AD573" s="1356"/>
      <c r="AE573" s="1356"/>
      <c r="AF573" s="1356"/>
      <c r="AG573" s="1356"/>
      <c r="AH573" s="1356"/>
      <c r="AI573" s="1356"/>
      <c r="AJ573" s="1356"/>
      <c r="AK573" s="135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7" t="str">
        <f>G565</f>
        <v>One PNC Plaza, 249 Fifth Avenue</v>
      </c>
      <c r="H574" s="1357"/>
      <c r="I574" s="1357"/>
      <c r="J574" s="1357"/>
      <c r="K574" s="1357"/>
      <c r="L574" s="1357"/>
      <c r="M574" s="1357"/>
      <c r="N574" s="1357"/>
      <c r="O574" s="1357"/>
      <c r="P574" s="1357"/>
      <c r="Q574" s="1357"/>
      <c r="R574" s="1357"/>
      <c r="T574" s="22"/>
      <c r="U574" t="s">
        <v>86</v>
      </c>
      <c r="Z574" s="1371" t="s">
        <v>2631</v>
      </c>
      <c r="AA574" s="1357"/>
      <c r="AB574" s="1357"/>
      <c r="AC574" s="1357"/>
      <c r="AD574" s="1357"/>
      <c r="AE574" s="1357"/>
      <c r="AF574" s="1357"/>
      <c r="AG574" s="1357"/>
      <c r="AH574" s="1357"/>
      <c r="AI574" s="1357"/>
      <c r="AJ574" s="1357"/>
      <c r="AK574" s="135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6" t="str">
        <f>G566</f>
        <v>Pittsburgh, Pennsylvania 15222-27073</v>
      </c>
      <c r="H575" s="1366"/>
      <c r="I575" s="1366"/>
      <c r="J575" s="1366"/>
      <c r="K575" s="1366"/>
      <c r="L575" s="1366"/>
      <c r="M575" s="1366"/>
      <c r="N575" s="1366"/>
      <c r="O575" s="1366"/>
      <c r="P575" s="1366"/>
      <c r="Q575" s="1366"/>
      <c r="R575" s="1366"/>
      <c r="T575" s="22"/>
      <c r="U575" t="s">
        <v>589</v>
      </c>
      <c r="Z575" s="1365" t="s">
        <v>2738</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tr">
        <f>G567</f>
        <v>Michael Gaber</v>
      </c>
      <c r="H576" s="1366"/>
      <c r="I576" s="1366"/>
      <c r="J576" s="1366"/>
      <c r="K576" s="1366"/>
      <c r="L576" s="1366"/>
      <c r="M576" s="1366"/>
      <c r="N576" s="1366"/>
      <c r="O576" s="1366"/>
      <c r="P576" s="1366"/>
      <c r="Q576" s="1366"/>
      <c r="R576" s="1366"/>
      <c r="T576" s="22"/>
      <c r="U576" t="s">
        <v>17</v>
      </c>
      <c r="Z576" s="1366"/>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317</v>
      </c>
      <c r="G577" s="1360" t="str">
        <f>G568</f>
        <v>michael.gaber@pnc.com</v>
      </c>
      <c r="H577" s="1360"/>
      <c r="I577" s="1360"/>
      <c r="J577" s="1360"/>
      <c r="K577" s="1360"/>
      <c r="L577" s="1360"/>
      <c r="O577" s="33" t="s">
        <v>207</v>
      </c>
      <c r="P577" s="1355"/>
      <c r="Q577" s="1355"/>
      <c r="R577" s="1355"/>
      <c r="T577" s="22"/>
      <c r="U577" t="s">
        <v>317</v>
      </c>
      <c r="Z577" s="1359" t="s">
        <v>2739</v>
      </c>
      <c r="AA577" s="1360"/>
      <c r="AB577" s="1360"/>
      <c r="AC577" s="1360"/>
      <c r="AD577" s="1360"/>
      <c r="AE577" s="1360"/>
      <c r="AH577" s="33" t="s">
        <v>207</v>
      </c>
      <c r="AI577" s="1355"/>
      <c r="AJ577" s="1355"/>
      <c r="AK577" s="135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71" t="s">
        <v>2750</v>
      </c>
      <c r="I578" s="1357"/>
      <c r="J578" s="1357"/>
      <c r="K578" s="1357"/>
      <c r="L578" s="1357"/>
      <c r="M578" s="1357"/>
      <c r="N578" s="1357"/>
      <c r="O578" s="1357"/>
      <c r="P578" s="1357"/>
      <c r="Q578" s="1357"/>
      <c r="R578" s="1357"/>
      <c r="T578" s="22"/>
      <c r="U578" t="s">
        <v>18</v>
      </c>
      <c r="AA578" s="1371" t="s">
        <v>2740</v>
      </c>
      <c r="AB578" s="1357"/>
      <c r="AC578" s="1357"/>
      <c r="AD578" s="1357"/>
      <c r="AE578" s="1357"/>
      <c r="AF578" s="1357"/>
      <c r="AG578" s="1357"/>
      <c r="AH578" s="1357"/>
      <c r="AI578" s="1357"/>
      <c r="AJ578" s="1357"/>
      <c r="AK578" s="135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8" t="s">
        <v>554</v>
      </c>
      <c r="O579" s="1358"/>
      <c r="T579" s="22"/>
      <c r="U579" t="s">
        <v>20</v>
      </c>
      <c r="AG579" s="1358" t="s">
        <v>554</v>
      </c>
      <c r="AH579" s="135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356" t="str">
        <f>C554</f>
        <v>Riverside County Loan</v>
      </c>
      <c r="H581" s="1356"/>
      <c r="I581" s="1356"/>
      <c r="J581" s="1356"/>
      <c r="K581" s="1356"/>
      <c r="L581" s="1356"/>
      <c r="M581" s="1356"/>
      <c r="N581" s="1356"/>
      <c r="O581" s="1356"/>
      <c r="P581" s="1356"/>
      <c r="Q581" s="1356"/>
      <c r="R581" s="1356"/>
      <c r="T581" s="55" t="s">
        <v>593</v>
      </c>
      <c r="U581" t="s">
        <v>472</v>
      </c>
      <c r="Z581" s="1356" t="str">
        <f>C555</f>
        <v>Deferred Reserves</v>
      </c>
      <c r="AA581" s="1356"/>
      <c r="AB581" s="1356"/>
      <c r="AC581" s="1356"/>
      <c r="AD581" s="1356"/>
      <c r="AE581" s="1356"/>
      <c r="AF581" s="1356"/>
      <c r="AG581" s="1356"/>
      <c r="AH581" s="1356"/>
      <c r="AI581" s="1356"/>
      <c r="AJ581" s="1356"/>
      <c r="AK581" s="135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71" t="s">
        <v>2741</v>
      </c>
      <c r="H582" s="1357"/>
      <c r="I582" s="1357"/>
      <c r="J582" s="1357"/>
      <c r="K582" s="1357"/>
      <c r="L582" s="1357"/>
      <c r="M582" s="1357"/>
      <c r="N582" s="1357"/>
      <c r="O582" s="1357"/>
      <c r="P582" s="1357"/>
      <c r="Q582" s="1357"/>
      <c r="R582" s="1357"/>
      <c r="T582" s="22"/>
      <c r="U582" t="s">
        <v>86</v>
      </c>
      <c r="Z582" s="1357" t="str">
        <f>H287</f>
        <v>100 Pacifica Ste. 203</v>
      </c>
      <c r="AA582" s="1357"/>
      <c r="AB582" s="1357"/>
      <c r="AC582" s="1357"/>
      <c r="AD582" s="1357"/>
      <c r="AE582" s="1357"/>
      <c r="AF582" s="1357"/>
      <c r="AG582" s="1357"/>
      <c r="AH582" s="1357"/>
      <c r="AI582" s="1357"/>
      <c r="AJ582" s="1357"/>
      <c r="AK582" s="135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71" t="s">
        <v>2742</v>
      </c>
      <c r="H583" s="1357"/>
      <c r="I583" s="1357"/>
      <c r="J583" s="1357"/>
      <c r="K583" s="1357"/>
      <c r="L583" s="1357"/>
      <c r="M583" s="1357"/>
      <c r="N583" s="1357"/>
      <c r="O583" s="1357"/>
      <c r="P583" s="1357"/>
      <c r="Q583" s="1357"/>
      <c r="R583" s="1357"/>
      <c r="T583" s="22"/>
      <c r="U583" t="s">
        <v>589</v>
      </c>
      <c r="Z583" s="1366" t="str">
        <f>H288</f>
        <v>Irvine, CA 92618</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71" t="s">
        <v>2751</v>
      </c>
      <c r="H584" s="1357"/>
      <c r="I584" s="1357"/>
      <c r="J584" s="1357"/>
      <c r="K584" s="1357"/>
      <c r="L584" s="1357"/>
      <c r="M584" s="1357"/>
      <c r="N584" s="1357"/>
      <c r="O584" s="1357"/>
      <c r="P584" s="1357"/>
      <c r="Q584" s="1357"/>
      <c r="R584" s="1357"/>
      <c r="T584" s="22"/>
      <c r="U584" t="s">
        <v>17</v>
      </c>
      <c r="Z584" s="1366" t="str">
        <f>H289</f>
        <v>Mitch Slagerman</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317</v>
      </c>
      <c r="G585" s="1359" t="s">
        <v>2752</v>
      </c>
      <c r="H585" s="1360"/>
      <c r="I585" s="1360"/>
      <c r="J585" s="1360"/>
      <c r="K585" s="1360"/>
      <c r="L585" s="1360"/>
      <c r="O585" s="33" t="s">
        <v>207</v>
      </c>
      <c r="P585" s="1355"/>
      <c r="Q585" s="1355"/>
      <c r="R585" s="1355"/>
      <c r="T585" s="22"/>
      <c r="U585" t="s">
        <v>317</v>
      </c>
      <c r="Z585" s="1360" t="str">
        <f>H290</f>
        <v>(951)204-5049</v>
      </c>
      <c r="AA585" s="1360"/>
      <c r="AB585" s="1360"/>
      <c r="AC585" s="1360"/>
      <c r="AD585" s="1360"/>
      <c r="AE585" s="1360"/>
      <c r="AH585" s="33" t="s">
        <v>207</v>
      </c>
      <c r="AI585" s="1355"/>
      <c r="AJ585" s="1355"/>
      <c r="AK585" s="135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71" t="s">
        <v>2740</v>
      </c>
      <c r="I586" s="1357"/>
      <c r="J586" s="1357"/>
      <c r="K586" s="1357"/>
      <c r="L586" s="1357"/>
      <c r="M586" s="1357"/>
      <c r="N586" s="1357"/>
      <c r="O586" s="1357"/>
      <c r="P586" s="1357"/>
      <c r="Q586" s="1357"/>
      <c r="R586" s="1357"/>
      <c r="T586" s="22"/>
      <c r="U586" t="s">
        <v>18</v>
      </c>
      <c r="AA586" s="1371" t="s">
        <v>2715</v>
      </c>
      <c r="AB586" s="1357"/>
      <c r="AC586" s="1357"/>
      <c r="AD586" s="1357"/>
      <c r="AE586" s="1357"/>
      <c r="AF586" s="1357"/>
      <c r="AG586" s="1357"/>
      <c r="AH586" s="1357"/>
      <c r="AI586" s="1357"/>
      <c r="AJ586" s="1357"/>
      <c r="AK586" s="135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8" t="s">
        <v>554</v>
      </c>
      <c r="O587" s="1358"/>
      <c r="T587" s="22"/>
      <c r="U587" t="s">
        <v>20</v>
      </c>
      <c r="AG587" s="1358" t="s">
        <v>554</v>
      </c>
      <c r="AH587" s="1358"/>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356" t="str">
        <f>C556</f>
        <v>Deferred Developer Fee</v>
      </c>
      <c r="H589" s="1356"/>
      <c r="I589" s="1356"/>
      <c r="J589" s="1356"/>
      <c r="K589" s="1356"/>
      <c r="L589" s="1356"/>
      <c r="M589" s="1356"/>
      <c r="N589" s="1356"/>
      <c r="O589" s="1356"/>
      <c r="P589" s="1356"/>
      <c r="Q589" s="1356"/>
      <c r="R589" s="1356"/>
      <c r="T589" s="55" t="s">
        <v>465</v>
      </c>
      <c r="U589" t="s">
        <v>472</v>
      </c>
      <c r="Z589" s="1356">
        <f>C557</f>
        <v>0</v>
      </c>
      <c r="AA589" s="1356"/>
      <c r="AB589" s="1356"/>
      <c r="AC589" s="1356"/>
      <c r="AD589" s="1356"/>
      <c r="AE589" s="1356"/>
      <c r="AF589" s="1356"/>
      <c r="AG589" s="1356"/>
      <c r="AH589" s="1356"/>
      <c r="AI589" s="1356"/>
      <c r="AJ589" s="1356"/>
      <c r="AK589" s="135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7" t="str">
        <f>Z582</f>
        <v>100 Pacifica Ste. 203</v>
      </c>
      <c r="H590" s="1357"/>
      <c r="I590" s="1357"/>
      <c r="J590" s="1357"/>
      <c r="K590" s="1357"/>
      <c r="L590" s="1357"/>
      <c r="M590" s="1357"/>
      <c r="N590" s="1357"/>
      <c r="O590" s="1357"/>
      <c r="P590" s="1357"/>
      <c r="Q590" s="1357"/>
      <c r="R590" s="1357"/>
      <c r="T590" s="22"/>
      <c r="U590" t="s">
        <v>86</v>
      </c>
      <c r="Z590" s="1357"/>
      <c r="AA590" s="1357"/>
      <c r="AB590" s="1357"/>
      <c r="AC590" s="1357"/>
      <c r="AD590" s="1357"/>
      <c r="AE590" s="1357"/>
      <c r="AF590" s="1357"/>
      <c r="AG590" s="1357"/>
      <c r="AH590" s="1357"/>
      <c r="AI590" s="1357"/>
      <c r="AJ590" s="1357"/>
      <c r="AK590" s="135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57" t="str">
        <f>Z583</f>
        <v>Irvine, CA 92618</v>
      </c>
      <c r="H591" s="1357"/>
      <c r="I591" s="1357"/>
      <c r="J591" s="1357"/>
      <c r="K591" s="1357"/>
      <c r="L591" s="1357"/>
      <c r="M591" s="1357"/>
      <c r="N591" s="1357"/>
      <c r="O591" s="1357"/>
      <c r="P591" s="1357"/>
      <c r="Q591" s="1357"/>
      <c r="R591" s="1357"/>
      <c r="T591" s="22"/>
      <c r="U591" t="s">
        <v>589</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7" t="str">
        <f>Z584</f>
        <v>Mitch Slagerman</v>
      </c>
      <c r="H592" s="1357"/>
      <c r="I592" s="1357"/>
      <c r="J592" s="1357"/>
      <c r="K592" s="1357"/>
      <c r="L592" s="1357"/>
      <c r="M592" s="1357"/>
      <c r="N592" s="1357"/>
      <c r="O592" s="1357"/>
      <c r="P592" s="1357"/>
      <c r="Q592" s="1357"/>
      <c r="R592" s="1357"/>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317</v>
      </c>
      <c r="C593"/>
      <c r="D593"/>
      <c r="E593"/>
      <c r="F593"/>
      <c r="G593" s="1360" t="str">
        <f>Z585</f>
        <v>(951)204-5049</v>
      </c>
      <c r="H593" s="1360"/>
      <c r="I593" s="1360"/>
      <c r="J593" s="1360"/>
      <c r="K593" s="1360"/>
      <c r="L593" s="1360"/>
      <c r="M593"/>
      <c r="N593"/>
      <c r="O593" s="33" t="s">
        <v>207</v>
      </c>
      <c r="P593" s="1355"/>
      <c r="Q593" s="1355"/>
      <c r="R593" s="1355"/>
      <c r="S593"/>
      <c r="T593" s="22"/>
      <c r="U593" t="s">
        <v>317</v>
      </c>
      <c r="V593"/>
      <c r="W593"/>
      <c r="X593"/>
      <c r="Y593"/>
      <c r="Z593" s="1360"/>
      <c r="AA593" s="1360"/>
      <c r="AB593" s="1360"/>
      <c r="AC593" s="1360"/>
      <c r="AD593" s="1360"/>
      <c r="AE593" s="1360"/>
      <c r="AF593"/>
      <c r="AG593"/>
      <c r="AH593" s="33" t="s">
        <v>207</v>
      </c>
      <c r="AI593" s="1355"/>
      <c r="AJ593" s="1355"/>
      <c r="AK593" s="1355"/>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71" t="s">
        <v>1923</v>
      </c>
      <c r="I594" s="1357"/>
      <c r="J594" s="1357"/>
      <c r="K594" s="1357"/>
      <c r="L594" s="1357"/>
      <c r="M594" s="1357"/>
      <c r="N594" s="1357"/>
      <c r="O594" s="1357"/>
      <c r="P594" s="1357"/>
      <c r="Q594" s="1357"/>
      <c r="R594" s="1357"/>
      <c r="S594"/>
      <c r="T594" s="22"/>
      <c r="U594" t="s">
        <v>18</v>
      </c>
      <c r="V594"/>
      <c r="W594"/>
      <c r="X594"/>
      <c r="Y594"/>
      <c r="Z594"/>
      <c r="AA594" s="1357"/>
      <c r="AB594" s="1357"/>
      <c r="AC594" s="1357"/>
      <c r="AD594" s="1357"/>
      <c r="AE594" s="1357"/>
      <c r="AF594" s="1357"/>
      <c r="AG594" s="1357"/>
      <c r="AH594" s="1357"/>
      <c r="AI594" s="1357"/>
      <c r="AJ594" s="1357"/>
      <c r="AK594" s="135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8" t="s">
        <v>554</v>
      </c>
      <c r="O595" s="1358"/>
      <c r="P595"/>
      <c r="Q595"/>
      <c r="R595"/>
      <c r="S595"/>
      <c r="T595" s="22"/>
      <c r="U595" t="s">
        <v>20</v>
      </c>
      <c r="V595"/>
      <c r="W595"/>
      <c r="X595"/>
      <c r="Y595"/>
      <c r="Z595"/>
      <c r="AA595"/>
      <c r="AB595"/>
      <c r="AC595"/>
      <c r="AD595"/>
      <c r="AE595"/>
      <c r="AF595"/>
      <c r="AG595" s="1358" t="s">
        <v>678</v>
      </c>
      <c r="AH595" s="1358"/>
      <c r="AI595"/>
      <c r="AJ595"/>
      <c r="AK595"/>
      <c r="AL595"/>
      <c r="AM595"/>
      <c r="AN595"/>
      <c r="AO595"/>
      <c r="AP595"/>
      <c r="AQ595"/>
      <c r="AR595"/>
      <c r="AS595"/>
      <c r="AT595"/>
      <c r="AU595"/>
      <c r="AV595"/>
      <c r="AW595"/>
      <c r="AX595"/>
      <c r="AY595"/>
      <c r="BA595" s="4" t="s">
        <v>325</v>
      </c>
      <c r="BB595" s="3"/>
      <c r="BC595" s="3"/>
      <c r="BD595" s="3"/>
      <c r="BE595" s="121" t="s">
        <v>483</v>
      </c>
      <c r="BF595" s="122"/>
      <c r="BG595" s="1435"/>
      <c r="BH595" s="1436"/>
      <c r="BI595" s="121" t="s">
        <v>484</v>
      </c>
      <c r="BJ595" s="122"/>
      <c r="BK595" s="1435"/>
      <c r="BL595" s="1436"/>
      <c r="BM595" s="3"/>
      <c r="BN595" s="1482" t="s">
        <v>642</v>
      </c>
      <c r="BO595" s="1483"/>
      <c r="BP595" s="1483"/>
      <c r="BQ595" s="1483"/>
      <c r="BR595" s="1484"/>
      <c r="BS595" s="1447" t="s">
        <v>326</v>
      </c>
      <c r="BT595" s="1447"/>
      <c r="BU595" s="1447"/>
      <c r="BV595" s="1447"/>
      <c r="BW595" s="1447"/>
      <c r="BX595" s="1447" t="s">
        <v>164</v>
      </c>
      <c r="BY595" s="1447"/>
      <c r="BZ595" s="1447"/>
      <c r="CA595" s="1447"/>
      <c r="CB595" s="1447"/>
      <c r="CC595" s="1447" t="s">
        <v>165</v>
      </c>
      <c r="CD595" s="1447"/>
      <c r="CE595" s="1447"/>
      <c r="CF595" s="1447"/>
      <c r="CG595" s="1447"/>
      <c r="CH595" s="1447" t="s">
        <v>469</v>
      </c>
      <c r="CI595" s="1447"/>
      <c r="CJ595" s="1447"/>
      <c r="CK595" s="1447"/>
      <c r="CL595" s="1447"/>
      <c r="CM595" s="1447" t="s">
        <v>30</v>
      </c>
      <c r="CN595" s="1447"/>
      <c r="CO595" s="1447"/>
      <c r="CP595" s="1447"/>
      <c r="CQ595" s="1447"/>
      <c r="CR595" s="89"/>
      <c r="CS595" s="1447" t="s">
        <v>642</v>
      </c>
      <c r="CT595" s="1447"/>
      <c r="CU595" s="1447"/>
      <c r="CV595" s="1447"/>
      <c r="CW595" s="1447"/>
      <c r="CX595" s="1447" t="s">
        <v>326</v>
      </c>
      <c r="CY595" s="1447"/>
      <c r="CZ595" s="1447"/>
      <c r="DA595" s="1447"/>
      <c r="DB595" s="1447"/>
      <c r="DC595" s="1447" t="s">
        <v>164</v>
      </c>
      <c r="DD595" s="1447"/>
      <c r="DE595" s="1447"/>
      <c r="DF595" s="1447"/>
      <c r="DG595" s="1447"/>
      <c r="DH595" s="1447" t="s">
        <v>165</v>
      </c>
      <c r="DI595" s="1447"/>
      <c r="DJ595" s="1447"/>
      <c r="DK595" s="1447"/>
      <c r="DL595" s="1447"/>
      <c r="DM595" s="1447" t="s">
        <v>469</v>
      </c>
      <c r="DN595" s="1447"/>
      <c r="DO595" s="1447"/>
      <c r="DP595" s="1447"/>
      <c r="DQ595" s="1447"/>
      <c r="DR595" s="1447" t="s">
        <v>30</v>
      </c>
      <c r="DS595" s="1447"/>
      <c r="DT595" s="1447"/>
      <c r="DU595" s="1447"/>
      <c r="DV595" s="1447"/>
      <c r="DX595" s="1447" t="s">
        <v>642</v>
      </c>
      <c r="DY595" s="1447"/>
      <c r="DZ595" s="1447"/>
      <c r="EA595" s="1447"/>
      <c r="EB595" s="1447"/>
      <c r="EC595" s="1447" t="s">
        <v>326</v>
      </c>
      <c r="ED595" s="1447"/>
      <c r="EE595" s="1447"/>
      <c r="EF595" s="1447"/>
      <c r="EG595" s="1447"/>
      <c r="EH595" s="1447" t="s">
        <v>164</v>
      </c>
      <c r="EI595" s="1447"/>
      <c r="EJ595" s="1447"/>
      <c r="EK595" s="1447"/>
      <c r="EL595" s="1447"/>
      <c r="EM595" s="1447" t="s">
        <v>165</v>
      </c>
      <c r="EN595" s="1447"/>
      <c r="EO595" s="1447"/>
      <c r="EP595" s="1447"/>
      <c r="EQ595" s="1447"/>
      <c r="ER595" s="1447" t="s">
        <v>469</v>
      </c>
      <c r="ES595" s="1447"/>
      <c r="ET595" s="1447"/>
      <c r="EU595" s="1447"/>
      <c r="EV595" s="1447"/>
      <c r="EW595" s="1447" t="s">
        <v>30</v>
      </c>
      <c r="EX595" s="1447"/>
      <c r="EY595" s="1447"/>
      <c r="EZ595" s="1447"/>
      <c r="FA595" s="1447"/>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22">
        <f t="shared" ref="BE596:BE620" si="3">IF(AND(AC714&lt;=0.5,AC714&gt;=0.36),1,0)</f>
        <v>0</v>
      </c>
      <c r="BF596" s="1424"/>
      <c r="BG596" s="1435">
        <f t="shared" ref="BG596:BG620" si="4">IF(BE596=1,G714,0)</f>
        <v>0</v>
      </c>
      <c r="BH596" s="1436"/>
      <c r="BI596" s="1422">
        <f t="shared" ref="BI596:BI620" si="5">IF(AND(AC714&lt;=0.35,AC714&gt;0),1,0)</f>
        <v>1</v>
      </c>
      <c r="BJ596" s="1424"/>
      <c r="BK596" s="1435">
        <f t="shared" ref="BK596:BK620" si="6">IF(BI596=1,G714,0)</f>
        <v>13</v>
      </c>
      <c r="BL596" s="1436"/>
      <c r="BM596" s="3"/>
      <c r="BN596" s="1416">
        <f t="shared" ref="BN596:BN620" si="7">IF(B714="SRO/Studio",G714,0)</f>
        <v>0</v>
      </c>
      <c r="BO596" s="1417"/>
      <c r="BP596" s="1417"/>
      <c r="BQ596" s="1417"/>
      <c r="BR596" s="1418"/>
      <c r="BS596" s="1425">
        <f t="shared" ref="BS596:BS620" si="8">IF(B714="1 Bedroom",G714,0)</f>
        <v>13</v>
      </c>
      <c r="BT596" s="1425"/>
      <c r="BU596" s="1425"/>
      <c r="BV596" s="1425"/>
      <c r="BW596" s="1425"/>
      <c r="BX596" s="1425">
        <f t="shared" ref="BX596:BX620" si="9">IF(B714="2 Bedrooms",G714,0)</f>
        <v>0</v>
      </c>
      <c r="BY596" s="1425"/>
      <c r="BZ596" s="1425"/>
      <c r="CA596" s="1425"/>
      <c r="CB596" s="1425"/>
      <c r="CC596" s="1425">
        <f t="shared" ref="CC596:CC620" si="10">IF(B714="3 Bedrooms",G714,0)</f>
        <v>0</v>
      </c>
      <c r="CD596" s="1425"/>
      <c r="CE596" s="1425"/>
      <c r="CF596" s="1425"/>
      <c r="CG596" s="1425"/>
      <c r="CH596" s="1425">
        <f t="shared" ref="CH596:CH620" si="11">IF(B714="4 Bedrooms",G714,0)</f>
        <v>0</v>
      </c>
      <c r="CI596" s="1425"/>
      <c r="CJ596" s="1425"/>
      <c r="CK596" s="1425"/>
      <c r="CL596" s="1425"/>
      <c r="CM596" s="1425">
        <f t="shared" ref="CM596:CM620" si="12">IF(B714="5 Bedrooms",G714,0)</f>
        <v>0</v>
      </c>
      <c r="CN596" s="1425"/>
      <c r="CO596" s="1425"/>
      <c r="CP596" s="1425"/>
      <c r="CQ596" s="1425"/>
      <c r="CR596" s="6"/>
      <c r="CS596" s="1426">
        <f t="shared" ref="CS596:CS620" si="13">IF(AND(B714="SRO/Studio",AC714&lt;=0.3),G714,0)</f>
        <v>0</v>
      </c>
      <c r="CT596" s="1426"/>
      <c r="CU596" s="1426"/>
      <c r="CV596" s="1426"/>
      <c r="CW596" s="1426"/>
      <c r="CX596" s="1426">
        <f t="shared" ref="CX596:CX620" si="14">IF(AND(B714="1 Bedroom",AC714&lt;=0.3),G714,0)</f>
        <v>13</v>
      </c>
      <c r="CY596" s="1426"/>
      <c r="CZ596" s="1426"/>
      <c r="DA596" s="1426"/>
      <c r="DB596" s="1426"/>
      <c r="DC596" s="1426">
        <f t="shared" ref="DC596:DC620" si="15">IF(AND(B714="2 Bedrooms",AC714&lt;=0.3),G714,0)</f>
        <v>0</v>
      </c>
      <c r="DD596" s="1426"/>
      <c r="DE596" s="1426"/>
      <c r="DF596" s="1426"/>
      <c r="DG596" s="1426"/>
      <c r="DH596" s="1426">
        <f t="shared" ref="DH596:DH620" si="16">IF(AND(B714="3 Bedrooms",AC714&lt;=0.3),G714,0)</f>
        <v>0</v>
      </c>
      <c r="DI596" s="1426"/>
      <c r="DJ596" s="1426"/>
      <c r="DK596" s="1426"/>
      <c r="DL596" s="1426"/>
      <c r="DM596" s="1426">
        <f t="shared" ref="DM596:DM620" si="17">IF(AND(B714="4 Bedrooms",AC714&lt;=0.3),G714,0)</f>
        <v>0</v>
      </c>
      <c r="DN596" s="1426"/>
      <c r="DO596" s="1426"/>
      <c r="DP596" s="1426"/>
      <c r="DQ596" s="1426"/>
      <c r="DR596" s="1426">
        <f t="shared" ref="DR596:DR620" si="18">IF(AND(B714="5 Bedrooms",AC714&lt;=0.3),G714,0)</f>
        <v>0</v>
      </c>
      <c r="DS596" s="1426"/>
      <c r="DT596" s="1426"/>
      <c r="DU596" s="1426"/>
      <c r="DV596" s="1426"/>
      <c r="DX596" s="1422" t="str">
        <f t="shared" ref="DX596:DX620" si="19">IF(BN596&gt;0,O714," ")</f>
        <v xml:space="preserve"> </v>
      </c>
      <c r="DY596" s="1423"/>
      <c r="DZ596" s="1423"/>
      <c r="EA596" s="1423"/>
      <c r="EB596" s="1424"/>
      <c r="EC596" s="1422">
        <f t="shared" ref="EC596:EC620" si="20">IF(BS596&gt;0,O714," ")</f>
        <v>416</v>
      </c>
      <c r="ED596" s="1423"/>
      <c r="EE596" s="1423"/>
      <c r="EF596" s="1423"/>
      <c r="EG596" s="1424"/>
      <c r="EH596" s="1422" t="str">
        <f t="shared" ref="EH596:EH620" si="21">IF(BX596&gt;0,O714," ")</f>
        <v xml:space="preserve"> </v>
      </c>
      <c r="EI596" s="1423"/>
      <c r="EJ596" s="1423"/>
      <c r="EK596" s="1423"/>
      <c r="EL596" s="1424"/>
      <c r="EM596" s="1422" t="str">
        <f t="shared" ref="EM596:EM620" si="22">IF(CC596&gt;0,O714," ")</f>
        <v xml:space="preserve"> </v>
      </c>
      <c r="EN596" s="1423"/>
      <c r="EO596" s="1423"/>
      <c r="EP596" s="1423"/>
      <c r="EQ596" s="1424"/>
      <c r="ER596" s="1422" t="str">
        <f t="shared" ref="ER596:ER620" si="23">IF(CH596&gt;0,O714," ")</f>
        <v xml:space="preserve"> </v>
      </c>
      <c r="ES596" s="1423"/>
      <c r="ET596" s="1423"/>
      <c r="EU596" s="1423"/>
      <c r="EV596" s="1424"/>
      <c r="EW596" s="1422" t="str">
        <f t="shared" ref="EW596:EW620" si="24">IF(CM596&gt;0,O714," ")</f>
        <v xml:space="preserve"> </v>
      </c>
      <c r="EX596" s="1423"/>
      <c r="EY596" s="1423"/>
      <c r="EZ596" s="1423"/>
      <c r="FA596" s="1424"/>
    </row>
    <row r="597" spans="1:157" s="4" customFormat="1" ht="12.95" customHeight="1">
      <c r="A597" s="55" t="s">
        <v>470</v>
      </c>
      <c r="B597" t="s">
        <v>472</v>
      </c>
      <c r="C597"/>
      <c r="D597"/>
      <c r="E597"/>
      <c r="F597"/>
      <c r="G597" s="1356">
        <f>C558</f>
        <v>0</v>
      </c>
      <c r="H597" s="1356"/>
      <c r="I597" s="1356"/>
      <c r="J597" s="1356"/>
      <c r="K597" s="1356"/>
      <c r="L597" s="1356"/>
      <c r="M597" s="1356"/>
      <c r="N597" s="1356"/>
      <c r="O597" s="1356"/>
      <c r="P597" s="1356"/>
      <c r="Q597" s="1356"/>
      <c r="R597" s="1356"/>
      <c r="S597"/>
      <c r="T597" s="55" t="s">
        <v>655</v>
      </c>
      <c r="U597" t="s">
        <v>472</v>
      </c>
      <c r="V597"/>
      <c r="W597"/>
      <c r="X597"/>
      <c r="Y597"/>
      <c r="Z597" s="1356">
        <f>C559</f>
        <v>0</v>
      </c>
      <c r="AA597" s="1356"/>
      <c r="AB597" s="1356"/>
      <c r="AC597" s="1356"/>
      <c r="AD597" s="1356"/>
      <c r="AE597" s="1356"/>
      <c r="AF597" s="1356"/>
      <c r="AG597" s="1356"/>
      <c r="AH597" s="1356"/>
      <c r="AI597" s="1356"/>
      <c r="AJ597" s="1356"/>
      <c r="AK597" s="1356"/>
      <c r="AL597"/>
      <c r="AM597"/>
      <c r="AN597"/>
      <c r="AO597"/>
      <c r="AP597"/>
      <c r="AQ597"/>
      <c r="AR597"/>
      <c r="AS597"/>
      <c r="AT597"/>
      <c r="AU597"/>
      <c r="AV597"/>
      <c r="AW597"/>
      <c r="AX597"/>
      <c r="AY597"/>
      <c r="BA597" s="4" t="s">
        <v>164</v>
      </c>
      <c r="BB597" s="3"/>
      <c r="BC597" s="3"/>
      <c r="BD597" s="3"/>
      <c r="BE597" s="1422">
        <f t="shared" si="3"/>
        <v>0</v>
      </c>
      <c r="BF597" s="1424"/>
      <c r="BG597" s="1435">
        <f t="shared" si="4"/>
        <v>0</v>
      </c>
      <c r="BH597" s="1436"/>
      <c r="BI597" s="1422">
        <f t="shared" si="5"/>
        <v>1</v>
      </c>
      <c r="BJ597" s="1424"/>
      <c r="BK597" s="1435">
        <f t="shared" si="6"/>
        <v>2</v>
      </c>
      <c r="BL597" s="1436"/>
      <c r="BM597" s="3"/>
      <c r="BN597" s="1416">
        <f t="shared" si="7"/>
        <v>0</v>
      </c>
      <c r="BO597" s="1417"/>
      <c r="BP597" s="1417"/>
      <c r="BQ597" s="1417"/>
      <c r="BR597" s="1418"/>
      <c r="BS597" s="1425">
        <f t="shared" si="8"/>
        <v>2</v>
      </c>
      <c r="BT597" s="1425"/>
      <c r="BU597" s="1425"/>
      <c r="BV597" s="1425"/>
      <c r="BW597" s="1425"/>
      <c r="BX597" s="1425">
        <f t="shared" si="9"/>
        <v>0</v>
      </c>
      <c r="BY597" s="1425"/>
      <c r="BZ597" s="1425"/>
      <c r="CA597" s="1425"/>
      <c r="CB597" s="1425"/>
      <c r="CC597" s="1425">
        <f t="shared" si="10"/>
        <v>0</v>
      </c>
      <c r="CD597" s="1425"/>
      <c r="CE597" s="1425"/>
      <c r="CF597" s="1425"/>
      <c r="CG597" s="1425"/>
      <c r="CH597" s="1425">
        <f t="shared" si="11"/>
        <v>0</v>
      </c>
      <c r="CI597" s="1425"/>
      <c r="CJ597" s="1425"/>
      <c r="CK597" s="1425"/>
      <c r="CL597" s="1425"/>
      <c r="CM597" s="1425">
        <f t="shared" si="12"/>
        <v>0</v>
      </c>
      <c r="CN597" s="1425"/>
      <c r="CO597" s="1425"/>
      <c r="CP597" s="1425"/>
      <c r="CQ597" s="1425"/>
      <c r="CR597" s="6"/>
      <c r="CS597" s="1426">
        <f t="shared" si="13"/>
        <v>0</v>
      </c>
      <c r="CT597" s="1426"/>
      <c r="CU597" s="1426"/>
      <c r="CV597" s="1426"/>
      <c r="CW597" s="1426"/>
      <c r="CX597" s="1426">
        <f t="shared" si="14"/>
        <v>2</v>
      </c>
      <c r="CY597" s="1426"/>
      <c r="CZ597" s="1426"/>
      <c r="DA597" s="1426"/>
      <c r="DB597" s="1426"/>
      <c r="DC597" s="1426">
        <f t="shared" si="15"/>
        <v>0</v>
      </c>
      <c r="DD597" s="1426"/>
      <c r="DE597" s="1426"/>
      <c r="DF597" s="1426"/>
      <c r="DG597" s="1426"/>
      <c r="DH597" s="1426">
        <f t="shared" si="16"/>
        <v>0</v>
      </c>
      <c r="DI597" s="1426"/>
      <c r="DJ597" s="1426"/>
      <c r="DK597" s="1426"/>
      <c r="DL597" s="1426"/>
      <c r="DM597" s="1426">
        <f t="shared" si="17"/>
        <v>0</v>
      </c>
      <c r="DN597" s="1426"/>
      <c r="DO597" s="1426"/>
      <c r="DP597" s="1426"/>
      <c r="DQ597" s="1426"/>
      <c r="DR597" s="1426">
        <f t="shared" si="18"/>
        <v>0</v>
      </c>
      <c r="DS597" s="1426"/>
      <c r="DT597" s="1426"/>
      <c r="DU597" s="1426"/>
      <c r="DV597" s="1426"/>
      <c r="DX597" s="1422" t="str">
        <f t="shared" si="19"/>
        <v xml:space="preserve"> </v>
      </c>
      <c r="DY597" s="1423"/>
      <c r="DZ597" s="1423"/>
      <c r="EA597" s="1423"/>
      <c r="EB597" s="1424"/>
      <c r="EC597" s="1422">
        <f t="shared" si="20"/>
        <v>416</v>
      </c>
      <c r="ED597" s="1423"/>
      <c r="EE597" s="1423"/>
      <c r="EF597" s="1423"/>
      <c r="EG597" s="1424"/>
      <c r="EH597" s="1422" t="str">
        <f t="shared" si="21"/>
        <v xml:space="preserve"> </v>
      </c>
      <c r="EI597" s="1423"/>
      <c r="EJ597" s="1423"/>
      <c r="EK597" s="1423"/>
      <c r="EL597" s="1424"/>
      <c r="EM597" s="1422" t="str">
        <f t="shared" si="22"/>
        <v xml:space="preserve"> </v>
      </c>
      <c r="EN597" s="1423"/>
      <c r="EO597" s="1423"/>
      <c r="EP597" s="1423"/>
      <c r="EQ597" s="1424"/>
      <c r="ER597" s="1422" t="str">
        <f t="shared" si="23"/>
        <v xml:space="preserve"> </v>
      </c>
      <c r="ES597" s="1423"/>
      <c r="ET597" s="1423"/>
      <c r="EU597" s="1423"/>
      <c r="EV597" s="1424"/>
      <c r="EW597" s="1422" t="str">
        <f t="shared" si="24"/>
        <v xml:space="preserve"> </v>
      </c>
      <c r="EX597" s="1423"/>
      <c r="EY597" s="1423"/>
      <c r="EZ597" s="1423"/>
      <c r="FA597" s="1424"/>
    </row>
    <row r="598" spans="1:157" ht="12.95" customHeight="1">
      <c r="A598" s="22"/>
      <c r="B598" t="s">
        <v>86</v>
      </c>
      <c r="G598" s="1357"/>
      <c r="H598" s="1357"/>
      <c r="I598" s="1357"/>
      <c r="J598" s="1357"/>
      <c r="K598" s="1357"/>
      <c r="L598" s="1357"/>
      <c r="M598" s="1357"/>
      <c r="N598" s="1357"/>
      <c r="O598" s="1357"/>
      <c r="P598" s="1357"/>
      <c r="Q598" s="1357"/>
      <c r="R598" s="1357"/>
      <c r="T598" s="22"/>
      <c r="U598" t="s">
        <v>86</v>
      </c>
      <c r="Z598" s="1357"/>
      <c r="AA598" s="1357"/>
      <c r="AB598" s="1357"/>
      <c r="AC598" s="1357"/>
      <c r="AD598" s="1357"/>
      <c r="AE598" s="1357"/>
      <c r="AF598" s="1357"/>
      <c r="AG598" s="1357"/>
      <c r="AH598" s="1357"/>
      <c r="AI598" s="1357"/>
      <c r="AJ598" s="1357"/>
      <c r="AK598" s="1357"/>
      <c r="BA598" s="4" t="s">
        <v>165</v>
      </c>
      <c r="BB598" s="3"/>
      <c r="BC598" s="3"/>
      <c r="BD598" s="3"/>
      <c r="BE598" s="1422">
        <f t="shared" si="3"/>
        <v>0</v>
      </c>
      <c r="BF598" s="1424"/>
      <c r="BG598" s="1435">
        <f t="shared" si="4"/>
        <v>0</v>
      </c>
      <c r="BH598" s="1436"/>
      <c r="BI598" s="1422">
        <f t="shared" si="5"/>
        <v>1</v>
      </c>
      <c r="BJ598" s="1424"/>
      <c r="BK598" s="1435">
        <f t="shared" si="6"/>
        <v>21</v>
      </c>
      <c r="BL598" s="1436"/>
      <c r="BM598" s="3"/>
      <c r="BN598" s="1416">
        <f t="shared" si="7"/>
        <v>0</v>
      </c>
      <c r="BO598" s="1417"/>
      <c r="BP598" s="1417"/>
      <c r="BQ598" s="1417"/>
      <c r="BR598" s="1418"/>
      <c r="BS598" s="1425">
        <f t="shared" si="8"/>
        <v>0</v>
      </c>
      <c r="BT598" s="1425"/>
      <c r="BU598" s="1425"/>
      <c r="BV598" s="1425"/>
      <c r="BW598" s="1425"/>
      <c r="BX598" s="1425">
        <f t="shared" si="9"/>
        <v>21</v>
      </c>
      <c r="BY598" s="1425"/>
      <c r="BZ598" s="1425"/>
      <c r="CA598" s="1425"/>
      <c r="CB598" s="1425"/>
      <c r="CC598" s="1425">
        <f t="shared" si="10"/>
        <v>0</v>
      </c>
      <c r="CD598" s="1425"/>
      <c r="CE598" s="1425"/>
      <c r="CF598" s="1425"/>
      <c r="CG598" s="1425"/>
      <c r="CH598" s="1425">
        <f t="shared" si="11"/>
        <v>0</v>
      </c>
      <c r="CI598" s="1425"/>
      <c r="CJ598" s="1425"/>
      <c r="CK598" s="1425"/>
      <c r="CL598" s="1425"/>
      <c r="CM598" s="1425">
        <f t="shared" si="12"/>
        <v>0</v>
      </c>
      <c r="CN598" s="1425"/>
      <c r="CO598" s="1425"/>
      <c r="CP598" s="1425"/>
      <c r="CQ598" s="1425"/>
      <c r="CR598" s="6"/>
      <c r="CS598" s="1426">
        <f t="shared" si="13"/>
        <v>0</v>
      </c>
      <c r="CT598" s="1426"/>
      <c r="CU598" s="1426"/>
      <c r="CV598" s="1426"/>
      <c r="CW598" s="1426"/>
      <c r="CX598" s="1426">
        <f t="shared" si="14"/>
        <v>0</v>
      </c>
      <c r="CY598" s="1426"/>
      <c r="CZ598" s="1426"/>
      <c r="DA598" s="1426"/>
      <c r="DB598" s="1426"/>
      <c r="DC598" s="1426">
        <f t="shared" si="15"/>
        <v>21</v>
      </c>
      <c r="DD598" s="1426"/>
      <c r="DE598" s="1426"/>
      <c r="DF598" s="1426"/>
      <c r="DG598" s="1426"/>
      <c r="DH598" s="1426">
        <f t="shared" si="16"/>
        <v>0</v>
      </c>
      <c r="DI598" s="1426"/>
      <c r="DJ598" s="1426"/>
      <c r="DK598" s="1426"/>
      <c r="DL598" s="1426"/>
      <c r="DM598" s="1426">
        <f t="shared" si="17"/>
        <v>0</v>
      </c>
      <c r="DN598" s="1426"/>
      <c r="DO598" s="1426"/>
      <c r="DP598" s="1426"/>
      <c r="DQ598" s="1426"/>
      <c r="DR598" s="1426">
        <f t="shared" si="18"/>
        <v>0</v>
      </c>
      <c r="DS598" s="1426"/>
      <c r="DT598" s="1426"/>
      <c r="DU598" s="1426"/>
      <c r="DV598" s="1426"/>
      <c r="DX598" s="1422" t="str">
        <f t="shared" si="19"/>
        <v xml:space="preserve"> </v>
      </c>
      <c r="DY598" s="1423"/>
      <c r="DZ598" s="1423"/>
      <c r="EA598" s="1423"/>
      <c r="EB598" s="1424"/>
      <c r="EC598" s="1422" t="str">
        <f t="shared" si="20"/>
        <v xml:space="preserve"> </v>
      </c>
      <c r="ED598" s="1423"/>
      <c r="EE598" s="1423"/>
      <c r="EF598" s="1423"/>
      <c r="EG598" s="1424"/>
      <c r="EH598" s="1422">
        <f t="shared" si="21"/>
        <v>488</v>
      </c>
      <c r="EI598" s="1423"/>
      <c r="EJ598" s="1423"/>
      <c r="EK598" s="1423"/>
      <c r="EL598" s="1424"/>
      <c r="EM598" s="1422" t="str">
        <f t="shared" si="22"/>
        <v xml:space="preserve"> </v>
      </c>
      <c r="EN598" s="1423"/>
      <c r="EO598" s="1423"/>
      <c r="EP598" s="1423"/>
      <c r="EQ598" s="1424"/>
      <c r="ER598" s="1422" t="str">
        <f t="shared" si="23"/>
        <v xml:space="preserve"> </v>
      </c>
      <c r="ES598" s="1423"/>
      <c r="ET598" s="1423"/>
      <c r="EU598" s="1423"/>
      <c r="EV598" s="1424"/>
      <c r="EW598" s="1422" t="str">
        <f t="shared" si="24"/>
        <v xml:space="preserve"> </v>
      </c>
      <c r="EX598" s="1423"/>
      <c r="EY598" s="1423"/>
      <c r="EZ598" s="1423"/>
      <c r="FA598" s="1424"/>
    </row>
    <row r="599" spans="1:157" ht="12.95" customHeight="1">
      <c r="A599" s="22"/>
      <c r="B599" t="s">
        <v>589</v>
      </c>
      <c r="G599" s="1357"/>
      <c r="H599" s="1357"/>
      <c r="I599" s="1357"/>
      <c r="J599" s="1357"/>
      <c r="K599" s="1357"/>
      <c r="L599" s="1357"/>
      <c r="M599" s="1357"/>
      <c r="N599" s="1357"/>
      <c r="O599" s="1357"/>
      <c r="P599" s="1357"/>
      <c r="Q599" s="1357"/>
      <c r="R599" s="1357"/>
      <c r="T599" s="22"/>
      <c r="U599" t="s">
        <v>589</v>
      </c>
      <c r="Z599" s="1366"/>
      <c r="AA599" s="1366"/>
      <c r="AB599" s="1366"/>
      <c r="AC599" s="1366"/>
      <c r="AD599" s="1366"/>
      <c r="AE599" s="1366"/>
      <c r="AF599" s="1366"/>
      <c r="AG599" s="1366"/>
      <c r="AH599" s="1366"/>
      <c r="AI599" s="1366"/>
      <c r="AJ599" s="1366"/>
      <c r="AK599" s="1366"/>
      <c r="BA599" s="4" t="s">
        <v>166</v>
      </c>
      <c r="BB599" s="3"/>
      <c r="BC599" s="3"/>
      <c r="BD599" s="3"/>
      <c r="BE599" s="1422">
        <f t="shared" si="3"/>
        <v>0</v>
      </c>
      <c r="BF599" s="1424"/>
      <c r="BG599" s="1435">
        <f t="shared" si="4"/>
        <v>0</v>
      </c>
      <c r="BH599" s="1436"/>
      <c r="BI599" s="1422">
        <f t="shared" si="5"/>
        <v>0</v>
      </c>
      <c r="BJ599" s="1424"/>
      <c r="BK599" s="1435">
        <f t="shared" si="6"/>
        <v>0</v>
      </c>
      <c r="BL599" s="1436"/>
      <c r="BM599" s="3"/>
      <c r="BN599" s="1416">
        <f t="shared" si="7"/>
        <v>0</v>
      </c>
      <c r="BO599" s="1417"/>
      <c r="BP599" s="1417"/>
      <c r="BQ599" s="1417"/>
      <c r="BR599" s="1418"/>
      <c r="BS599" s="1425">
        <f t="shared" si="8"/>
        <v>0</v>
      </c>
      <c r="BT599" s="1425"/>
      <c r="BU599" s="1425"/>
      <c r="BV599" s="1425"/>
      <c r="BW599" s="1425"/>
      <c r="BX599" s="1425">
        <f t="shared" si="9"/>
        <v>54</v>
      </c>
      <c r="BY599" s="1425"/>
      <c r="BZ599" s="1425"/>
      <c r="CA599" s="1425"/>
      <c r="CB599" s="1425"/>
      <c r="CC599" s="1425">
        <f t="shared" si="10"/>
        <v>0</v>
      </c>
      <c r="CD599" s="1425"/>
      <c r="CE599" s="1425"/>
      <c r="CF599" s="1425"/>
      <c r="CG599" s="1425"/>
      <c r="CH599" s="1425">
        <f t="shared" si="11"/>
        <v>0</v>
      </c>
      <c r="CI599" s="1425"/>
      <c r="CJ599" s="1425"/>
      <c r="CK599" s="1425"/>
      <c r="CL599" s="1425"/>
      <c r="CM599" s="1425">
        <f t="shared" si="12"/>
        <v>0</v>
      </c>
      <c r="CN599" s="1425"/>
      <c r="CO599" s="1425"/>
      <c r="CP599" s="1425"/>
      <c r="CQ599" s="1425"/>
      <c r="CR599" s="6"/>
      <c r="CS599" s="1426">
        <f t="shared" si="13"/>
        <v>0</v>
      </c>
      <c r="CT599" s="1426"/>
      <c r="CU599" s="1426"/>
      <c r="CV599" s="1426"/>
      <c r="CW599" s="1426"/>
      <c r="CX599" s="1426">
        <f t="shared" si="14"/>
        <v>0</v>
      </c>
      <c r="CY599" s="1426"/>
      <c r="CZ599" s="1426"/>
      <c r="DA599" s="1426"/>
      <c r="DB599" s="1426"/>
      <c r="DC599" s="1426">
        <f t="shared" si="15"/>
        <v>0</v>
      </c>
      <c r="DD599" s="1426"/>
      <c r="DE599" s="1426"/>
      <c r="DF599" s="1426"/>
      <c r="DG599" s="1426"/>
      <c r="DH599" s="1426">
        <f t="shared" si="16"/>
        <v>0</v>
      </c>
      <c r="DI599" s="1426"/>
      <c r="DJ599" s="1426"/>
      <c r="DK599" s="1426"/>
      <c r="DL599" s="1426"/>
      <c r="DM599" s="1426">
        <f t="shared" si="17"/>
        <v>0</v>
      </c>
      <c r="DN599" s="1426"/>
      <c r="DO599" s="1426"/>
      <c r="DP599" s="1426"/>
      <c r="DQ599" s="1426"/>
      <c r="DR599" s="1426">
        <f t="shared" si="18"/>
        <v>0</v>
      </c>
      <c r="DS599" s="1426"/>
      <c r="DT599" s="1426"/>
      <c r="DU599" s="1426"/>
      <c r="DV599" s="1426"/>
      <c r="DX599" s="1422" t="str">
        <f t="shared" si="19"/>
        <v xml:space="preserve"> </v>
      </c>
      <c r="DY599" s="1423"/>
      <c r="DZ599" s="1423"/>
      <c r="EA599" s="1423"/>
      <c r="EB599" s="1424"/>
      <c r="EC599" s="1422" t="str">
        <f t="shared" si="20"/>
        <v xml:space="preserve"> </v>
      </c>
      <c r="ED599" s="1423"/>
      <c r="EE599" s="1423"/>
      <c r="EF599" s="1423"/>
      <c r="EG599" s="1424"/>
      <c r="EH599" s="1422">
        <f t="shared" si="21"/>
        <v>1058</v>
      </c>
      <c r="EI599" s="1423"/>
      <c r="EJ599" s="1423"/>
      <c r="EK599" s="1423"/>
      <c r="EL599" s="1424"/>
      <c r="EM599" s="1422" t="str">
        <f t="shared" si="22"/>
        <v xml:space="preserve"> </v>
      </c>
      <c r="EN599" s="1423"/>
      <c r="EO599" s="1423"/>
      <c r="EP599" s="1423"/>
      <c r="EQ599" s="1424"/>
      <c r="ER599" s="1422" t="str">
        <f t="shared" si="23"/>
        <v xml:space="preserve"> </v>
      </c>
      <c r="ES599" s="1423"/>
      <c r="ET599" s="1423"/>
      <c r="EU599" s="1423"/>
      <c r="EV599" s="1424"/>
      <c r="EW599" s="1422" t="str">
        <f t="shared" si="24"/>
        <v xml:space="preserve"> </v>
      </c>
      <c r="EX599" s="1423"/>
      <c r="EY599" s="1423"/>
      <c r="EZ599" s="1423"/>
      <c r="FA599" s="1424"/>
    </row>
    <row r="600" spans="1:157" ht="12.95" customHeight="1">
      <c r="A600" s="22"/>
      <c r="B600" t="s">
        <v>17</v>
      </c>
      <c r="G600" s="1357"/>
      <c r="H600" s="1357"/>
      <c r="I600" s="1357"/>
      <c r="J600" s="1357"/>
      <c r="K600" s="1357"/>
      <c r="L600" s="1357"/>
      <c r="M600" s="1357"/>
      <c r="N600" s="1357"/>
      <c r="O600" s="1357"/>
      <c r="P600" s="1357"/>
      <c r="Q600" s="1357"/>
      <c r="R600" s="1357"/>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2">
        <f t="shared" si="3"/>
        <v>0</v>
      </c>
      <c r="BF600" s="1424"/>
      <c r="BG600" s="1435">
        <f t="shared" si="4"/>
        <v>0</v>
      </c>
      <c r="BH600" s="1436"/>
      <c r="BI600" s="1422">
        <f t="shared" si="5"/>
        <v>1</v>
      </c>
      <c r="BJ600" s="1424"/>
      <c r="BK600" s="1435">
        <f t="shared" si="6"/>
        <v>7</v>
      </c>
      <c r="BL600" s="1436"/>
      <c r="BM600" s="3"/>
      <c r="BN600" s="1416">
        <f t="shared" si="7"/>
        <v>0</v>
      </c>
      <c r="BO600" s="1417"/>
      <c r="BP600" s="1417"/>
      <c r="BQ600" s="1417"/>
      <c r="BR600" s="1418"/>
      <c r="BS600" s="1425">
        <f t="shared" si="8"/>
        <v>0</v>
      </c>
      <c r="BT600" s="1425"/>
      <c r="BU600" s="1425"/>
      <c r="BV600" s="1425"/>
      <c r="BW600" s="1425"/>
      <c r="BX600" s="1425">
        <f t="shared" si="9"/>
        <v>0</v>
      </c>
      <c r="BY600" s="1425"/>
      <c r="BZ600" s="1425"/>
      <c r="CA600" s="1425"/>
      <c r="CB600" s="1425"/>
      <c r="CC600" s="1425">
        <f t="shared" si="10"/>
        <v>7</v>
      </c>
      <c r="CD600" s="1425"/>
      <c r="CE600" s="1425"/>
      <c r="CF600" s="1425"/>
      <c r="CG600" s="1425"/>
      <c r="CH600" s="1425">
        <f t="shared" si="11"/>
        <v>0</v>
      </c>
      <c r="CI600" s="1425"/>
      <c r="CJ600" s="1425"/>
      <c r="CK600" s="1425"/>
      <c r="CL600" s="1425"/>
      <c r="CM600" s="1425">
        <f t="shared" si="12"/>
        <v>0</v>
      </c>
      <c r="CN600" s="1425"/>
      <c r="CO600" s="1425"/>
      <c r="CP600" s="1425"/>
      <c r="CQ600" s="1425"/>
      <c r="CR600" s="6"/>
      <c r="CS600" s="1426">
        <f t="shared" si="13"/>
        <v>0</v>
      </c>
      <c r="CT600" s="1426"/>
      <c r="CU600" s="1426"/>
      <c r="CV600" s="1426"/>
      <c r="CW600" s="1426"/>
      <c r="CX600" s="1426">
        <f t="shared" si="14"/>
        <v>0</v>
      </c>
      <c r="CY600" s="1426"/>
      <c r="CZ600" s="1426"/>
      <c r="DA600" s="1426"/>
      <c r="DB600" s="1426"/>
      <c r="DC600" s="1426">
        <f t="shared" si="15"/>
        <v>0</v>
      </c>
      <c r="DD600" s="1426"/>
      <c r="DE600" s="1426"/>
      <c r="DF600" s="1426"/>
      <c r="DG600" s="1426"/>
      <c r="DH600" s="1426">
        <f t="shared" si="16"/>
        <v>7</v>
      </c>
      <c r="DI600" s="1426"/>
      <c r="DJ600" s="1426"/>
      <c r="DK600" s="1426"/>
      <c r="DL600" s="1426"/>
      <c r="DM600" s="1426">
        <f t="shared" si="17"/>
        <v>0</v>
      </c>
      <c r="DN600" s="1426"/>
      <c r="DO600" s="1426"/>
      <c r="DP600" s="1426"/>
      <c r="DQ600" s="1426"/>
      <c r="DR600" s="1426">
        <f t="shared" si="18"/>
        <v>0</v>
      </c>
      <c r="DS600" s="1426"/>
      <c r="DT600" s="1426"/>
      <c r="DU600" s="1426"/>
      <c r="DV600" s="1426"/>
      <c r="DX600" s="1422" t="str">
        <f t="shared" si="19"/>
        <v xml:space="preserve"> </v>
      </c>
      <c r="DY600" s="1423"/>
      <c r="DZ600" s="1423"/>
      <c r="EA600" s="1423"/>
      <c r="EB600" s="1424"/>
      <c r="EC600" s="1422" t="str">
        <f t="shared" si="20"/>
        <v xml:space="preserve"> </v>
      </c>
      <c r="ED600" s="1423"/>
      <c r="EE600" s="1423"/>
      <c r="EF600" s="1423"/>
      <c r="EG600" s="1424"/>
      <c r="EH600" s="1422" t="str">
        <f t="shared" si="21"/>
        <v xml:space="preserve"> </v>
      </c>
      <c r="EI600" s="1423"/>
      <c r="EJ600" s="1423"/>
      <c r="EK600" s="1423"/>
      <c r="EL600" s="1424"/>
      <c r="EM600" s="1422">
        <f t="shared" si="22"/>
        <v>556</v>
      </c>
      <c r="EN600" s="1423"/>
      <c r="EO600" s="1423"/>
      <c r="EP600" s="1423"/>
      <c r="EQ600" s="1424"/>
      <c r="ER600" s="1422" t="str">
        <f t="shared" si="23"/>
        <v xml:space="preserve"> </v>
      </c>
      <c r="ES600" s="1423"/>
      <c r="ET600" s="1423"/>
      <c r="EU600" s="1423"/>
      <c r="EV600" s="1424"/>
      <c r="EW600" s="1422" t="str">
        <f t="shared" si="24"/>
        <v xml:space="preserve"> </v>
      </c>
      <c r="EX600" s="1423"/>
      <c r="EY600" s="1423"/>
      <c r="EZ600" s="1423"/>
      <c r="FA600" s="1424"/>
    </row>
    <row r="601" spans="1:157" ht="12.95" customHeight="1">
      <c r="A601" s="22"/>
      <c r="B601" t="s">
        <v>317</v>
      </c>
      <c r="G601" s="1360"/>
      <c r="H601" s="1360"/>
      <c r="I601" s="1360"/>
      <c r="J601" s="1360"/>
      <c r="K601" s="1360"/>
      <c r="L601" s="1360"/>
      <c r="O601" s="33" t="s">
        <v>207</v>
      </c>
      <c r="P601" s="1355"/>
      <c r="Q601" s="1355"/>
      <c r="R601" s="1355"/>
      <c r="T601" s="22"/>
      <c r="U601" t="s">
        <v>317</v>
      </c>
      <c r="Z601" s="1360"/>
      <c r="AA601" s="1360"/>
      <c r="AB601" s="1360"/>
      <c r="AC601" s="1360"/>
      <c r="AD601" s="1360"/>
      <c r="AE601" s="1360"/>
      <c r="AH601" s="33" t="s">
        <v>207</v>
      </c>
      <c r="AI601" s="1355"/>
      <c r="AJ601" s="1355"/>
      <c r="AK601" s="1355"/>
      <c r="AZ601" s="3"/>
      <c r="BA601" s="3"/>
      <c r="BB601" s="3"/>
      <c r="BC601" s="3"/>
      <c r="BD601" s="3"/>
      <c r="BE601" s="1422">
        <f t="shared" si="3"/>
        <v>0</v>
      </c>
      <c r="BF601" s="1424"/>
      <c r="BG601" s="1435">
        <f t="shared" si="4"/>
        <v>0</v>
      </c>
      <c r="BH601" s="1436"/>
      <c r="BI601" s="1422">
        <f t="shared" si="5"/>
        <v>0</v>
      </c>
      <c r="BJ601" s="1424"/>
      <c r="BK601" s="1435">
        <f t="shared" si="6"/>
        <v>0</v>
      </c>
      <c r="BL601" s="1436"/>
      <c r="BM601" s="3"/>
      <c r="BN601" s="1416">
        <f t="shared" si="7"/>
        <v>0</v>
      </c>
      <c r="BO601" s="1417"/>
      <c r="BP601" s="1417"/>
      <c r="BQ601" s="1417"/>
      <c r="BR601" s="1418"/>
      <c r="BS601" s="1425">
        <f t="shared" si="8"/>
        <v>0</v>
      </c>
      <c r="BT601" s="1425"/>
      <c r="BU601" s="1425"/>
      <c r="BV601" s="1425"/>
      <c r="BW601" s="1425"/>
      <c r="BX601" s="1425">
        <f t="shared" si="9"/>
        <v>0</v>
      </c>
      <c r="BY601" s="1425"/>
      <c r="BZ601" s="1425"/>
      <c r="CA601" s="1425"/>
      <c r="CB601" s="1425"/>
      <c r="CC601" s="1425">
        <f t="shared" si="10"/>
        <v>21</v>
      </c>
      <c r="CD601" s="1425"/>
      <c r="CE601" s="1425"/>
      <c r="CF601" s="1425"/>
      <c r="CG601" s="1425"/>
      <c r="CH601" s="1425">
        <f t="shared" si="11"/>
        <v>0</v>
      </c>
      <c r="CI601" s="1425"/>
      <c r="CJ601" s="1425"/>
      <c r="CK601" s="1425"/>
      <c r="CL601" s="1425"/>
      <c r="CM601" s="1425">
        <f t="shared" si="12"/>
        <v>0</v>
      </c>
      <c r="CN601" s="1425"/>
      <c r="CO601" s="1425"/>
      <c r="CP601" s="1425"/>
      <c r="CQ601" s="1425"/>
      <c r="CR601" s="6"/>
      <c r="CS601" s="1426">
        <f t="shared" si="13"/>
        <v>0</v>
      </c>
      <c r="CT601" s="1426"/>
      <c r="CU601" s="1426"/>
      <c r="CV601" s="1426"/>
      <c r="CW601" s="1426"/>
      <c r="CX601" s="1426">
        <f t="shared" si="14"/>
        <v>0</v>
      </c>
      <c r="CY601" s="1426"/>
      <c r="CZ601" s="1426"/>
      <c r="DA601" s="1426"/>
      <c r="DB601" s="1426"/>
      <c r="DC601" s="1426">
        <f t="shared" si="15"/>
        <v>0</v>
      </c>
      <c r="DD601" s="1426"/>
      <c r="DE601" s="1426"/>
      <c r="DF601" s="1426"/>
      <c r="DG601" s="1426"/>
      <c r="DH601" s="1426">
        <f t="shared" si="16"/>
        <v>0</v>
      </c>
      <c r="DI601" s="1426"/>
      <c r="DJ601" s="1426"/>
      <c r="DK601" s="1426"/>
      <c r="DL601" s="1426"/>
      <c r="DM601" s="1426">
        <f t="shared" si="17"/>
        <v>0</v>
      </c>
      <c r="DN601" s="1426"/>
      <c r="DO601" s="1426"/>
      <c r="DP601" s="1426"/>
      <c r="DQ601" s="1426"/>
      <c r="DR601" s="1426">
        <f t="shared" si="18"/>
        <v>0</v>
      </c>
      <c r="DS601" s="1426"/>
      <c r="DT601" s="1426"/>
      <c r="DU601" s="1426"/>
      <c r="DV601" s="1426"/>
      <c r="DX601" s="1422" t="str">
        <f t="shared" si="19"/>
        <v xml:space="preserve"> </v>
      </c>
      <c r="DY601" s="1423"/>
      <c r="DZ601" s="1423"/>
      <c r="EA601" s="1423"/>
      <c r="EB601" s="1424"/>
      <c r="EC601" s="1422" t="str">
        <f t="shared" si="20"/>
        <v xml:space="preserve"> </v>
      </c>
      <c r="ED601" s="1423"/>
      <c r="EE601" s="1423"/>
      <c r="EF601" s="1423"/>
      <c r="EG601" s="1424"/>
      <c r="EH601" s="1422" t="str">
        <f t="shared" si="21"/>
        <v xml:space="preserve"> </v>
      </c>
      <c r="EI601" s="1423"/>
      <c r="EJ601" s="1423"/>
      <c r="EK601" s="1423"/>
      <c r="EL601" s="1424"/>
      <c r="EM601" s="1422">
        <f t="shared" si="22"/>
        <v>1234</v>
      </c>
      <c r="EN601" s="1423"/>
      <c r="EO601" s="1423"/>
      <c r="EP601" s="1423"/>
      <c r="EQ601" s="1424"/>
      <c r="ER601" s="1422" t="str">
        <f t="shared" si="23"/>
        <v xml:space="preserve"> </v>
      </c>
      <c r="ES601" s="1423"/>
      <c r="ET601" s="1423"/>
      <c r="EU601" s="1423"/>
      <c r="EV601" s="1424"/>
      <c r="EW601" s="1422" t="str">
        <f t="shared" si="24"/>
        <v xml:space="preserve"> </v>
      </c>
      <c r="EX601" s="1423"/>
      <c r="EY601" s="1423"/>
      <c r="EZ601" s="1423"/>
      <c r="FA601" s="1424"/>
    </row>
    <row r="602" spans="1:157" ht="12.95" customHeight="1">
      <c r="A602" s="22"/>
      <c r="B602" t="s">
        <v>18</v>
      </c>
      <c r="H602" s="1357"/>
      <c r="I602" s="1357"/>
      <c r="J602" s="1357"/>
      <c r="K602" s="1357"/>
      <c r="L602" s="1357"/>
      <c r="M602" s="1357"/>
      <c r="N602" s="1357"/>
      <c r="O602" s="1357"/>
      <c r="P602" s="1357"/>
      <c r="Q602" s="1357"/>
      <c r="R602" s="1357"/>
      <c r="T602" s="22"/>
      <c r="U602" t="s">
        <v>18</v>
      </c>
      <c r="AA602" s="1357"/>
      <c r="AB602" s="1357"/>
      <c r="AC602" s="1357"/>
      <c r="AD602" s="1357"/>
      <c r="AE602" s="1357"/>
      <c r="AF602" s="1357"/>
      <c r="AG602" s="1357"/>
      <c r="AH602" s="1357"/>
      <c r="AI602" s="1357"/>
      <c r="AJ602" s="1357"/>
      <c r="AK602" s="1357"/>
      <c r="AZ602" s="3"/>
      <c r="BA602" s="3"/>
      <c r="BB602" s="3"/>
      <c r="BC602" s="3"/>
      <c r="BD602" s="3"/>
      <c r="BE602" s="1422">
        <f t="shared" si="3"/>
        <v>0</v>
      </c>
      <c r="BF602" s="1424"/>
      <c r="BG602" s="1435">
        <f t="shared" si="4"/>
        <v>0</v>
      </c>
      <c r="BH602" s="1436"/>
      <c r="BI602" s="1422">
        <f t="shared" si="5"/>
        <v>1</v>
      </c>
      <c r="BJ602" s="1424"/>
      <c r="BK602" s="1435">
        <f t="shared" si="6"/>
        <v>2</v>
      </c>
      <c r="BL602" s="1436"/>
      <c r="BM602" s="3"/>
      <c r="BN602" s="1416">
        <f t="shared" si="7"/>
        <v>0</v>
      </c>
      <c r="BO602" s="1417"/>
      <c r="BP602" s="1417"/>
      <c r="BQ602" s="1417"/>
      <c r="BR602" s="1418"/>
      <c r="BS602" s="1425">
        <f t="shared" si="8"/>
        <v>0</v>
      </c>
      <c r="BT602" s="1425"/>
      <c r="BU602" s="1425"/>
      <c r="BV602" s="1425"/>
      <c r="BW602" s="1425"/>
      <c r="BX602" s="1425">
        <f t="shared" si="9"/>
        <v>0</v>
      </c>
      <c r="BY602" s="1425"/>
      <c r="BZ602" s="1425"/>
      <c r="CA602" s="1425"/>
      <c r="CB602" s="1425"/>
      <c r="CC602" s="1425">
        <f t="shared" si="10"/>
        <v>2</v>
      </c>
      <c r="CD602" s="1425"/>
      <c r="CE602" s="1425"/>
      <c r="CF602" s="1425"/>
      <c r="CG602" s="1425"/>
      <c r="CH602" s="1425">
        <f t="shared" si="11"/>
        <v>0</v>
      </c>
      <c r="CI602" s="1425"/>
      <c r="CJ602" s="1425"/>
      <c r="CK602" s="1425"/>
      <c r="CL602" s="1425"/>
      <c r="CM602" s="1425">
        <f t="shared" si="12"/>
        <v>0</v>
      </c>
      <c r="CN602" s="1425"/>
      <c r="CO602" s="1425"/>
      <c r="CP602" s="1425"/>
      <c r="CQ602" s="1425"/>
      <c r="CR602" s="6"/>
      <c r="CS602" s="1426">
        <f t="shared" si="13"/>
        <v>0</v>
      </c>
      <c r="CT602" s="1426"/>
      <c r="CU602" s="1426"/>
      <c r="CV602" s="1426"/>
      <c r="CW602" s="1426"/>
      <c r="CX602" s="1426">
        <f t="shared" si="14"/>
        <v>0</v>
      </c>
      <c r="CY602" s="1426"/>
      <c r="CZ602" s="1426"/>
      <c r="DA602" s="1426"/>
      <c r="DB602" s="1426"/>
      <c r="DC602" s="1426">
        <f t="shared" si="15"/>
        <v>0</v>
      </c>
      <c r="DD602" s="1426"/>
      <c r="DE602" s="1426"/>
      <c r="DF602" s="1426"/>
      <c r="DG602" s="1426"/>
      <c r="DH602" s="1426">
        <f t="shared" si="16"/>
        <v>2</v>
      </c>
      <c r="DI602" s="1426"/>
      <c r="DJ602" s="1426"/>
      <c r="DK602" s="1426"/>
      <c r="DL602" s="1426"/>
      <c r="DM602" s="1426">
        <f t="shared" si="17"/>
        <v>0</v>
      </c>
      <c r="DN602" s="1426"/>
      <c r="DO602" s="1426"/>
      <c r="DP602" s="1426"/>
      <c r="DQ602" s="1426"/>
      <c r="DR602" s="1426">
        <f t="shared" si="18"/>
        <v>0</v>
      </c>
      <c r="DS602" s="1426"/>
      <c r="DT602" s="1426"/>
      <c r="DU602" s="1426"/>
      <c r="DV602" s="1426"/>
      <c r="DX602" s="1422" t="str">
        <f t="shared" si="19"/>
        <v xml:space="preserve"> </v>
      </c>
      <c r="DY602" s="1423"/>
      <c r="DZ602" s="1423"/>
      <c r="EA602" s="1423"/>
      <c r="EB602" s="1424"/>
      <c r="EC602" s="1422" t="str">
        <f t="shared" si="20"/>
        <v xml:space="preserve"> </v>
      </c>
      <c r="ED602" s="1423"/>
      <c r="EE602" s="1423"/>
      <c r="EF602" s="1423"/>
      <c r="EG602" s="1424"/>
      <c r="EH602" s="1422" t="str">
        <f t="shared" si="21"/>
        <v xml:space="preserve"> </v>
      </c>
      <c r="EI602" s="1423"/>
      <c r="EJ602" s="1423"/>
      <c r="EK602" s="1423"/>
      <c r="EL602" s="1424"/>
      <c r="EM602" s="1422">
        <f t="shared" si="22"/>
        <v>556</v>
      </c>
      <c r="EN602" s="1423"/>
      <c r="EO602" s="1423"/>
      <c r="EP602" s="1423"/>
      <c r="EQ602" s="1424"/>
      <c r="ER602" s="1422" t="str">
        <f t="shared" si="23"/>
        <v xml:space="preserve"> </v>
      </c>
      <c r="ES602" s="1423"/>
      <c r="ET602" s="1423"/>
      <c r="EU602" s="1423"/>
      <c r="EV602" s="1424"/>
      <c r="EW602" s="1422" t="str">
        <f t="shared" si="24"/>
        <v xml:space="preserve"> </v>
      </c>
      <c r="EX602" s="1423"/>
      <c r="EY602" s="1423"/>
      <c r="EZ602" s="1423"/>
      <c r="FA602" s="1424"/>
    </row>
    <row r="603" spans="1:157" ht="12.95" customHeight="1">
      <c r="A603" s="22"/>
      <c r="B603" t="s">
        <v>20</v>
      </c>
      <c r="N603" s="1358" t="s">
        <v>678</v>
      </c>
      <c r="O603" s="1358"/>
      <c r="T603" s="22"/>
      <c r="U603" t="s">
        <v>20</v>
      </c>
      <c r="AG603" s="1358" t="s">
        <v>678</v>
      </c>
      <c r="AH603" s="1358"/>
      <c r="AZ603" s="3"/>
      <c r="BA603" s="3"/>
      <c r="BB603" s="3"/>
      <c r="BC603" s="3"/>
      <c r="BD603" s="3"/>
      <c r="BE603" s="1422">
        <f t="shared" si="3"/>
        <v>0</v>
      </c>
      <c r="BF603" s="1424"/>
      <c r="BG603" s="1435">
        <f t="shared" si="4"/>
        <v>0</v>
      </c>
      <c r="BH603" s="1436"/>
      <c r="BI603" s="1422">
        <f t="shared" si="5"/>
        <v>0</v>
      </c>
      <c r="BJ603" s="1424"/>
      <c r="BK603" s="1435">
        <f t="shared" si="6"/>
        <v>0</v>
      </c>
      <c r="BL603" s="1436"/>
      <c r="BM603" s="3"/>
      <c r="BN603" s="1416">
        <f t="shared" si="7"/>
        <v>0</v>
      </c>
      <c r="BO603" s="1417"/>
      <c r="BP603" s="1417"/>
      <c r="BQ603" s="1417"/>
      <c r="BR603" s="1418"/>
      <c r="BS603" s="1425">
        <f t="shared" si="8"/>
        <v>0</v>
      </c>
      <c r="BT603" s="1425"/>
      <c r="BU603" s="1425"/>
      <c r="BV603" s="1425"/>
      <c r="BW603" s="1425"/>
      <c r="BX603" s="1425">
        <f t="shared" si="9"/>
        <v>0</v>
      </c>
      <c r="BY603" s="1425"/>
      <c r="BZ603" s="1425"/>
      <c r="CA603" s="1425"/>
      <c r="CB603" s="1425"/>
      <c r="CC603" s="1425">
        <f t="shared" si="10"/>
        <v>0</v>
      </c>
      <c r="CD603" s="1425"/>
      <c r="CE603" s="1425"/>
      <c r="CF603" s="1425"/>
      <c r="CG603" s="1425"/>
      <c r="CH603" s="1425">
        <f t="shared" si="11"/>
        <v>0</v>
      </c>
      <c r="CI603" s="1425"/>
      <c r="CJ603" s="1425"/>
      <c r="CK603" s="1425"/>
      <c r="CL603" s="1425"/>
      <c r="CM603" s="1425">
        <f t="shared" si="12"/>
        <v>0</v>
      </c>
      <c r="CN603" s="1425"/>
      <c r="CO603" s="1425"/>
      <c r="CP603" s="1425"/>
      <c r="CQ603" s="1425"/>
      <c r="CR603" s="6"/>
      <c r="CS603" s="1426">
        <f t="shared" si="13"/>
        <v>0</v>
      </c>
      <c r="CT603" s="1426"/>
      <c r="CU603" s="1426"/>
      <c r="CV603" s="1426"/>
      <c r="CW603" s="1426"/>
      <c r="CX603" s="1426">
        <f t="shared" si="14"/>
        <v>0</v>
      </c>
      <c r="CY603" s="1426"/>
      <c r="CZ603" s="1426"/>
      <c r="DA603" s="1426"/>
      <c r="DB603" s="1426"/>
      <c r="DC603" s="1426">
        <f t="shared" si="15"/>
        <v>0</v>
      </c>
      <c r="DD603" s="1426"/>
      <c r="DE603" s="1426"/>
      <c r="DF603" s="1426"/>
      <c r="DG603" s="1426"/>
      <c r="DH603" s="1426">
        <f t="shared" si="16"/>
        <v>0</v>
      </c>
      <c r="DI603" s="1426"/>
      <c r="DJ603" s="1426"/>
      <c r="DK603" s="1426"/>
      <c r="DL603" s="1426"/>
      <c r="DM603" s="1426">
        <f t="shared" si="17"/>
        <v>0</v>
      </c>
      <c r="DN603" s="1426"/>
      <c r="DO603" s="1426"/>
      <c r="DP603" s="1426"/>
      <c r="DQ603" s="1426"/>
      <c r="DR603" s="1426">
        <f t="shared" si="18"/>
        <v>0</v>
      </c>
      <c r="DS603" s="1426"/>
      <c r="DT603" s="1426"/>
      <c r="DU603" s="1426"/>
      <c r="DV603" s="1426"/>
      <c r="DX603" s="1422" t="str">
        <f t="shared" si="19"/>
        <v xml:space="preserve"> </v>
      </c>
      <c r="DY603" s="1423"/>
      <c r="DZ603" s="1423"/>
      <c r="EA603" s="1423"/>
      <c r="EB603" s="1424"/>
      <c r="EC603" s="1422" t="str">
        <f t="shared" si="20"/>
        <v xml:space="preserve"> </v>
      </c>
      <c r="ED603" s="1423"/>
      <c r="EE603" s="1423"/>
      <c r="EF603" s="1423"/>
      <c r="EG603" s="1424"/>
      <c r="EH603" s="1422" t="str">
        <f t="shared" si="21"/>
        <v xml:space="preserve"> </v>
      </c>
      <c r="EI603" s="1423"/>
      <c r="EJ603" s="1423"/>
      <c r="EK603" s="1423"/>
      <c r="EL603" s="1424"/>
      <c r="EM603" s="1422" t="str">
        <f t="shared" si="22"/>
        <v xml:space="preserve"> </v>
      </c>
      <c r="EN603" s="1423"/>
      <c r="EO603" s="1423"/>
      <c r="EP603" s="1423"/>
      <c r="EQ603" s="1424"/>
      <c r="ER603" s="1422" t="str">
        <f t="shared" si="23"/>
        <v xml:space="preserve"> </v>
      </c>
      <c r="ES603" s="1423"/>
      <c r="ET603" s="1423"/>
      <c r="EU603" s="1423"/>
      <c r="EV603" s="1424"/>
      <c r="EW603" s="1422" t="str">
        <f t="shared" si="24"/>
        <v xml:space="preserve"> </v>
      </c>
      <c r="EX603" s="1423"/>
      <c r="EY603" s="1423"/>
      <c r="EZ603" s="1423"/>
      <c r="FA603" s="1424"/>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2">
        <f t="shared" si="3"/>
        <v>0</v>
      </c>
      <c r="BF604" s="1424"/>
      <c r="BG604" s="1435">
        <f t="shared" si="4"/>
        <v>0</v>
      </c>
      <c r="BH604" s="1436"/>
      <c r="BI604" s="1422">
        <f t="shared" si="5"/>
        <v>0</v>
      </c>
      <c r="BJ604" s="1424"/>
      <c r="BK604" s="1435">
        <f t="shared" si="6"/>
        <v>0</v>
      </c>
      <c r="BL604" s="1436"/>
      <c r="BM604" s="3"/>
      <c r="BN604" s="1416">
        <f t="shared" si="7"/>
        <v>0</v>
      </c>
      <c r="BO604" s="1417"/>
      <c r="BP604" s="1417"/>
      <c r="BQ604" s="1417"/>
      <c r="BR604" s="1418"/>
      <c r="BS604" s="1425">
        <f t="shared" si="8"/>
        <v>0</v>
      </c>
      <c r="BT604" s="1425"/>
      <c r="BU604" s="1425"/>
      <c r="BV604" s="1425"/>
      <c r="BW604" s="1425"/>
      <c r="BX604" s="1425">
        <f t="shared" si="9"/>
        <v>0</v>
      </c>
      <c r="BY604" s="1425"/>
      <c r="BZ604" s="1425"/>
      <c r="CA604" s="1425"/>
      <c r="CB604" s="1425"/>
      <c r="CC604" s="1425">
        <f t="shared" si="10"/>
        <v>0</v>
      </c>
      <c r="CD604" s="1425"/>
      <c r="CE604" s="1425"/>
      <c r="CF604" s="1425"/>
      <c r="CG604" s="1425"/>
      <c r="CH604" s="1425">
        <f t="shared" si="11"/>
        <v>0</v>
      </c>
      <c r="CI604" s="1425"/>
      <c r="CJ604" s="1425"/>
      <c r="CK604" s="1425"/>
      <c r="CL604" s="1425"/>
      <c r="CM604" s="1425">
        <f t="shared" si="12"/>
        <v>0</v>
      </c>
      <c r="CN604" s="1425"/>
      <c r="CO604" s="1425"/>
      <c r="CP604" s="1425"/>
      <c r="CQ604" s="1425"/>
      <c r="CR604" s="6"/>
      <c r="CS604" s="1426">
        <f t="shared" si="13"/>
        <v>0</v>
      </c>
      <c r="CT604" s="1426"/>
      <c r="CU604" s="1426"/>
      <c r="CV604" s="1426"/>
      <c r="CW604" s="1426"/>
      <c r="CX604" s="1426">
        <f t="shared" si="14"/>
        <v>0</v>
      </c>
      <c r="CY604" s="1426"/>
      <c r="CZ604" s="1426"/>
      <c r="DA604" s="1426"/>
      <c r="DB604" s="1426"/>
      <c r="DC604" s="1426">
        <f t="shared" si="15"/>
        <v>0</v>
      </c>
      <c r="DD604" s="1426"/>
      <c r="DE604" s="1426"/>
      <c r="DF604" s="1426"/>
      <c r="DG604" s="1426"/>
      <c r="DH604" s="1426">
        <f t="shared" si="16"/>
        <v>0</v>
      </c>
      <c r="DI604" s="1426"/>
      <c r="DJ604" s="1426"/>
      <c r="DK604" s="1426"/>
      <c r="DL604" s="1426"/>
      <c r="DM604" s="1426">
        <f t="shared" si="17"/>
        <v>0</v>
      </c>
      <c r="DN604" s="1426"/>
      <c r="DO604" s="1426"/>
      <c r="DP604" s="1426"/>
      <c r="DQ604" s="1426"/>
      <c r="DR604" s="1426">
        <f t="shared" si="18"/>
        <v>0</v>
      </c>
      <c r="DS604" s="1426"/>
      <c r="DT604" s="1426"/>
      <c r="DU604" s="1426"/>
      <c r="DV604" s="1426"/>
      <c r="DX604" s="1422" t="str">
        <f t="shared" si="19"/>
        <v xml:space="preserve"> </v>
      </c>
      <c r="DY604" s="1423"/>
      <c r="DZ604" s="1423"/>
      <c r="EA604" s="1423"/>
      <c r="EB604" s="1424"/>
      <c r="EC604" s="1422" t="str">
        <f t="shared" si="20"/>
        <v xml:space="preserve"> </v>
      </c>
      <c r="ED604" s="1423"/>
      <c r="EE604" s="1423"/>
      <c r="EF604" s="1423"/>
      <c r="EG604" s="1424"/>
      <c r="EH604" s="1422" t="str">
        <f t="shared" si="21"/>
        <v xml:space="preserve"> </v>
      </c>
      <c r="EI604" s="1423"/>
      <c r="EJ604" s="1423"/>
      <c r="EK604" s="1423"/>
      <c r="EL604" s="1424"/>
      <c r="EM604" s="1422" t="str">
        <f t="shared" si="22"/>
        <v xml:space="preserve"> </v>
      </c>
      <c r="EN604" s="1423"/>
      <c r="EO604" s="1423"/>
      <c r="EP604" s="1423"/>
      <c r="EQ604" s="1424"/>
      <c r="ER604" s="1422" t="str">
        <f t="shared" si="23"/>
        <v xml:space="preserve"> </v>
      </c>
      <c r="ES604" s="1423"/>
      <c r="ET604" s="1423"/>
      <c r="EU604" s="1423"/>
      <c r="EV604" s="1424"/>
      <c r="EW604" s="1422" t="str">
        <f t="shared" si="24"/>
        <v xml:space="preserve"> </v>
      </c>
      <c r="EX604" s="1423"/>
      <c r="EY604" s="1423"/>
      <c r="EZ604" s="1423"/>
      <c r="FA604" s="1424"/>
    </row>
    <row r="605" spans="1:157" s="4" customFormat="1" ht="12.95" customHeight="1">
      <c r="A605" s="55" t="s">
        <v>363</v>
      </c>
      <c r="B605" t="s">
        <v>472</v>
      </c>
      <c r="C605"/>
      <c r="D605"/>
      <c r="E605"/>
      <c r="F605"/>
      <c r="G605" s="1356">
        <f>C560</f>
        <v>0</v>
      </c>
      <c r="H605" s="1356"/>
      <c r="I605" s="1356"/>
      <c r="J605" s="1356"/>
      <c r="K605" s="1356"/>
      <c r="L605" s="1356"/>
      <c r="M605" s="1356"/>
      <c r="N605" s="1356"/>
      <c r="O605" s="1356"/>
      <c r="P605" s="1356"/>
      <c r="Q605" s="1356"/>
      <c r="R605" s="1356"/>
      <c r="S605"/>
      <c r="T605" s="55" t="s">
        <v>364</v>
      </c>
      <c r="U605" t="s">
        <v>472</v>
      </c>
      <c r="V605"/>
      <c r="W605"/>
      <c r="X605"/>
      <c r="Y605"/>
      <c r="Z605" s="1356">
        <f>C561</f>
        <v>0</v>
      </c>
      <c r="AA605" s="1356"/>
      <c r="AB605" s="1356"/>
      <c r="AC605" s="1356"/>
      <c r="AD605" s="1356"/>
      <c r="AE605" s="1356"/>
      <c r="AF605" s="1356"/>
      <c r="AG605" s="1356"/>
      <c r="AH605" s="1356"/>
      <c r="AI605" s="1356"/>
      <c r="AJ605" s="1356"/>
      <c r="AK605" s="1356"/>
      <c r="AL605"/>
      <c r="AM605"/>
      <c r="AN605"/>
      <c r="AO605"/>
      <c r="AP605"/>
      <c r="AQ605"/>
      <c r="AR605"/>
      <c r="AS605"/>
      <c r="AT605"/>
      <c r="AU605"/>
      <c r="AV605"/>
      <c r="AW605"/>
      <c r="AX605"/>
      <c r="AY605"/>
      <c r="AZ605" s="3"/>
      <c r="BA605" s="3"/>
      <c r="BB605" s="3"/>
      <c r="BC605" s="3"/>
      <c r="BD605" s="3"/>
      <c r="BE605" s="1422">
        <f t="shared" si="3"/>
        <v>0</v>
      </c>
      <c r="BF605" s="1424"/>
      <c r="BG605" s="1435">
        <f t="shared" si="4"/>
        <v>0</v>
      </c>
      <c r="BH605" s="1436"/>
      <c r="BI605" s="1422">
        <f t="shared" si="5"/>
        <v>0</v>
      </c>
      <c r="BJ605" s="1424"/>
      <c r="BK605" s="1435">
        <f t="shared" si="6"/>
        <v>0</v>
      </c>
      <c r="BL605" s="1436"/>
      <c r="BM605" s="3"/>
      <c r="BN605" s="1416">
        <f t="shared" si="7"/>
        <v>0</v>
      </c>
      <c r="BO605" s="1417"/>
      <c r="BP605" s="1417"/>
      <c r="BQ605" s="1417"/>
      <c r="BR605" s="1418"/>
      <c r="BS605" s="1425">
        <f t="shared" si="8"/>
        <v>0</v>
      </c>
      <c r="BT605" s="1425"/>
      <c r="BU605" s="1425"/>
      <c r="BV605" s="1425"/>
      <c r="BW605" s="1425"/>
      <c r="BX605" s="1425">
        <f t="shared" si="9"/>
        <v>0</v>
      </c>
      <c r="BY605" s="1425"/>
      <c r="BZ605" s="1425"/>
      <c r="CA605" s="1425"/>
      <c r="CB605" s="1425"/>
      <c r="CC605" s="1425">
        <f t="shared" si="10"/>
        <v>0</v>
      </c>
      <c r="CD605" s="1425"/>
      <c r="CE605" s="1425"/>
      <c r="CF605" s="1425"/>
      <c r="CG605" s="1425"/>
      <c r="CH605" s="1425">
        <f t="shared" si="11"/>
        <v>0</v>
      </c>
      <c r="CI605" s="1425"/>
      <c r="CJ605" s="1425"/>
      <c r="CK605" s="1425"/>
      <c r="CL605" s="1425"/>
      <c r="CM605" s="1425">
        <f t="shared" si="12"/>
        <v>0</v>
      </c>
      <c r="CN605" s="1425"/>
      <c r="CO605" s="1425"/>
      <c r="CP605" s="1425"/>
      <c r="CQ605" s="1425"/>
      <c r="CR605" s="6"/>
      <c r="CS605" s="1426">
        <f t="shared" si="13"/>
        <v>0</v>
      </c>
      <c r="CT605" s="1426"/>
      <c r="CU605" s="1426"/>
      <c r="CV605" s="1426"/>
      <c r="CW605" s="1426"/>
      <c r="CX605" s="1426">
        <f t="shared" si="14"/>
        <v>0</v>
      </c>
      <c r="CY605" s="1426"/>
      <c r="CZ605" s="1426"/>
      <c r="DA605" s="1426"/>
      <c r="DB605" s="1426"/>
      <c r="DC605" s="1426">
        <f t="shared" si="15"/>
        <v>0</v>
      </c>
      <c r="DD605" s="1426"/>
      <c r="DE605" s="1426"/>
      <c r="DF605" s="1426"/>
      <c r="DG605" s="1426"/>
      <c r="DH605" s="1426">
        <f t="shared" si="16"/>
        <v>0</v>
      </c>
      <c r="DI605" s="1426"/>
      <c r="DJ605" s="1426"/>
      <c r="DK605" s="1426"/>
      <c r="DL605" s="1426"/>
      <c r="DM605" s="1426">
        <f t="shared" si="17"/>
        <v>0</v>
      </c>
      <c r="DN605" s="1426"/>
      <c r="DO605" s="1426"/>
      <c r="DP605" s="1426"/>
      <c r="DQ605" s="1426"/>
      <c r="DR605" s="1426">
        <f t="shared" si="18"/>
        <v>0</v>
      </c>
      <c r="DS605" s="1426"/>
      <c r="DT605" s="1426"/>
      <c r="DU605" s="1426"/>
      <c r="DV605" s="1426"/>
      <c r="DX605" s="1422" t="str">
        <f t="shared" si="19"/>
        <v xml:space="preserve"> </v>
      </c>
      <c r="DY605" s="1423"/>
      <c r="DZ605" s="1423"/>
      <c r="EA605" s="1423"/>
      <c r="EB605" s="1424"/>
      <c r="EC605" s="1422" t="str">
        <f t="shared" si="20"/>
        <v xml:space="preserve"> </v>
      </c>
      <c r="ED605" s="1423"/>
      <c r="EE605" s="1423"/>
      <c r="EF605" s="1423"/>
      <c r="EG605" s="1424"/>
      <c r="EH605" s="1422" t="str">
        <f t="shared" si="21"/>
        <v xml:space="preserve"> </v>
      </c>
      <c r="EI605" s="1423"/>
      <c r="EJ605" s="1423"/>
      <c r="EK605" s="1423"/>
      <c r="EL605" s="1424"/>
      <c r="EM605" s="1422" t="str">
        <f t="shared" si="22"/>
        <v xml:space="preserve"> </v>
      </c>
      <c r="EN605" s="1423"/>
      <c r="EO605" s="1423"/>
      <c r="EP605" s="1423"/>
      <c r="EQ605" s="1424"/>
      <c r="ER605" s="1422" t="str">
        <f t="shared" si="23"/>
        <v xml:space="preserve"> </v>
      </c>
      <c r="ES605" s="1423"/>
      <c r="ET605" s="1423"/>
      <c r="EU605" s="1423"/>
      <c r="EV605" s="1424"/>
      <c r="EW605" s="1422" t="str">
        <f t="shared" si="24"/>
        <v xml:space="preserve"> </v>
      </c>
      <c r="EX605" s="1423"/>
      <c r="EY605" s="1423"/>
      <c r="EZ605" s="1423"/>
      <c r="FA605" s="1424"/>
    </row>
    <row r="606" spans="1:157" s="4" customFormat="1" ht="12.95" customHeight="1">
      <c r="A606"/>
      <c r="B606" t="s">
        <v>86</v>
      </c>
      <c r="C606"/>
      <c r="D606"/>
      <c r="E606"/>
      <c r="F606"/>
      <c r="G606" s="1357"/>
      <c r="H606" s="1357"/>
      <c r="I606" s="1357"/>
      <c r="J606" s="1357"/>
      <c r="K606" s="1357"/>
      <c r="L606" s="1357"/>
      <c r="M606" s="1357"/>
      <c r="N606" s="1357"/>
      <c r="O606" s="1357"/>
      <c r="P606" s="1357"/>
      <c r="Q606" s="1357"/>
      <c r="R606" s="1357"/>
      <c r="S606"/>
      <c r="T606"/>
      <c r="U606" t="s">
        <v>86</v>
      </c>
      <c r="V606"/>
      <c r="W606"/>
      <c r="X606"/>
      <c r="Y606"/>
      <c r="Z606" s="1357"/>
      <c r="AA606" s="1357"/>
      <c r="AB606" s="1357"/>
      <c r="AC606" s="1357"/>
      <c r="AD606" s="1357"/>
      <c r="AE606" s="1357"/>
      <c r="AF606" s="1357"/>
      <c r="AG606" s="1357"/>
      <c r="AH606" s="1357"/>
      <c r="AI606" s="1357"/>
      <c r="AJ606" s="1357"/>
      <c r="AK606" s="1357"/>
      <c r="AL606"/>
      <c r="AM606"/>
      <c r="AN606"/>
      <c r="AO606"/>
      <c r="AP606"/>
      <c r="AQ606"/>
      <c r="AR606"/>
      <c r="AS606"/>
      <c r="AT606"/>
      <c r="AU606"/>
      <c r="AV606"/>
      <c r="AW606"/>
      <c r="AX606"/>
      <c r="AY606"/>
      <c r="AZ606" s="3"/>
      <c r="BA606" s="3"/>
      <c r="BB606" s="3"/>
      <c r="BC606" s="3"/>
      <c r="BD606" s="3"/>
      <c r="BE606" s="1422">
        <f t="shared" si="3"/>
        <v>0</v>
      </c>
      <c r="BF606" s="1424"/>
      <c r="BG606" s="1435">
        <f t="shared" si="4"/>
        <v>0</v>
      </c>
      <c r="BH606" s="1436"/>
      <c r="BI606" s="1422">
        <f t="shared" si="5"/>
        <v>0</v>
      </c>
      <c r="BJ606" s="1424"/>
      <c r="BK606" s="1435">
        <f t="shared" si="6"/>
        <v>0</v>
      </c>
      <c r="BL606" s="1436"/>
      <c r="BM606" s="3"/>
      <c r="BN606" s="1416">
        <f t="shared" si="7"/>
        <v>0</v>
      </c>
      <c r="BO606" s="1417"/>
      <c r="BP606" s="1417"/>
      <c r="BQ606" s="1417"/>
      <c r="BR606" s="1418"/>
      <c r="BS606" s="1425">
        <f t="shared" si="8"/>
        <v>0</v>
      </c>
      <c r="BT606" s="1425"/>
      <c r="BU606" s="1425"/>
      <c r="BV606" s="1425"/>
      <c r="BW606" s="1425"/>
      <c r="BX606" s="1425">
        <f t="shared" si="9"/>
        <v>0</v>
      </c>
      <c r="BY606" s="1425"/>
      <c r="BZ606" s="1425"/>
      <c r="CA606" s="1425"/>
      <c r="CB606" s="1425"/>
      <c r="CC606" s="1425">
        <f t="shared" si="10"/>
        <v>0</v>
      </c>
      <c r="CD606" s="1425"/>
      <c r="CE606" s="1425"/>
      <c r="CF606" s="1425"/>
      <c r="CG606" s="1425"/>
      <c r="CH606" s="1425">
        <f t="shared" si="11"/>
        <v>0</v>
      </c>
      <c r="CI606" s="1425"/>
      <c r="CJ606" s="1425"/>
      <c r="CK606" s="1425"/>
      <c r="CL606" s="1425"/>
      <c r="CM606" s="1425">
        <f t="shared" si="12"/>
        <v>0</v>
      </c>
      <c r="CN606" s="1425"/>
      <c r="CO606" s="1425"/>
      <c r="CP606" s="1425"/>
      <c r="CQ606" s="1425"/>
      <c r="CR606" s="6"/>
      <c r="CS606" s="1426">
        <f t="shared" si="13"/>
        <v>0</v>
      </c>
      <c r="CT606" s="1426"/>
      <c r="CU606" s="1426"/>
      <c r="CV606" s="1426"/>
      <c r="CW606" s="1426"/>
      <c r="CX606" s="1426">
        <f t="shared" si="14"/>
        <v>0</v>
      </c>
      <c r="CY606" s="1426"/>
      <c r="CZ606" s="1426"/>
      <c r="DA606" s="1426"/>
      <c r="DB606" s="1426"/>
      <c r="DC606" s="1426">
        <f t="shared" si="15"/>
        <v>0</v>
      </c>
      <c r="DD606" s="1426"/>
      <c r="DE606" s="1426"/>
      <c r="DF606" s="1426"/>
      <c r="DG606" s="1426"/>
      <c r="DH606" s="1426">
        <f t="shared" si="16"/>
        <v>0</v>
      </c>
      <c r="DI606" s="1426"/>
      <c r="DJ606" s="1426"/>
      <c r="DK606" s="1426"/>
      <c r="DL606" s="1426"/>
      <c r="DM606" s="1426">
        <f t="shared" si="17"/>
        <v>0</v>
      </c>
      <c r="DN606" s="1426"/>
      <c r="DO606" s="1426"/>
      <c r="DP606" s="1426"/>
      <c r="DQ606" s="1426"/>
      <c r="DR606" s="1426">
        <f t="shared" si="18"/>
        <v>0</v>
      </c>
      <c r="DS606" s="1426"/>
      <c r="DT606" s="1426"/>
      <c r="DU606" s="1426"/>
      <c r="DV606" s="1426"/>
      <c r="DX606" s="1422" t="str">
        <f t="shared" si="19"/>
        <v xml:space="preserve"> </v>
      </c>
      <c r="DY606" s="1423"/>
      <c r="DZ606" s="1423"/>
      <c r="EA606" s="1423"/>
      <c r="EB606" s="1424"/>
      <c r="EC606" s="1422" t="str">
        <f t="shared" si="20"/>
        <v xml:space="preserve"> </v>
      </c>
      <c r="ED606" s="1423"/>
      <c r="EE606" s="1423"/>
      <c r="EF606" s="1423"/>
      <c r="EG606" s="1424"/>
      <c r="EH606" s="1422" t="str">
        <f t="shared" si="21"/>
        <v xml:space="preserve"> </v>
      </c>
      <c r="EI606" s="1423"/>
      <c r="EJ606" s="1423"/>
      <c r="EK606" s="1423"/>
      <c r="EL606" s="1424"/>
      <c r="EM606" s="1422" t="str">
        <f t="shared" si="22"/>
        <v xml:space="preserve"> </v>
      </c>
      <c r="EN606" s="1423"/>
      <c r="EO606" s="1423"/>
      <c r="EP606" s="1423"/>
      <c r="EQ606" s="1424"/>
      <c r="ER606" s="1422" t="str">
        <f t="shared" si="23"/>
        <v xml:space="preserve"> </v>
      </c>
      <c r="ES606" s="1423"/>
      <c r="ET606" s="1423"/>
      <c r="EU606" s="1423"/>
      <c r="EV606" s="1424"/>
      <c r="EW606" s="1422" t="str">
        <f t="shared" si="24"/>
        <v xml:space="preserve"> </v>
      </c>
      <c r="EX606" s="1423"/>
      <c r="EY606" s="1423"/>
      <c r="EZ606" s="1423"/>
      <c r="FA606" s="1424"/>
    </row>
    <row r="607" spans="1:157" ht="12.95" customHeight="1">
      <c r="B607" t="s">
        <v>589</v>
      </c>
      <c r="G607" s="1357"/>
      <c r="H607" s="1357"/>
      <c r="I607" s="1357"/>
      <c r="J607" s="1357"/>
      <c r="K607" s="1357"/>
      <c r="L607" s="1357"/>
      <c r="M607" s="1357"/>
      <c r="N607" s="1357"/>
      <c r="O607" s="1357"/>
      <c r="P607" s="1357"/>
      <c r="Q607" s="1357"/>
      <c r="R607" s="1357"/>
      <c r="U607" t="s">
        <v>589</v>
      </c>
      <c r="Z607" s="1366"/>
      <c r="AA607" s="1366"/>
      <c r="AB607" s="1366"/>
      <c r="AC607" s="1366"/>
      <c r="AD607" s="1366"/>
      <c r="AE607" s="1366"/>
      <c r="AF607" s="1366"/>
      <c r="AG607" s="1366"/>
      <c r="AH607" s="1366"/>
      <c r="AI607" s="1366"/>
      <c r="AJ607" s="1366"/>
      <c r="AK607" s="1366"/>
      <c r="AZ607" s="3"/>
      <c r="BA607" s="3"/>
      <c r="BB607" s="3"/>
      <c r="BC607" s="3"/>
      <c r="BD607" s="3"/>
      <c r="BE607" s="1422">
        <f t="shared" si="3"/>
        <v>0</v>
      </c>
      <c r="BF607" s="1424"/>
      <c r="BG607" s="1435">
        <f t="shared" si="4"/>
        <v>0</v>
      </c>
      <c r="BH607" s="1436"/>
      <c r="BI607" s="1422">
        <f t="shared" si="5"/>
        <v>0</v>
      </c>
      <c r="BJ607" s="1424"/>
      <c r="BK607" s="1435">
        <f t="shared" si="6"/>
        <v>0</v>
      </c>
      <c r="BL607" s="1436"/>
      <c r="BM607" s="3"/>
      <c r="BN607" s="1416">
        <f t="shared" si="7"/>
        <v>0</v>
      </c>
      <c r="BO607" s="1417"/>
      <c r="BP607" s="1417"/>
      <c r="BQ607" s="1417"/>
      <c r="BR607" s="1418"/>
      <c r="BS607" s="1425">
        <f t="shared" si="8"/>
        <v>0</v>
      </c>
      <c r="BT607" s="1425"/>
      <c r="BU607" s="1425"/>
      <c r="BV607" s="1425"/>
      <c r="BW607" s="1425"/>
      <c r="BX607" s="1425">
        <f t="shared" si="9"/>
        <v>0</v>
      </c>
      <c r="BY607" s="1425"/>
      <c r="BZ607" s="1425"/>
      <c r="CA607" s="1425"/>
      <c r="CB607" s="1425"/>
      <c r="CC607" s="1425">
        <f t="shared" si="10"/>
        <v>0</v>
      </c>
      <c r="CD607" s="1425"/>
      <c r="CE607" s="1425"/>
      <c r="CF607" s="1425"/>
      <c r="CG607" s="1425"/>
      <c r="CH607" s="1425">
        <f t="shared" si="11"/>
        <v>0</v>
      </c>
      <c r="CI607" s="1425"/>
      <c r="CJ607" s="1425"/>
      <c r="CK607" s="1425"/>
      <c r="CL607" s="1425"/>
      <c r="CM607" s="1425">
        <f t="shared" si="12"/>
        <v>0</v>
      </c>
      <c r="CN607" s="1425"/>
      <c r="CO607" s="1425"/>
      <c r="CP607" s="1425"/>
      <c r="CQ607" s="1425"/>
      <c r="CR607" s="6"/>
      <c r="CS607" s="1426">
        <f t="shared" si="13"/>
        <v>0</v>
      </c>
      <c r="CT607" s="1426"/>
      <c r="CU607" s="1426"/>
      <c r="CV607" s="1426"/>
      <c r="CW607" s="1426"/>
      <c r="CX607" s="1426">
        <f t="shared" si="14"/>
        <v>0</v>
      </c>
      <c r="CY607" s="1426"/>
      <c r="CZ607" s="1426"/>
      <c r="DA607" s="1426"/>
      <c r="DB607" s="1426"/>
      <c r="DC607" s="1426">
        <f t="shared" si="15"/>
        <v>0</v>
      </c>
      <c r="DD607" s="1426"/>
      <c r="DE607" s="1426"/>
      <c r="DF607" s="1426"/>
      <c r="DG607" s="1426"/>
      <c r="DH607" s="1426">
        <f t="shared" si="16"/>
        <v>0</v>
      </c>
      <c r="DI607" s="1426"/>
      <c r="DJ607" s="1426"/>
      <c r="DK607" s="1426"/>
      <c r="DL607" s="1426"/>
      <c r="DM607" s="1426">
        <f t="shared" si="17"/>
        <v>0</v>
      </c>
      <c r="DN607" s="1426"/>
      <c r="DO607" s="1426"/>
      <c r="DP607" s="1426"/>
      <c r="DQ607" s="1426"/>
      <c r="DR607" s="1426">
        <f t="shared" si="18"/>
        <v>0</v>
      </c>
      <c r="DS607" s="1426"/>
      <c r="DT607" s="1426"/>
      <c r="DU607" s="1426"/>
      <c r="DV607" s="1426"/>
      <c r="DX607" s="1422" t="str">
        <f t="shared" si="19"/>
        <v xml:space="preserve"> </v>
      </c>
      <c r="DY607" s="1423"/>
      <c r="DZ607" s="1423"/>
      <c r="EA607" s="1423"/>
      <c r="EB607" s="1424"/>
      <c r="EC607" s="1422" t="str">
        <f t="shared" si="20"/>
        <v xml:space="preserve"> </v>
      </c>
      <c r="ED607" s="1423"/>
      <c r="EE607" s="1423"/>
      <c r="EF607" s="1423"/>
      <c r="EG607" s="1424"/>
      <c r="EH607" s="1422" t="str">
        <f t="shared" si="21"/>
        <v xml:space="preserve"> </v>
      </c>
      <c r="EI607" s="1423"/>
      <c r="EJ607" s="1423"/>
      <c r="EK607" s="1423"/>
      <c r="EL607" s="1424"/>
      <c r="EM607" s="1422" t="str">
        <f t="shared" si="22"/>
        <v xml:space="preserve"> </v>
      </c>
      <c r="EN607" s="1423"/>
      <c r="EO607" s="1423"/>
      <c r="EP607" s="1423"/>
      <c r="EQ607" s="1424"/>
      <c r="ER607" s="1422" t="str">
        <f t="shared" si="23"/>
        <v xml:space="preserve"> </v>
      </c>
      <c r="ES607" s="1423"/>
      <c r="ET607" s="1423"/>
      <c r="EU607" s="1423"/>
      <c r="EV607" s="1424"/>
      <c r="EW607" s="1422" t="str">
        <f t="shared" si="24"/>
        <v xml:space="preserve"> </v>
      </c>
      <c r="EX607" s="1423"/>
      <c r="EY607" s="1423"/>
      <c r="EZ607" s="1423"/>
      <c r="FA607" s="1424"/>
    </row>
    <row r="608" spans="1:157" ht="12.95" customHeight="1">
      <c r="B608" t="s">
        <v>17</v>
      </c>
      <c r="G608" s="1357"/>
      <c r="H608" s="1357"/>
      <c r="I608" s="1357"/>
      <c r="J608" s="1357"/>
      <c r="K608" s="1357"/>
      <c r="L608" s="1357"/>
      <c r="M608" s="1357"/>
      <c r="N608" s="1357"/>
      <c r="O608" s="1357"/>
      <c r="P608" s="1357"/>
      <c r="Q608" s="1357"/>
      <c r="R608" s="1357"/>
      <c r="U608" t="s">
        <v>17</v>
      </c>
      <c r="Z608" s="1366"/>
      <c r="AA608" s="1366"/>
      <c r="AB608" s="1366"/>
      <c r="AC608" s="1366"/>
      <c r="AD608" s="1366"/>
      <c r="AE608" s="1366"/>
      <c r="AF608" s="1366"/>
      <c r="AG608" s="1366"/>
      <c r="AH608" s="1366"/>
      <c r="AI608" s="1366"/>
      <c r="AJ608" s="1366"/>
      <c r="AK608" s="1366"/>
      <c r="AZ608" s="3"/>
      <c r="BA608" s="3"/>
      <c r="BB608" s="3"/>
      <c r="BC608" s="3"/>
      <c r="BD608" s="3"/>
      <c r="BE608" s="1422">
        <f t="shared" si="3"/>
        <v>0</v>
      </c>
      <c r="BF608" s="1424"/>
      <c r="BG608" s="1435">
        <f t="shared" si="4"/>
        <v>0</v>
      </c>
      <c r="BH608" s="1436"/>
      <c r="BI608" s="1422">
        <f t="shared" si="5"/>
        <v>0</v>
      </c>
      <c r="BJ608" s="1424"/>
      <c r="BK608" s="1435">
        <f t="shared" si="6"/>
        <v>0</v>
      </c>
      <c r="BL608" s="1436"/>
      <c r="BM608" s="3"/>
      <c r="BN608" s="1416">
        <f t="shared" si="7"/>
        <v>0</v>
      </c>
      <c r="BO608" s="1417"/>
      <c r="BP608" s="1417"/>
      <c r="BQ608" s="1417"/>
      <c r="BR608" s="1418"/>
      <c r="BS608" s="1425">
        <f t="shared" si="8"/>
        <v>0</v>
      </c>
      <c r="BT608" s="1425"/>
      <c r="BU608" s="1425"/>
      <c r="BV608" s="1425"/>
      <c r="BW608" s="1425"/>
      <c r="BX608" s="1425">
        <f t="shared" si="9"/>
        <v>0</v>
      </c>
      <c r="BY608" s="1425"/>
      <c r="BZ608" s="1425"/>
      <c r="CA608" s="1425"/>
      <c r="CB608" s="1425"/>
      <c r="CC608" s="1425">
        <f t="shared" si="10"/>
        <v>0</v>
      </c>
      <c r="CD608" s="1425"/>
      <c r="CE608" s="1425"/>
      <c r="CF608" s="1425"/>
      <c r="CG608" s="1425"/>
      <c r="CH608" s="1425">
        <f t="shared" si="11"/>
        <v>0</v>
      </c>
      <c r="CI608" s="1425"/>
      <c r="CJ608" s="1425"/>
      <c r="CK608" s="1425"/>
      <c r="CL608" s="1425"/>
      <c r="CM608" s="1425">
        <f t="shared" si="12"/>
        <v>0</v>
      </c>
      <c r="CN608" s="1425"/>
      <c r="CO608" s="1425"/>
      <c r="CP608" s="1425"/>
      <c r="CQ608" s="1425"/>
      <c r="CR608" s="6"/>
      <c r="CS608" s="1426">
        <f t="shared" si="13"/>
        <v>0</v>
      </c>
      <c r="CT608" s="1426"/>
      <c r="CU608" s="1426"/>
      <c r="CV608" s="1426"/>
      <c r="CW608" s="1426"/>
      <c r="CX608" s="1426">
        <f t="shared" si="14"/>
        <v>0</v>
      </c>
      <c r="CY608" s="1426"/>
      <c r="CZ608" s="1426"/>
      <c r="DA608" s="1426"/>
      <c r="DB608" s="1426"/>
      <c r="DC608" s="1426">
        <f t="shared" si="15"/>
        <v>0</v>
      </c>
      <c r="DD608" s="1426"/>
      <c r="DE608" s="1426"/>
      <c r="DF608" s="1426"/>
      <c r="DG608" s="1426"/>
      <c r="DH608" s="1426">
        <f t="shared" si="16"/>
        <v>0</v>
      </c>
      <c r="DI608" s="1426"/>
      <c r="DJ608" s="1426"/>
      <c r="DK608" s="1426"/>
      <c r="DL608" s="1426"/>
      <c r="DM608" s="1426">
        <f t="shared" si="17"/>
        <v>0</v>
      </c>
      <c r="DN608" s="1426"/>
      <c r="DO608" s="1426"/>
      <c r="DP608" s="1426"/>
      <c r="DQ608" s="1426"/>
      <c r="DR608" s="1426">
        <f t="shared" si="18"/>
        <v>0</v>
      </c>
      <c r="DS608" s="1426"/>
      <c r="DT608" s="1426"/>
      <c r="DU608" s="1426"/>
      <c r="DV608" s="1426"/>
      <c r="DX608" s="1422" t="str">
        <f t="shared" si="19"/>
        <v xml:space="preserve"> </v>
      </c>
      <c r="DY608" s="1423"/>
      <c r="DZ608" s="1423"/>
      <c r="EA608" s="1423"/>
      <c r="EB608" s="1424"/>
      <c r="EC608" s="1422" t="str">
        <f t="shared" si="20"/>
        <v xml:space="preserve"> </v>
      </c>
      <c r="ED608" s="1423"/>
      <c r="EE608" s="1423"/>
      <c r="EF608" s="1423"/>
      <c r="EG608" s="1424"/>
      <c r="EH608" s="1422" t="str">
        <f t="shared" si="21"/>
        <v xml:space="preserve"> </v>
      </c>
      <c r="EI608" s="1423"/>
      <c r="EJ608" s="1423"/>
      <c r="EK608" s="1423"/>
      <c r="EL608" s="1424"/>
      <c r="EM608" s="1422" t="str">
        <f t="shared" si="22"/>
        <v xml:space="preserve"> </v>
      </c>
      <c r="EN608" s="1423"/>
      <c r="EO608" s="1423"/>
      <c r="EP608" s="1423"/>
      <c r="EQ608" s="1424"/>
      <c r="ER608" s="1422" t="str">
        <f t="shared" si="23"/>
        <v xml:space="preserve"> </v>
      </c>
      <c r="ES608" s="1423"/>
      <c r="ET608" s="1423"/>
      <c r="EU608" s="1423"/>
      <c r="EV608" s="1424"/>
      <c r="EW608" s="1422" t="str">
        <f t="shared" si="24"/>
        <v xml:space="preserve"> </v>
      </c>
      <c r="EX608" s="1423"/>
      <c r="EY608" s="1423"/>
      <c r="EZ608" s="1423"/>
      <c r="FA608" s="1424"/>
    </row>
    <row r="609" spans="1:157" ht="12.95" customHeight="1">
      <c r="B609" t="s">
        <v>317</v>
      </c>
      <c r="G609" s="1360"/>
      <c r="H609" s="1360"/>
      <c r="I609" s="1360"/>
      <c r="J609" s="1360"/>
      <c r="K609" s="1360"/>
      <c r="L609" s="1360"/>
      <c r="O609" s="33" t="s">
        <v>207</v>
      </c>
      <c r="P609" s="1355"/>
      <c r="Q609" s="1355"/>
      <c r="R609" s="1355"/>
      <c r="U609" t="s">
        <v>317</v>
      </c>
      <c r="Z609" s="1360"/>
      <c r="AA609" s="1360"/>
      <c r="AB609" s="1360"/>
      <c r="AC609" s="1360"/>
      <c r="AD609" s="1360"/>
      <c r="AE609" s="1360"/>
      <c r="AH609" s="33" t="s">
        <v>207</v>
      </c>
      <c r="AI609" s="1355"/>
      <c r="AJ609" s="1355"/>
      <c r="AK609" s="1355"/>
      <c r="AZ609" s="3"/>
      <c r="BA609" s="3"/>
      <c r="BB609" s="3"/>
      <c r="BC609" s="3"/>
      <c r="BD609" s="3"/>
      <c r="BE609" s="1422">
        <f t="shared" si="3"/>
        <v>0</v>
      </c>
      <c r="BF609" s="1424"/>
      <c r="BG609" s="1435">
        <f t="shared" si="4"/>
        <v>0</v>
      </c>
      <c r="BH609" s="1436"/>
      <c r="BI609" s="1422">
        <f t="shared" si="5"/>
        <v>0</v>
      </c>
      <c r="BJ609" s="1424"/>
      <c r="BK609" s="1435">
        <f t="shared" si="6"/>
        <v>0</v>
      </c>
      <c r="BL609" s="1436"/>
      <c r="BM609" s="3"/>
      <c r="BN609" s="1416">
        <f t="shared" si="7"/>
        <v>0</v>
      </c>
      <c r="BO609" s="1417"/>
      <c r="BP609" s="1417"/>
      <c r="BQ609" s="1417"/>
      <c r="BR609" s="1418"/>
      <c r="BS609" s="1425">
        <f t="shared" si="8"/>
        <v>0</v>
      </c>
      <c r="BT609" s="1425"/>
      <c r="BU609" s="1425"/>
      <c r="BV609" s="1425"/>
      <c r="BW609" s="1425"/>
      <c r="BX609" s="1425">
        <f t="shared" si="9"/>
        <v>0</v>
      </c>
      <c r="BY609" s="1425"/>
      <c r="BZ609" s="1425"/>
      <c r="CA609" s="1425"/>
      <c r="CB609" s="1425"/>
      <c r="CC609" s="1425">
        <f t="shared" si="10"/>
        <v>0</v>
      </c>
      <c r="CD609" s="1425"/>
      <c r="CE609" s="1425"/>
      <c r="CF609" s="1425"/>
      <c r="CG609" s="1425"/>
      <c r="CH609" s="1425">
        <f t="shared" si="11"/>
        <v>0</v>
      </c>
      <c r="CI609" s="1425"/>
      <c r="CJ609" s="1425"/>
      <c r="CK609" s="1425"/>
      <c r="CL609" s="1425"/>
      <c r="CM609" s="1425">
        <f t="shared" si="12"/>
        <v>0</v>
      </c>
      <c r="CN609" s="1425"/>
      <c r="CO609" s="1425"/>
      <c r="CP609" s="1425"/>
      <c r="CQ609" s="1425"/>
      <c r="CR609" s="6"/>
      <c r="CS609" s="1426">
        <f t="shared" si="13"/>
        <v>0</v>
      </c>
      <c r="CT609" s="1426"/>
      <c r="CU609" s="1426"/>
      <c r="CV609" s="1426"/>
      <c r="CW609" s="1426"/>
      <c r="CX609" s="1426">
        <f t="shared" si="14"/>
        <v>0</v>
      </c>
      <c r="CY609" s="1426"/>
      <c r="CZ609" s="1426"/>
      <c r="DA609" s="1426"/>
      <c r="DB609" s="1426"/>
      <c r="DC609" s="1426">
        <f t="shared" si="15"/>
        <v>0</v>
      </c>
      <c r="DD609" s="1426"/>
      <c r="DE609" s="1426"/>
      <c r="DF609" s="1426"/>
      <c r="DG609" s="1426"/>
      <c r="DH609" s="1426">
        <f t="shared" si="16"/>
        <v>0</v>
      </c>
      <c r="DI609" s="1426"/>
      <c r="DJ609" s="1426"/>
      <c r="DK609" s="1426"/>
      <c r="DL609" s="1426"/>
      <c r="DM609" s="1426">
        <f t="shared" si="17"/>
        <v>0</v>
      </c>
      <c r="DN609" s="1426"/>
      <c r="DO609" s="1426"/>
      <c r="DP609" s="1426"/>
      <c r="DQ609" s="1426"/>
      <c r="DR609" s="1426">
        <f t="shared" si="18"/>
        <v>0</v>
      </c>
      <c r="DS609" s="1426"/>
      <c r="DT609" s="1426"/>
      <c r="DU609" s="1426"/>
      <c r="DV609" s="1426"/>
      <c r="DX609" s="1422" t="str">
        <f t="shared" si="19"/>
        <v xml:space="preserve"> </v>
      </c>
      <c r="DY609" s="1423"/>
      <c r="DZ609" s="1423"/>
      <c r="EA609" s="1423"/>
      <c r="EB609" s="1424"/>
      <c r="EC609" s="1422" t="str">
        <f t="shared" si="20"/>
        <v xml:space="preserve"> </v>
      </c>
      <c r="ED609" s="1423"/>
      <c r="EE609" s="1423"/>
      <c r="EF609" s="1423"/>
      <c r="EG609" s="1424"/>
      <c r="EH609" s="1422" t="str">
        <f t="shared" si="21"/>
        <v xml:space="preserve"> </v>
      </c>
      <c r="EI609" s="1423"/>
      <c r="EJ609" s="1423"/>
      <c r="EK609" s="1423"/>
      <c r="EL609" s="1424"/>
      <c r="EM609" s="1422" t="str">
        <f t="shared" si="22"/>
        <v xml:space="preserve"> </v>
      </c>
      <c r="EN609" s="1423"/>
      <c r="EO609" s="1423"/>
      <c r="EP609" s="1423"/>
      <c r="EQ609" s="1424"/>
      <c r="ER609" s="1422" t="str">
        <f t="shared" si="23"/>
        <v xml:space="preserve"> </v>
      </c>
      <c r="ES609" s="1423"/>
      <c r="ET609" s="1423"/>
      <c r="EU609" s="1423"/>
      <c r="EV609" s="1424"/>
      <c r="EW609" s="1422" t="str">
        <f t="shared" si="24"/>
        <v xml:space="preserve"> </v>
      </c>
      <c r="EX609" s="1423"/>
      <c r="EY609" s="1423"/>
      <c r="EZ609" s="1423"/>
      <c r="FA609" s="1424"/>
    </row>
    <row r="610" spans="1:157" ht="12.95" customHeight="1">
      <c r="B610" t="s">
        <v>18</v>
      </c>
      <c r="H610" s="1357"/>
      <c r="I610" s="1357"/>
      <c r="J610" s="1357"/>
      <c r="K610" s="1357"/>
      <c r="L610" s="1357"/>
      <c r="M610" s="1357"/>
      <c r="N610" s="1357"/>
      <c r="O610" s="1357"/>
      <c r="P610" s="1357"/>
      <c r="Q610" s="1357"/>
      <c r="R610" s="1357"/>
      <c r="U610" t="s">
        <v>18</v>
      </c>
      <c r="AA610" s="1357"/>
      <c r="AB610" s="1357"/>
      <c r="AC610" s="1357"/>
      <c r="AD610" s="1357"/>
      <c r="AE610" s="1357"/>
      <c r="AF610" s="1357"/>
      <c r="AG610" s="1357"/>
      <c r="AH610" s="1357"/>
      <c r="AI610" s="1357"/>
      <c r="AJ610" s="1357"/>
      <c r="AK610" s="1357"/>
      <c r="AZ610" s="3"/>
      <c r="BA610" s="3"/>
      <c r="BB610" s="3"/>
      <c r="BC610" s="3"/>
      <c r="BD610" s="3"/>
      <c r="BE610" s="1422">
        <f t="shared" si="3"/>
        <v>0</v>
      </c>
      <c r="BF610" s="1424"/>
      <c r="BG610" s="1435">
        <f t="shared" si="4"/>
        <v>0</v>
      </c>
      <c r="BH610" s="1436"/>
      <c r="BI610" s="1422">
        <f t="shared" si="5"/>
        <v>0</v>
      </c>
      <c r="BJ610" s="1424"/>
      <c r="BK610" s="1435">
        <f t="shared" si="6"/>
        <v>0</v>
      </c>
      <c r="BL610" s="1436"/>
      <c r="BM610" s="3"/>
      <c r="BN610" s="1416">
        <f t="shared" si="7"/>
        <v>0</v>
      </c>
      <c r="BO610" s="1417"/>
      <c r="BP610" s="1417"/>
      <c r="BQ610" s="1417"/>
      <c r="BR610" s="1418"/>
      <c r="BS610" s="1425">
        <f t="shared" si="8"/>
        <v>0</v>
      </c>
      <c r="BT610" s="1425"/>
      <c r="BU610" s="1425"/>
      <c r="BV610" s="1425"/>
      <c r="BW610" s="1425"/>
      <c r="BX610" s="1425">
        <f t="shared" si="9"/>
        <v>0</v>
      </c>
      <c r="BY610" s="1425"/>
      <c r="BZ610" s="1425"/>
      <c r="CA610" s="1425"/>
      <c r="CB610" s="1425"/>
      <c r="CC610" s="1425">
        <f t="shared" si="10"/>
        <v>0</v>
      </c>
      <c r="CD610" s="1425"/>
      <c r="CE610" s="1425"/>
      <c r="CF610" s="1425"/>
      <c r="CG610" s="1425"/>
      <c r="CH610" s="1425">
        <f t="shared" si="11"/>
        <v>0</v>
      </c>
      <c r="CI610" s="1425"/>
      <c r="CJ610" s="1425"/>
      <c r="CK610" s="1425"/>
      <c r="CL610" s="1425"/>
      <c r="CM610" s="1425">
        <f t="shared" si="12"/>
        <v>0</v>
      </c>
      <c r="CN610" s="1425"/>
      <c r="CO610" s="1425"/>
      <c r="CP610" s="1425"/>
      <c r="CQ610" s="1425"/>
      <c r="CR610" s="6"/>
      <c r="CS610" s="1426">
        <f t="shared" si="13"/>
        <v>0</v>
      </c>
      <c r="CT610" s="1426"/>
      <c r="CU610" s="1426"/>
      <c r="CV610" s="1426"/>
      <c r="CW610" s="1426"/>
      <c r="CX610" s="1426">
        <f t="shared" si="14"/>
        <v>0</v>
      </c>
      <c r="CY610" s="1426"/>
      <c r="CZ610" s="1426"/>
      <c r="DA610" s="1426"/>
      <c r="DB610" s="1426"/>
      <c r="DC610" s="1426">
        <f t="shared" si="15"/>
        <v>0</v>
      </c>
      <c r="DD610" s="1426"/>
      <c r="DE610" s="1426"/>
      <c r="DF610" s="1426"/>
      <c r="DG610" s="1426"/>
      <c r="DH610" s="1426">
        <f t="shared" si="16"/>
        <v>0</v>
      </c>
      <c r="DI610" s="1426"/>
      <c r="DJ610" s="1426"/>
      <c r="DK610" s="1426"/>
      <c r="DL610" s="1426"/>
      <c r="DM610" s="1426">
        <f t="shared" si="17"/>
        <v>0</v>
      </c>
      <c r="DN610" s="1426"/>
      <c r="DO610" s="1426"/>
      <c r="DP610" s="1426"/>
      <c r="DQ610" s="1426"/>
      <c r="DR610" s="1426">
        <f t="shared" si="18"/>
        <v>0</v>
      </c>
      <c r="DS610" s="1426"/>
      <c r="DT610" s="1426"/>
      <c r="DU610" s="1426"/>
      <c r="DV610" s="1426"/>
      <c r="DX610" s="1422" t="str">
        <f t="shared" si="19"/>
        <v xml:space="preserve"> </v>
      </c>
      <c r="DY610" s="1423"/>
      <c r="DZ610" s="1423"/>
      <c r="EA610" s="1423"/>
      <c r="EB610" s="1424"/>
      <c r="EC610" s="1422" t="str">
        <f t="shared" si="20"/>
        <v xml:space="preserve"> </v>
      </c>
      <c r="ED610" s="1423"/>
      <c r="EE610" s="1423"/>
      <c r="EF610" s="1423"/>
      <c r="EG610" s="1424"/>
      <c r="EH610" s="1422" t="str">
        <f t="shared" si="21"/>
        <v xml:space="preserve"> </v>
      </c>
      <c r="EI610" s="1423"/>
      <c r="EJ610" s="1423"/>
      <c r="EK610" s="1423"/>
      <c r="EL610" s="1424"/>
      <c r="EM610" s="1422" t="str">
        <f t="shared" si="22"/>
        <v xml:space="preserve"> </v>
      </c>
      <c r="EN610" s="1423"/>
      <c r="EO610" s="1423"/>
      <c r="EP610" s="1423"/>
      <c r="EQ610" s="1424"/>
      <c r="ER610" s="1422" t="str">
        <f t="shared" si="23"/>
        <v xml:space="preserve"> </v>
      </c>
      <c r="ES610" s="1423"/>
      <c r="ET610" s="1423"/>
      <c r="EU610" s="1423"/>
      <c r="EV610" s="1424"/>
      <c r="EW610" s="1422" t="str">
        <f t="shared" si="24"/>
        <v xml:space="preserve"> </v>
      </c>
      <c r="EX610" s="1423"/>
      <c r="EY610" s="1423"/>
      <c r="EZ610" s="1423"/>
      <c r="FA610" s="1424"/>
    </row>
    <row r="611" spans="1:157" ht="12.95" customHeight="1">
      <c r="B611" t="s">
        <v>20</v>
      </c>
      <c r="N611" s="1358" t="s">
        <v>678</v>
      </c>
      <c r="O611" s="1358"/>
      <c r="U611" t="s">
        <v>20</v>
      </c>
      <c r="AG611" s="1358" t="s">
        <v>678</v>
      </c>
      <c r="AH611" s="1358"/>
      <c r="AZ611" s="3"/>
      <c r="BA611" s="3"/>
      <c r="BB611" s="3"/>
      <c r="BC611" s="3"/>
      <c r="BD611" s="3"/>
      <c r="BE611" s="1422">
        <f t="shared" si="3"/>
        <v>0</v>
      </c>
      <c r="BF611" s="1424"/>
      <c r="BG611" s="1435">
        <f t="shared" si="4"/>
        <v>0</v>
      </c>
      <c r="BH611" s="1436"/>
      <c r="BI611" s="1422">
        <f t="shared" si="5"/>
        <v>0</v>
      </c>
      <c r="BJ611" s="1424"/>
      <c r="BK611" s="1435">
        <f t="shared" si="6"/>
        <v>0</v>
      </c>
      <c r="BL611" s="1436"/>
      <c r="BM611" s="3"/>
      <c r="BN611" s="1416">
        <f t="shared" si="7"/>
        <v>0</v>
      </c>
      <c r="BO611" s="1417"/>
      <c r="BP611" s="1417"/>
      <c r="BQ611" s="1417"/>
      <c r="BR611" s="1418"/>
      <c r="BS611" s="1425">
        <f t="shared" si="8"/>
        <v>0</v>
      </c>
      <c r="BT611" s="1425"/>
      <c r="BU611" s="1425"/>
      <c r="BV611" s="1425"/>
      <c r="BW611" s="1425"/>
      <c r="BX611" s="1425">
        <f t="shared" si="9"/>
        <v>0</v>
      </c>
      <c r="BY611" s="1425"/>
      <c r="BZ611" s="1425"/>
      <c r="CA611" s="1425"/>
      <c r="CB611" s="1425"/>
      <c r="CC611" s="1425">
        <f t="shared" si="10"/>
        <v>0</v>
      </c>
      <c r="CD611" s="1425"/>
      <c r="CE611" s="1425"/>
      <c r="CF611" s="1425"/>
      <c r="CG611" s="1425"/>
      <c r="CH611" s="1425">
        <f t="shared" si="11"/>
        <v>0</v>
      </c>
      <c r="CI611" s="1425"/>
      <c r="CJ611" s="1425"/>
      <c r="CK611" s="1425"/>
      <c r="CL611" s="1425"/>
      <c r="CM611" s="1425">
        <f t="shared" si="12"/>
        <v>0</v>
      </c>
      <c r="CN611" s="1425"/>
      <c r="CO611" s="1425"/>
      <c r="CP611" s="1425"/>
      <c r="CQ611" s="1425"/>
      <c r="CR611" s="6"/>
      <c r="CS611" s="1426">
        <f t="shared" si="13"/>
        <v>0</v>
      </c>
      <c r="CT611" s="1426"/>
      <c r="CU611" s="1426"/>
      <c r="CV611" s="1426"/>
      <c r="CW611" s="1426"/>
      <c r="CX611" s="1426">
        <f t="shared" si="14"/>
        <v>0</v>
      </c>
      <c r="CY611" s="1426"/>
      <c r="CZ611" s="1426"/>
      <c r="DA611" s="1426"/>
      <c r="DB611" s="1426"/>
      <c r="DC611" s="1426">
        <f t="shared" si="15"/>
        <v>0</v>
      </c>
      <c r="DD611" s="1426"/>
      <c r="DE611" s="1426"/>
      <c r="DF611" s="1426"/>
      <c r="DG611" s="1426"/>
      <c r="DH611" s="1426">
        <f t="shared" si="16"/>
        <v>0</v>
      </c>
      <c r="DI611" s="1426"/>
      <c r="DJ611" s="1426"/>
      <c r="DK611" s="1426"/>
      <c r="DL611" s="1426"/>
      <c r="DM611" s="1426">
        <f t="shared" si="17"/>
        <v>0</v>
      </c>
      <c r="DN611" s="1426"/>
      <c r="DO611" s="1426"/>
      <c r="DP611" s="1426"/>
      <c r="DQ611" s="1426"/>
      <c r="DR611" s="1426">
        <f t="shared" si="18"/>
        <v>0</v>
      </c>
      <c r="DS611" s="1426"/>
      <c r="DT611" s="1426"/>
      <c r="DU611" s="1426"/>
      <c r="DV611" s="1426"/>
      <c r="DX611" s="1422" t="str">
        <f t="shared" si="19"/>
        <v xml:space="preserve"> </v>
      </c>
      <c r="DY611" s="1423"/>
      <c r="DZ611" s="1423"/>
      <c r="EA611" s="1423"/>
      <c r="EB611" s="1424"/>
      <c r="EC611" s="1422" t="str">
        <f t="shared" si="20"/>
        <v xml:space="preserve"> </v>
      </c>
      <c r="ED611" s="1423"/>
      <c r="EE611" s="1423"/>
      <c r="EF611" s="1423"/>
      <c r="EG611" s="1424"/>
      <c r="EH611" s="1422" t="str">
        <f t="shared" si="21"/>
        <v xml:space="preserve"> </v>
      </c>
      <c r="EI611" s="1423"/>
      <c r="EJ611" s="1423"/>
      <c r="EK611" s="1423"/>
      <c r="EL611" s="1424"/>
      <c r="EM611" s="1422" t="str">
        <f t="shared" si="22"/>
        <v xml:space="preserve"> </v>
      </c>
      <c r="EN611" s="1423"/>
      <c r="EO611" s="1423"/>
      <c r="EP611" s="1423"/>
      <c r="EQ611" s="1424"/>
      <c r="ER611" s="1422" t="str">
        <f t="shared" si="23"/>
        <v xml:space="preserve"> </v>
      </c>
      <c r="ES611" s="1423"/>
      <c r="ET611" s="1423"/>
      <c r="EU611" s="1423"/>
      <c r="EV611" s="1424"/>
      <c r="EW611" s="1422" t="str">
        <f t="shared" si="24"/>
        <v xml:space="preserve"> </v>
      </c>
      <c r="EX611" s="1423"/>
      <c r="EY611" s="1423"/>
      <c r="EZ611" s="1423"/>
      <c r="FA611" s="1424"/>
    </row>
    <row r="612" spans="1:157" ht="12.95" customHeight="1">
      <c r="AZ612" s="3"/>
      <c r="BA612" s="3"/>
      <c r="BB612" s="3"/>
      <c r="BC612" s="3"/>
      <c r="BD612" s="3"/>
      <c r="BE612" s="1422">
        <f t="shared" si="3"/>
        <v>0</v>
      </c>
      <c r="BF612" s="1424"/>
      <c r="BG612" s="1435">
        <f t="shared" si="4"/>
        <v>0</v>
      </c>
      <c r="BH612" s="1436"/>
      <c r="BI612" s="1422">
        <f t="shared" si="5"/>
        <v>0</v>
      </c>
      <c r="BJ612" s="1424"/>
      <c r="BK612" s="1435">
        <f t="shared" si="6"/>
        <v>0</v>
      </c>
      <c r="BL612" s="1436"/>
      <c r="BM612" s="3"/>
      <c r="BN612" s="1416">
        <f t="shared" si="7"/>
        <v>0</v>
      </c>
      <c r="BO612" s="1417"/>
      <c r="BP612" s="1417"/>
      <c r="BQ612" s="1417"/>
      <c r="BR612" s="1418"/>
      <c r="BS612" s="1425">
        <f t="shared" si="8"/>
        <v>0</v>
      </c>
      <c r="BT612" s="1425"/>
      <c r="BU612" s="1425"/>
      <c r="BV612" s="1425"/>
      <c r="BW612" s="1425"/>
      <c r="BX612" s="1425">
        <f t="shared" si="9"/>
        <v>0</v>
      </c>
      <c r="BY612" s="1425"/>
      <c r="BZ612" s="1425"/>
      <c r="CA612" s="1425"/>
      <c r="CB612" s="1425"/>
      <c r="CC612" s="1425">
        <f t="shared" si="10"/>
        <v>0</v>
      </c>
      <c r="CD612" s="1425"/>
      <c r="CE612" s="1425"/>
      <c r="CF612" s="1425"/>
      <c r="CG612" s="1425"/>
      <c r="CH612" s="1425">
        <f t="shared" si="11"/>
        <v>0</v>
      </c>
      <c r="CI612" s="1425"/>
      <c r="CJ612" s="1425"/>
      <c r="CK612" s="1425"/>
      <c r="CL612" s="1425"/>
      <c r="CM612" s="1425">
        <f t="shared" si="12"/>
        <v>0</v>
      </c>
      <c r="CN612" s="1425"/>
      <c r="CO612" s="1425"/>
      <c r="CP612" s="1425"/>
      <c r="CQ612" s="1425"/>
      <c r="CR612" s="6"/>
      <c r="CS612" s="1426">
        <f t="shared" si="13"/>
        <v>0</v>
      </c>
      <c r="CT612" s="1426"/>
      <c r="CU612" s="1426"/>
      <c r="CV612" s="1426"/>
      <c r="CW612" s="1426"/>
      <c r="CX612" s="1426">
        <f t="shared" si="14"/>
        <v>0</v>
      </c>
      <c r="CY612" s="1426"/>
      <c r="CZ612" s="1426"/>
      <c r="DA612" s="1426"/>
      <c r="DB612" s="1426"/>
      <c r="DC612" s="1426">
        <f t="shared" si="15"/>
        <v>0</v>
      </c>
      <c r="DD612" s="1426"/>
      <c r="DE612" s="1426"/>
      <c r="DF612" s="1426"/>
      <c r="DG612" s="1426"/>
      <c r="DH612" s="1426">
        <f t="shared" si="16"/>
        <v>0</v>
      </c>
      <c r="DI612" s="1426"/>
      <c r="DJ612" s="1426"/>
      <c r="DK612" s="1426"/>
      <c r="DL612" s="1426"/>
      <c r="DM612" s="1426">
        <f t="shared" si="17"/>
        <v>0</v>
      </c>
      <c r="DN612" s="1426"/>
      <c r="DO612" s="1426"/>
      <c r="DP612" s="1426"/>
      <c r="DQ612" s="1426"/>
      <c r="DR612" s="1426">
        <f t="shared" si="18"/>
        <v>0</v>
      </c>
      <c r="DS612" s="1426"/>
      <c r="DT612" s="1426"/>
      <c r="DU612" s="1426"/>
      <c r="DV612" s="1426"/>
      <c r="DX612" s="1422" t="str">
        <f t="shared" si="19"/>
        <v xml:space="preserve"> </v>
      </c>
      <c r="DY612" s="1423"/>
      <c r="DZ612" s="1423"/>
      <c r="EA612" s="1423"/>
      <c r="EB612" s="1424"/>
      <c r="EC612" s="1422" t="str">
        <f t="shared" si="20"/>
        <v xml:space="preserve"> </v>
      </c>
      <c r="ED612" s="1423"/>
      <c r="EE612" s="1423"/>
      <c r="EF612" s="1423"/>
      <c r="EG612" s="1424"/>
      <c r="EH612" s="1422" t="str">
        <f t="shared" si="21"/>
        <v xml:space="preserve"> </v>
      </c>
      <c r="EI612" s="1423"/>
      <c r="EJ612" s="1423"/>
      <c r="EK612" s="1423"/>
      <c r="EL612" s="1424"/>
      <c r="EM612" s="1422" t="str">
        <f t="shared" si="22"/>
        <v xml:space="preserve"> </v>
      </c>
      <c r="EN612" s="1423"/>
      <c r="EO612" s="1423"/>
      <c r="EP612" s="1423"/>
      <c r="EQ612" s="1424"/>
      <c r="ER612" s="1422" t="str">
        <f t="shared" si="23"/>
        <v xml:space="preserve"> </v>
      </c>
      <c r="ES612" s="1423"/>
      <c r="ET612" s="1423"/>
      <c r="EU612" s="1423"/>
      <c r="EV612" s="1424"/>
      <c r="EW612" s="1422" t="str">
        <f t="shared" si="24"/>
        <v xml:space="preserve"> </v>
      </c>
      <c r="EX612" s="1423"/>
      <c r="EY612" s="1423"/>
      <c r="EZ612" s="1423"/>
      <c r="FA612" s="1424"/>
    </row>
    <row r="613" spans="1:157" ht="12.95" customHeight="1">
      <c r="A613" s="1262" t="s">
        <v>553</v>
      </c>
      <c r="B613" s="1262"/>
      <c r="C613" s="1262"/>
      <c r="D613" s="1262"/>
      <c r="E613" s="1262"/>
      <c r="F613" s="1262"/>
      <c r="G613" s="1262"/>
      <c r="H613" s="1262"/>
      <c r="I613" s="1262"/>
      <c r="J613" s="1262"/>
      <c r="K613" s="1262"/>
      <c r="L613" s="1262"/>
      <c r="M613" s="1262"/>
      <c r="N613" s="1262"/>
      <c r="O613" s="1262"/>
      <c r="P613" s="1262"/>
      <c r="Q613" s="1262"/>
      <c r="R613" s="1262"/>
      <c r="S613" s="1262"/>
      <c r="T613" s="1262"/>
      <c r="U613" s="1262"/>
      <c r="V613" s="1262"/>
      <c r="W613" s="1262"/>
      <c r="X613" s="1262"/>
      <c r="Y613" s="1262"/>
      <c r="Z613" s="1262"/>
      <c r="AA613" s="1262"/>
      <c r="AB613" s="1262"/>
      <c r="AC613" s="1262"/>
      <c r="AD613" s="1262"/>
      <c r="AE613" s="1262"/>
      <c r="AF613" s="1262"/>
      <c r="AG613" s="1262"/>
      <c r="AH613" s="1262"/>
      <c r="AI613" s="1262"/>
      <c r="AJ613" s="1262"/>
      <c r="AK613" s="1262"/>
      <c r="AL613" s="1262"/>
      <c r="AM613" s="1262"/>
      <c r="AN613" s="1262"/>
      <c r="AO613" s="1262"/>
      <c r="AP613" s="1262"/>
      <c r="AQ613" s="1262"/>
      <c r="AR613" s="1262"/>
      <c r="AS613" s="1262"/>
      <c r="AT613" s="936"/>
      <c r="AU613" s="936"/>
      <c r="AV613" s="936"/>
      <c r="AW613" s="936"/>
      <c r="AX613" s="936"/>
      <c r="AY613" s="936"/>
      <c r="AZ613" s="3"/>
      <c r="BA613" s="3"/>
      <c r="BB613" s="3"/>
      <c r="BC613" s="3"/>
      <c r="BD613" s="3"/>
      <c r="BE613" s="1422">
        <f t="shared" si="3"/>
        <v>0</v>
      </c>
      <c r="BF613" s="1424"/>
      <c r="BG613" s="1435">
        <f t="shared" si="4"/>
        <v>0</v>
      </c>
      <c r="BH613" s="1436"/>
      <c r="BI613" s="1422">
        <f t="shared" si="5"/>
        <v>0</v>
      </c>
      <c r="BJ613" s="1424"/>
      <c r="BK613" s="1435">
        <f t="shared" si="6"/>
        <v>0</v>
      </c>
      <c r="BL613" s="1436"/>
      <c r="BM613" s="3"/>
      <c r="BN613" s="1416">
        <f t="shared" si="7"/>
        <v>0</v>
      </c>
      <c r="BO613" s="1417"/>
      <c r="BP613" s="1417"/>
      <c r="BQ613" s="1417"/>
      <c r="BR613" s="1418"/>
      <c r="BS613" s="1425">
        <f t="shared" si="8"/>
        <v>0</v>
      </c>
      <c r="BT613" s="1425"/>
      <c r="BU613" s="1425"/>
      <c r="BV613" s="1425"/>
      <c r="BW613" s="1425"/>
      <c r="BX613" s="1425">
        <f t="shared" si="9"/>
        <v>0</v>
      </c>
      <c r="BY613" s="1425"/>
      <c r="BZ613" s="1425"/>
      <c r="CA613" s="1425"/>
      <c r="CB613" s="1425"/>
      <c r="CC613" s="1425">
        <f t="shared" si="10"/>
        <v>0</v>
      </c>
      <c r="CD613" s="1425"/>
      <c r="CE613" s="1425"/>
      <c r="CF613" s="1425"/>
      <c r="CG613" s="1425"/>
      <c r="CH613" s="1425">
        <f t="shared" si="11"/>
        <v>0</v>
      </c>
      <c r="CI613" s="1425"/>
      <c r="CJ613" s="1425"/>
      <c r="CK613" s="1425"/>
      <c r="CL613" s="1425"/>
      <c r="CM613" s="1425">
        <f t="shared" si="12"/>
        <v>0</v>
      </c>
      <c r="CN613" s="1425"/>
      <c r="CO613" s="1425"/>
      <c r="CP613" s="1425"/>
      <c r="CQ613" s="1425"/>
      <c r="CR613" s="6"/>
      <c r="CS613" s="1426">
        <f t="shared" si="13"/>
        <v>0</v>
      </c>
      <c r="CT613" s="1426"/>
      <c r="CU613" s="1426"/>
      <c r="CV613" s="1426"/>
      <c r="CW613" s="1426"/>
      <c r="CX613" s="1426">
        <f t="shared" si="14"/>
        <v>0</v>
      </c>
      <c r="CY613" s="1426"/>
      <c r="CZ613" s="1426"/>
      <c r="DA613" s="1426"/>
      <c r="DB613" s="1426"/>
      <c r="DC613" s="1426">
        <f t="shared" si="15"/>
        <v>0</v>
      </c>
      <c r="DD613" s="1426"/>
      <c r="DE613" s="1426"/>
      <c r="DF613" s="1426"/>
      <c r="DG613" s="1426"/>
      <c r="DH613" s="1426">
        <f t="shared" si="16"/>
        <v>0</v>
      </c>
      <c r="DI613" s="1426"/>
      <c r="DJ613" s="1426"/>
      <c r="DK613" s="1426"/>
      <c r="DL613" s="1426"/>
      <c r="DM613" s="1426">
        <f t="shared" si="17"/>
        <v>0</v>
      </c>
      <c r="DN613" s="1426"/>
      <c r="DO613" s="1426"/>
      <c r="DP613" s="1426"/>
      <c r="DQ613" s="1426"/>
      <c r="DR613" s="1426">
        <f t="shared" si="18"/>
        <v>0</v>
      </c>
      <c r="DS613" s="1426"/>
      <c r="DT613" s="1426"/>
      <c r="DU613" s="1426"/>
      <c r="DV613" s="1426"/>
      <c r="DX613" s="1422" t="str">
        <f t="shared" si="19"/>
        <v xml:space="preserve"> </v>
      </c>
      <c r="DY613" s="1423"/>
      <c r="DZ613" s="1423"/>
      <c r="EA613" s="1423"/>
      <c r="EB613" s="1424"/>
      <c r="EC613" s="1422" t="str">
        <f t="shared" si="20"/>
        <v xml:space="preserve"> </v>
      </c>
      <c r="ED613" s="1423"/>
      <c r="EE613" s="1423"/>
      <c r="EF613" s="1423"/>
      <c r="EG613" s="1424"/>
      <c r="EH613" s="1422" t="str">
        <f t="shared" si="21"/>
        <v xml:space="preserve"> </v>
      </c>
      <c r="EI613" s="1423"/>
      <c r="EJ613" s="1423"/>
      <c r="EK613" s="1423"/>
      <c r="EL613" s="1424"/>
      <c r="EM613" s="1422" t="str">
        <f t="shared" si="22"/>
        <v xml:space="preserve"> </v>
      </c>
      <c r="EN613" s="1423"/>
      <c r="EO613" s="1423"/>
      <c r="EP613" s="1423"/>
      <c r="EQ613" s="1424"/>
      <c r="ER613" s="1422" t="str">
        <f t="shared" si="23"/>
        <v xml:space="preserve"> </v>
      </c>
      <c r="ES613" s="1423"/>
      <c r="ET613" s="1423"/>
      <c r="EU613" s="1423"/>
      <c r="EV613" s="1424"/>
      <c r="EW613" s="1422" t="str">
        <f t="shared" si="24"/>
        <v xml:space="preserve"> </v>
      </c>
      <c r="EX613" s="1423"/>
      <c r="EY613" s="1423"/>
      <c r="EZ613" s="1423"/>
      <c r="FA613" s="1424"/>
    </row>
    <row r="614" spans="1:157" ht="12.95" customHeight="1">
      <c r="A614" s="1262"/>
      <c r="B614" s="1262"/>
      <c r="C614" s="1262"/>
      <c r="D614" s="1262"/>
      <c r="E614" s="1262"/>
      <c r="F614" s="1262"/>
      <c r="G614" s="1262"/>
      <c r="H614" s="1262"/>
      <c r="I614" s="1262"/>
      <c r="J614" s="1262"/>
      <c r="K614" s="1262"/>
      <c r="L614" s="1262"/>
      <c r="M614" s="1262"/>
      <c r="N614" s="1262"/>
      <c r="O614" s="1262"/>
      <c r="P614" s="1262"/>
      <c r="Q614" s="1262"/>
      <c r="R614" s="1262"/>
      <c r="S614" s="1262"/>
      <c r="T614" s="1262"/>
      <c r="U614" s="1262"/>
      <c r="V614" s="1262"/>
      <c r="W614" s="1262"/>
      <c r="X614" s="1262"/>
      <c r="Y614" s="1262"/>
      <c r="Z614" s="1262"/>
      <c r="AA614" s="1262"/>
      <c r="AB614" s="1262"/>
      <c r="AC614" s="1262"/>
      <c r="AD614" s="1262"/>
      <c r="AE614" s="1262"/>
      <c r="AF614" s="1262"/>
      <c r="AG614" s="1262"/>
      <c r="AH614" s="1262"/>
      <c r="AI614" s="1262"/>
      <c r="AJ614" s="1262"/>
      <c r="AK614" s="1262"/>
      <c r="AL614" s="1262"/>
      <c r="AM614" s="1262"/>
      <c r="AN614" s="1262"/>
      <c r="AO614" s="1262"/>
      <c r="AP614" s="1262"/>
      <c r="AQ614" s="1262"/>
      <c r="AR614" s="1262"/>
      <c r="AS614" s="1262"/>
      <c r="AT614" s="936"/>
      <c r="AU614" s="936"/>
      <c r="AV614" s="936"/>
      <c r="AW614" s="936"/>
      <c r="AX614" s="936"/>
      <c r="AY614" s="936"/>
      <c r="AZ614" s="3"/>
      <c r="BA614" s="3"/>
      <c r="BB614" s="3"/>
      <c r="BC614" s="3"/>
      <c r="BD614" s="3"/>
      <c r="BE614" s="1422">
        <f t="shared" si="3"/>
        <v>0</v>
      </c>
      <c r="BF614" s="1424"/>
      <c r="BG614" s="1435">
        <f t="shared" si="4"/>
        <v>0</v>
      </c>
      <c r="BH614" s="1436"/>
      <c r="BI614" s="1422">
        <f t="shared" si="5"/>
        <v>0</v>
      </c>
      <c r="BJ614" s="1424"/>
      <c r="BK614" s="1435">
        <f t="shared" si="6"/>
        <v>0</v>
      </c>
      <c r="BL614" s="1436"/>
      <c r="BM614" s="3"/>
      <c r="BN614" s="1416">
        <f t="shared" si="7"/>
        <v>0</v>
      </c>
      <c r="BO614" s="1417"/>
      <c r="BP614" s="1417"/>
      <c r="BQ614" s="1417"/>
      <c r="BR614" s="1418"/>
      <c r="BS614" s="1425">
        <f t="shared" si="8"/>
        <v>0</v>
      </c>
      <c r="BT614" s="1425"/>
      <c r="BU614" s="1425"/>
      <c r="BV614" s="1425"/>
      <c r="BW614" s="1425"/>
      <c r="BX614" s="1425">
        <f t="shared" si="9"/>
        <v>0</v>
      </c>
      <c r="BY614" s="1425"/>
      <c r="BZ614" s="1425"/>
      <c r="CA614" s="1425"/>
      <c r="CB614" s="1425"/>
      <c r="CC614" s="1425">
        <f t="shared" si="10"/>
        <v>0</v>
      </c>
      <c r="CD614" s="1425"/>
      <c r="CE614" s="1425"/>
      <c r="CF614" s="1425"/>
      <c r="CG614" s="1425"/>
      <c r="CH614" s="1425">
        <f t="shared" si="11"/>
        <v>0</v>
      </c>
      <c r="CI614" s="1425"/>
      <c r="CJ614" s="1425"/>
      <c r="CK614" s="1425"/>
      <c r="CL614" s="1425"/>
      <c r="CM614" s="1425">
        <f t="shared" si="12"/>
        <v>0</v>
      </c>
      <c r="CN614" s="1425"/>
      <c r="CO614" s="1425"/>
      <c r="CP614" s="1425"/>
      <c r="CQ614" s="1425"/>
      <c r="CR614" s="6"/>
      <c r="CS614" s="1426">
        <f t="shared" si="13"/>
        <v>0</v>
      </c>
      <c r="CT614" s="1426"/>
      <c r="CU614" s="1426"/>
      <c r="CV614" s="1426"/>
      <c r="CW614" s="1426"/>
      <c r="CX614" s="1426">
        <f t="shared" si="14"/>
        <v>0</v>
      </c>
      <c r="CY614" s="1426"/>
      <c r="CZ614" s="1426"/>
      <c r="DA614" s="1426"/>
      <c r="DB614" s="1426"/>
      <c r="DC614" s="1426">
        <f t="shared" si="15"/>
        <v>0</v>
      </c>
      <c r="DD614" s="1426"/>
      <c r="DE614" s="1426"/>
      <c r="DF614" s="1426"/>
      <c r="DG614" s="1426"/>
      <c r="DH614" s="1426">
        <f t="shared" si="16"/>
        <v>0</v>
      </c>
      <c r="DI614" s="1426"/>
      <c r="DJ614" s="1426"/>
      <c r="DK614" s="1426"/>
      <c r="DL614" s="1426"/>
      <c r="DM614" s="1426">
        <f t="shared" si="17"/>
        <v>0</v>
      </c>
      <c r="DN614" s="1426"/>
      <c r="DO614" s="1426"/>
      <c r="DP614" s="1426"/>
      <c r="DQ614" s="1426"/>
      <c r="DR614" s="1426">
        <f t="shared" si="18"/>
        <v>0</v>
      </c>
      <c r="DS614" s="1426"/>
      <c r="DT614" s="1426"/>
      <c r="DU614" s="1426"/>
      <c r="DV614" s="1426"/>
      <c r="DX614" s="1422" t="str">
        <f t="shared" si="19"/>
        <v xml:space="preserve"> </v>
      </c>
      <c r="DY614" s="1423"/>
      <c r="DZ614" s="1423"/>
      <c r="EA614" s="1423"/>
      <c r="EB614" s="1424"/>
      <c r="EC614" s="1422" t="str">
        <f t="shared" si="20"/>
        <v xml:space="preserve"> </v>
      </c>
      <c r="ED614" s="1423"/>
      <c r="EE614" s="1423"/>
      <c r="EF614" s="1423"/>
      <c r="EG614" s="1424"/>
      <c r="EH614" s="1422" t="str">
        <f t="shared" si="21"/>
        <v xml:space="preserve"> </v>
      </c>
      <c r="EI614" s="1423"/>
      <c r="EJ614" s="1423"/>
      <c r="EK614" s="1423"/>
      <c r="EL614" s="1424"/>
      <c r="EM614" s="1422" t="str">
        <f t="shared" si="22"/>
        <v xml:space="preserve"> </v>
      </c>
      <c r="EN614" s="1423"/>
      <c r="EO614" s="1423"/>
      <c r="EP614" s="1423"/>
      <c r="EQ614" s="1424"/>
      <c r="ER614" s="1422" t="str">
        <f t="shared" si="23"/>
        <v xml:space="preserve"> </v>
      </c>
      <c r="ES614" s="1423"/>
      <c r="ET614" s="1423"/>
      <c r="EU614" s="1423"/>
      <c r="EV614" s="1424"/>
      <c r="EW614" s="1422" t="str">
        <f t="shared" si="24"/>
        <v xml:space="preserve"> </v>
      </c>
      <c r="EX614" s="1423"/>
      <c r="EY614" s="1423"/>
      <c r="EZ614" s="1423"/>
      <c r="FA614" s="1424"/>
    </row>
    <row r="615" spans="1:157" ht="12.95" customHeight="1">
      <c r="AZ615" s="3"/>
      <c r="BA615" s="3"/>
      <c r="BB615" s="3"/>
      <c r="BC615" s="3"/>
      <c r="BD615" s="3"/>
      <c r="BE615" s="1422">
        <f t="shared" si="3"/>
        <v>0</v>
      </c>
      <c r="BF615" s="1424"/>
      <c r="BG615" s="1435">
        <f t="shared" si="4"/>
        <v>0</v>
      </c>
      <c r="BH615" s="1436"/>
      <c r="BI615" s="1422">
        <f t="shared" si="5"/>
        <v>0</v>
      </c>
      <c r="BJ615" s="1424"/>
      <c r="BK615" s="1435">
        <f t="shared" si="6"/>
        <v>0</v>
      </c>
      <c r="BL615" s="1436"/>
      <c r="BM615" s="3"/>
      <c r="BN615" s="1416">
        <f t="shared" si="7"/>
        <v>0</v>
      </c>
      <c r="BO615" s="1417"/>
      <c r="BP615" s="1417"/>
      <c r="BQ615" s="1417"/>
      <c r="BR615" s="1418"/>
      <c r="BS615" s="1425">
        <f t="shared" si="8"/>
        <v>0</v>
      </c>
      <c r="BT615" s="1425"/>
      <c r="BU615" s="1425"/>
      <c r="BV615" s="1425"/>
      <c r="BW615" s="1425"/>
      <c r="BX615" s="1425">
        <f t="shared" si="9"/>
        <v>0</v>
      </c>
      <c r="BY615" s="1425"/>
      <c r="BZ615" s="1425"/>
      <c r="CA615" s="1425"/>
      <c r="CB615" s="1425"/>
      <c r="CC615" s="1425">
        <f t="shared" si="10"/>
        <v>0</v>
      </c>
      <c r="CD615" s="1425"/>
      <c r="CE615" s="1425"/>
      <c r="CF615" s="1425"/>
      <c r="CG615" s="1425"/>
      <c r="CH615" s="1425">
        <f t="shared" si="11"/>
        <v>0</v>
      </c>
      <c r="CI615" s="1425"/>
      <c r="CJ615" s="1425"/>
      <c r="CK615" s="1425"/>
      <c r="CL615" s="1425"/>
      <c r="CM615" s="1425">
        <f t="shared" si="12"/>
        <v>0</v>
      </c>
      <c r="CN615" s="1425"/>
      <c r="CO615" s="1425"/>
      <c r="CP615" s="1425"/>
      <c r="CQ615" s="1425"/>
      <c r="CR615" s="6"/>
      <c r="CS615" s="1426">
        <f t="shared" si="13"/>
        <v>0</v>
      </c>
      <c r="CT615" s="1426"/>
      <c r="CU615" s="1426"/>
      <c r="CV615" s="1426"/>
      <c r="CW615" s="1426"/>
      <c r="CX615" s="1426">
        <f t="shared" si="14"/>
        <v>0</v>
      </c>
      <c r="CY615" s="1426"/>
      <c r="CZ615" s="1426"/>
      <c r="DA615" s="1426"/>
      <c r="DB615" s="1426"/>
      <c r="DC615" s="1426">
        <f t="shared" si="15"/>
        <v>0</v>
      </c>
      <c r="DD615" s="1426"/>
      <c r="DE615" s="1426"/>
      <c r="DF615" s="1426"/>
      <c r="DG615" s="1426"/>
      <c r="DH615" s="1426">
        <f t="shared" si="16"/>
        <v>0</v>
      </c>
      <c r="DI615" s="1426"/>
      <c r="DJ615" s="1426"/>
      <c r="DK615" s="1426"/>
      <c r="DL615" s="1426"/>
      <c r="DM615" s="1426">
        <f t="shared" si="17"/>
        <v>0</v>
      </c>
      <c r="DN615" s="1426"/>
      <c r="DO615" s="1426"/>
      <c r="DP615" s="1426"/>
      <c r="DQ615" s="1426"/>
      <c r="DR615" s="1426">
        <f t="shared" si="18"/>
        <v>0</v>
      </c>
      <c r="DS615" s="1426"/>
      <c r="DT615" s="1426"/>
      <c r="DU615" s="1426"/>
      <c r="DV615" s="1426"/>
      <c r="DX615" s="1422" t="str">
        <f t="shared" si="19"/>
        <v xml:space="preserve"> </v>
      </c>
      <c r="DY615" s="1423"/>
      <c r="DZ615" s="1423"/>
      <c r="EA615" s="1423"/>
      <c r="EB615" s="1424"/>
      <c r="EC615" s="1422" t="str">
        <f t="shared" si="20"/>
        <v xml:space="preserve"> </v>
      </c>
      <c r="ED615" s="1423"/>
      <c r="EE615" s="1423"/>
      <c r="EF615" s="1423"/>
      <c r="EG615" s="1424"/>
      <c r="EH615" s="1422" t="str">
        <f t="shared" si="21"/>
        <v xml:space="preserve"> </v>
      </c>
      <c r="EI615" s="1423"/>
      <c r="EJ615" s="1423"/>
      <c r="EK615" s="1423"/>
      <c r="EL615" s="1424"/>
      <c r="EM615" s="1422" t="str">
        <f t="shared" si="22"/>
        <v xml:space="preserve"> </v>
      </c>
      <c r="EN615" s="1423"/>
      <c r="EO615" s="1423"/>
      <c r="EP615" s="1423"/>
      <c r="EQ615" s="1424"/>
      <c r="ER615" s="1422" t="str">
        <f t="shared" si="23"/>
        <v xml:space="preserve"> </v>
      </c>
      <c r="ES615" s="1423"/>
      <c r="ET615" s="1423"/>
      <c r="EU615" s="1423"/>
      <c r="EV615" s="1424"/>
      <c r="EW615" s="1422" t="str">
        <f t="shared" si="24"/>
        <v xml:space="preserve"> </v>
      </c>
      <c r="EX615" s="1423"/>
      <c r="EY615" s="1423"/>
      <c r="EZ615" s="1423"/>
      <c r="FA615" s="1424"/>
    </row>
    <row r="616" spans="1:157" ht="12.95" customHeight="1">
      <c r="A616" s="2" t="s">
        <v>320</v>
      </c>
      <c r="B616" s="2"/>
      <c r="C616" s="2" t="s">
        <v>21</v>
      </c>
      <c r="AZ616" s="3"/>
      <c r="BA616" s="3"/>
      <c r="BB616" s="3"/>
      <c r="BC616" s="3"/>
      <c r="BD616" s="3"/>
      <c r="BE616" s="1422">
        <f t="shared" si="3"/>
        <v>0</v>
      </c>
      <c r="BF616" s="1424"/>
      <c r="BG616" s="1435">
        <f t="shared" si="4"/>
        <v>0</v>
      </c>
      <c r="BH616" s="1436"/>
      <c r="BI616" s="1422">
        <f t="shared" si="5"/>
        <v>0</v>
      </c>
      <c r="BJ616" s="1424"/>
      <c r="BK616" s="1435">
        <f t="shared" si="6"/>
        <v>0</v>
      </c>
      <c r="BL616" s="1436"/>
      <c r="BM616" s="3"/>
      <c r="BN616" s="1416">
        <f t="shared" si="7"/>
        <v>0</v>
      </c>
      <c r="BO616" s="1417"/>
      <c r="BP616" s="1417"/>
      <c r="BQ616" s="1417"/>
      <c r="BR616" s="1418"/>
      <c r="BS616" s="1425">
        <f t="shared" si="8"/>
        <v>0</v>
      </c>
      <c r="BT616" s="1425"/>
      <c r="BU616" s="1425"/>
      <c r="BV616" s="1425"/>
      <c r="BW616" s="1425"/>
      <c r="BX616" s="1425">
        <f t="shared" si="9"/>
        <v>0</v>
      </c>
      <c r="BY616" s="1425"/>
      <c r="BZ616" s="1425"/>
      <c r="CA616" s="1425"/>
      <c r="CB616" s="1425"/>
      <c r="CC616" s="1425">
        <f t="shared" si="10"/>
        <v>0</v>
      </c>
      <c r="CD616" s="1425"/>
      <c r="CE616" s="1425"/>
      <c r="CF616" s="1425"/>
      <c r="CG616" s="1425"/>
      <c r="CH616" s="1425">
        <f t="shared" si="11"/>
        <v>0</v>
      </c>
      <c r="CI616" s="1425"/>
      <c r="CJ616" s="1425"/>
      <c r="CK616" s="1425"/>
      <c r="CL616" s="1425"/>
      <c r="CM616" s="1425">
        <f t="shared" si="12"/>
        <v>0</v>
      </c>
      <c r="CN616" s="1425"/>
      <c r="CO616" s="1425"/>
      <c r="CP616" s="1425"/>
      <c r="CQ616" s="1425"/>
      <c r="CR616" s="6"/>
      <c r="CS616" s="1426">
        <f t="shared" si="13"/>
        <v>0</v>
      </c>
      <c r="CT616" s="1426"/>
      <c r="CU616" s="1426"/>
      <c r="CV616" s="1426"/>
      <c r="CW616" s="1426"/>
      <c r="CX616" s="1426">
        <f t="shared" si="14"/>
        <v>0</v>
      </c>
      <c r="CY616" s="1426"/>
      <c r="CZ616" s="1426"/>
      <c r="DA616" s="1426"/>
      <c r="DB616" s="1426"/>
      <c r="DC616" s="1426">
        <f t="shared" si="15"/>
        <v>0</v>
      </c>
      <c r="DD616" s="1426"/>
      <c r="DE616" s="1426"/>
      <c r="DF616" s="1426"/>
      <c r="DG616" s="1426"/>
      <c r="DH616" s="1426">
        <f t="shared" si="16"/>
        <v>0</v>
      </c>
      <c r="DI616" s="1426"/>
      <c r="DJ616" s="1426"/>
      <c r="DK616" s="1426"/>
      <c r="DL616" s="1426"/>
      <c r="DM616" s="1426">
        <f t="shared" si="17"/>
        <v>0</v>
      </c>
      <c r="DN616" s="1426"/>
      <c r="DO616" s="1426"/>
      <c r="DP616" s="1426"/>
      <c r="DQ616" s="1426"/>
      <c r="DR616" s="1426">
        <f t="shared" si="18"/>
        <v>0</v>
      </c>
      <c r="DS616" s="1426"/>
      <c r="DT616" s="1426"/>
      <c r="DU616" s="1426"/>
      <c r="DV616" s="1426"/>
      <c r="DX616" s="1422" t="str">
        <f t="shared" si="19"/>
        <v xml:space="preserve"> </v>
      </c>
      <c r="DY616" s="1423"/>
      <c r="DZ616" s="1423"/>
      <c r="EA616" s="1423"/>
      <c r="EB616" s="1424"/>
      <c r="EC616" s="1422" t="str">
        <f t="shared" si="20"/>
        <v xml:space="preserve"> </v>
      </c>
      <c r="ED616" s="1423"/>
      <c r="EE616" s="1423"/>
      <c r="EF616" s="1423"/>
      <c r="EG616" s="1424"/>
      <c r="EH616" s="1422" t="str">
        <f t="shared" si="21"/>
        <v xml:space="preserve"> </v>
      </c>
      <c r="EI616" s="1423"/>
      <c r="EJ616" s="1423"/>
      <c r="EK616" s="1423"/>
      <c r="EL616" s="1424"/>
      <c r="EM616" s="1422" t="str">
        <f t="shared" si="22"/>
        <v xml:space="preserve"> </v>
      </c>
      <c r="EN616" s="1423"/>
      <c r="EO616" s="1423"/>
      <c r="EP616" s="1423"/>
      <c r="EQ616" s="1424"/>
      <c r="ER616" s="1422" t="str">
        <f t="shared" si="23"/>
        <v xml:space="preserve"> </v>
      </c>
      <c r="ES616" s="1423"/>
      <c r="ET616" s="1423"/>
      <c r="EU616" s="1423"/>
      <c r="EV616" s="1424"/>
      <c r="EW616" s="1422" t="str">
        <f t="shared" si="24"/>
        <v xml:space="preserve"> </v>
      </c>
      <c r="EX616" s="1423"/>
      <c r="EY616" s="1423"/>
      <c r="EZ616" s="1423"/>
      <c r="FA616" s="1424"/>
    </row>
    <row r="617" spans="1:157" ht="12.95" customHeight="1">
      <c r="A617" s="2"/>
      <c r="B617" s="2"/>
      <c r="C617" s="2"/>
      <c r="AZ617" s="3"/>
      <c r="BA617" s="3"/>
      <c r="BB617" s="3"/>
      <c r="BC617" s="3"/>
      <c r="BD617" s="3"/>
      <c r="BE617" s="1422">
        <f t="shared" si="3"/>
        <v>0</v>
      </c>
      <c r="BF617" s="1424"/>
      <c r="BG617" s="1435">
        <f t="shared" si="4"/>
        <v>0</v>
      </c>
      <c r="BH617" s="1436"/>
      <c r="BI617" s="1422">
        <f t="shared" si="5"/>
        <v>0</v>
      </c>
      <c r="BJ617" s="1424"/>
      <c r="BK617" s="1435">
        <f t="shared" si="6"/>
        <v>0</v>
      </c>
      <c r="BL617" s="1436"/>
      <c r="BM617" s="3"/>
      <c r="BN617" s="1416">
        <f t="shared" si="7"/>
        <v>0</v>
      </c>
      <c r="BO617" s="1417"/>
      <c r="BP617" s="1417"/>
      <c r="BQ617" s="1417"/>
      <c r="BR617" s="1418"/>
      <c r="BS617" s="1425">
        <f t="shared" si="8"/>
        <v>0</v>
      </c>
      <c r="BT617" s="1425"/>
      <c r="BU617" s="1425"/>
      <c r="BV617" s="1425"/>
      <c r="BW617" s="1425"/>
      <c r="BX617" s="1425">
        <f t="shared" si="9"/>
        <v>0</v>
      </c>
      <c r="BY617" s="1425"/>
      <c r="BZ617" s="1425"/>
      <c r="CA617" s="1425"/>
      <c r="CB617" s="1425"/>
      <c r="CC617" s="1425">
        <f t="shared" si="10"/>
        <v>0</v>
      </c>
      <c r="CD617" s="1425"/>
      <c r="CE617" s="1425"/>
      <c r="CF617" s="1425"/>
      <c r="CG617" s="1425"/>
      <c r="CH617" s="1425">
        <f t="shared" si="11"/>
        <v>0</v>
      </c>
      <c r="CI617" s="1425"/>
      <c r="CJ617" s="1425"/>
      <c r="CK617" s="1425"/>
      <c r="CL617" s="1425"/>
      <c r="CM617" s="1425">
        <f t="shared" si="12"/>
        <v>0</v>
      </c>
      <c r="CN617" s="1425"/>
      <c r="CO617" s="1425"/>
      <c r="CP617" s="1425"/>
      <c r="CQ617" s="1425"/>
      <c r="CR617" s="6"/>
      <c r="CS617" s="1426">
        <f t="shared" si="13"/>
        <v>0</v>
      </c>
      <c r="CT617" s="1426"/>
      <c r="CU617" s="1426"/>
      <c r="CV617" s="1426"/>
      <c r="CW617" s="1426"/>
      <c r="CX617" s="1426">
        <f t="shared" si="14"/>
        <v>0</v>
      </c>
      <c r="CY617" s="1426"/>
      <c r="CZ617" s="1426"/>
      <c r="DA617" s="1426"/>
      <c r="DB617" s="1426"/>
      <c r="DC617" s="1426">
        <f t="shared" si="15"/>
        <v>0</v>
      </c>
      <c r="DD617" s="1426"/>
      <c r="DE617" s="1426"/>
      <c r="DF617" s="1426"/>
      <c r="DG617" s="1426"/>
      <c r="DH617" s="1426">
        <f t="shared" si="16"/>
        <v>0</v>
      </c>
      <c r="DI617" s="1426"/>
      <c r="DJ617" s="1426"/>
      <c r="DK617" s="1426"/>
      <c r="DL617" s="1426"/>
      <c r="DM617" s="1426">
        <f t="shared" si="17"/>
        <v>0</v>
      </c>
      <c r="DN617" s="1426"/>
      <c r="DO617" s="1426"/>
      <c r="DP617" s="1426"/>
      <c r="DQ617" s="1426"/>
      <c r="DR617" s="1426">
        <f t="shared" si="18"/>
        <v>0</v>
      </c>
      <c r="DS617" s="1426"/>
      <c r="DT617" s="1426"/>
      <c r="DU617" s="1426"/>
      <c r="DV617" s="1426"/>
      <c r="DX617" s="1422" t="str">
        <f t="shared" si="19"/>
        <v xml:space="preserve"> </v>
      </c>
      <c r="DY617" s="1423"/>
      <c r="DZ617" s="1423"/>
      <c r="EA617" s="1423"/>
      <c r="EB617" s="1424"/>
      <c r="EC617" s="1422" t="str">
        <f t="shared" si="20"/>
        <v xml:space="preserve"> </v>
      </c>
      <c r="ED617" s="1423"/>
      <c r="EE617" s="1423"/>
      <c r="EF617" s="1423"/>
      <c r="EG617" s="1424"/>
      <c r="EH617" s="1422" t="str">
        <f t="shared" si="21"/>
        <v xml:space="preserve"> </v>
      </c>
      <c r="EI617" s="1423"/>
      <c r="EJ617" s="1423"/>
      <c r="EK617" s="1423"/>
      <c r="EL617" s="1424"/>
      <c r="EM617" s="1422" t="str">
        <f t="shared" si="22"/>
        <v xml:space="preserve"> </v>
      </c>
      <c r="EN617" s="1423"/>
      <c r="EO617" s="1423"/>
      <c r="EP617" s="1423"/>
      <c r="EQ617" s="1424"/>
      <c r="ER617" s="1422" t="str">
        <f t="shared" si="23"/>
        <v xml:space="preserve"> </v>
      </c>
      <c r="ES617" s="1423"/>
      <c r="ET617" s="1423"/>
      <c r="EU617" s="1423"/>
      <c r="EV617" s="1424"/>
      <c r="EW617" s="1422" t="str">
        <f t="shared" si="24"/>
        <v xml:space="preserve"> </v>
      </c>
      <c r="EX617" s="1423"/>
      <c r="EY617" s="1423"/>
      <c r="EZ617" s="1423"/>
      <c r="FA617" s="1424"/>
    </row>
    <row r="618" spans="1:157" ht="12.95" customHeight="1">
      <c r="C618" s="2" t="s">
        <v>2530</v>
      </c>
      <c r="AZ618" s="3"/>
      <c r="BA618" s="3"/>
      <c r="BB618" s="3"/>
      <c r="BC618" s="3"/>
      <c r="BD618" s="3"/>
      <c r="BE618" s="1422">
        <f t="shared" si="3"/>
        <v>0</v>
      </c>
      <c r="BF618" s="1424"/>
      <c r="BG618" s="1435">
        <f t="shared" si="4"/>
        <v>0</v>
      </c>
      <c r="BH618" s="1436"/>
      <c r="BI618" s="1422">
        <f t="shared" si="5"/>
        <v>0</v>
      </c>
      <c r="BJ618" s="1424"/>
      <c r="BK618" s="1435">
        <f t="shared" si="6"/>
        <v>0</v>
      </c>
      <c r="BL618" s="1436"/>
      <c r="BM618" s="3"/>
      <c r="BN618" s="1416">
        <f t="shared" si="7"/>
        <v>0</v>
      </c>
      <c r="BO618" s="1417"/>
      <c r="BP618" s="1417"/>
      <c r="BQ618" s="1417"/>
      <c r="BR618" s="1418"/>
      <c r="BS618" s="1425">
        <f t="shared" si="8"/>
        <v>0</v>
      </c>
      <c r="BT618" s="1425"/>
      <c r="BU618" s="1425"/>
      <c r="BV618" s="1425"/>
      <c r="BW618" s="1425"/>
      <c r="BX618" s="1425">
        <f t="shared" si="9"/>
        <v>0</v>
      </c>
      <c r="BY618" s="1425"/>
      <c r="BZ618" s="1425"/>
      <c r="CA618" s="1425"/>
      <c r="CB618" s="1425"/>
      <c r="CC618" s="1425">
        <f t="shared" si="10"/>
        <v>0</v>
      </c>
      <c r="CD618" s="1425"/>
      <c r="CE618" s="1425"/>
      <c r="CF618" s="1425"/>
      <c r="CG618" s="1425"/>
      <c r="CH618" s="1425">
        <f t="shared" si="11"/>
        <v>0</v>
      </c>
      <c r="CI618" s="1425"/>
      <c r="CJ618" s="1425"/>
      <c r="CK618" s="1425"/>
      <c r="CL618" s="1425"/>
      <c r="CM618" s="1425">
        <f t="shared" si="12"/>
        <v>0</v>
      </c>
      <c r="CN618" s="1425"/>
      <c r="CO618" s="1425"/>
      <c r="CP618" s="1425"/>
      <c r="CQ618" s="1425"/>
      <c r="CR618" s="6"/>
      <c r="CS618" s="1426">
        <f t="shared" si="13"/>
        <v>0</v>
      </c>
      <c r="CT618" s="1426"/>
      <c r="CU618" s="1426"/>
      <c r="CV618" s="1426"/>
      <c r="CW618" s="1426"/>
      <c r="CX618" s="1426">
        <f t="shared" si="14"/>
        <v>0</v>
      </c>
      <c r="CY618" s="1426"/>
      <c r="CZ618" s="1426"/>
      <c r="DA618" s="1426"/>
      <c r="DB618" s="1426"/>
      <c r="DC618" s="1426">
        <f t="shared" si="15"/>
        <v>0</v>
      </c>
      <c r="DD618" s="1426"/>
      <c r="DE618" s="1426"/>
      <c r="DF618" s="1426"/>
      <c r="DG618" s="1426"/>
      <c r="DH618" s="1426">
        <f t="shared" si="16"/>
        <v>0</v>
      </c>
      <c r="DI618" s="1426"/>
      <c r="DJ618" s="1426"/>
      <c r="DK618" s="1426"/>
      <c r="DL618" s="1426"/>
      <c r="DM618" s="1426">
        <f t="shared" si="17"/>
        <v>0</v>
      </c>
      <c r="DN618" s="1426"/>
      <c r="DO618" s="1426"/>
      <c r="DP618" s="1426"/>
      <c r="DQ618" s="1426"/>
      <c r="DR618" s="1426">
        <f t="shared" si="18"/>
        <v>0</v>
      </c>
      <c r="DS618" s="1426"/>
      <c r="DT618" s="1426"/>
      <c r="DU618" s="1426"/>
      <c r="DV618" s="1426"/>
      <c r="DX618" s="1422" t="str">
        <f t="shared" si="19"/>
        <v xml:space="preserve"> </v>
      </c>
      <c r="DY618" s="1423"/>
      <c r="DZ618" s="1423"/>
      <c r="EA618" s="1423"/>
      <c r="EB618" s="1424"/>
      <c r="EC618" s="1422" t="str">
        <f t="shared" si="20"/>
        <v xml:space="preserve"> </v>
      </c>
      <c r="ED618" s="1423"/>
      <c r="EE618" s="1423"/>
      <c r="EF618" s="1423"/>
      <c r="EG618" s="1424"/>
      <c r="EH618" s="1422" t="str">
        <f t="shared" si="21"/>
        <v xml:space="preserve"> </v>
      </c>
      <c r="EI618" s="1423"/>
      <c r="EJ618" s="1423"/>
      <c r="EK618" s="1423"/>
      <c r="EL618" s="1424"/>
      <c r="EM618" s="1422" t="str">
        <f t="shared" si="22"/>
        <v xml:space="preserve"> </v>
      </c>
      <c r="EN618" s="1423"/>
      <c r="EO618" s="1423"/>
      <c r="EP618" s="1423"/>
      <c r="EQ618" s="1424"/>
      <c r="ER618" s="1422" t="str">
        <f t="shared" si="23"/>
        <v xml:space="preserve"> </v>
      </c>
      <c r="ES618" s="1423"/>
      <c r="ET618" s="1423"/>
      <c r="EU618" s="1423"/>
      <c r="EV618" s="1424"/>
      <c r="EW618" s="1422" t="str">
        <f t="shared" si="24"/>
        <v xml:space="preserve"> </v>
      </c>
      <c r="EX618" s="1423"/>
      <c r="EY618" s="1423"/>
      <c r="EZ618" s="1423"/>
      <c r="FA618" s="1424"/>
    </row>
    <row r="619" spans="1:157" ht="12.95" customHeight="1">
      <c r="B619" s="547"/>
      <c r="C619" s="2"/>
      <c r="AZ619" s="3"/>
      <c r="BA619" s="3"/>
      <c r="BB619" s="3"/>
      <c r="BC619" s="3"/>
      <c r="BD619" s="3"/>
      <c r="BE619" s="1422">
        <f t="shared" si="3"/>
        <v>0</v>
      </c>
      <c r="BF619" s="1424"/>
      <c r="BG619" s="1435">
        <f t="shared" si="4"/>
        <v>0</v>
      </c>
      <c r="BH619" s="1436"/>
      <c r="BI619" s="1422">
        <f t="shared" si="5"/>
        <v>0</v>
      </c>
      <c r="BJ619" s="1424"/>
      <c r="BK619" s="1435">
        <f t="shared" si="6"/>
        <v>0</v>
      </c>
      <c r="BL619" s="1436"/>
      <c r="BM619" s="3"/>
      <c r="BN619" s="1416">
        <f t="shared" si="7"/>
        <v>0</v>
      </c>
      <c r="BO619" s="1417"/>
      <c r="BP619" s="1417"/>
      <c r="BQ619" s="1417"/>
      <c r="BR619" s="1418"/>
      <c r="BS619" s="1425">
        <f t="shared" si="8"/>
        <v>0</v>
      </c>
      <c r="BT619" s="1425"/>
      <c r="BU619" s="1425"/>
      <c r="BV619" s="1425"/>
      <c r="BW619" s="1425"/>
      <c r="BX619" s="1425">
        <f t="shared" si="9"/>
        <v>0</v>
      </c>
      <c r="BY619" s="1425"/>
      <c r="BZ619" s="1425"/>
      <c r="CA619" s="1425"/>
      <c r="CB619" s="1425"/>
      <c r="CC619" s="1425">
        <f t="shared" si="10"/>
        <v>0</v>
      </c>
      <c r="CD619" s="1425"/>
      <c r="CE619" s="1425"/>
      <c r="CF619" s="1425"/>
      <c r="CG619" s="1425"/>
      <c r="CH619" s="1425">
        <f t="shared" si="11"/>
        <v>0</v>
      </c>
      <c r="CI619" s="1425"/>
      <c r="CJ619" s="1425"/>
      <c r="CK619" s="1425"/>
      <c r="CL619" s="1425"/>
      <c r="CM619" s="1425">
        <f t="shared" si="12"/>
        <v>0</v>
      </c>
      <c r="CN619" s="1425"/>
      <c r="CO619" s="1425"/>
      <c r="CP619" s="1425"/>
      <c r="CQ619" s="1425"/>
      <c r="CR619" s="6"/>
      <c r="CS619" s="1426">
        <f t="shared" si="13"/>
        <v>0</v>
      </c>
      <c r="CT619" s="1426"/>
      <c r="CU619" s="1426"/>
      <c r="CV619" s="1426"/>
      <c r="CW619" s="1426"/>
      <c r="CX619" s="1426">
        <f t="shared" si="14"/>
        <v>0</v>
      </c>
      <c r="CY619" s="1426"/>
      <c r="CZ619" s="1426"/>
      <c r="DA619" s="1426"/>
      <c r="DB619" s="1426"/>
      <c r="DC619" s="1426">
        <f t="shared" si="15"/>
        <v>0</v>
      </c>
      <c r="DD619" s="1426"/>
      <c r="DE619" s="1426"/>
      <c r="DF619" s="1426"/>
      <c r="DG619" s="1426"/>
      <c r="DH619" s="1426">
        <f t="shared" si="16"/>
        <v>0</v>
      </c>
      <c r="DI619" s="1426"/>
      <c r="DJ619" s="1426"/>
      <c r="DK619" s="1426"/>
      <c r="DL619" s="1426"/>
      <c r="DM619" s="1426">
        <f t="shared" si="17"/>
        <v>0</v>
      </c>
      <c r="DN619" s="1426"/>
      <c r="DO619" s="1426"/>
      <c r="DP619" s="1426"/>
      <c r="DQ619" s="1426"/>
      <c r="DR619" s="1426">
        <f t="shared" si="18"/>
        <v>0</v>
      </c>
      <c r="DS619" s="1426"/>
      <c r="DT619" s="1426"/>
      <c r="DU619" s="1426"/>
      <c r="DV619" s="1426"/>
      <c r="DX619" s="1422" t="str">
        <f t="shared" si="19"/>
        <v xml:space="preserve"> </v>
      </c>
      <c r="DY619" s="1423"/>
      <c r="DZ619" s="1423"/>
      <c r="EA619" s="1423"/>
      <c r="EB619" s="1424"/>
      <c r="EC619" s="1422" t="str">
        <f t="shared" si="20"/>
        <v xml:space="preserve"> </v>
      </c>
      <c r="ED619" s="1423"/>
      <c r="EE619" s="1423"/>
      <c r="EF619" s="1423"/>
      <c r="EG619" s="1424"/>
      <c r="EH619" s="1422" t="str">
        <f t="shared" si="21"/>
        <v xml:space="preserve"> </v>
      </c>
      <c r="EI619" s="1423"/>
      <c r="EJ619" s="1423"/>
      <c r="EK619" s="1423"/>
      <c r="EL619" s="1424"/>
      <c r="EM619" s="1422" t="str">
        <f t="shared" si="22"/>
        <v xml:space="preserve"> </v>
      </c>
      <c r="EN619" s="1423"/>
      <c r="EO619" s="1423"/>
      <c r="EP619" s="1423"/>
      <c r="EQ619" s="1424"/>
      <c r="ER619" s="1422" t="str">
        <f t="shared" si="23"/>
        <v xml:space="preserve"> </v>
      </c>
      <c r="ES619" s="1423"/>
      <c r="ET619" s="1423"/>
      <c r="EU619" s="1423"/>
      <c r="EV619" s="1424"/>
      <c r="EW619" s="1422" t="str">
        <f t="shared" si="24"/>
        <v xml:space="preserve"> </v>
      </c>
      <c r="EX619" s="1423"/>
      <c r="EY619" s="1423"/>
      <c r="EZ619" s="1423"/>
      <c r="FA619" s="1424"/>
    </row>
    <row r="620" spans="1:157" ht="12.95" customHeight="1">
      <c r="B620" s="1377" t="s">
        <v>2532</v>
      </c>
      <c r="C620" s="1377"/>
      <c r="D620" s="1377"/>
      <c r="E620" s="1377"/>
      <c r="F620" s="1377"/>
      <c r="G620" s="1377"/>
      <c r="H620" s="1377"/>
      <c r="I620" s="1377"/>
      <c r="J620" s="1377"/>
      <c r="K620" s="1377"/>
      <c r="L620" s="1377"/>
      <c r="M620" s="1376" t="s">
        <v>2533</v>
      </c>
      <c r="N620" s="1376"/>
      <c r="O620" s="1376"/>
      <c r="P620" s="1376"/>
      <c r="Q620" s="1376" t="s">
        <v>2117</v>
      </c>
      <c r="R620" s="1376"/>
      <c r="S620" s="1376"/>
      <c r="T620" s="1376" t="s">
        <v>2115</v>
      </c>
      <c r="U620" s="1376"/>
      <c r="V620" s="1376"/>
      <c r="W620" s="1375" t="s">
        <v>462</v>
      </c>
      <c r="X620" s="1375"/>
      <c r="Y620" s="1375"/>
      <c r="Z620" s="1379" t="s">
        <v>2562</v>
      </c>
      <c r="AA620" s="1379"/>
      <c r="AB620" s="1380"/>
      <c r="AC620" s="1617" t="s">
        <v>1937</v>
      </c>
      <c r="AD620" s="1618"/>
      <c r="AE620" s="1619"/>
      <c r="AF620" s="1740" t="s">
        <v>2315</v>
      </c>
      <c r="AG620" s="1379"/>
      <c r="AH620" s="1379"/>
      <c r="AI620" s="1379"/>
      <c r="AJ620" s="1380"/>
      <c r="AK620" s="1607" t="s">
        <v>2316</v>
      </c>
      <c r="AL620" s="1608"/>
      <c r="AM620" s="1608"/>
      <c r="AN620" s="1609"/>
      <c r="AO620" s="1376" t="s">
        <v>463</v>
      </c>
      <c r="AP620" s="1376"/>
      <c r="AQ620" s="1376"/>
      <c r="AR620" s="1376"/>
      <c r="AS620" s="1376"/>
      <c r="AZ620" s="3"/>
      <c r="BA620" s="3"/>
      <c r="BB620" s="3"/>
      <c r="BC620" s="3"/>
      <c r="BD620" s="3"/>
      <c r="BE620" s="1422">
        <f t="shared" si="3"/>
        <v>0</v>
      </c>
      <c r="BF620" s="1424"/>
      <c r="BG620" s="1435">
        <f t="shared" si="4"/>
        <v>0</v>
      </c>
      <c r="BH620" s="1436"/>
      <c r="BI620" s="1422">
        <f t="shared" si="5"/>
        <v>0</v>
      </c>
      <c r="BJ620" s="1424"/>
      <c r="BK620" s="1435">
        <f t="shared" si="6"/>
        <v>0</v>
      </c>
      <c r="BL620" s="1436"/>
      <c r="BM620" s="3"/>
      <c r="BN620" s="1416">
        <f t="shared" si="7"/>
        <v>0</v>
      </c>
      <c r="BO620" s="1417"/>
      <c r="BP620" s="1417"/>
      <c r="BQ620" s="1417"/>
      <c r="BR620" s="1418"/>
      <c r="BS620" s="1425">
        <f t="shared" si="8"/>
        <v>0</v>
      </c>
      <c r="BT620" s="1425"/>
      <c r="BU620" s="1425"/>
      <c r="BV620" s="1425"/>
      <c r="BW620" s="1425"/>
      <c r="BX620" s="1425">
        <f t="shared" si="9"/>
        <v>0</v>
      </c>
      <c r="BY620" s="1425"/>
      <c r="BZ620" s="1425"/>
      <c r="CA620" s="1425"/>
      <c r="CB620" s="1425"/>
      <c r="CC620" s="1425">
        <f t="shared" si="10"/>
        <v>0</v>
      </c>
      <c r="CD620" s="1425"/>
      <c r="CE620" s="1425"/>
      <c r="CF620" s="1425"/>
      <c r="CG620" s="1425"/>
      <c r="CH620" s="1425">
        <f t="shared" si="11"/>
        <v>0</v>
      </c>
      <c r="CI620" s="1425"/>
      <c r="CJ620" s="1425"/>
      <c r="CK620" s="1425"/>
      <c r="CL620" s="1425"/>
      <c r="CM620" s="1425">
        <f t="shared" si="12"/>
        <v>0</v>
      </c>
      <c r="CN620" s="1425"/>
      <c r="CO620" s="1425"/>
      <c r="CP620" s="1425"/>
      <c r="CQ620" s="1425"/>
      <c r="CR620" s="6"/>
      <c r="CS620" s="1426">
        <f t="shared" si="13"/>
        <v>0</v>
      </c>
      <c r="CT620" s="1426"/>
      <c r="CU620" s="1426"/>
      <c r="CV620" s="1426"/>
      <c r="CW620" s="1426"/>
      <c r="CX620" s="1426">
        <f t="shared" si="14"/>
        <v>0</v>
      </c>
      <c r="CY620" s="1426"/>
      <c r="CZ620" s="1426"/>
      <c r="DA620" s="1426"/>
      <c r="DB620" s="1426"/>
      <c r="DC620" s="1426">
        <f t="shared" si="15"/>
        <v>0</v>
      </c>
      <c r="DD620" s="1426"/>
      <c r="DE620" s="1426"/>
      <c r="DF620" s="1426"/>
      <c r="DG620" s="1426"/>
      <c r="DH620" s="1426">
        <f t="shared" si="16"/>
        <v>0</v>
      </c>
      <c r="DI620" s="1426"/>
      <c r="DJ620" s="1426"/>
      <c r="DK620" s="1426"/>
      <c r="DL620" s="1426"/>
      <c r="DM620" s="1426">
        <f t="shared" si="17"/>
        <v>0</v>
      </c>
      <c r="DN620" s="1426"/>
      <c r="DO620" s="1426"/>
      <c r="DP620" s="1426"/>
      <c r="DQ620" s="1426"/>
      <c r="DR620" s="1426">
        <f t="shared" si="18"/>
        <v>0</v>
      </c>
      <c r="DS620" s="1426"/>
      <c r="DT620" s="1426"/>
      <c r="DU620" s="1426"/>
      <c r="DV620" s="1426"/>
      <c r="DX620" s="1422" t="str">
        <f t="shared" si="19"/>
        <v xml:space="preserve"> </v>
      </c>
      <c r="DY620" s="1423"/>
      <c r="DZ620" s="1423"/>
      <c r="EA620" s="1423"/>
      <c r="EB620" s="1424"/>
      <c r="EC620" s="1422" t="str">
        <f t="shared" si="20"/>
        <v xml:space="preserve"> </v>
      </c>
      <c r="ED620" s="1423"/>
      <c r="EE620" s="1423"/>
      <c r="EF620" s="1423"/>
      <c r="EG620" s="1424"/>
      <c r="EH620" s="1422" t="str">
        <f t="shared" si="21"/>
        <v xml:space="preserve"> </v>
      </c>
      <c r="EI620" s="1423"/>
      <c r="EJ620" s="1423"/>
      <c r="EK620" s="1423"/>
      <c r="EL620" s="1424"/>
      <c r="EM620" s="1422" t="str">
        <f t="shared" si="22"/>
        <v xml:space="preserve"> </v>
      </c>
      <c r="EN620" s="1423"/>
      <c r="EO620" s="1423"/>
      <c r="EP620" s="1423"/>
      <c r="EQ620" s="1424"/>
      <c r="ER620" s="1422" t="str">
        <f t="shared" si="23"/>
        <v xml:space="preserve"> </v>
      </c>
      <c r="ES620" s="1423"/>
      <c r="ET620" s="1423"/>
      <c r="EU620" s="1423"/>
      <c r="EV620" s="1424"/>
      <c r="EW620" s="1422" t="str">
        <f t="shared" si="24"/>
        <v xml:space="preserve"> </v>
      </c>
      <c r="EX620" s="1423"/>
      <c r="EY620" s="1423"/>
      <c r="EZ620" s="1423"/>
      <c r="FA620" s="1424"/>
    </row>
    <row r="621" spans="1:157" ht="12.95" customHeight="1">
      <c r="B621" s="1377"/>
      <c r="C621" s="1377"/>
      <c r="D621" s="1377"/>
      <c r="E621" s="1377"/>
      <c r="F621" s="1377"/>
      <c r="G621" s="1377"/>
      <c r="H621" s="1377"/>
      <c r="I621" s="1377"/>
      <c r="J621" s="1377"/>
      <c r="K621" s="1377"/>
      <c r="L621" s="1377"/>
      <c r="M621" s="1376"/>
      <c r="N621" s="1376"/>
      <c r="O621" s="1376"/>
      <c r="P621" s="1376"/>
      <c r="Q621" s="1376"/>
      <c r="R621" s="1376"/>
      <c r="S621" s="1376"/>
      <c r="T621" s="1376"/>
      <c r="U621" s="1376"/>
      <c r="V621" s="1376"/>
      <c r="W621" s="1375"/>
      <c r="X621" s="1375"/>
      <c r="Y621" s="1375"/>
      <c r="Z621" s="1381"/>
      <c r="AA621" s="1381"/>
      <c r="AB621" s="1382"/>
      <c r="AC621" s="1620"/>
      <c r="AD621" s="1621"/>
      <c r="AE621" s="1622"/>
      <c r="AF621" s="1741"/>
      <c r="AG621" s="1381"/>
      <c r="AH621" s="1381"/>
      <c r="AI621" s="1381"/>
      <c r="AJ621" s="1382"/>
      <c r="AK621" s="1610"/>
      <c r="AL621" s="1611"/>
      <c r="AM621" s="1611"/>
      <c r="AN621" s="1612"/>
      <c r="AO621" s="1376"/>
      <c r="AP621" s="1376"/>
      <c r="AQ621" s="1376"/>
      <c r="AR621" s="1376"/>
      <c r="AS621" s="1376"/>
      <c r="AZ621" s="3"/>
      <c r="BA621" s="3"/>
      <c r="BB621" s="3"/>
      <c r="BC621" s="3"/>
      <c r="BD621" s="3"/>
      <c r="BE621" s="3"/>
      <c r="BF621" s="3"/>
      <c r="BG621" s="1422">
        <f>SUM(BG596:BH620)</f>
        <v>0</v>
      </c>
      <c r="BH621" s="1424"/>
      <c r="BI621" s="3"/>
      <c r="BJ621" s="3"/>
      <c r="BK621" s="1422">
        <f>SUM(BK596:BL620)</f>
        <v>45</v>
      </c>
      <c r="BL621" s="1424"/>
      <c r="BM621" s="3"/>
      <c r="BN621" s="1422">
        <f>SUM(BN596:BR620)</f>
        <v>0</v>
      </c>
      <c r="BO621" s="1423"/>
      <c r="BP621" s="1423"/>
      <c r="BQ621" s="1423"/>
      <c r="BR621" s="1424"/>
      <c r="BS621" s="1427">
        <f>SUM(BS596:BW620)</f>
        <v>15</v>
      </c>
      <c r="BT621" s="1427"/>
      <c r="BU621" s="1427"/>
      <c r="BV621" s="1427"/>
      <c r="BW621" s="1427"/>
      <c r="BX621" s="1427">
        <f>SUM(BX596:CB620)</f>
        <v>75</v>
      </c>
      <c r="BY621" s="1427"/>
      <c r="BZ621" s="1427"/>
      <c r="CA621" s="1427"/>
      <c r="CB621" s="1427"/>
      <c r="CC621" s="1427">
        <f>SUM(CC596:CG620)</f>
        <v>30</v>
      </c>
      <c r="CD621" s="1427"/>
      <c r="CE621" s="1427"/>
      <c r="CF621" s="1427"/>
      <c r="CG621" s="1427"/>
      <c r="CH621" s="1427">
        <f>SUM(CH596:CL620)</f>
        <v>0</v>
      </c>
      <c r="CI621" s="1427"/>
      <c r="CJ621" s="1427"/>
      <c r="CK621" s="1427"/>
      <c r="CL621" s="1427"/>
      <c r="CM621" s="1427">
        <f>SUM(CM596:CQ620)</f>
        <v>0</v>
      </c>
      <c r="CN621" s="1427"/>
      <c r="CO621" s="1427"/>
      <c r="CP621" s="1427"/>
      <c r="CQ621" s="1427"/>
      <c r="CR621" s="386"/>
      <c r="CS621" s="1427">
        <f>SUM(CS596:CW620)</f>
        <v>0</v>
      </c>
      <c r="CT621" s="1427"/>
      <c r="CU621" s="1427"/>
      <c r="CV621" s="1427"/>
      <c r="CW621" s="1427"/>
      <c r="CX621" s="1427">
        <f>SUM(CX596:DB620)</f>
        <v>15</v>
      </c>
      <c r="CY621" s="1427"/>
      <c r="CZ621" s="1427"/>
      <c r="DA621" s="1427"/>
      <c r="DB621" s="1427"/>
      <c r="DC621" s="1427">
        <f>SUM(DC596:DG620)</f>
        <v>21</v>
      </c>
      <c r="DD621" s="1427"/>
      <c r="DE621" s="1427"/>
      <c r="DF621" s="1427"/>
      <c r="DG621" s="1427"/>
      <c r="DH621" s="1427">
        <f>SUM(DH596:DL620)</f>
        <v>9</v>
      </c>
      <c r="DI621" s="1427"/>
      <c r="DJ621" s="1427"/>
      <c r="DK621" s="1427"/>
      <c r="DL621" s="1427"/>
      <c r="DM621" s="1427">
        <f>SUM(DM596:DQ620)</f>
        <v>0</v>
      </c>
      <c r="DN621" s="1427"/>
      <c r="DO621" s="1427"/>
      <c r="DP621" s="1427"/>
      <c r="DQ621" s="1427"/>
      <c r="DR621" s="1427">
        <f>SUM(DR596:DV620)</f>
        <v>0</v>
      </c>
      <c r="DS621" s="1427"/>
      <c r="DT621" s="1427"/>
      <c r="DU621" s="1427"/>
      <c r="DV621" s="1427"/>
      <c r="DX621" s="1427">
        <f>SUM(DX596:EB620)</f>
        <v>0</v>
      </c>
      <c r="DY621" s="1427"/>
      <c r="DZ621" s="1427"/>
      <c r="EA621" s="1427"/>
      <c r="EB621" s="1427"/>
      <c r="EC621" s="1427">
        <f>SUM(EC596:EG620)</f>
        <v>832</v>
      </c>
      <c r="ED621" s="1427"/>
      <c r="EE621" s="1427"/>
      <c r="EF621" s="1427"/>
      <c r="EG621" s="1427"/>
      <c r="EH621" s="1427">
        <f>SUM(EH596:EL620)</f>
        <v>1546</v>
      </c>
      <c r="EI621" s="1427"/>
      <c r="EJ621" s="1427"/>
      <c r="EK621" s="1427"/>
      <c r="EL621" s="1427"/>
      <c r="EM621" s="1427">
        <f>SUM(EM596:EQ620)</f>
        <v>2346</v>
      </c>
      <c r="EN621" s="1427"/>
      <c r="EO621" s="1427"/>
      <c r="EP621" s="1427"/>
      <c r="EQ621" s="1427"/>
      <c r="ER621" s="1427">
        <f>SUM(ER596:EV620)</f>
        <v>0</v>
      </c>
      <c r="ES621" s="1427"/>
      <c r="ET621" s="1427"/>
      <c r="EU621" s="1427"/>
      <c r="EV621" s="1427"/>
      <c r="EW621" s="1427">
        <f>SUM(EW596:FA620)</f>
        <v>0</v>
      </c>
      <c r="EX621" s="1427"/>
      <c r="EY621" s="1427"/>
      <c r="EZ621" s="1427"/>
      <c r="FA621" s="1427"/>
    </row>
    <row r="622" spans="1:157" ht="12.95" customHeight="1">
      <c r="B622" s="1377"/>
      <c r="C622" s="1377"/>
      <c r="D622" s="1377"/>
      <c r="E622" s="1377"/>
      <c r="F622" s="1377"/>
      <c r="G622" s="1377"/>
      <c r="H622" s="1377"/>
      <c r="I622" s="1377"/>
      <c r="J622" s="1377"/>
      <c r="K622" s="1377"/>
      <c r="L622" s="1377"/>
      <c r="M622" s="1376"/>
      <c r="N622" s="1376"/>
      <c r="O622" s="1376"/>
      <c r="P622" s="1376"/>
      <c r="Q622" s="1376"/>
      <c r="R622" s="1376"/>
      <c r="S622" s="1376"/>
      <c r="T622" s="1376"/>
      <c r="U622" s="1376"/>
      <c r="V622" s="1376"/>
      <c r="W622" s="1375"/>
      <c r="X622" s="1375"/>
      <c r="Y622" s="1375"/>
      <c r="Z622" s="1383"/>
      <c r="AA622" s="1383"/>
      <c r="AB622" s="1384"/>
      <c r="AC622" s="1623"/>
      <c r="AD622" s="1624"/>
      <c r="AE622" s="1625"/>
      <c r="AF622" s="1742"/>
      <c r="AG622" s="1383"/>
      <c r="AH622" s="1383"/>
      <c r="AI622" s="1383"/>
      <c r="AJ622" s="1384"/>
      <c r="AK622" s="1613"/>
      <c r="AL622" s="1614"/>
      <c r="AM622" s="1614"/>
      <c r="AN622" s="1615"/>
      <c r="AO622" s="1376"/>
      <c r="AP622" s="1376"/>
      <c r="AQ622" s="1376"/>
      <c r="AR622" s="1376"/>
      <c r="AS622" s="1376"/>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2">
        <f>BN621+BS621+BX621+CC621+CH621+CM621</f>
        <v>120</v>
      </c>
      <c r="CN622" s="1423"/>
      <c r="CO622" s="1423"/>
      <c r="CP622" s="1423"/>
      <c r="CQ622" s="1424"/>
      <c r="CR622" s="386"/>
      <c r="CS622" s="3"/>
      <c r="CT622" s="3"/>
      <c r="CU622" s="3"/>
      <c r="CV622" s="3"/>
      <c r="CW622" s="3"/>
      <c r="CX622" s="3"/>
      <c r="CY622" s="3"/>
      <c r="CZ622" s="3"/>
      <c r="DA622" s="3"/>
      <c r="DB622" s="3"/>
      <c r="DC622" s="3"/>
      <c r="DD622" s="3"/>
      <c r="DE622" s="3"/>
      <c r="DF622" s="3"/>
    </row>
    <row r="623" spans="1:157" ht="12.95" customHeight="1">
      <c r="B623" s="51" t="s">
        <v>113</v>
      </c>
      <c r="C623" s="1378" t="s">
        <v>2743</v>
      </c>
      <c r="D623" s="1378"/>
      <c r="E623" s="1378"/>
      <c r="F623" s="1378"/>
      <c r="G623" s="1378"/>
      <c r="H623" s="1378"/>
      <c r="I623" s="1378"/>
      <c r="J623" s="1378"/>
      <c r="K623" s="1378"/>
      <c r="L623" s="1378"/>
      <c r="M623" s="1397" t="s">
        <v>1327</v>
      </c>
      <c r="N623" s="1397"/>
      <c r="O623" s="1397"/>
      <c r="P623" s="1397"/>
      <c r="Q623" s="1389">
        <v>180</v>
      </c>
      <c r="R623" s="1389"/>
      <c r="S623" s="1390"/>
      <c r="T623" s="1388">
        <v>420</v>
      </c>
      <c r="U623" s="1389"/>
      <c r="V623" s="1390"/>
      <c r="W623" s="1361">
        <v>5.4600000000000003E-2</v>
      </c>
      <c r="X623" s="1362"/>
      <c r="Y623" s="1363"/>
      <c r="Z623" s="1385" t="s">
        <v>2561</v>
      </c>
      <c r="AA623" s="1386"/>
      <c r="AB623" s="1387"/>
      <c r="AC623" s="1437">
        <v>1</v>
      </c>
      <c r="AD623" s="1438"/>
      <c r="AE623" s="1439"/>
      <c r="AF623" s="1372">
        <v>742040</v>
      </c>
      <c r="AG623" s="1373"/>
      <c r="AH623" s="1373"/>
      <c r="AI623" s="1373"/>
      <c r="AJ623" s="1374"/>
      <c r="AK623" s="1432"/>
      <c r="AL623" s="1433"/>
      <c r="AM623" s="1433"/>
      <c r="AN623" s="1434"/>
      <c r="AO623" s="1431">
        <v>11571269</v>
      </c>
      <c r="AP623" s="1431"/>
      <c r="AQ623" s="1431"/>
      <c r="AR623" s="1431"/>
      <c r="AS623" s="1431"/>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15</v>
      </c>
      <c r="BX623" s="3"/>
      <c r="BY623" s="3"/>
      <c r="BZ623" s="3"/>
      <c r="CA623" s="3"/>
      <c r="CB623" s="897">
        <f>BX621*2</f>
        <v>150</v>
      </c>
      <c r="CC623" s="3"/>
      <c r="CD623" s="3"/>
      <c r="CE623" s="3"/>
      <c r="CF623" s="3"/>
      <c r="CG623" s="897">
        <f>CC621*3</f>
        <v>90</v>
      </c>
      <c r="CH623" s="3"/>
      <c r="CI623" s="3"/>
      <c r="CJ623" s="3"/>
      <c r="CK623" s="3"/>
      <c r="CL623" s="897">
        <f>CH621*4</f>
        <v>0</v>
      </c>
      <c r="CM623" s="3"/>
      <c r="CN623" s="3"/>
      <c r="CO623" s="3"/>
      <c r="CP623" s="3"/>
      <c r="CQ623" s="897">
        <f>CM621*5</f>
        <v>0</v>
      </c>
      <c r="CS623" s="897">
        <f>BR623+BW623+CB623+CG623+CL623+CQ623</f>
        <v>255</v>
      </c>
      <c r="CT623" s="57" t="s">
        <v>2127</v>
      </c>
      <c r="CU623" s="3"/>
      <c r="CV623" s="3"/>
      <c r="CW623" s="3"/>
      <c r="CX623" s="3"/>
      <c r="CY623" s="3"/>
      <c r="CZ623" s="3"/>
      <c r="DA623" s="3"/>
      <c r="DB623" s="3"/>
      <c r="DC623" s="3"/>
      <c r="DD623" s="3"/>
      <c r="DE623" s="3"/>
      <c r="DF623" s="3"/>
    </row>
    <row r="624" spans="1:157" ht="12.95" customHeight="1">
      <c r="B624" s="52" t="s">
        <v>114</v>
      </c>
      <c r="C624" s="1378" t="s">
        <v>2711</v>
      </c>
      <c r="D624" s="1378"/>
      <c r="E624" s="1378"/>
      <c r="F624" s="1378"/>
      <c r="G624" s="1378"/>
      <c r="H624" s="1378"/>
      <c r="I624" s="1378"/>
      <c r="J624" s="1378"/>
      <c r="K624" s="1378"/>
      <c r="L624" s="1378"/>
      <c r="M624" s="1397" t="s">
        <v>1327</v>
      </c>
      <c r="N624" s="1397"/>
      <c r="O624" s="1397"/>
      <c r="P624" s="1397"/>
      <c r="Q624" s="1388"/>
      <c r="R624" s="1389"/>
      <c r="S624" s="1390"/>
      <c r="T624" s="1388"/>
      <c r="U624" s="1389"/>
      <c r="V624" s="1390"/>
      <c r="W624" s="1361">
        <v>0.03</v>
      </c>
      <c r="X624" s="1362"/>
      <c r="Y624" s="1363"/>
      <c r="Z624" s="1385" t="s">
        <v>1327</v>
      </c>
      <c r="AA624" s="1386"/>
      <c r="AB624" s="1387"/>
      <c r="AC624" s="1437">
        <v>2</v>
      </c>
      <c r="AD624" s="1438"/>
      <c r="AE624" s="1439"/>
      <c r="AF624" s="1372"/>
      <c r="AG624" s="1373"/>
      <c r="AH624" s="1373"/>
      <c r="AI624" s="1373"/>
      <c r="AJ624" s="1374"/>
      <c r="AK624" s="1432"/>
      <c r="AL624" s="1433"/>
      <c r="AM624" s="1433"/>
      <c r="AN624" s="1434"/>
      <c r="AO624" s="1428">
        <v>6000000</v>
      </c>
      <c r="AP624" s="1429"/>
      <c r="AQ624" s="1429"/>
      <c r="AR624" s="1429"/>
      <c r="AS624" s="1430"/>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4" t="e">
        <f t="shared" ref="DX624:DX648" si="25">DX596*(BN596/$BN$621)</f>
        <v>#VALUE!</v>
      </c>
      <c r="DY624" s="1414"/>
      <c r="DZ624" s="1414"/>
      <c r="EA624" s="1414"/>
      <c r="EB624" s="1414"/>
      <c r="EC624" s="1414">
        <f t="shared" ref="EC624:EC648" si="26">EC596*(BS596/$BS$621)</f>
        <v>360.53333333333336</v>
      </c>
      <c r="ED624" s="1414"/>
      <c r="EE624" s="1414"/>
      <c r="EF624" s="1414"/>
      <c r="EG624" s="1414"/>
      <c r="EH624" s="1414" t="e">
        <f t="shared" ref="EH624:EH648" si="27">EH596*(BX596/$BX$621)</f>
        <v>#VALUE!</v>
      </c>
      <c r="EI624" s="1414"/>
      <c r="EJ624" s="1414"/>
      <c r="EK624" s="1414"/>
      <c r="EL624" s="1414"/>
      <c r="EM624" s="1414" t="e">
        <f t="shared" ref="EM624:EM648" si="28">EM596*(CC596/$CC$621)</f>
        <v>#VALUE!</v>
      </c>
      <c r="EN624" s="1414"/>
      <c r="EO624" s="1414"/>
      <c r="EP624" s="1414"/>
      <c r="EQ624" s="1414"/>
      <c r="ER624" s="1414" t="e">
        <f t="shared" ref="ER624:ER648" si="29">ER596*(CH596/$CH$621)</f>
        <v>#VALUE!</v>
      </c>
      <c r="ES624" s="1414"/>
      <c r="ET624" s="1414"/>
      <c r="EU624" s="1414"/>
      <c r="EV624" s="1414"/>
      <c r="EW624" s="1414" t="e">
        <f t="shared" ref="EW624:EW648" si="30">EW596*(CM596/$CM$621)</f>
        <v>#VALUE!</v>
      </c>
      <c r="EX624" s="1414"/>
      <c r="EY624" s="1414"/>
      <c r="EZ624" s="1414"/>
      <c r="FA624" s="1414"/>
    </row>
    <row r="625" spans="1:157" ht="12.95" customHeight="1">
      <c r="B625" s="52" t="s">
        <v>120</v>
      </c>
      <c r="C625" s="1378" t="s">
        <v>2710</v>
      </c>
      <c r="D625" s="1378"/>
      <c r="E625" s="1378"/>
      <c r="F625" s="1378"/>
      <c r="G625" s="1378"/>
      <c r="H625" s="1378"/>
      <c r="I625" s="1378"/>
      <c r="J625" s="1378"/>
      <c r="K625" s="1378"/>
      <c r="L625" s="1378"/>
      <c r="M625" s="1397" t="s">
        <v>1327</v>
      </c>
      <c r="N625" s="1397"/>
      <c r="O625" s="1397"/>
      <c r="P625" s="1397"/>
      <c r="Q625" s="1388"/>
      <c r="R625" s="1389"/>
      <c r="S625" s="1390"/>
      <c r="T625" s="1388"/>
      <c r="U625" s="1389"/>
      <c r="V625" s="1390"/>
      <c r="W625" s="1361">
        <v>0.03</v>
      </c>
      <c r="X625" s="1362"/>
      <c r="Y625" s="1363"/>
      <c r="Z625" s="1385" t="s">
        <v>1327</v>
      </c>
      <c r="AA625" s="1386"/>
      <c r="AB625" s="1387"/>
      <c r="AC625" s="1437">
        <v>3</v>
      </c>
      <c r="AD625" s="1438"/>
      <c r="AE625" s="1439"/>
      <c r="AF625" s="1372"/>
      <c r="AG625" s="1373"/>
      <c r="AH625" s="1373"/>
      <c r="AI625" s="1373"/>
      <c r="AJ625" s="1374"/>
      <c r="AK625" s="1432"/>
      <c r="AL625" s="1433"/>
      <c r="AM625" s="1433"/>
      <c r="AN625" s="1434"/>
      <c r="AO625" s="1428">
        <v>5000000</v>
      </c>
      <c r="AP625" s="1429"/>
      <c r="AQ625" s="1429"/>
      <c r="AR625" s="1429"/>
      <c r="AS625" s="1430"/>
      <c r="AT625" s="1201" t="str">
        <f t="shared" ref="AT625:AT634" si="31">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4" t="e">
        <f t="shared" si="25"/>
        <v>#VALUE!</v>
      </c>
      <c r="DY625" s="1414"/>
      <c r="DZ625" s="1414"/>
      <c r="EA625" s="1414"/>
      <c r="EB625" s="1414"/>
      <c r="EC625" s="1414">
        <f t="shared" si="26"/>
        <v>55.466666666666669</v>
      </c>
      <c r="ED625" s="1414"/>
      <c r="EE625" s="1414"/>
      <c r="EF625" s="1414"/>
      <c r="EG625" s="1414"/>
      <c r="EH625" s="1414" t="e">
        <f t="shared" si="27"/>
        <v>#VALUE!</v>
      </c>
      <c r="EI625" s="1414"/>
      <c r="EJ625" s="1414"/>
      <c r="EK625" s="1414"/>
      <c r="EL625" s="1414"/>
      <c r="EM625" s="1414" t="e">
        <f t="shared" si="28"/>
        <v>#VALUE!</v>
      </c>
      <c r="EN625" s="1414"/>
      <c r="EO625" s="1414"/>
      <c r="EP625" s="1414"/>
      <c r="EQ625" s="1414"/>
      <c r="ER625" s="1414" t="e">
        <f t="shared" si="29"/>
        <v>#VALUE!</v>
      </c>
      <c r="ES625" s="1414"/>
      <c r="ET625" s="1414"/>
      <c r="EU625" s="1414"/>
      <c r="EV625" s="1414"/>
      <c r="EW625" s="1414" t="e">
        <f t="shared" si="30"/>
        <v>#VALUE!</v>
      </c>
      <c r="EX625" s="1414"/>
      <c r="EY625" s="1414"/>
      <c r="EZ625" s="1414"/>
      <c r="FA625" s="1414"/>
    </row>
    <row r="626" spans="1:157" ht="12.95" customHeight="1">
      <c r="B626" s="52" t="s">
        <v>590</v>
      </c>
      <c r="C626" s="1378" t="s">
        <v>2717</v>
      </c>
      <c r="D626" s="1354"/>
      <c r="E626" s="1354"/>
      <c r="F626" s="1354"/>
      <c r="G626" s="1354"/>
      <c r="H626" s="1354"/>
      <c r="I626" s="1354"/>
      <c r="J626" s="1354"/>
      <c r="K626" s="1354"/>
      <c r="L626" s="1354"/>
      <c r="M626" s="1397" t="s">
        <v>1327</v>
      </c>
      <c r="N626" s="1397"/>
      <c r="O626" s="1397"/>
      <c r="P626" s="1397"/>
      <c r="Q626" s="1388"/>
      <c r="R626" s="1389"/>
      <c r="S626" s="1390"/>
      <c r="T626" s="1388"/>
      <c r="U626" s="1389"/>
      <c r="V626" s="1390"/>
      <c r="W626" s="1361"/>
      <c r="X626" s="1362"/>
      <c r="Y626" s="1363"/>
      <c r="Z626" s="1385" t="s">
        <v>1327</v>
      </c>
      <c r="AA626" s="1386"/>
      <c r="AB626" s="1387"/>
      <c r="AC626" s="1437"/>
      <c r="AD626" s="1438"/>
      <c r="AE626" s="1439"/>
      <c r="AF626" s="1372"/>
      <c r="AG626" s="1373"/>
      <c r="AH626" s="1373"/>
      <c r="AI626" s="1373"/>
      <c r="AJ626" s="1374"/>
      <c r="AK626" s="1432"/>
      <c r="AL626" s="1433"/>
      <c r="AM626" s="1433"/>
      <c r="AN626" s="1434"/>
      <c r="AO626" s="1428">
        <f>2115366</f>
        <v>2115366</v>
      </c>
      <c r="AP626" s="1429"/>
      <c r="AQ626" s="1429"/>
      <c r="AR626" s="1429"/>
      <c r="AS626" s="1430"/>
      <c r="AT626" s="1201" t="str">
        <f t="shared" si="31"/>
        <v/>
      </c>
      <c r="AU626" s="3"/>
      <c r="AV626" s="3"/>
      <c r="AW626" s="3"/>
      <c r="AX626" s="3"/>
      <c r="AY626" s="3"/>
      <c r="AZ626" s="34"/>
      <c r="BA626" s="3" t="s">
        <v>2561</v>
      </c>
      <c r="BB626" s="34"/>
      <c r="BC626" s="34"/>
      <c r="BD626" s="34"/>
      <c r="BE626" s="34"/>
      <c r="BF626" s="34"/>
      <c r="BG626" s="34"/>
      <c r="BH626" s="34"/>
      <c r="BI626" s="34"/>
      <c r="BJ626" s="34"/>
      <c r="BK626" s="34"/>
      <c r="BL626" s="34"/>
      <c r="BM626" s="34"/>
      <c r="BN626" s="1416">
        <f>IF(J758="SRO/Studio",O758,0)</f>
        <v>0</v>
      </c>
      <c r="BO626" s="1417"/>
      <c r="BP626" s="1417"/>
      <c r="BQ626" s="1417"/>
      <c r="BR626" s="1418"/>
      <c r="BS626" s="1425">
        <f>IF(J758="1 Bedroom",O758,0)</f>
        <v>0</v>
      </c>
      <c r="BT626" s="1425"/>
      <c r="BU626" s="1425"/>
      <c r="BV626" s="1425"/>
      <c r="BW626" s="1425"/>
      <c r="BX626" s="1425">
        <f>IF(J758="2 Bedrooms",O758,0)</f>
        <v>0</v>
      </c>
      <c r="BY626" s="1425"/>
      <c r="BZ626" s="1425"/>
      <c r="CA626" s="1425"/>
      <c r="CB626" s="1425"/>
      <c r="CC626" s="1425">
        <f>IF(J758="3 Bedrooms",O758,0)</f>
        <v>1</v>
      </c>
      <c r="CD626" s="1425"/>
      <c r="CE626" s="1425"/>
      <c r="CF626" s="1425"/>
      <c r="CG626" s="1425"/>
      <c r="CH626" s="1425">
        <f>IF(J758="4 Bedrooms",O758,0)</f>
        <v>0</v>
      </c>
      <c r="CI626" s="1425"/>
      <c r="CJ626" s="1425"/>
      <c r="CK626" s="1425"/>
      <c r="CL626" s="1425"/>
      <c r="CM626" s="1425">
        <f>IF(J758="5 Bedrooms",O758,0)</f>
        <v>0</v>
      </c>
      <c r="CN626" s="1425"/>
      <c r="CO626" s="1425"/>
      <c r="CP626" s="1425"/>
      <c r="CQ626" s="1425"/>
      <c r="CR626" s="6"/>
      <c r="CS626" s="3"/>
      <c r="CT626" s="3"/>
      <c r="CU626" s="3"/>
      <c r="CV626" s="3"/>
      <c r="CW626" s="3"/>
      <c r="CX626" s="3"/>
      <c r="CY626" s="3"/>
      <c r="CZ626" s="3"/>
      <c r="DA626" s="3"/>
      <c r="DB626" s="3"/>
      <c r="DC626" s="3"/>
      <c r="DD626" s="3"/>
      <c r="DE626" s="3"/>
      <c r="DF626" s="3"/>
      <c r="DX626" s="1414" t="e">
        <f t="shared" si="25"/>
        <v>#VALUE!</v>
      </c>
      <c r="DY626" s="1414"/>
      <c r="DZ626" s="1414"/>
      <c r="EA626" s="1414"/>
      <c r="EB626" s="1414"/>
      <c r="EC626" s="1414" t="e">
        <f t="shared" si="26"/>
        <v>#VALUE!</v>
      </c>
      <c r="ED626" s="1414"/>
      <c r="EE626" s="1414"/>
      <c r="EF626" s="1414"/>
      <c r="EG626" s="1414"/>
      <c r="EH626" s="1414">
        <f t="shared" si="27"/>
        <v>136.64000000000001</v>
      </c>
      <c r="EI626" s="1414"/>
      <c r="EJ626" s="1414"/>
      <c r="EK626" s="1414"/>
      <c r="EL626" s="1414"/>
      <c r="EM626" s="1414" t="e">
        <f t="shared" si="28"/>
        <v>#VALUE!</v>
      </c>
      <c r="EN626" s="1414"/>
      <c r="EO626" s="1414"/>
      <c r="EP626" s="1414"/>
      <c r="EQ626" s="1414"/>
      <c r="ER626" s="1414" t="e">
        <f t="shared" si="29"/>
        <v>#VALUE!</v>
      </c>
      <c r="ES626" s="1414"/>
      <c r="ET626" s="1414"/>
      <c r="EU626" s="1414"/>
      <c r="EV626" s="1414"/>
      <c r="EW626" s="1414" t="e">
        <f t="shared" si="30"/>
        <v>#VALUE!</v>
      </c>
      <c r="EX626" s="1414"/>
      <c r="EY626" s="1414"/>
      <c r="EZ626" s="1414"/>
      <c r="FA626" s="1414"/>
    </row>
    <row r="627" spans="1:157" ht="12.95" customHeight="1">
      <c r="B627" s="52" t="s">
        <v>787</v>
      </c>
      <c r="C627" s="1354"/>
      <c r="D627" s="1354"/>
      <c r="E627" s="1354"/>
      <c r="F627" s="1354"/>
      <c r="G627" s="1354"/>
      <c r="H627" s="1354"/>
      <c r="I627" s="1354"/>
      <c r="J627" s="1354"/>
      <c r="K627" s="1354"/>
      <c r="L627" s="1354"/>
      <c r="M627" s="1397" t="s">
        <v>1327</v>
      </c>
      <c r="N627" s="1397"/>
      <c r="O627" s="1397"/>
      <c r="P627" s="1397"/>
      <c r="Q627" s="1388"/>
      <c r="R627" s="1389"/>
      <c r="S627" s="1390"/>
      <c r="T627" s="1388"/>
      <c r="U627" s="1389"/>
      <c r="V627" s="1390"/>
      <c r="W627" s="1361"/>
      <c r="X627" s="1362"/>
      <c r="Y627" s="1363"/>
      <c r="Z627" s="1385" t="s">
        <v>1327</v>
      </c>
      <c r="AA627" s="1386"/>
      <c r="AB627" s="1387"/>
      <c r="AC627" s="1437"/>
      <c r="AD627" s="1438"/>
      <c r="AE627" s="1439"/>
      <c r="AF627" s="1372"/>
      <c r="AG627" s="1373"/>
      <c r="AH627" s="1373"/>
      <c r="AI627" s="1373"/>
      <c r="AJ627" s="1374"/>
      <c r="AK627" s="1432"/>
      <c r="AL627" s="1433"/>
      <c r="AM627" s="1433"/>
      <c r="AN627" s="1434"/>
      <c r="AO627" s="1428"/>
      <c r="AP627" s="1429"/>
      <c r="AQ627" s="1429"/>
      <c r="AR627" s="1429"/>
      <c r="AS627" s="1430"/>
      <c r="AT627" s="1201" t="str">
        <f t="shared" si="31"/>
        <v/>
      </c>
      <c r="AU627" s="3"/>
      <c r="AV627" s="3"/>
      <c r="AW627" s="3"/>
      <c r="AX627" s="3"/>
      <c r="AY627" s="3"/>
      <c r="AZ627" s="34"/>
      <c r="BA627" s="3" t="s">
        <v>301</v>
      </c>
      <c r="BB627" s="34"/>
      <c r="BC627" s="34"/>
      <c r="BD627" s="34"/>
      <c r="BE627" s="34"/>
      <c r="BF627" s="34"/>
      <c r="BG627" s="34"/>
      <c r="BH627" s="34"/>
      <c r="BI627" s="34"/>
      <c r="BJ627" s="34"/>
      <c r="BK627" s="34"/>
      <c r="BL627" s="34"/>
      <c r="BM627" s="34"/>
      <c r="BN627" s="1416">
        <f>IF(J759="SRO/Studio",O759,0)</f>
        <v>0</v>
      </c>
      <c r="BO627" s="1417"/>
      <c r="BP627" s="1417"/>
      <c r="BQ627" s="1417"/>
      <c r="BR627" s="1418"/>
      <c r="BS627" s="1425">
        <f>IF(J759="1 Bedroom",O759,0)</f>
        <v>0</v>
      </c>
      <c r="BT627" s="1425"/>
      <c r="BU627" s="1425"/>
      <c r="BV627" s="1425"/>
      <c r="BW627" s="1425"/>
      <c r="BX627" s="1425">
        <f>IF(J759="2 Bedrooms",O759,0)</f>
        <v>0</v>
      </c>
      <c r="BY627" s="1425"/>
      <c r="BZ627" s="1425"/>
      <c r="CA627" s="1425"/>
      <c r="CB627" s="1425"/>
      <c r="CC627" s="1425">
        <f>IF(J759="3 Bedrooms",O759,0)</f>
        <v>0</v>
      </c>
      <c r="CD627" s="1425"/>
      <c r="CE627" s="1425"/>
      <c r="CF627" s="1425"/>
      <c r="CG627" s="1425"/>
      <c r="CH627" s="1425">
        <f>IF(J759="4 Bedrooms",O759,0)</f>
        <v>0</v>
      </c>
      <c r="CI627" s="1425"/>
      <c r="CJ627" s="1425"/>
      <c r="CK627" s="1425"/>
      <c r="CL627" s="1425"/>
      <c r="CM627" s="1425">
        <f>IF(J759="5 Bedrooms",O759,0)</f>
        <v>0</v>
      </c>
      <c r="CN627" s="1425"/>
      <c r="CO627" s="1425"/>
      <c r="CP627" s="1425"/>
      <c r="CQ627" s="1425"/>
      <c r="CR627" s="6"/>
      <c r="CS627" s="3"/>
      <c r="CT627" s="3"/>
      <c r="CU627" s="3"/>
      <c r="CV627" s="3"/>
      <c r="CW627" s="3"/>
      <c r="CX627" s="3"/>
      <c r="CY627" s="3"/>
      <c r="CZ627" s="3"/>
      <c r="DA627" s="3"/>
      <c r="DB627" s="3"/>
      <c r="DC627" s="3"/>
      <c r="DD627" s="3"/>
      <c r="DE627" s="3"/>
      <c r="DF627" s="3"/>
      <c r="DX627" s="1414" t="e">
        <f t="shared" si="25"/>
        <v>#VALUE!</v>
      </c>
      <c r="DY627" s="1414"/>
      <c r="DZ627" s="1414"/>
      <c r="EA627" s="1414"/>
      <c r="EB627" s="1414"/>
      <c r="EC627" s="1414" t="e">
        <f t="shared" si="26"/>
        <v>#VALUE!</v>
      </c>
      <c r="ED627" s="1414"/>
      <c r="EE627" s="1414"/>
      <c r="EF627" s="1414"/>
      <c r="EG627" s="1414"/>
      <c r="EH627" s="1414">
        <f t="shared" si="27"/>
        <v>761.76</v>
      </c>
      <c r="EI627" s="1414"/>
      <c r="EJ627" s="1414"/>
      <c r="EK627" s="1414"/>
      <c r="EL627" s="1414"/>
      <c r="EM627" s="1414" t="e">
        <f t="shared" si="28"/>
        <v>#VALUE!</v>
      </c>
      <c r="EN627" s="1414"/>
      <c r="EO627" s="1414"/>
      <c r="EP627" s="1414"/>
      <c r="EQ627" s="1414"/>
      <c r="ER627" s="1414" t="e">
        <f t="shared" si="29"/>
        <v>#VALUE!</v>
      </c>
      <c r="ES627" s="1414"/>
      <c r="ET627" s="1414"/>
      <c r="EU627" s="1414"/>
      <c r="EV627" s="1414"/>
      <c r="EW627" s="1414" t="e">
        <f t="shared" si="30"/>
        <v>#VALUE!</v>
      </c>
      <c r="EX627" s="1414"/>
      <c r="EY627" s="1414"/>
      <c r="EZ627" s="1414"/>
      <c r="FA627" s="1414"/>
    </row>
    <row r="628" spans="1:157" ht="12.95" customHeight="1">
      <c r="B628" s="52" t="s">
        <v>593</v>
      </c>
      <c r="C628" s="1354"/>
      <c r="D628" s="1354"/>
      <c r="E628" s="1354"/>
      <c r="F628" s="1354"/>
      <c r="G628" s="1354"/>
      <c r="H628" s="1354"/>
      <c r="I628" s="1354"/>
      <c r="J628" s="1354"/>
      <c r="K628" s="1354"/>
      <c r="L628" s="1354"/>
      <c r="M628" s="1397" t="s">
        <v>1327</v>
      </c>
      <c r="N628" s="1397"/>
      <c r="O628" s="1397"/>
      <c r="P628" s="1397"/>
      <c r="Q628" s="1388"/>
      <c r="R628" s="1389"/>
      <c r="S628" s="1390"/>
      <c r="T628" s="1388"/>
      <c r="U628" s="1389"/>
      <c r="V628" s="1390"/>
      <c r="W628" s="1361"/>
      <c r="X628" s="1362"/>
      <c r="Y628" s="1363"/>
      <c r="Z628" s="1385" t="s">
        <v>1327</v>
      </c>
      <c r="AA628" s="1386"/>
      <c r="AB628" s="1387"/>
      <c r="AC628" s="1437"/>
      <c r="AD628" s="1438"/>
      <c r="AE628" s="1439"/>
      <c r="AF628" s="1372"/>
      <c r="AG628" s="1373"/>
      <c r="AH628" s="1373"/>
      <c r="AI628" s="1373"/>
      <c r="AJ628" s="1374"/>
      <c r="AK628" s="1432"/>
      <c r="AL628" s="1433"/>
      <c r="AM628" s="1433"/>
      <c r="AN628" s="1434"/>
      <c r="AO628" s="1428"/>
      <c r="AP628" s="1429"/>
      <c r="AQ628" s="1429"/>
      <c r="AR628" s="1429"/>
      <c r="AS628" s="1430"/>
      <c r="AT628" s="1201" t="str">
        <f t="shared" si="31"/>
        <v/>
      </c>
      <c r="AU628" s="3"/>
      <c r="AV628" s="3"/>
      <c r="AW628" s="3"/>
      <c r="AX628" s="3"/>
      <c r="AY628" s="3"/>
      <c r="AZ628" s="34"/>
      <c r="BA628" s="34"/>
      <c r="BB628" s="34"/>
      <c r="BC628" s="34"/>
      <c r="BD628" s="34"/>
      <c r="BE628" s="34"/>
      <c r="BF628" s="34"/>
      <c r="BG628" s="34"/>
      <c r="BH628" s="34"/>
      <c r="BI628" s="34"/>
      <c r="BJ628" s="34"/>
      <c r="BK628" s="34"/>
      <c r="BL628" s="34"/>
      <c r="BM628" s="34"/>
      <c r="BN628" s="1416">
        <f>IF(J760="SRO/Studio",O760,0)</f>
        <v>0</v>
      </c>
      <c r="BO628" s="1417"/>
      <c r="BP628" s="1417"/>
      <c r="BQ628" s="1417"/>
      <c r="BR628" s="1418"/>
      <c r="BS628" s="1425">
        <f>IF(J760="1 Bedroom",O760,0)</f>
        <v>0</v>
      </c>
      <c r="BT628" s="1425"/>
      <c r="BU628" s="1425"/>
      <c r="BV628" s="1425"/>
      <c r="BW628" s="1425"/>
      <c r="BX628" s="1425">
        <f>IF(J760="2 Bedrooms",O760,0)</f>
        <v>0</v>
      </c>
      <c r="BY628" s="1425"/>
      <c r="BZ628" s="1425"/>
      <c r="CA628" s="1425"/>
      <c r="CB628" s="1425"/>
      <c r="CC628" s="1425">
        <f>IF(J760="3 Bedrooms",O760,0)</f>
        <v>0</v>
      </c>
      <c r="CD628" s="1425"/>
      <c r="CE628" s="1425"/>
      <c r="CF628" s="1425"/>
      <c r="CG628" s="1425"/>
      <c r="CH628" s="1425">
        <f>IF(J760="4 Bedrooms",O760,0)</f>
        <v>0</v>
      </c>
      <c r="CI628" s="1425"/>
      <c r="CJ628" s="1425"/>
      <c r="CK628" s="1425"/>
      <c r="CL628" s="1425"/>
      <c r="CM628" s="1425">
        <f>IF(J760="5 Bedrooms",O760,0)</f>
        <v>0</v>
      </c>
      <c r="CN628" s="1425"/>
      <c r="CO628" s="1425"/>
      <c r="CP628" s="1425"/>
      <c r="CQ628" s="1425"/>
      <c r="CR628" s="1049"/>
      <c r="CV628" s="3"/>
      <c r="CW628" s="3"/>
      <c r="CX628" s="3"/>
      <c r="CY628" s="3"/>
      <c r="CZ628" s="3"/>
      <c r="DA628" s="3"/>
      <c r="DB628" s="3"/>
      <c r="DC628" s="3"/>
      <c r="DD628" s="3"/>
      <c r="DE628" s="3"/>
      <c r="DF628" s="3"/>
      <c r="DX628" s="1414" t="e">
        <f t="shared" si="25"/>
        <v>#VALUE!</v>
      </c>
      <c r="DY628" s="1414"/>
      <c r="DZ628" s="1414"/>
      <c r="EA628" s="1414"/>
      <c r="EB628" s="1414"/>
      <c r="EC628" s="1414" t="e">
        <f t="shared" si="26"/>
        <v>#VALUE!</v>
      </c>
      <c r="ED628" s="1414"/>
      <c r="EE628" s="1414"/>
      <c r="EF628" s="1414"/>
      <c r="EG628" s="1414"/>
      <c r="EH628" s="1414" t="e">
        <f t="shared" si="27"/>
        <v>#VALUE!</v>
      </c>
      <c r="EI628" s="1414"/>
      <c r="EJ628" s="1414"/>
      <c r="EK628" s="1414"/>
      <c r="EL628" s="1414"/>
      <c r="EM628" s="1414">
        <f t="shared" si="28"/>
        <v>129.73333333333335</v>
      </c>
      <c r="EN628" s="1414"/>
      <c r="EO628" s="1414"/>
      <c r="EP628" s="1414"/>
      <c r="EQ628" s="1414"/>
      <c r="ER628" s="1414" t="e">
        <f t="shared" si="29"/>
        <v>#VALUE!</v>
      </c>
      <c r="ES628" s="1414"/>
      <c r="ET628" s="1414"/>
      <c r="EU628" s="1414"/>
      <c r="EV628" s="1414"/>
      <c r="EW628" s="1414" t="e">
        <f t="shared" si="30"/>
        <v>#VALUE!</v>
      </c>
      <c r="EX628" s="1414"/>
      <c r="EY628" s="1414"/>
      <c r="EZ628" s="1414"/>
      <c r="FA628" s="1414"/>
    </row>
    <row r="629" spans="1:157" ht="12.95" customHeight="1">
      <c r="B629" s="52" t="s">
        <v>464</v>
      </c>
      <c r="C629" s="1354"/>
      <c r="D629" s="1354"/>
      <c r="E629" s="1354"/>
      <c r="F629" s="1354"/>
      <c r="G629" s="1354"/>
      <c r="H629" s="1354"/>
      <c r="I629" s="1354"/>
      <c r="J629" s="1354"/>
      <c r="K629" s="1354"/>
      <c r="L629" s="1354"/>
      <c r="M629" s="1397" t="s">
        <v>1327</v>
      </c>
      <c r="N629" s="1397"/>
      <c r="O629" s="1397"/>
      <c r="P629" s="1397"/>
      <c r="Q629" s="1388"/>
      <c r="R629" s="1389"/>
      <c r="S629" s="1390"/>
      <c r="T629" s="1388"/>
      <c r="U629" s="1389"/>
      <c r="V629" s="1390"/>
      <c r="W629" s="1361"/>
      <c r="X629" s="1362"/>
      <c r="Y629" s="1363"/>
      <c r="Z629" s="1385" t="s">
        <v>1327</v>
      </c>
      <c r="AA629" s="1386"/>
      <c r="AB629" s="1387"/>
      <c r="AC629" s="1437"/>
      <c r="AD629" s="1438"/>
      <c r="AE629" s="1439"/>
      <c r="AF629" s="1372"/>
      <c r="AG629" s="1373"/>
      <c r="AH629" s="1373"/>
      <c r="AI629" s="1373"/>
      <c r="AJ629" s="1374"/>
      <c r="AK629" s="1432"/>
      <c r="AL629" s="1433"/>
      <c r="AM629" s="1433"/>
      <c r="AN629" s="1434"/>
      <c r="AO629" s="1428"/>
      <c r="AP629" s="1429"/>
      <c r="AQ629" s="1429"/>
      <c r="AR629" s="1429"/>
      <c r="AS629" s="1430"/>
      <c r="AT629" s="1201" t="str">
        <f t="shared" si="31"/>
        <v/>
      </c>
      <c r="AU629" s="3"/>
      <c r="AV629" s="3"/>
      <c r="AW629" s="3"/>
      <c r="AX629" s="3"/>
      <c r="AY629" s="3"/>
      <c r="AZ629" s="34"/>
      <c r="BA629" s="34"/>
      <c r="BB629" s="34"/>
      <c r="BC629" s="34"/>
      <c r="BD629" s="34"/>
      <c r="BE629" s="34"/>
      <c r="BF629" s="34"/>
      <c r="BG629" s="34"/>
      <c r="BH629" s="34"/>
      <c r="BI629" s="34"/>
      <c r="BJ629" s="34"/>
      <c r="BK629" s="34"/>
      <c r="BL629" s="34"/>
      <c r="BM629" s="34"/>
      <c r="BN629" s="1416">
        <f>IF(J761="SRO/Studio",O761,0)</f>
        <v>0</v>
      </c>
      <c r="BO629" s="1417"/>
      <c r="BP629" s="1417"/>
      <c r="BQ629" s="1417"/>
      <c r="BR629" s="1418"/>
      <c r="BS629" s="1425">
        <f>IF(J761="1 Bedroom",O761,0)</f>
        <v>0</v>
      </c>
      <c r="BT629" s="1425"/>
      <c r="BU629" s="1425"/>
      <c r="BV629" s="1425"/>
      <c r="BW629" s="1425"/>
      <c r="BX629" s="1425">
        <f>IF(J761="2 Bedrooms",O761,0)</f>
        <v>0</v>
      </c>
      <c r="BY629" s="1425"/>
      <c r="BZ629" s="1425"/>
      <c r="CA629" s="1425"/>
      <c r="CB629" s="1425"/>
      <c r="CC629" s="1425">
        <f>IF(J761="3 Bedrooms",O761,0)</f>
        <v>0</v>
      </c>
      <c r="CD629" s="1425"/>
      <c r="CE629" s="1425"/>
      <c r="CF629" s="1425"/>
      <c r="CG629" s="1425"/>
      <c r="CH629" s="1425">
        <f>IF(J761="4 Bedrooms",O761,0)</f>
        <v>0</v>
      </c>
      <c r="CI629" s="1425"/>
      <c r="CJ629" s="1425"/>
      <c r="CK629" s="1425"/>
      <c r="CL629" s="1425"/>
      <c r="CM629" s="1425">
        <f>IF(J761="5 Bedrooms",O761,0)</f>
        <v>0</v>
      </c>
      <c r="CN629" s="1425"/>
      <c r="CO629" s="1425"/>
      <c r="CP629" s="1425"/>
      <c r="CQ629" s="1425"/>
      <c r="CV629" s="3"/>
      <c r="CW629" s="3"/>
      <c r="CX629" s="3"/>
      <c r="CY629" s="3"/>
      <c r="CZ629" s="3"/>
      <c r="DA629" s="3"/>
      <c r="DB629" s="3"/>
      <c r="DC629" s="3"/>
      <c r="DD629" s="3"/>
      <c r="DE629" s="3"/>
      <c r="DF629" s="3"/>
      <c r="DX629" s="1414" t="e">
        <f t="shared" si="25"/>
        <v>#VALUE!</v>
      </c>
      <c r="DY629" s="1414"/>
      <c r="DZ629" s="1414"/>
      <c r="EA629" s="1414"/>
      <c r="EB629" s="1414"/>
      <c r="EC629" s="1414" t="e">
        <f t="shared" si="26"/>
        <v>#VALUE!</v>
      </c>
      <c r="ED629" s="1414"/>
      <c r="EE629" s="1414"/>
      <c r="EF629" s="1414"/>
      <c r="EG629" s="1414"/>
      <c r="EH629" s="1414" t="e">
        <f t="shared" si="27"/>
        <v>#VALUE!</v>
      </c>
      <c r="EI629" s="1414"/>
      <c r="EJ629" s="1414"/>
      <c r="EK629" s="1414"/>
      <c r="EL629" s="1414"/>
      <c r="EM629" s="1414">
        <f t="shared" si="28"/>
        <v>863.8</v>
      </c>
      <c r="EN629" s="1414"/>
      <c r="EO629" s="1414"/>
      <c r="EP629" s="1414"/>
      <c r="EQ629" s="1414"/>
      <c r="ER629" s="1414" t="e">
        <f t="shared" si="29"/>
        <v>#VALUE!</v>
      </c>
      <c r="ES629" s="1414"/>
      <c r="ET629" s="1414"/>
      <c r="EU629" s="1414"/>
      <c r="EV629" s="1414"/>
      <c r="EW629" s="1414" t="e">
        <f t="shared" si="30"/>
        <v>#VALUE!</v>
      </c>
      <c r="EX629" s="1414"/>
      <c r="EY629" s="1414"/>
      <c r="EZ629" s="1414"/>
      <c r="FA629" s="1414"/>
    </row>
    <row r="630" spans="1:157" ht="12.95" customHeight="1">
      <c r="B630" s="52" t="s">
        <v>465</v>
      </c>
      <c r="C630" s="1354"/>
      <c r="D630" s="1354"/>
      <c r="E630" s="1354"/>
      <c r="F630" s="1354"/>
      <c r="G630" s="1354"/>
      <c r="H630" s="1354"/>
      <c r="I630" s="1354"/>
      <c r="J630" s="1354"/>
      <c r="K630" s="1354"/>
      <c r="L630" s="1354"/>
      <c r="M630" s="1397" t="s">
        <v>1327</v>
      </c>
      <c r="N630" s="1397"/>
      <c r="O630" s="1397"/>
      <c r="P630" s="1397"/>
      <c r="Q630" s="1388"/>
      <c r="R630" s="1389"/>
      <c r="S630" s="1390"/>
      <c r="T630" s="1388"/>
      <c r="U630" s="1389"/>
      <c r="V630" s="1390"/>
      <c r="W630" s="1361"/>
      <c r="X630" s="1362"/>
      <c r="Y630" s="1363"/>
      <c r="Z630" s="1385" t="s">
        <v>1327</v>
      </c>
      <c r="AA630" s="1386"/>
      <c r="AB630" s="1387"/>
      <c r="AC630" s="1437"/>
      <c r="AD630" s="1438"/>
      <c r="AE630" s="1439"/>
      <c r="AF630" s="1372"/>
      <c r="AG630" s="1373"/>
      <c r="AH630" s="1373"/>
      <c r="AI630" s="1373"/>
      <c r="AJ630" s="1374"/>
      <c r="AK630" s="1432"/>
      <c r="AL630" s="1433"/>
      <c r="AM630" s="1433"/>
      <c r="AN630" s="1434"/>
      <c r="AO630" s="1428"/>
      <c r="AP630" s="1429"/>
      <c r="AQ630" s="1429"/>
      <c r="AR630" s="1429"/>
      <c r="AS630" s="1430"/>
      <c r="AT630" s="1201" t="str">
        <f t="shared" si="31"/>
        <v/>
      </c>
      <c r="AU630" s="3"/>
      <c r="AV630" s="3"/>
      <c r="AW630" s="3"/>
      <c r="AX630" s="3"/>
      <c r="AY630" s="3"/>
      <c r="AZ630" s="34"/>
      <c r="BA630" s="34"/>
      <c r="BB630" s="34"/>
      <c r="BC630" s="34"/>
      <c r="BD630" s="34"/>
      <c r="BE630" s="34"/>
      <c r="BF630" s="34"/>
      <c r="BG630" s="34"/>
      <c r="BH630" s="34"/>
      <c r="BI630" s="34"/>
      <c r="BJ630" s="34"/>
      <c r="BK630" s="34"/>
      <c r="BL630" s="34"/>
      <c r="BM630" s="34"/>
      <c r="BN630" s="1435">
        <f>SUM(BN626:BR629)</f>
        <v>0</v>
      </c>
      <c r="BO630" s="1598"/>
      <c r="BP630" s="1598"/>
      <c r="BQ630" s="1598"/>
      <c r="BR630" s="1436"/>
      <c r="BS630" s="1419">
        <f>SUM(BS626:BW629)</f>
        <v>0</v>
      </c>
      <c r="BT630" s="1420"/>
      <c r="BU630" s="1420"/>
      <c r="BV630" s="1420"/>
      <c r="BW630" s="1421"/>
      <c r="BX630" s="1419">
        <f>SUM(BX626:CB629)</f>
        <v>0</v>
      </c>
      <c r="BY630" s="1420"/>
      <c r="BZ630" s="1420"/>
      <c r="CA630" s="1420"/>
      <c r="CB630" s="1421"/>
      <c r="CC630" s="1419">
        <f>SUM(CC626:CG629)</f>
        <v>1</v>
      </c>
      <c r="CD630" s="1420"/>
      <c r="CE630" s="1420"/>
      <c r="CF630" s="1420"/>
      <c r="CG630" s="1421"/>
      <c r="CH630" s="1419">
        <f>SUM(CH626:CL629)</f>
        <v>0</v>
      </c>
      <c r="CI630" s="1420"/>
      <c r="CJ630" s="1420"/>
      <c r="CK630" s="1420"/>
      <c r="CL630" s="1421"/>
      <c r="CM630" s="1419">
        <f>SUM(CM626:CQ629)</f>
        <v>0</v>
      </c>
      <c r="CN630" s="1420"/>
      <c r="CO630" s="1420"/>
      <c r="CP630" s="1420"/>
      <c r="CQ630" s="1421"/>
      <c r="CS630" s="897">
        <f>BN630+BS630+BX630+CC630+CH630+CM630</f>
        <v>1</v>
      </c>
      <c r="CT630" s="57" t="s">
        <v>2124</v>
      </c>
      <c r="CU630" s="3"/>
      <c r="CV630" s="3"/>
      <c r="CW630" s="3"/>
      <c r="CX630" s="3"/>
      <c r="CY630" s="3"/>
      <c r="CZ630" s="3"/>
      <c r="DA630" s="3"/>
      <c r="DB630" s="3"/>
      <c r="DC630" s="3"/>
      <c r="DD630" s="3"/>
      <c r="DE630" s="3"/>
      <c r="DF630" s="3"/>
      <c r="DX630" s="1414" t="e">
        <f t="shared" si="25"/>
        <v>#VALUE!</v>
      </c>
      <c r="DY630" s="1414"/>
      <c r="DZ630" s="1414"/>
      <c r="EA630" s="1414"/>
      <c r="EB630" s="1414"/>
      <c r="EC630" s="1414" t="e">
        <f t="shared" si="26"/>
        <v>#VALUE!</v>
      </c>
      <c r="ED630" s="1414"/>
      <c r="EE630" s="1414"/>
      <c r="EF630" s="1414"/>
      <c r="EG630" s="1414"/>
      <c r="EH630" s="1414" t="e">
        <f t="shared" si="27"/>
        <v>#VALUE!</v>
      </c>
      <c r="EI630" s="1414"/>
      <c r="EJ630" s="1414"/>
      <c r="EK630" s="1414"/>
      <c r="EL630" s="1414"/>
      <c r="EM630" s="1414">
        <f t="shared" si="28"/>
        <v>37.066666666666663</v>
      </c>
      <c r="EN630" s="1414"/>
      <c r="EO630" s="1414"/>
      <c r="EP630" s="1414"/>
      <c r="EQ630" s="1414"/>
      <c r="ER630" s="1414" t="e">
        <f t="shared" si="29"/>
        <v>#VALUE!</v>
      </c>
      <c r="ES630" s="1414"/>
      <c r="ET630" s="1414"/>
      <c r="EU630" s="1414"/>
      <c r="EV630" s="1414"/>
      <c r="EW630" s="1414" t="e">
        <f t="shared" si="30"/>
        <v>#VALUE!</v>
      </c>
      <c r="EX630" s="1414"/>
      <c r="EY630" s="1414"/>
      <c r="EZ630" s="1414"/>
      <c r="FA630" s="1414"/>
    </row>
    <row r="631" spans="1:157" ht="12.95" customHeight="1">
      <c r="B631" s="52" t="s">
        <v>470</v>
      </c>
      <c r="C631" s="1354"/>
      <c r="D631" s="1354"/>
      <c r="E631" s="1354"/>
      <c r="F631" s="1354"/>
      <c r="G631" s="1354"/>
      <c r="H631" s="1354"/>
      <c r="I631" s="1354"/>
      <c r="J631" s="1354"/>
      <c r="K631" s="1354"/>
      <c r="L631" s="1354"/>
      <c r="M631" s="1397" t="s">
        <v>1327</v>
      </c>
      <c r="N631" s="1397"/>
      <c r="O631" s="1397"/>
      <c r="P631" s="1397"/>
      <c r="Q631" s="1388"/>
      <c r="R631" s="1389"/>
      <c r="S631" s="1390"/>
      <c r="T631" s="1388"/>
      <c r="U631" s="1389"/>
      <c r="V631" s="1390"/>
      <c r="W631" s="1361"/>
      <c r="X631" s="1362"/>
      <c r="Y631" s="1363"/>
      <c r="Z631" s="1385" t="s">
        <v>1327</v>
      </c>
      <c r="AA631" s="1386"/>
      <c r="AB631" s="1387"/>
      <c r="AC631" s="1437"/>
      <c r="AD631" s="1438"/>
      <c r="AE631" s="1439"/>
      <c r="AF631" s="1372"/>
      <c r="AG631" s="1373"/>
      <c r="AH631" s="1373"/>
      <c r="AI631" s="1373"/>
      <c r="AJ631" s="1374"/>
      <c r="AK631" s="1432"/>
      <c r="AL631" s="1433"/>
      <c r="AM631" s="1433"/>
      <c r="AN631" s="1434"/>
      <c r="AO631" s="1428"/>
      <c r="AP631" s="1429"/>
      <c r="AQ631" s="1429"/>
      <c r="AR631" s="1429"/>
      <c r="AS631" s="1430"/>
      <c r="AT631" s="1201" t="str">
        <f t="shared" si="31"/>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2126</v>
      </c>
      <c r="CU631" s="3"/>
      <c r="CV631" s="3"/>
      <c r="CW631" s="3"/>
      <c r="CX631" s="3"/>
      <c r="CY631" s="3"/>
      <c r="CZ631" s="3"/>
      <c r="DA631" s="3"/>
      <c r="DB631" s="3"/>
      <c r="DC631" s="3"/>
      <c r="DD631" s="3"/>
      <c r="DE631" s="3"/>
      <c r="DF631" s="3"/>
      <c r="DX631" s="1414" t="e">
        <f t="shared" si="25"/>
        <v>#VALUE!</v>
      </c>
      <c r="DY631" s="1414"/>
      <c r="DZ631" s="1414"/>
      <c r="EA631" s="1414"/>
      <c r="EB631" s="1414"/>
      <c r="EC631" s="1414" t="e">
        <f t="shared" si="26"/>
        <v>#VALUE!</v>
      </c>
      <c r="ED631" s="1414"/>
      <c r="EE631" s="1414"/>
      <c r="EF631" s="1414"/>
      <c r="EG631" s="1414"/>
      <c r="EH631" s="1414" t="e">
        <f t="shared" si="27"/>
        <v>#VALUE!</v>
      </c>
      <c r="EI631" s="1414"/>
      <c r="EJ631" s="1414"/>
      <c r="EK631" s="1414"/>
      <c r="EL631" s="1414"/>
      <c r="EM631" s="1414" t="e">
        <f t="shared" si="28"/>
        <v>#VALUE!</v>
      </c>
      <c r="EN631" s="1414"/>
      <c r="EO631" s="1414"/>
      <c r="EP631" s="1414"/>
      <c r="EQ631" s="1414"/>
      <c r="ER631" s="1414" t="e">
        <f t="shared" si="29"/>
        <v>#VALUE!</v>
      </c>
      <c r="ES631" s="1414"/>
      <c r="ET631" s="1414"/>
      <c r="EU631" s="1414"/>
      <c r="EV631" s="1414"/>
      <c r="EW631" s="1414" t="e">
        <f t="shared" si="30"/>
        <v>#VALUE!</v>
      </c>
      <c r="EX631" s="1414"/>
      <c r="EY631" s="1414"/>
      <c r="EZ631" s="1414"/>
      <c r="FA631" s="1414"/>
    </row>
    <row r="632" spans="1:157" ht="12.95" customHeight="1">
      <c r="B632" s="52" t="s">
        <v>655</v>
      </c>
      <c r="C632" s="1354"/>
      <c r="D632" s="1354"/>
      <c r="E632" s="1354"/>
      <c r="F632" s="1354"/>
      <c r="G632" s="1354"/>
      <c r="H632" s="1354"/>
      <c r="I632" s="1354"/>
      <c r="J632" s="1354"/>
      <c r="K632" s="1354"/>
      <c r="L632" s="1354"/>
      <c r="M632" s="1397" t="s">
        <v>1327</v>
      </c>
      <c r="N632" s="1397"/>
      <c r="O632" s="1397"/>
      <c r="P632" s="1397"/>
      <c r="Q632" s="1388"/>
      <c r="R632" s="1389"/>
      <c r="S632" s="1390"/>
      <c r="T632" s="1388"/>
      <c r="U632" s="1389"/>
      <c r="V632" s="1390"/>
      <c r="W632" s="1361"/>
      <c r="X632" s="1362"/>
      <c r="Y632" s="1363"/>
      <c r="Z632" s="1385" t="s">
        <v>1327</v>
      </c>
      <c r="AA632" s="1386"/>
      <c r="AB632" s="1387"/>
      <c r="AC632" s="1437"/>
      <c r="AD632" s="1438"/>
      <c r="AE632" s="1439"/>
      <c r="AF632" s="1372"/>
      <c r="AG632" s="1373"/>
      <c r="AH632" s="1373"/>
      <c r="AI632" s="1373"/>
      <c r="AJ632" s="1374"/>
      <c r="AK632" s="1432"/>
      <c r="AL632" s="1433"/>
      <c r="AM632" s="1433"/>
      <c r="AN632" s="1434"/>
      <c r="AO632" s="1428"/>
      <c r="AP632" s="1429"/>
      <c r="AQ632" s="1429"/>
      <c r="AR632" s="1429"/>
      <c r="AS632" s="1430"/>
      <c r="AT632" s="1201" t="str">
        <f t="shared" si="31"/>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4" t="e">
        <f t="shared" si="25"/>
        <v>#VALUE!</v>
      </c>
      <c r="DY632" s="1414"/>
      <c r="DZ632" s="1414"/>
      <c r="EA632" s="1414"/>
      <c r="EB632" s="1414"/>
      <c r="EC632" s="1414" t="e">
        <f t="shared" si="26"/>
        <v>#VALUE!</v>
      </c>
      <c r="ED632" s="1414"/>
      <c r="EE632" s="1414"/>
      <c r="EF632" s="1414"/>
      <c r="EG632" s="1414"/>
      <c r="EH632" s="1414" t="e">
        <f t="shared" si="27"/>
        <v>#VALUE!</v>
      </c>
      <c r="EI632" s="1414"/>
      <c r="EJ632" s="1414"/>
      <c r="EK632" s="1414"/>
      <c r="EL632" s="1414"/>
      <c r="EM632" s="1414" t="e">
        <f t="shared" si="28"/>
        <v>#VALUE!</v>
      </c>
      <c r="EN632" s="1414"/>
      <c r="EO632" s="1414"/>
      <c r="EP632" s="1414"/>
      <c r="EQ632" s="1414"/>
      <c r="ER632" s="1414" t="e">
        <f t="shared" si="29"/>
        <v>#VALUE!</v>
      </c>
      <c r="ES632" s="1414"/>
      <c r="ET632" s="1414"/>
      <c r="EU632" s="1414"/>
      <c r="EV632" s="1414"/>
      <c r="EW632" s="1414" t="e">
        <f t="shared" si="30"/>
        <v>#VALUE!</v>
      </c>
      <c r="EX632" s="1414"/>
      <c r="EY632" s="1414"/>
      <c r="EZ632" s="1414"/>
      <c r="FA632" s="1414"/>
    </row>
    <row r="633" spans="1:157" ht="12.95" customHeight="1">
      <c r="B633" s="52" t="s">
        <v>363</v>
      </c>
      <c r="C633" s="1354"/>
      <c r="D633" s="1354"/>
      <c r="E633" s="1354"/>
      <c r="F633" s="1354"/>
      <c r="G633" s="1354"/>
      <c r="H633" s="1354"/>
      <c r="I633" s="1354"/>
      <c r="J633" s="1354"/>
      <c r="K633" s="1354"/>
      <c r="L633" s="1354"/>
      <c r="M633" s="1397" t="s">
        <v>1327</v>
      </c>
      <c r="N633" s="1397"/>
      <c r="O633" s="1397"/>
      <c r="P633" s="1397"/>
      <c r="Q633" s="1388"/>
      <c r="R633" s="1389"/>
      <c r="S633" s="1390"/>
      <c r="T633" s="1388"/>
      <c r="U633" s="1389"/>
      <c r="V633" s="1390"/>
      <c r="W633" s="1361"/>
      <c r="X633" s="1362"/>
      <c r="Y633" s="1363"/>
      <c r="Z633" s="1385" t="s">
        <v>1327</v>
      </c>
      <c r="AA633" s="1386"/>
      <c r="AB633" s="1387"/>
      <c r="AC633" s="1437"/>
      <c r="AD633" s="1438"/>
      <c r="AE633" s="1439"/>
      <c r="AF633" s="1372"/>
      <c r="AG633" s="1373"/>
      <c r="AH633" s="1373"/>
      <c r="AI633" s="1373"/>
      <c r="AJ633" s="1374"/>
      <c r="AK633" s="1432"/>
      <c r="AL633" s="1433"/>
      <c r="AM633" s="1433"/>
      <c r="AN633" s="1434"/>
      <c r="AO633" s="1428"/>
      <c r="AP633" s="1429"/>
      <c r="AQ633" s="1429"/>
      <c r="AR633" s="1429"/>
      <c r="AS633" s="1430"/>
      <c r="AT633" s="1201" t="str">
        <f t="shared" si="31"/>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14" t="e">
        <f t="shared" si="25"/>
        <v>#VALUE!</v>
      </c>
      <c r="DY633" s="1414"/>
      <c r="DZ633" s="1414"/>
      <c r="EA633" s="1414"/>
      <c r="EB633" s="1414"/>
      <c r="EC633" s="1414" t="e">
        <f t="shared" si="26"/>
        <v>#VALUE!</v>
      </c>
      <c r="ED633" s="1414"/>
      <c r="EE633" s="1414"/>
      <c r="EF633" s="1414"/>
      <c r="EG633" s="1414"/>
      <c r="EH633" s="1414" t="e">
        <f t="shared" si="27"/>
        <v>#VALUE!</v>
      </c>
      <c r="EI633" s="1414"/>
      <c r="EJ633" s="1414"/>
      <c r="EK633" s="1414"/>
      <c r="EL633" s="1414"/>
      <c r="EM633" s="1414" t="e">
        <f t="shared" si="28"/>
        <v>#VALUE!</v>
      </c>
      <c r="EN633" s="1414"/>
      <c r="EO633" s="1414"/>
      <c r="EP633" s="1414"/>
      <c r="EQ633" s="1414"/>
      <c r="ER633" s="1414" t="e">
        <f t="shared" si="29"/>
        <v>#VALUE!</v>
      </c>
      <c r="ES633" s="1414"/>
      <c r="ET633" s="1414"/>
      <c r="EU633" s="1414"/>
      <c r="EV633" s="1414"/>
      <c r="EW633" s="1414" t="e">
        <f t="shared" si="30"/>
        <v>#VALUE!</v>
      </c>
      <c r="EX633" s="1414"/>
      <c r="EY633" s="1414"/>
      <c r="EZ633" s="1414"/>
      <c r="FA633" s="1414"/>
    </row>
    <row r="634" spans="1:157" ht="12.95" customHeight="1">
      <c r="B634" s="52" t="s">
        <v>364</v>
      </c>
      <c r="C634" s="1354"/>
      <c r="D634" s="1354"/>
      <c r="E634" s="1354"/>
      <c r="F634" s="1354"/>
      <c r="G634" s="1354"/>
      <c r="H634" s="1354"/>
      <c r="I634" s="1354"/>
      <c r="J634" s="1354"/>
      <c r="K634" s="1354"/>
      <c r="L634" s="1354"/>
      <c r="M634" s="1397" t="s">
        <v>1327</v>
      </c>
      <c r="N634" s="1397"/>
      <c r="O634" s="1397"/>
      <c r="P634" s="1397"/>
      <c r="Q634" s="1388"/>
      <c r="R634" s="1389"/>
      <c r="S634" s="1390"/>
      <c r="T634" s="1388"/>
      <c r="U634" s="1389"/>
      <c r="V634" s="1390"/>
      <c r="W634" s="1361"/>
      <c r="X634" s="1362"/>
      <c r="Y634" s="1363"/>
      <c r="Z634" s="1385" t="s">
        <v>1327</v>
      </c>
      <c r="AA634" s="1386"/>
      <c r="AB634" s="1387"/>
      <c r="AC634" s="1437"/>
      <c r="AD634" s="1438"/>
      <c r="AE634" s="1439"/>
      <c r="AF634" s="1372"/>
      <c r="AG634" s="1373"/>
      <c r="AH634" s="1373"/>
      <c r="AI634" s="1373"/>
      <c r="AJ634" s="1374"/>
      <c r="AK634" s="1432"/>
      <c r="AL634" s="1433"/>
      <c r="AM634" s="1433"/>
      <c r="AN634" s="1434"/>
      <c r="AO634" s="1428"/>
      <c r="AP634" s="1429"/>
      <c r="AQ634" s="1429"/>
      <c r="AR634" s="1429"/>
      <c r="AS634" s="1430"/>
      <c r="AT634" s="1201" t="str">
        <f t="shared" si="31"/>
        <v/>
      </c>
      <c r="AU634" s="3"/>
      <c r="AV634" s="3"/>
      <c r="AW634" s="3"/>
      <c r="AX634" s="3"/>
      <c r="AY634" s="3"/>
      <c r="AZ634" s="3"/>
      <c r="BA634" s="3"/>
      <c r="BB634" s="3"/>
      <c r="BC634" s="3"/>
      <c r="BD634" s="3"/>
      <c r="BE634" s="3"/>
      <c r="BF634" s="3"/>
      <c r="BG634" s="3"/>
      <c r="BH634" s="3"/>
      <c r="BI634" s="3"/>
      <c r="BJ634" s="3"/>
      <c r="BK634" s="3"/>
      <c r="BL634" s="3"/>
      <c r="BM634" s="3"/>
      <c r="BN634" s="1416">
        <f t="shared" ref="BN634:BN643" si="32">IF(J772="SRO/Studio",O772,0)</f>
        <v>0</v>
      </c>
      <c r="BO634" s="1417"/>
      <c r="BP634" s="1417"/>
      <c r="BQ634" s="1417"/>
      <c r="BR634" s="1418"/>
      <c r="BS634" s="1425">
        <f t="shared" ref="BS634:BS643" si="33">IF(J772="1 Bedroom",O772,0)</f>
        <v>0</v>
      </c>
      <c r="BT634" s="1425"/>
      <c r="BU634" s="1425"/>
      <c r="BV634" s="1425"/>
      <c r="BW634" s="1425"/>
      <c r="BX634" s="1425">
        <f t="shared" ref="BX634:BX643" si="34">IF(J772="2 Bedrooms",O772,0)</f>
        <v>0</v>
      </c>
      <c r="BY634" s="1425"/>
      <c r="BZ634" s="1425"/>
      <c r="CA634" s="1425"/>
      <c r="CB634" s="1425"/>
      <c r="CC634" s="1425">
        <f t="shared" ref="CC634:CC643" si="35">IF(J772="3 Bedrooms",O772,0)</f>
        <v>0</v>
      </c>
      <c r="CD634" s="1425"/>
      <c r="CE634" s="1425"/>
      <c r="CF634" s="1425"/>
      <c r="CG634" s="1425"/>
      <c r="CH634" s="1425">
        <f t="shared" ref="CH634:CH643" si="36">IF(J772="4 Bedrooms",O772,0)</f>
        <v>0</v>
      </c>
      <c r="CI634" s="1425"/>
      <c r="CJ634" s="1425"/>
      <c r="CK634" s="1425"/>
      <c r="CL634" s="1425"/>
      <c r="CM634" s="1425">
        <f t="shared" ref="CM634:CM643" si="37">IF(J772="5 Bedrooms",O772,0)</f>
        <v>0</v>
      </c>
      <c r="CN634" s="1425"/>
      <c r="CO634" s="1425"/>
      <c r="CP634" s="1425"/>
      <c r="CQ634" s="1425"/>
      <c r="CR634" s="6"/>
      <c r="CS634" s="1416">
        <f>IF(AND(BN634&gt;=1,AH772&gt;=0.1,AH772&lt;=1),O772,0)</f>
        <v>0</v>
      </c>
      <c r="CT634" s="1417"/>
      <c r="CU634" s="1417"/>
      <c r="CV634" s="1417"/>
      <c r="CW634" s="1418"/>
      <c r="CX634" s="1416">
        <f>IF(AND(BS634&gt;=1,AH772&gt;=0.1,AH772&lt;=1),O772,0)</f>
        <v>0</v>
      </c>
      <c r="CY634" s="1417"/>
      <c r="CZ634" s="1417"/>
      <c r="DA634" s="1417"/>
      <c r="DB634" s="1418"/>
      <c r="DC634" s="1416">
        <f>IF(AND(BX634&gt;=1,AH772&gt;=0.1,AH772&lt;=1),O772,0)</f>
        <v>0</v>
      </c>
      <c r="DD634" s="1417"/>
      <c r="DE634" s="1417"/>
      <c r="DF634" s="1417"/>
      <c r="DG634" s="1418"/>
      <c r="DH634" s="1416">
        <f>IF(AND(CC634&gt;=1,AH772&gt;=0.1,AH772&lt;=1),O772,0)</f>
        <v>0</v>
      </c>
      <c r="DI634" s="1417"/>
      <c r="DJ634" s="1417"/>
      <c r="DK634" s="1417"/>
      <c r="DL634" s="1418"/>
      <c r="DM634" s="1416">
        <f>IF(AND(CH634&gt;=1,AH772&gt;=0.1,AH772&lt;=1),O772,0)</f>
        <v>0</v>
      </c>
      <c r="DN634" s="1417"/>
      <c r="DO634" s="1417"/>
      <c r="DP634" s="1417"/>
      <c r="DQ634" s="1418"/>
      <c r="DR634" s="1416">
        <f>IF(AND(CM634&gt;=1,AH772&gt;=0.1,AH772&lt;=1),O772,0)</f>
        <v>0</v>
      </c>
      <c r="DS634" s="1417"/>
      <c r="DT634" s="1417"/>
      <c r="DU634" s="1417"/>
      <c r="DV634" s="1418"/>
      <c r="DX634" s="1414" t="e">
        <f t="shared" si="25"/>
        <v>#VALUE!</v>
      </c>
      <c r="DY634" s="1414"/>
      <c r="DZ634" s="1414"/>
      <c r="EA634" s="1414"/>
      <c r="EB634" s="1414"/>
      <c r="EC634" s="1414" t="e">
        <f t="shared" si="26"/>
        <v>#VALUE!</v>
      </c>
      <c r="ED634" s="1414"/>
      <c r="EE634" s="1414"/>
      <c r="EF634" s="1414"/>
      <c r="EG634" s="1414"/>
      <c r="EH634" s="1414" t="e">
        <f t="shared" si="27"/>
        <v>#VALUE!</v>
      </c>
      <c r="EI634" s="1414"/>
      <c r="EJ634" s="1414"/>
      <c r="EK634" s="1414"/>
      <c r="EL634" s="1414"/>
      <c r="EM634" s="1414" t="e">
        <f t="shared" si="28"/>
        <v>#VALUE!</v>
      </c>
      <c r="EN634" s="1414"/>
      <c r="EO634" s="1414"/>
      <c r="EP634" s="1414"/>
      <c r="EQ634" s="1414"/>
      <c r="ER634" s="1414" t="e">
        <f t="shared" si="29"/>
        <v>#VALUE!</v>
      </c>
      <c r="ES634" s="1414"/>
      <c r="ET634" s="1414"/>
      <c r="EU634" s="1414"/>
      <c r="EV634" s="1414"/>
      <c r="EW634" s="1414" t="e">
        <f t="shared" si="30"/>
        <v>#VALUE!</v>
      </c>
      <c r="EX634" s="1414"/>
      <c r="EY634" s="1414"/>
      <c r="EZ634" s="1414"/>
      <c r="FA634" s="1414"/>
    </row>
    <row r="635" spans="1:157" ht="12.95" customHeight="1">
      <c r="B635" s="1585" t="s">
        <v>129</v>
      </c>
      <c r="C635" s="1586"/>
      <c r="D635" s="1586"/>
      <c r="E635" s="1586"/>
      <c r="F635" s="1586"/>
      <c r="G635" s="1586"/>
      <c r="H635" s="1586"/>
      <c r="I635" s="1586"/>
      <c r="J635" s="1586"/>
      <c r="K635" s="1586"/>
      <c r="L635" s="1586"/>
      <c r="M635" s="1586"/>
      <c r="N635" s="1586"/>
      <c r="O635" s="1586"/>
      <c r="P635" s="1586"/>
      <c r="Q635" s="1586"/>
      <c r="R635" s="1586"/>
      <c r="S635" s="1586"/>
      <c r="T635" s="1586"/>
      <c r="U635" s="1586"/>
      <c r="V635" s="1586"/>
      <c r="W635" s="1586"/>
      <c r="X635" s="1586"/>
      <c r="Y635" s="1586"/>
      <c r="Z635" s="1586"/>
      <c r="AA635" s="1586"/>
      <c r="AB635" s="1586"/>
      <c r="AC635" s="1586"/>
      <c r="AD635" s="1586"/>
      <c r="AE635" s="1586"/>
      <c r="AF635" s="1586"/>
      <c r="AG635" s="1586"/>
      <c r="AH635" s="1586"/>
      <c r="AI635" s="1586"/>
      <c r="AJ635" s="1586"/>
      <c r="AK635" s="1586"/>
      <c r="AL635" s="1586"/>
      <c r="AM635" s="1586"/>
      <c r="AN635" s="1587"/>
      <c r="AO635" s="1595">
        <f>SUM(AO623:AR634)</f>
        <v>24686635</v>
      </c>
      <c r="AP635" s="1596"/>
      <c r="AQ635" s="1596"/>
      <c r="AR635" s="1596"/>
      <c r="AS635" s="1597"/>
      <c r="AZ635" s="3"/>
      <c r="BA635" s="3"/>
      <c r="BB635" s="3"/>
      <c r="BC635" s="3"/>
      <c r="BD635" s="3"/>
      <c r="BE635" s="3"/>
      <c r="BF635" s="3"/>
      <c r="BG635" s="3"/>
      <c r="BH635" s="3"/>
      <c r="BI635" s="3"/>
      <c r="BJ635" s="3"/>
      <c r="BK635" s="3"/>
      <c r="BL635" s="3"/>
      <c r="BM635" s="3"/>
      <c r="BN635" s="1416">
        <f t="shared" si="32"/>
        <v>0</v>
      </c>
      <c r="BO635" s="1417"/>
      <c r="BP635" s="1417"/>
      <c r="BQ635" s="1417"/>
      <c r="BR635" s="1418"/>
      <c r="BS635" s="1425">
        <f t="shared" si="33"/>
        <v>0</v>
      </c>
      <c r="BT635" s="1425"/>
      <c r="BU635" s="1425"/>
      <c r="BV635" s="1425"/>
      <c r="BW635" s="1425"/>
      <c r="BX635" s="1425">
        <f t="shared" si="34"/>
        <v>0</v>
      </c>
      <c r="BY635" s="1425"/>
      <c r="BZ635" s="1425"/>
      <c r="CA635" s="1425"/>
      <c r="CB635" s="1425"/>
      <c r="CC635" s="1425">
        <f t="shared" si="35"/>
        <v>0</v>
      </c>
      <c r="CD635" s="1425"/>
      <c r="CE635" s="1425"/>
      <c r="CF635" s="1425"/>
      <c r="CG635" s="1425"/>
      <c r="CH635" s="1425">
        <f t="shared" si="36"/>
        <v>0</v>
      </c>
      <c r="CI635" s="1425"/>
      <c r="CJ635" s="1425"/>
      <c r="CK635" s="1425"/>
      <c r="CL635" s="1425"/>
      <c r="CM635" s="1425">
        <f t="shared" si="37"/>
        <v>0</v>
      </c>
      <c r="CN635" s="1425"/>
      <c r="CO635" s="1425"/>
      <c r="CP635" s="1425"/>
      <c r="CQ635" s="1425"/>
      <c r="CR635" s="6"/>
      <c r="CS635" s="1416">
        <f t="shared" ref="CS635:CS643" si="38">IF(AND(BN635&gt;=1,AH773&gt;=0.1,AH773&lt;=1),O773,0)</f>
        <v>0</v>
      </c>
      <c r="CT635" s="1417"/>
      <c r="CU635" s="1417"/>
      <c r="CV635" s="1417"/>
      <c r="CW635" s="1418"/>
      <c r="CX635" s="1416">
        <f t="shared" ref="CX635:CX643" si="39">IF(AND(BS635&gt;=1,AH773&gt;=0.1,AH773&lt;=1),O773,0)</f>
        <v>0</v>
      </c>
      <c r="CY635" s="1417"/>
      <c r="CZ635" s="1417"/>
      <c r="DA635" s="1417"/>
      <c r="DB635" s="1418"/>
      <c r="DC635" s="1416">
        <f t="shared" ref="DC635:DC643" si="40">IF(AND(BX635&gt;=1,AH773&gt;=0.1,AH773&lt;=1),O773,0)</f>
        <v>0</v>
      </c>
      <c r="DD635" s="1417"/>
      <c r="DE635" s="1417"/>
      <c r="DF635" s="1417"/>
      <c r="DG635" s="1418"/>
      <c r="DH635" s="1416">
        <f t="shared" ref="DH635:DH643" si="41">IF(AND(CC635&gt;=1,AH773&gt;=0.1,AH773&lt;=1),O773,0)</f>
        <v>0</v>
      </c>
      <c r="DI635" s="1417"/>
      <c r="DJ635" s="1417"/>
      <c r="DK635" s="1417"/>
      <c r="DL635" s="1418"/>
      <c r="DM635" s="1416">
        <f t="shared" ref="DM635:DM643" si="42">IF(AND(CH635&gt;=1,AH773&gt;=0.1,AH773&lt;=1),O773,0)</f>
        <v>0</v>
      </c>
      <c r="DN635" s="1417"/>
      <c r="DO635" s="1417"/>
      <c r="DP635" s="1417"/>
      <c r="DQ635" s="1418"/>
      <c r="DR635" s="1416">
        <f t="shared" ref="DR635:DR643" si="43">IF(AND(CM635&gt;=1,AH773&gt;=0.1,AH773&lt;=1),O773,0)</f>
        <v>0</v>
      </c>
      <c r="DS635" s="1417"/>
      <c r="DT635" s="1417"/>
      <c r="DU635" s="1417"/>
      <c r="DV635" s="1418"/>
      <c r="DX635" s="1414" t="e">
        <f t="shared" si="25"/>
        <v>#VALUE!</v>
      </c>
      <c r="DY635" s="1414"/>
      <c r="DZ635" s="1414"/>
      <c r="EA635" s="1414"/>
      <c r="EB635" s="1414"/>
      <c r="EC635" s="1414" t="e">
        <f t="shared" si="26"/>
        <v>#VALUE!</v>
      </c>
      <c r="ED635" s="1414"/>
      <c r="EE635" s="1414"/>
      <c r="EF635" s="1414"/>
      <c r="EG635" s="1414"/>
      <c r="EH635" s="1414" t="e">
        <f t="shared" si="27"/>
        <v>#VALUE!</v>
      </c>
      <c r="EI635" s="1414"/>
      <c r="EJ635" s="1414"/>
      <c r="EK635" s="1414"/>
      <c r="EL635" s="1414"/>
      <c r="EM635" s="1414" t="e">
        <f t="shared" si="28"/>
        <v>#VALUE!</v>
      </c>
      <c r="EN635" s="1414"/>
      <c r="EO635" s="1414"/>
      <c r="EP635" s="1414"/>
      <c r="EQ635" s="1414"/>
      <c r="ER635" s="1414" t="e">
        <f t="shared" si="29"/>
        <v>#VALUE!</v>
      </c>
      <c r="ES635" s="1414"/>
      <c r="ET635" s="1414"/>
      <c r="EU635" s="1414"/>
      <c r="EV635" s="1414"/>
      <c r="EW635" s="1414" t="e">
        <f t="shared" si="30"/>
        <v>#VALUE!</v>
      </c>
      <c r="EX635" s="1414"/>
      <c r="EY635" s="1414"/>
      <c r="EZ635" s="1414"/>
      <c r="FA635" s="1414"/>
    </row>
    <row r="636" spans="1:157" ht="12.95" customHeight="1">
      <c r="B636" s="1585" t="s">
        <v>268</v>
      </c>
      <c r="C636" s="1586"/>
      <c r="D636" s="1586"/>
      <c r="E636" s="1586"/>
      <c r="F636" s="1586"/>
      <c r="G636" s="1586"/>
      <c r="H636" s="1586"/>
      <c r="I636" s="1586"/>
      <c r="J636" s="1586"/>
      <c r="K636" s="1586"/>
      <c r="L636" s="1586"/>
      <c r="M636" s="1586"/>
      <c r="N636" s="1586"/>
      <c r="O636" s="1586"/>
      <c r="P636" s="1586"/>
      <c r="Q636" s="1586"/>
      <c r="R636" s="1586"/>
      <c r="S636" s="1586"/>
      <c r="T636" s="1586"/>
      <c r="U636" s="1586"/>
      <c r="V636" s="1586"/>
      <c r="W636" s="1586"/>
      <c r="X636" s="1586"/>
      <c r="Y636" s="1586"/>
      <c r="Z636" s="1586"/>
      <c r="AA636" s="1586"/>
      <c r="AB636" s="1586"/>
      <c r="AC636" s="1586"/>
      <c r="AD636" s="1586"/>
      <c r="AE636" s="1586"/>
      <c r="AF636" s="1586"/>
      <c r="AG636" s="1586"/>
      <c r="AH636" s="1586"/>
      <c r="AI636" s="1586"/>
      <c r="AJ636" s="1586"/>
      <c r="AK636" s="1586"/>
      <c r="AL636" s="1586"/>
      <c r="AM636" s="1586"/>
      <c r="AN636" s="1587"/>
      <c r="AO636" s="1428">
        <v>49713664</v>
      </c>
      <c r="AP636" s="1429"/>
      <c r="AQ636" s="1429"/>
      <c r="AR636" s="1429"/>
      <c r="AS636" s="1430"/>
      <c r="AZ636" s="34"/>
      <c r="BA636" s="34"/>
      <c r="BB636" s="34"/>
      <c r="BC636" s="34"/>
      <c r="BD636" s="34"/>
      <c r="BE636" s="34"/>
      <c r="BF636" s="34"/>
      <c r="BG636" s="34"/>
      <c r="BH636" s="34"/>
      <c r="BI636" s="34"/>
      <c r="BJ636" s="34"/>
      <c r="BK636" s="34"/>
      <c r="BL636" s="34"/>
      <c r="BM636" s="34"/>
      <c r="BN636" s="1416">
        <f t="shared" si="32"/>
        <v>0</v>
      </c>
      <c r="BO636" s="1417"/>
      <c r="BP636" s="1417"/>
      <c r="BQ636" s="1417"/>
      <c r="BR636" s="1418"/>
      <c r="BS636" s="1425">
        <f t="shared" si="33"/>
        <v>0</v>
      </c>
      <c r="BT636" s="1425"/>
      <c r="BU636" s="1425"/>
      <c r="BV636" s="1425"/>
      <c r="BW636" s="1425"/>
      <c r="BX636" s="1425">
        <f t="shared" si="34"/>
        <v>0</v>
      </c>
      <c r="BY636" s="1425"/>
      <c r="BZ636" s="1425"/>
      <c r="CA636" s="1425"/>
      <c r="CB636" s="1425"/>
      <c r="CC636" s="1425">
        <f t="shared" si="35"/>
        <v>0</v>
      </c>
      <c r="CD636" s="1425"/>
      <c r="CE636" s="1425"/>
      <c r="CF636" s="1425"/>
      <c r="CG636" s="1425"/>
      <c r="CH636" s="1425">
        <f t="shared" si="36"/>
        <v>0</v>
      </c>
      <c r="CI636" s="1425"/>
      <c r="CJ636" s="1425"/>
      <c r="CK636" s="1425"/>
      <c r="CL636" s="1425"/>
      <c r="CM636" s="1425">
        <f t="shared" si="37"/>
        <v>0</v>
      </c>
      <c r="CN636" s="1425"/>
      <c r="CO636" s="1425"/>
      <c r="CP636" s="1425"/>
      <c r="CQ636" s="1425"/>
      <c r="CR636" s="6"/>
      <c r="CS636" s="1416">
        <f t="shared" si="38"/>
        <v>0</v>
      </c>
      <c r="CT636" s="1417"/>
      <c r="CU636" s="1417"/>
      <c r="CV636" s="1417"/>
      <c r="CW636" s="1418"/>
      <c r="CX636" s="1416">
        <f t="shared" si="39"/>
        <v>0</v>
      </c>
      <c r="CY636" s="1417"/>
      <c r="CZ636" s="1417"/>
      <c r="DA636" s="1417"/>
      <c r="DB636" s="1418"/>
      <c r="DC636" s="1416">
        <f t="shared" si="40"/>
        <v>0</v>
      </c>
      <c r="DD636" s="1417"/>
      <c r="DE636" s="1417"/>
      <c r="DF636" s="1417"/>
      <c r="DG636" s="1418"/>
      <c r="DH636" s="1416">
        <f t="shared" si="41"/>
        <v>0</v>
      </c>
      <c r="DI636" s="1417"/>
      <c r="DJ636" s="1417"/>
      <c r="DK636" s="1417"/>
      <c r="DL636" s="1418"/>
      <c r="DM636" s="1416">
        <f t="shared" si="42"/>
        <v>0</v>
      </c>
      <c r="DN636" s="1417"/>
      <c r="DO636" s="1417"/>
      <c r="DP636" s="1417"/>
      <c r="DQ636" s="1418"/>
      <c r="DR636" s="1416">
        <f t="shared" si="43"/>
        <v>0</v>
      </c>
      <c r="DS636" s="1417"/>
      <c r="DT636" s="1417"/>
      <c r="DU636" s="1417"/>
      <c r="DV636" s="1418"/>
      <c r="DX636" s="1414" t="e">
        <f t="shared" si="25"/>
        <v>#VALUE!</v>
      </c>
      <c r="DY636" s="1414"/>
      <c r="DZ636" s="1414"/>
      <c r="EA636" s="1414"/>
      <c r="EB636" s="1414"/>
      <c r="EC636" s="1414" t="e">
        <f t="shared" si="26"/>
        <v>#VALUE!</v>
      </c>
      <c r="ED636" s="1414"/>
      <c r="EE636" s="1414"/>
      <c r="EF636" s="1414"/>
      <c r="EG636" s="1414"/>
      <c r="EH636" s="1414" t="e">
        <f t="shared" si="27"/>
        <v>#VALUE!</v>
      </c>
      <c r="EI636" s="1414"/>
      <c r="EJ636" s="1414"/>
      <c r="EK636" s="1414"/>
      <c r="EL636" s="1414"/>
      <c r="EM636" s="1414" t="e">
        <f t="shared" si="28"/>
        <v>#VALUE!</v>
      </c>
      <c r="EN636" s="1414"/>
      <c r="EO636" s="1414"/>
      <c r="EP636" s="1414"/>
      <c r="EQ636" s="1414"/>
      <c r="ER636" s="1414" t="e">
        <f t="shared" si="29"/>
        <v>#VALUE!</v>
      </c>
      <c r="ES636" s="1414"/>
      <c r="ET636" s="1414"/>
      <c r="EU636" s="1414"/>
      <c r="EV636" s="1414"/>
      <c r="EW636" s="1414" t="e">
        <f t="shared" si="30"/>
        <v>#VALUE!</v>
      </c>
      <c r="EX636" s="1414"/>
      <c r="EY636" s="1414"/>
      <c r="EZ636" s="1414"/>
      <c r="FA636" s="1414"/>
    </row>
    <row r="637" spans="1:157" ht="12.95" customHeight="1">
      <c r="B637" s="1745" t="s">
        <v>269</v>
      </c>
      <c r="C637" s="1746"/>
      <c r="D637" s="1746"/>
      <c r="E637" s="1746"/>
      <c r="F637" s="1746"/>
      <c r="G637" s="1746"/>
      <c r="H637" s="1746"/>
      <c r="I637" s="1746"/>
      <c r="J637" s="1746"/>
      <c r="K637" s="1746"/>
      <c r="L637" s="1746"/>
      <c r="M637" s="1746"/>
      <c r="N637" s="1746"/>
      <c r="O637" s="1746"/>
      <c r="P637" s="1746"/>
      <c r="Q637" s="1746"/>
      <c r="R637" s="1746"/>
      <c r="S637" s="1746"/>
      <c r="T637" s="1746"/>
      <c r="U637" s="1746"/>
      <c r="V637" s="1746"/>
      <c r="W637" s="1746"/>
      <c r="X637" s="1746"/>
      <c r="Y637" s="1746"/>
      <c r="Z637" s="1746"/>
      <c r="AA637" s="1746"/>
      <c r="AB637" s="1746"/>
      <c r="AC637" s="1746"/>
      <c r="AD637" s="1746"/>
      <c r="AE637" s="1746"/>
      <c r="AF637" s="1746"/>
      <c r="AG637" s="1746"/>
      <c r="AH637" s="1746"/>
      <c r="AI637" s="1746"/>
      <c r="AJ637" s="1746"/>
      <c r="AK637" s="1746"/>
      <c r="AL637" s="1746"/>
      <c r="AM637" s="1746"/>
      <c r="AN637" s="1747"/>
      <c r="AO637" s="1595">
        <f>AO635+AO636</f>
        <v>74400299</v>
      </c>
      <c r="AP637" s="1596"/>
      <c r="AQ637" s="1596"/>
      <c r="AR637" s="1596"/>
      <c r="AS637" s="1597"/>
      <c r="AZ637" s="34"/>
      <c r="BA637" s="34"/>
      <c r="BB637" s="34"/>
      <c r="BC637" s="34"/>
      <c r="BD637" s="34"/>
      <c r="BE637" s="34"/>
      <c r="BF637" s="34"/>
      <c r="BG637" s="34"/>
      <c r="BH637" s="34"/>
      <c r="BI637" s="34"/>
      <c r="BJ637" s="34"/>
      <c r="BK637" s="34"/>
      <c r="BL637" s="34"/>
      <c r="BM637" s="34"/>
      <c r="BN637" s="1416">
        <f t="shared" si="32"/>
        <v>0</v>
      </c>
      <c r="BO637" s="1417"/>
      <c r="BP637" s="1417"/>
      <c r="BQ637" s="1417"/>
      <c r="BR637" s="1418"/>
      <c r="BS637" s="1425">
        <f t="shared" si="33"/>
        <v>0</v>
      </c>
      <c r="BT637" s="1425"/>
      <c r="BU637" s="1425"/>
      <c r="BV637" s="1425"/>
      <c r="BW637" s="1425"/>
      <c r="BX637" s="1425">
        <f t="shared" si="34"/>
        <v>0</v>
      </c>
      <c r="BY637" s="1425"/>
      <c r="BZ637" s="1425"/>
      <c r="CA637" s="1425"/>
      <c r="CB637" s="1425"/>
      <c r="CC637" s="1425">
        <f t="shared" si="35"/>
        <v>0</v>
      </c>
      <c r="CD637" s="1425"/>
      <c r="CE637" s="1425"/>
      <c r="CF637" s="1425"/>
      <c r="CG637" s="1425"/>
      <c r="CH637" s="1425">
        <f t="shared" si="36"/>
        <v>0</v>
      </c>
      <c r="CI637" s="1425"/>
      <c r="CJ637" s="1425"/>
      <c r="CK637" s="1425"/>
      <c r="CL637" s="1425"/>
      <c r="CM637" s="1425">
        <f t="shared" si="37"/>
        <v>0</v>
      </c>
      <c r="CN637" s="1425"/>
      <c r="CO637" s="1425"/>
      <c r="CP637" s="1425"/>
      <c r="CQ637" s="1425"/>
      <c r="CR637" s="6"/>
      <c r="CS637" s="1416">
        <f t="shared" si="38"/>
        <v>0</v>
      </c>
      <c r="CT637" s="1417"/>
      <c r="CU637" s="1417"/>
      <c r="CV637" s="1417"/>
      <c r="CW637" s="1418"/>
      <c r="CX637" s="1416">
        <f t="shared" si="39"/>
        <v>0</v>
      </c>
      <c r="CY637" s="1417"/>
      <c r="CZ637" s="1417"/>
      <c r="DA637" s="1417"/>
      <c r="DB637" s="1418"/>
      <c r="DC637" s="1416">
        <f t="shared" si="40"/>
        <v>0</v>
      </c>
      <c r="DD637" s="1417"/>
      <c r="DE637" s="1417"/>
      <c r="DF637" s="1417"/>
      <c r="DG637" s="1418"/>
      <c r="DH637" s="1416">
        <f t="shared" si="41"/>
        <v>0</v>
      </c>
      <c r="DI637" s="1417"/>
      <c r="DJ637" s="1417"/>
      <c r="DK637" s="1417"/>
      <c r="DL637" s="1418"/>
      <c r="DM637" s="1416">
        <f t="shared" si="42"/>
        <v>0</v>
      </c>
      <c r="DN637" s="1417"/>
      <c r="DO637" s="1417"/>
      <c r="DP637" s="1417"/>
      <c r="DQ637" s="1418"/>
      <c r="DR637" s="1416">
        <f t="shared" si="43"/>
        <v>0</v>
      </c>
      <c r="DS637" s="1417"/>
      <c r="DT637" s="1417"/>
      <c r="DU637" s="1417"/>
      <c r="DV637" s="1418"/>
      <c r="DX637" s="1414" t="e">
        <f t="shared" si="25"/>
        <v>#VALUE!</v>
      </c>
      <c r="DY637" s="1414"/>
      <c r="DZ637" s="1414"/>
      <c r="EA637" s="1414"/>
      <c r="EB637" s="1414"/>
      <c r="EC637" s="1414" t="e">
        <f t="shared" si="26"/>
        <v>#VALUE!</v>
      </c>
      <c r="ED637" s="1414"/>
      <c r="EE637" s="1414"/>
      <c r="EF637" s="1414"/>
      <c r="EG637" s="1414"/>
      <c r="EH637" s="1414" t="e">
        <f t="shared" si="27"/>
        <v>#VALUE!</v>
      </c>
      <c r="EI637" s="1414"/>
      <c r="EJ637" s="1414"/>
      <c r="EK637" s="1414"/>
      <c r="EL637" s="1414"/>
      <c r="EM637" s="1414" t="e">
        <f t="shared" si="28"/>
        <v>#VALUE!</v>
      </c>
      <c r="EN637" s="1414"/>
      <c r="EO637" s="1414"/>
      <c r="EP637" s="1414"/>
      <c r="EQ637" s="1414"/>
      <c r="ER637" s="1414" t="e">
        <f t="shared" si="29"/>
        <v>#VALUE!</v>
      </c>
      <c r="ES637" s="1414"/>
      <c r="ET637" s="1414"/>
      <c r="EU637" s="1414"/>
      <c r="EV637" s="1414"/>
      <c r="EW637" s="1414" t="e">
        <f t="shared" si="30"/>
        <v>#VALUE!</v>
      </c>
      <c r="EX637" s="1414"/>
      <c r="EY637" s="1414"/>
      <c r="EZ637" s="1414"/>
      <c r="FA637" s="1414"/>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6">
        <f t="shared" si="32"/>
        <v>0</v>
      </c>
      <c r="BO638" s="1417"/>
      <c r="BP638" s="1417"/>
      <c r="BQ638" s="1417"/>
      <c r="BR638" s="1418"/>
      <c r="BS638" s="1425">
        <f t="shared" si="33"/>
        <v>0</v>
      </c>
      <c r="BT638" s="1425"/>
      <c r="BU638" s="1425"/>
      <c r="BV638" s="1425"/>
      <c r="BW638" s="1425"/>
      <c r="BX638" s="1425">
        <f t="shared" si="34"/>
        <v>0</v>
      </c>
      <c r="BY638" s="1425"/>
      <c r="BZ638" s="1425"/>
      <c r="CA638" s="1425"/>
      <c r="CB638" s="1425"/>
      <c r="CC638" s="1425">
        <f t="shared" si="35"/>
        <v>0</v>
      </c>
      <c r="CD638" s="1425"/>
      <c r="CE638" s="1425"/>
      <c r="CF638" s="1425"/>
      <c r="CG638" s="1425"/>
      <c r="CH638" s="1425">
        <f t="shared" si="36"/>
        <v>0</v>
      </c>
      <c r="CI638" s="1425"/>
      <c r="CJ638" s="1425"/>
      <c r="CK638" s="1425"/>
      <c r="CL638" s="1425"/>
      <c r="CM638" s="1425">
        <f t="shared" si="37"/>
        <v>0</v>
      </c>
      <c r="CN638" s="1425"/>
      <c r="CO638" s="1425"/>
      <c r="CP638" s="1425"/>
      <c r="CQ638" s="1425"/>
      <c r="CR638" s="6"/>
      <c r="CS638" s="1416">
        <f t="shared" si="38"/>
        <v>0</v>
      </c>
      <c r="CT638" s="1417"/>
      <c r="CU638" s="1417"/>
      <c r="CV638" s="1417"/>
      <c r="CW638" s="1418"/>
      <c r="CX638" s="1416">
        <f t="shared" si="39"/>
        <v>0</v>
      </c>
      <c r="CY638" s="1417"/>
      <c r="CZ638" s="1417"/>
      <c r="DA638" s="1417"/>
      <c r="DB638" s="1418"/>
      <c r="DC638" s="1416">
        <f t="shared" si="40"/>
        <v>0</v>
      </c>
      <c r="DD638" s="1417"/>
      <c r="DE638" s="1417"/>
      <c r="DF638" s="1417"/>
      <c r="DG638" s="1418"/>
      <c r="DH638" s="1416">
        <f t="shared" si="41"/>
        <v>0</v>
      </c>
      <c r="DI638" s="1417"/>
      <c r="DJ638" s="1417"/>
      <c r="DK638" s="1417"/>
      <c r="DL638" s="1418"/>
      <c r="DM638" s="1416">
        <f t="shared" si="42"/>
        <v>0</v>
      </c>
      <c r="DN638" s="1417"/>
      <c r="DO638" s="1417"/>
      <c r="DP638" s="1417"/>
      <c r="DQ638" s="1418"/>
      <c r="DR638" s="1416">
        <f t="shared" si="43"/>
        <v>0</v>
      </c>
      <c r="DS638" s="1417"/>
      <c r="DT638" s="1417"/>
      <c r="DU638" s="1417"/>
      <c r="DV638" s="1418"/>
      <c r="DX638" s="1414" t="e">
        <f t="shared" si="25"/>
        <v>#VALUE!</v>
      </c>
      <c r="DY638" s="1414"/>
      <c r="DZ638" s="1414"/>
      <c r="EA638" s="1414"/>
      <c r="EB638" s="1414"/>
      <c r="EC638" s="1414" t="e">
        <f t="shared" si="26"/>
        <v>#VALUE!</v>
      </c>
      <c r="ED638" s="1414"/>
      <c r="EE638" s="1414"/>
      <c r="EF638" s="1414"/>
      <c r="EG638" s="1414"/>
      <c r="EH638" s="1414" t="e">
        <f t="shared" si="27"/>
        <v>#VALUE!</v>
      </c>
      <c r="EI638" s="1414"/>
      <c r="EJ638" s="1414"/>
      <c r="EK638" s="1414"/>
      <c r="EL638" s="1414"/>
      <c r="EM638" s="1414" t="e">
        <f t="shared" si="28"/>
        <v>#VALUE!</v>
      </c>
      <c r="EN638" s="1414"/>
      <c r="EO638" s="1414"/>
      <c r="EP638" s="1414"/>
      <c r="EQ638" s="1414"/>
      <c r="ER638" s="1414" t="e">
        <f t="shared" si="29"/>
        <v>#VALUE!</v>
      </c>
      <c r="ES638" s="1414"/>
      <c r="ET638" s="1414"/>
      <c r="EU638" s="1414"/>
      <c r="EV638" s="1414"/>
      <c r="EW638" s="1414" t="e">
        <f t="shared" si="30"/>
        <v>#VALUE!</v>
      </c>
      <c r="EX638" s="1414"/>
      <c r="EY638" s="1414"/>
      <c r="EZ638" s="1414"/>
      <c r="FA638" s="1414"/>
    </row>
    <row r="639" spans="1:157" ht="12.95" customHeight="1">
      <c r="A639" s="55" t="s">
        <v>113</v>
      </c>
      <c r="B639" t="s">
        <v>472</v>
      </c>
      <c r="G639" s="1356" t="str">
        <f>C623</f>
        <v>PNC Bank - Permanent Loan</v>
      </c>
      <c r="H639" s="1356"/>
      <c r="I639" s="1356"/>
      <c r="J639" s="1356"/>
      <c r="K639" s="1356"/>
      <c r="L639" s="1356"/>
      <c r="M639" s="1356"/>
      <c r="N639" s="1356"/>
      <c r="O639" s="1356"/>
      <c r="P639" s="1356"/>
      <c r="Q639" s="1356"/>
      <c r="R639" s="1356"/>
      <c r="S639" s="8"/>
      <c r="T639" s="55" t="s">
        <v>114</v>
      </c>
      <c r="U639" t="s">
        <v>472</v>
      </c>
      <c r="Z639" s="1356" t="str">
        <f>C624</f>
        <v>Palm Desert Housing Authority Loan</v>
      </c>
      <c r="AA639" s="1356"/>
      <c r="AB639" s="1356"/>
      <c r="AC639" s="1356"/>
      <c r="AD639" s="1356"/>
      <c r="AE639" s="1356"/>
      <c r="AF639" s="1356"/>
      <c r="AG639" s="1356"/>
      <c r="AH639" s="1356"/>
      <c r="AI639" s="1356"/>
      <c r="AJ639" s="1356"/>
      <c r="AK639" s="1356"/>
      <c r="AZ639" s="34"/>
      <c r="BA639" s="34"/>
      <c r="BB639" s="34"/>
      <c r="BC639" s="34"/>
      <c r="BD639" s="34"/>
      <c r="BE639" s="34"/>
      <c r="BF639" s="34"/>
      <c r="BG639" s="34"/>
      <c r="BH639" s="34"/>
      <c r="BI639" s="34"/>
      <c r="BJ639" s="34"/>
      <c r="BK639" s="34"/>
      <c r="BL639" s="34"/>
      <c r="BM639" s="34"/>
      <c r="BN639" s="1416">
        <f t="shared" si="32"/>
        <v>0</v>
      </c>
      <c r="BO639" s="1417"/>
      <c r="BP639" s="1417"/>
      <c r="BQ639" s="1417"/>
      <c r="BR639" s="1418"/>
      <c r="BS639" s="1425">
        <f t="shared" si="33"/>
        <v>0</v>
      </c>
      <c r="BT639" s="1425"/>
      <c r="BU639" s="1425"/>
      <c r="BV639" s="1425"/>
      <c r="BW639" s="1425"/>
      <c r="BX639" s="1425">
        <f t="shared" si="34"/>
        <v>0</v>
      </c>
      <c r="BY639" s="1425"/>
      <c r="BZ639" s="1425"/>
      <c r="CA639" s="1425"/>
      <c r="CB639" s="1425"/>
      <c r="CC639" s="1425">
        <f t="shared" si="35"/>
        <v>0</v>
      </c>
      <c r="CD639" s="1425"/>
      <c r="CE639" s="1425"/>
      <c r="CF639" s="1425"/>
      <c r="CG639" s="1425"/>
      <c r="CH639" s="1425">
        <f t="shared" si="36"/>
        <v>0</v>
      </c>
      <c r="CI639" s="1425"/>
      <c r="CJ639" s="1425"/>
      <c r="CK639" s="1425"/>
      <c r="CL639" s="1425"/>
      <c r="CM639" s="1425">
        <f t="shared" si="37"/>
        <v>0</v>
      </c>
      <c r="CN639" s="1425"/>
      <c r="CO639" s="1425"/>
      <c r="CP639" s="1425"/>
      <c r="CQ639" s="1425"/>
      <c r="CR639" s="6"/>
      <c r="CS639" s="1416">
        <f t="shared" si="38"/>
        <v>0</v>
      </c>
      <c r="CT639" s="1417"/>
      <c r="CU639" s="1417"/>
      <c r="CV639" s="1417"/>
      <c r="CW639" s="1418"/>
      <c r="CX639" s="1416">
        <f t="shared" si="39"/>
        <v>0</v>
      </c>
      <c r="CY639" s="1417"/>
      <c r="CZ639" s="1417"/>
      <c r="DA639" s="1417"/>
      <c r="DB639" s="1418"/>
      <c r="DC639" s="1416">
        <f t="shared" si="40"/>
        <v>0</v>
      </c>
      <c r="DD639" s="1417"/>
      <c r="DE639" s="1417"/>
      <c r="DF639" s="1417"/>
      <c r="DG639" s="1418"/>
      <c r="DH639" s="1416">
        <f t="shared" si="41"/>
        <v>0</v>
      </c>
      <c r="DI639" s="1417"/>
      <c r="DJ639" s="1417"/>
      <c r="DK639" s="1417"/>
      <c r="DL639" s="1418"/>
      <c r="DM639" s="1416">
        <f t="shared" si="42"/>
        <v>0</v>
      </c>
      <c r="DN639" s="1417"/>
      <c r="DO639" s="1417"/>
      <c r="DP639" s="1417"/>
      <c r="DQ639" s="1418"/>
      <c r="DR639" s="1416">
        <f t="shared" si="43"/>
        <v>0</v>
      </c>
      <c r="DS639" s="1417"/>
      <c r="DT639" s="1417"/>
      <c r="DU639" s="1417"/>
      <c r="DV639" s="1418"/>
      <c r="DX639" s="1414" t="e">
        <f t="shared" si="25"/>
        <v>#VALUE!</v>
      </c>
      <c r="DY639" s="1414"/>
      <c r="DZ639" s="1414"/>
      <c r="EA639" s="1414"/>
      <c r="EB639" s="1414"/>
      <c r="EC639" s="1414" t="e">
        <f t="shared" si="26"/>
        <v>#VALUE!</v>
      </c>
      <c r="ED639" s="1414"/>
      <c r="EE639" s="1414"/>
      <c r="EF639" s="1414"/>
      <c r="EG639" s="1414"/>
      <c r="EH639" s="1414" t="e">
        <f t="shared" si="27"/>
        <v>#VALUE!</v>
      </c>
      <c r="EI639" s="1414"/>
      <c r="EJ639" s="1414"/>
      <c r="EK639" s="1414"/>
      <c r="EL639" s="1414"/>
      <c r="EM639" s="1414" t="e">
        <f t="shared" si="28"/>
        <v>#VALUE!</v>
      </c>
      <c r="EN639" s="1414"/>
      <c r="EO639" s="1414"/>
      <c r="EP639" s="1414"/>
      <c r="EQ639" s="1414"/>
      <c r="ER639" s="1414" t="e">
        <f t="shared" si="29"/>
        <v>#VALUE!</v>
      </c>
      <c r="ES639" s="1414"/>
      <c r="ET639" s="1414"/>
      <c r="EU639" s="1414"/>
      <c r="EV639" s="1414"/>
      <c r="EW639" s="1414" t="e">
        <f t="shared" si="30"/>
        <v>#VALUE!</v>
      </c>
      <c r="EX639" s="1414"/>
      <c r="EY639" s="1414"/>
      <c r="EZ639" s="1414"/>
      <c r="FA639" s="1414"/>
    </row>
    <row r="640" spans="1:157" ht="12.95" customHeight="1">
      <c r="A640" s="22"/>
      <c r="B640" t="s">
        <v>86</v>
      </c>
      <c r="G640" s="1357" t="str">
        <f>G565</f>
        <v>One PNC Plaza, 249 Fifth Avenue</v>
      </c>
      <c r="H640" s="1357"/>
      <c r="I640" s="1357"/>
      <c r="J640" s="1357"/>
      <c r="K640" s="1357"/>
      <c r="L640" s="1357"/>
      <c r="M640" s="1357"/>
      <c r="N640" s="1357"/>
      <c r="O640" s="1357"/>
      <c r="P640" s="1357"/>
      <c r="Q640" s="1357"/>
      <c r="R640" s="1357"/>
      <c r="S640" s="8"/>
      <c r="T640" s="22"/>
      <c r="U640" t="s">
        <v>86</v>
      </c>
      <c r="Z640" s="1357" t="str">
        <f>Z574</f>
        <v>73510 Fred Waring Drive</v>
      </c>
      <c r="AA640" s="1357"/>
      <c r="AB640" s="1357"/>
      <c r="AC640" s="1357"/>
      <c r="AD640" s="1357"/>
      <c r="AE640" s="1357"/>
      <c r="AF640" s="1357"/>
      <c r="AG640" s="1357"/>
      <c r="AH640" s="1357"/>
      <c r="AI640" s="1357"/>
      <c r="AJ640" s="1357"/>
      <c r="AK640" s="1357"/>
      <c r="AZ640" s="34"/>
      <c r="BA640" s="34"/>
      <c r="BB640" s="34"/>
      <c r="BC640" s="34"/>
      <c r="BD640" s="34"/>
      <c r="BE640" s="34"/>
      <c r="BF640" s="34"/>
      <c r="BG640" s="34"/>
      <c r="BH640" s="34"/>
      <c r="BI640" s="34"/>
      <c r="BJ640" s="34"/>
      <c r="BK640" s="34"/>
      <c r="BL640" s="34"/>
      <c r="BM640" s="34"/>
      <c r="BN640" s="1416">
        <f t="shared" si="32"/>
        <v>0</v>
      </c>
      <c r="BO640" s="1417"/>
      <c r="BP640" s="1417"/>
      <c r="BQ640" s="1417"/>
      <c r="BR640" s="1418"/>
      <c r="BS640" s="1425">
        <f t="shared" si="33"/>
        <v>0</v>
      </c>
      <c r="BT640" s="1425"/>
      <c r="BU640" s="1425"/>
      <c r="BV640" s="1425"/>
      <c r="BW640" s="1425"/>
      <c r="BX640" s="1425">
        <f t="shared" si="34"/>
        <v>0</v>
      </c>
      <c r="BY640" s="1425"/>
      <c r="BZ640" s="1425"/>
      <c r="CA640" s="1425"/>
      <c r="CB640" s="1425"/>
      <c r="CC640" s="1425">
        <f t="shared" si="35"/>
        <v>0</v>
      </c>
      <c r="CD640" s="1425"/>
      <c r="CE640" s="1425"/>
      <c r="CF640" s="1425"/>
      <c r="CG640" s="1425"/>
      <c r="CH640" s="1425">
        <f t="shared" si="36"/>
        <v>0</v>
      </c>
      <c r="CI640" s="1425"/>
      <c r="CJ640" s="1425"/>
      <c r="CK640" s="1425"/>
      <c r="CL640" s="1425"/>
      <c r="CM640" s="1425">
        <f t="shared" si="37"/>
        <v>0</v>
      </c>
      <c r="CN640" s="1425"/>
      <c r="CO640" s="1425"/>
      <c r="CP640" s="1425"/>
      <c r="CQ640" s="1425"/>
      <c r="CR640" s="6"/>
      <c r="CS640" s="1416">
        <f t="shared" si="38"/>
        <v>0</v>
      </c>
      <c r="CT640" s="1417"/>
      <c r="CU640" s="1417"/>
      <c r="CV640" s="1417"/>
      <c r="CW640" s="1418"/>
      <c r="CX640" s="1416">
        <f t="shared" si="39"/>
        <v>0</v>
      </c>
      <c r="CY640" s="1417"/>
      <c r="CZ640" s="1417"/>
      <c r="DA640" s="1417"/>
      <c r="DB640" s="1418"/>
      <c r="DC640" s="1416">
        <f t="shared" si="40"/>
        <v>0</v>
      </c>
      <c r="DD640" s="1417"/>
      <c r="DE640" s="1417"/>
      <c r="DF640" s="1417"/>
      <c r="DG640" s="1418"/>
      <c r="DH640" s="1416">
        <f t="shared" si="41"/>
        <v>0</v>
      </c>
      <c r="DI640" s="1417"/>
      <c r="DJ640" s="1417"/>
      <c r="DK640" s="1417"/>
      <c r="DL640" s="1418"/>
      <c r="DM640" s="1416">
        <f t="shared" si="42"/>
        <v>0</v>
      </c>
      <c r="DN640" s="1417"/>
      <c r="DO640" s="1417"/>
      <c r="DP640" s="1417"/>
      <c r="DQ640" s="1418"/>
      <c r="DR640" s="1416">
        <f t="shared" si="43"/>
        <v>0</v>
      </c>
      <c r="DS640" s="1417"/>
      <c r="DT640" s="1417"/>
      <c r="DU640" s="1417"/>
      <c r="DV640" s="1418"/>
      <c r="DX640" s="1414" t="e">
        <f t="shared" si="25"/>
        <v>#VALUE!</v>
      </c>
      <c r="DY640" s="1414"/>
      <c r="DZ640" s="1414"/>
      <c r="EA640" s="1414"/>
      <c r="EB640" s="1414"/>
      <c r="EC640" s="1414" t="e">
        <f t="shared" si="26"/>
        <v>#VALUE!</v>
      </c>
      <c r="ED640" s="1414"/>
      <c r="EE640" s="1414"/>
      <c r="EF640" s="1414"/>
      <c r="EG640" s="1414"/>
      <c r="EH640" s="1414" t="e">
        <f t="shared" si="27"/>
        <v>#VALUE!</v>
      </c>
      <c r="EI640" s="1414"/>
      <c r="EJ640" s="1414"/>
      <c r="EK640" s="1414"/>
      <c r="EL640" s="1414"/>
      <c r="EM640" s="1414" t="e">
        <f t="shared" si="28"/>
        <v>#VALUE!</v>
      </c>
      <c r="EN640" s="1414"/>
      <c r="EO640" s="1414"/>
      <c r="EP640" s="1414"/>
      <c r="EQ640" s="1414"/>
      <c r="ER640" s="1414" t="e">
        <f t="shared" si="29"/>
        <v>#VALUE!</v>
      </c>
      <c r="ES640" s="1414"/>
      <c r="ET640" s="1414"/>
      <c r="EU640" s="1414"/>
      <c r="EV640" s="1414"/>
      <c r="EW640" s="1414" t="e">
        <f t="shared" si="30"/>
        <v>#VALUE!</v>
      </c>
      <c r="EX640" s="1414"/>
      <c r="EY640" s="1414"/>
      <c r="EZ640" s="1414"/>
      <c r="FA640" s="1414"/>
    </row>
    <row r="641" spans="1:157" ht="12.95" customHeight="1">
      <c r="A641" s="22"/>
      <c r="B641" t="s">
        <v>589</v>
      </c>
      <c r="G641" s="1357" t="str">
        <f>G566</f>
        <v>Pittsburgh, Pennsylvania 15222-27073</v>
      </c>
      <c r="H641" s="1357"/>
      <c r="I641" s="1357"/>
      <c r="J641" s="1357"/>
      <c r="K641" s="1357"/>
      <c r="L641" s="1357"/>
      <c r="M641" s="1357"/>
      <c r="N641" s="1357"/>
      <c r="O641" s="1357"/>
      <c r="P641" s="1357"/>
      <c r="Q641" s="1357"/>
      <c r="R641" s="1357"/>
      <c r="T641" s="22"/>
      <c r="U641" t="s">
        <v>589</v>
      </c>
      <c r="Z641" s="1366" t="str">
        <f>Z583</f>
        <v>Irvine, CA 92618</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416">
        <f t="shared" si="32"/>
        <v>0</v>
      </c>
      <c r="BO641" s="1417"/>
      <c r="BP641" s="1417"/>
      <c r="BQ641" s="1417"/>
      <c r="BR641" s="1418"/>
      <c r="BS641" s="1425">
        <f t="shared" si="33"/>
        <v>0</v>
      </c>
      <c r="BT641" s="1425"/>
      <c r="BU641" s="1425"/>
      <c r="BV641" s="1425"/>
      <c r="BW641" s="1425"/>
      <c r="BX641" s="1425">
        <f t="shared" si="34"/>
        <v>0</v>
      </c>
      <c r="BY641" s="1425"/>
      <c r="BZ641" s="1425"/>
      <c r="CA641" s="1425"/>
      <c r="CB641" s="1425"/>
      <c r="CC641" s="1425">
        <f t="shared" si="35"/>
        <v>0</v>
      </c>
      <c r="CD641" s="1425"/>
      <c r="CE641" s="1425"/>
      <c r="CF641" s="1425"/>
      <c r="CG641" s="1425"/>
      <c r="CH641" s="1425">
        <f t="shared" si="36"/>
        <v>0</v>
      </c>
      <c r="CI641" s="1425"/>
      <c r="CJ641" s="1425"/>
      <c r="CK641" s="1425"/>
      <c r="CL641" s="1425"/>
      <c r="CM641" s="1425">
        <f t="shared" si="37"/>
        <v>0</v>
      </c>
      <c r="CN641" s="1425"/>
      <c r="CO641" s="1425"/>
      <c r="CP641" s="1425"/>
      <c r="CQ641" s="1425"/>
      <c r="CR641" s="6"/>
      <c r="CS641" s="1416">
        <f t="shared" si="38"/>
        <v>0</v>
      </c>
      <c r="CT641" s="1417"/>
      <c r="CU641" s="1417"/>
      <c r="CV641" s="1417"/>
      <c r="CW641" s="1418"/>
      <c r="CX641" s="1416">
        <f t="shared" si="39"/>
        <v>0</v>
      </c>
      <c r="CY641" s="1417"/>
      <c r="CZ641" s="1417"/>
      <c r="DA641" s="1417"/>
      <c r="DB641" s="1418"/>
      <c r="DC641" s="1416">
        <f t="shared" si="40"/>
        <v>0</v>
      </c>
      <c r="DD641" s="1417"/>
      <c r="DE641" s="1417"/>
      <c r="DF641" s="1417"/>
      <c r="DG641" s="1418"/>
      <c r="DH641" s="1416">
        <f t="shared" si="41"/>
        <v>0</v>
      </c>
      <c r="DI641" s="1417"/>
      <c r="DJ641" s="1417"/>
      <c r="DK641" s="1417"/>
      <c r="DL641" s="1418"/>
      <c r="DM641" s="1416">
        <f t="shared" si="42"/>
        <v>0</v>
      </c>
      <c r="DN641" s="1417"/>
      <c r="DO641" s="1417"/>
      <c r="DP641" s="1417"/>
      <c r="DQ641" s="1418"/>
      <c r="DR641" s="1416">
        <f t="shared" si="43"/>
        <v>0</v>
      </c>
      <c r="DS641" s="1417"/>
      <c r="DT641" s="1417"/>
      <c r="DU641" s="1417"/>
      <c r="DV641" s="1418"/>
      <c r="DX641" s="1414" t="e">
        <f t="shared" si="25"/>
        <v>#VALUE!</v>
      </c>
      <c r="DY641" s="1414"/>
      <c r="DZ641" s="1414"/>
      <c r="EA641" s="1414"/>
      <c r="EB641" s="1414"/>
      <c r="EC641" s="1414" t="e">
        <f t="shared" si="26"/>
        <v>#VALUE!</v>
      </c>
      <c r="ED641" s="1414"/>
      <c r="EE641" s="1414"/>
      <c r="EF641" s="1414"/>
      <c r="EG641" s="1414"/>
      <c r="EH641" s="1414" t="e">
        <f t="shared" si="27"/>
        <v>#VALUE!</v>
      </c>
      <c r="EI641" s="1414"/>
      <c r="EJ641" s="1414"/>
      <c r="EK641" s="1414"/>
      <c r="EL641" s="1414"/>
      <c r="EM641" s="1414" t="e">
        <f t="shared" si="28"/>
        <v>#VALUE!</v>
      </c>
      <c r="EN641" s="1414"/>
      <c r="EO641" s="1414"/>
      <c r="EP641" s="1414"/>
      <c r="EQ641" s="1414"/>
      <c r="ER641" s="1414" t="e">
        <f t="shared" si="29"/>
        <v>#VALUE!</v>
      </c>
      <c r="ES641" s="1414"/>
      <c r="ET641" s="1414"/>
      <c r="EU641" s="1414"/>
      <c r="EV641" s="1414"/>
      <c r="EW641" s="1414" t="e">
        <f t="shared" si="30"/>
        <v>#VALUE!</v>
      </c>
      <c r="EX641" s="1414"/>
      <c r="EY641" s="1414"/>
      <c r="EZ641" s="1414"/>
      <c r="FA641" s="1414"/>
    </row>
    <row r="642" spans="1:157" ht="12.95" customHeight="1">
      <c r="A642" s="22"/>
      <c r="B642" t="s">
        <v>17</v>
      </c>
      <c r="G642" s="1663" t="s">
        <v>2730</v>
      </c>
      <c r="H642" s="1357"/>
      <c r="I642" s="1357"/>
      <c r="J642" s="1357"/>
      <c r="K642" s="1357"/>
      <c r="L642" s="1357"/>
      <c r="M642" s="1357"/>
      <c r="N642" s="1357"/>
      <c r="O642" s="1357"/>
      <c r="P642" s="1357"/>
      <c r="Q642" s="1357"/>
      <c r="R642" s="1357"/>
      <c r="S642" s="8"/>
      <c r="T642" s="22"/>
      <c r="U642" t="s">
        <v>17</v>
      </c>
      <c r="Z642" s="1366"/>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416">
        <f t="shared" si="32"/>
        <v>0</v>
      </c>
      <c r="BO642" s="1417"/>
      <c r="BP642" s="1417"/>
      <c r="BQ642" s="1417"/>
      <c r="BR642" s="1418"/>
      <c r="BS642" s="1425">
        <f t="shared" si="33"/>
        <v>0</v>
      </c>
      <c r="BT642" s="1425"/>
      <c r="BU642" s="1425"/>
      <c r="BV642" s="1425"/>
      <c r="BW642" s="1425"/>
      <c r="BX642" s="1425">
        <f t="shared" si="34"/>
        <v>0</v>
      </c>
      <c r="BY642" s="1425"/>
      <c r="BZ642" s="1425"/>
      <c r="CA642" s="1425"/>
      <c r="CB642" s="1425"/>
      <c r="CC642" s="1425">
        <f t="shared" si="35"/>
        <v>0</v>
      </c>
      <c r="CD642" s="1425"/>
      <c r="CE642" s="1425"/>
      <c r="CF642" s="1425"/>
      <c r="CG642" s="1425"/>
      <c r="CH642" s="1425">
        <f t="shared" si="36"/>
        <v>0</v>
      </c>
      <c r="CI642" s="1425"/>
      <c r="CJ642" s="1425"/>
      <c r="CK642" s="1425"/>
      <c r="CL642" s="1425"/>
      <c r="CM642" s="1425">
        <f t="shared" si="37"/>
        <v>0</v>
      </c>
      <c r="CN642" s="1425"/>
      <c r="CO642" s="1425"/>
      <c r="CP642" s="1425"/>
      <c r="CQ642" s="1425"/>
      <c r="CR642" s="6"/>
      <c r="CS642" s="1416">
        <f t="shared" si="38"/>
        <v>0</v>
      </c>
      <c r="CT642" s="1417"/>
      <c r="CU642" s="1417"/>
      <c r="CV642" s="1417"/>
      <c r="CW642" s="1418"/>
      <c r="CX642" s="1416">
        <f t="shared" si="39"/>
        <v>0</v>
      </c>
      <c r="CY642" s="1417"/>
      <c r="CZ642" s="1417"/>
      <c r="DA642" s="1417"/>
      <c r="DB642" s="1418"/>
      <c r="DC642" s="1416">
        <f t="shared" si="40"/>
        <v>0</v>
      </c>
      <c r="DD642" s="1417"/>
      <c r="DE642" s="1417"/>
      <c r="DF642" s="1417"/>
      <c r="DG642" s="1418"/>
      <c r="DH642" s="1416">
        <f t="shared" si="41"/>
        <v>0</v>
      </c>
      <c r="DI642" s="1417"/>
      <c r="DJ642" s="1417"/>
      <c r="DK642" s="1417"/>
      <c r="DL642" s="1418"/>
      <c r="DM642" s="1416">
        <f t="shared" si="42"/>
        <v>0</v>
      </c>
      <c r="DN642" s="1417"/>
      <c r="DO642" s="1417"/>
      <c r="DP642" s="1417"/>
      <c r="DQ642" s="1418"/>
      <c r="DR642" s="1416">
        <f t="shared" si="43"/>
        <v>0</v>
      </c>
      <c r="DS642" s="1417"/>
      <c r="DT642" s="1417"/>
      <c r="DU642" s="1417"/>
      <c r="DV642" s="1418"/>
      <c r="DX642" s="1414" t="e">
        <f t="shared" si="25"/>
        <v>#VALUE!</v>
      </c>
      <c r="DY642" s="1414"/>
      <c r="DZ642" s="1414"/>
      <c r="EA642" s="1414"/>
      <c r="EB642" s="1414"/>
      <c r="EC642" s="1414" t="e">
        <f t="shared" si="26"/>
        <v>#VALUE!</v>
      </c>
      <c r="ED642" s="1414"/>
      <c r="EE642" s="1414"/>
      <c r="EF642" s="1414"/>
      <c r="EG642" s="1414"/>
      <c r="EH642" s="1414" t="e">
        <f t="shared" si="27"/>
        <v>#VALUE!</v>
      </c>
      <c r="EI642" s="1414"/>
      <c r="EJ642" s="1414"/>
      <c r="EK642" s="1414"/>
      <c r="EL642" s="1414"/>
      <c r="EM642" s="1414" t="e">
        <f t="shared" si="28"/>
        <v>#VALUE!</v>
      </c>
      <c r="EN642" s="1414"/>
      <c r="EO642" s="1414"/>
      <c r="EP642" s="1414"/>
      <c r="EQ642" s="1414"/>
      <c r="ER642" s="1414" t="e">
        <f t="shared" si="29"/>
        <v>#VALUE!</v>
      </c>
      <c r="ES642" s="1414"/>
      <c r="ET642" s="1414"/>
      <c r="EU642" s="1414"/>
      <c r="EV642" s="1414"/>
      <c r="EW642" s="1414" t="e">
        <f t="shared" si="30"/>
        <v>#VALUE!</v>
      </c>
      <c r="EX642" s="1414"/>
      <c r="EY642" s="1414"/>
      <c r="EZ642" s="1414"/>
      <c r="FA642" s="1414"/>
    </row>
    <row r="643" spans="1:157" ht="12.95" customHeight="1">
      <c r="A643" s="22"/>
      <c r="B643" t="s">
        <v>317</v>
      </c>
      <c r="G643" s="1360" t="str">
        <f>G568</f>
        <v>michael.gaber@pnc.com</v>
      </c>
      <c r="H643" s="1360"/>
      <c r="I643" s="1360"/>
      <c r="J643" s="1360"/>
      <c r="K643" s="1360"/>
      <c r="L643" s="1360"/>
      <c r="O643" s="33" t="s">
        <v>207</v>
      </c>
      <c r="P643" s="1355"/>
      <c r="Q643" s="1355"/>
      <c r="R643" s="1355"/>
      <c r="S643" s="10"/>
      <c r="T643" s="22"/>
      <c r="U643" t="s">
        <v>317</v>
      </c>
      <c r="Z643" s="1360" t="str">
        <f>Z577</f>
        <v>(760)776-6417</v>
      </c>
      <c r="AA643" s="1360"/>
      <c r="AB643" s="1360"/>
      <c r="AC643" s="1360"/>
      <c r="AD643" s="1360"/>
      <c r="AE643" s="1360"/>
      <c r="AH643" s="33" t="s">
        <v>207</v>
      </c>
      <c r="AI643" s="1355"/>
      <c r="AJ643" s="1355"/>
      <c r="AK643" s="1355"/>
      <c r="AZ643" s="34"/>
      <c r="BA643" s="34"/>
      <c r="BB643" s="34"/>
      <c r="BC643" s="34"/>
      <c r="BD643" s="34"/>
      <c r="BE643" s="34"/>
      <c r="BF643" s="34"/>
      <c r="BG643" s="34"/>
      <c r="BH643" s="34"/>
      <c r="BI643" s="34"/>
      <c r="BJ643" s="34"/>
      <c r="BK643" s="34"/>
      <c r="BL643" s="34"/>
      <c r="BM643" s="34"/>
      <c r="BN643" s="1416">
        <f t="shared" si="32"/>
        <v>0</v>
      </c>
      <c r="BO643" s="1417"/>
      <c r="BP643" s="1417"/>
      <c r="BQ643" s="1417"/>
      <c r="BR643" s="1418"/>
      <c r="BS643" s="1425">
        <f t="shared" si="33"/>
        <v>0</v>
      </c>
      <c r="BT643" s="1425"/>
      <c r="BU643" s="1425"/>
      <c r="BV643" s="1425"/>
      <c r="BW643" s="1425"/>
      <c r="BX643" s="1425">
        <f t="shared" si="34"/>
        <v>0</v>
      </c>
      <c r="BY643" s="1425"/>
      <c r="BZ643" s="1425"/>
      <c r="CA643" s="1425"/>
      <c r="CB643" s="1425"/>
      <c r="CC643" s="1425">
        <f t="shared" si="35"/>
        <v>0</v>
      </c>
      <c r="CD643" s="1425"/>
      <c r="CE643" s="1425"/>
      <c r="CF643" s="1425"/>
      <c r="CG643" s="1425"/>
      <c r="CH643" s="1425">
        <f t="shared" si="36"/>
        <v>0</v>
      </c>
      <c r="CI643" s="1425"/>
      <c r="CJ643" s="1425"/>
      <c r="CK643" s="1425"/>
      <c r="CL643" s="1425"/>
      <c r="CM643" s="1425">
        <f t="shared" si="37"/>
        <v>0</v>
      </c>
      <c r="CN643" s="1425"/>
      <c r="CO643" s="1425"/>
      <c r="CP643" s="1425"/>
      <c r="CQ643" s="1425"/>
      <c r="CR643" s="6"/>
      <c r="CS643" s="1416">
        <f t="shared" si="38"/>
        <v>0</v>
      </c>
      <c r="CT643" s="1417"/>
      <c r="CU643" s="1417"/>
      <c r="CV643" s="1417"/>
      <c r="CW643" s="1418"/>
      <c r="CX643" s="1416">
        <f t="shared" si="39"/>
        <v>0</v>
      </c>
      <c r="CY643" s="1417"/>
      <c r="CZ643" s="1417"/>
      <c r="DA643" s="1417"/>
      <c r="DB643" s="1418"/>
      <c r="DC643" s="1416">
        <f t="shared" si="40"/>
        <v>0</v>
      </c>
      <c r="DD643" s="1417"/>
      <c r="DE643" s="1417"/>
      <c r="DF643" s="1417"/>
      <c r="DG643" s="1418"/>
      <c r="DH643" s="1416">
        <f t="shared" si="41"/>
        <v>0</v>
      </c>
      <c r="DI643" s="1417"/>
      <c r="DJ643" s="1417"/>
      <c r="DK643" s="1417"/>
      <c r="DL643" s="1418"/>
      <c r="DM643" s="1416">
        <f t="shared" si="42"/>
        <v>0</v>
      </c>
      <c r="DN643" s="1417"/>
      <c r="DO643" s="1417"/>
      <c r="DP643" s="1417"/>
      <c r="DQ643" s="1418"/>
      <c r="DR643" s="1416">
        <f t="shared" si="43"/>
        <v>0</v>
      </c>
      <c r="DS643" s="1417"/>
      <c r="DT643" s="1417"/>
      <c r="DU643" s="1417"/>
      <c r="DV643" s="1418"/>
      <c r="DX643" s="1414" t="e">
        <f t="shared" si="25"/>
        <v>#VALUE!</v>
      </c>
      <c r="DY643" s="1414"/>
      <c r="DZ643" s="1414"/>
      <c r="EA643" s="1414"/>
      <c r="EB643" s="1414"/>
      <c r="EC643" s="1414" t="e">
        <f t="shared" si="26"/>
        <v>#VALUE!</v>
      </c>
      <c r="ED643" s="1414"/>
      <c r="EE643" s="1414"/>
      <c r="EF643" s="1414"/>
      <c r="EG643" s="1414"/>
      <c r="EH643" s="1414" t="e">
        <f t="shared" si="27"/>
        <v>#VALUE!</v>
      </c>
      <c r="EI643" s="1414"/>
      <c r="EJ643" s="1414"/>
      <c r="EK643" s="1414"/>
      <c r="EL643" s="1414"/>
      <c r="EM643" s="1414" t="e">
        <f t="shared" si="28"/>
        <v>#VALUE!</v>
      </c>
      <c r="EN643" s="1414"/>
      <c r="EO643" s="1414"/>
      <c r="EP643" s="1414"/>
      <c r="EQ643" s="1414"/>
      <c r="ER643" s="1414" t="e">
        <f t="shared" si="29"/>
        <v>#VALUE!</v>
      </c>
      <c r="ES643" s="1414"/>
      <c r="ET643" s="1414"/>
      <c r="EU643" s="1414"/>
      <c r="EV643" s="1414"/>
      <c r="EW643" s="1414" t="e">
        <f t="shared" si="30"/>
        <v>#VALUE!</v>
      </c>
      <c r="EX643" s="1414"/>
      <c r="EY643" s="1414"/>
      <c r="EZ643" s="1414"/>
      <c r="FA643" s="1414"/>
    </row>
    <row r="644" spans="1:157" ht="12.95" customHeight="1">
      <c r="A644" s="22"/>
      <c r="B644" t="s">
        <v>18</v>
      </c>
      <c r="H644" s="1371" t="s">
        <v>2716</v>
      </c>
      <c r="I644" s="1357"/>
      <c r="J644" s="1357"/>
      <c r="K644" s="1357"/>
      <c r="L644" s="1357"/>
      <c r="M644" s="1357"/>
      <c r="N644" s="1357"/>
      <c r="O644" s="1357"/>
      <c r="P644" s="1357"/>
      <c r="Q644" s="1357"/>
      <c r="R644" s="1357"/>
      <c r="S644" s="8"/>
      <c r="T644" s="22"/>
      <c r="U644" t="s">
        <v>18</v>
      </c>
      <c r="AA644" s="1371" t="s">
        <v>2740</v>
      </c>
      <c r="AB644" s="1357"/>
      <c r="AC644" s="1357"/>
      <c r="AD644" s="1357"/>
      <c r="AE644" s="1357"/>
      <c r="AF644" s="1357"/>
      <c r="AG644" s="1357"/>
      <c r="AH644" s="1357"/>
      <c r="AI644" s="1357"/>
      <c r="AJ644" s="1357"/>
      <c r="AK644" s="1357"/>
      <c r="AZ644" s="34"/>
      <c r="BA644" s="34"/>
      <c r="BB644" s="34"/>
      <c r="BC644" s="34"/>
      <c r="BD644" s="34"/>
      <c r="BE644" s="34"/>
      <c r="BF644" s="34"/>
      <c r="BG644" s="34"/>
      <c r="BH644" s="34"/>
      <c r="BI644" s="34"/>
      <c r="BJ644" s="34"/>
      <c r="BK644" s="34"/>
      <c r="BL644" s="34"/>
      <c r="BM644" s="34"/>
      <c r="BN644" s="1435">
        <f>SUM(BN634:BR643)</f>
        <v>0</v>
      </c>
      <c r="BO644" s="1598"/>
      <c r="BP644" s="1598"/>
      <c r="BQ644" s="1598"/>
      <c r="BR644" s="1436"/>
      <c r="BS644" s="1419">
        <f>SUM(BS634:BW643)</f>
        <v>0</v>
      </c>
      <c r="BT644" s="1420"/>
      <c r="BU644" s="1420"/>
      <c r="BV644" s="1420"/>
      <c r="BW644" s="1421"/>
      <c r="BX644" s="1419">
        <f>SUM(BX634:CB643)</f>
        <v>0</v>
      </c>
      <c r="BY644" s="1420"/>
      <c r="BZ644" s="1420"/>
      <c r="CA644" s="1420"/>
      <c r="CB644" s="1421"/>
      <c r="CC644" s="1419">
        <f>SUM(CC634:CG643)</f>
        <v>0</v>
      </c>
      <c r="CD644" s="1420"/>
      <c r="CE644" s="1420"/>
      <c r="CF644" s="1420"/>
      <c r="CG644" s="1421"/>
      <c r="CH644" s="1419">
        <f>SUM(CH634:CL643)</f>
        <v>0</v>
      </c>
      <c r="CI644" s="1420"/>
      <c r="CJ644" s="1420"/>
      <c r="CK644" s="1420"/>
      <c r="CL644" s="1421"/>
      <c r="CM644" s="1419">
        <f>SUM(CM634:CQ643)</f>
        <v>0</v>
      </c>
      <c r="CN644" s="1420"/>
      <c r="CO644" s="1420"/>
      <c r="CP644" s="1420"/>
      <c r="CQ644" s="1421"/>
      <c r="CR644" s="1049"/>
      <c r="CS644" s="1415">
        <f>SUM(CS634:CW643)</f>
        <v>0</v>
      </c>
      <c r="CT644" s="1415"/>
      <c r="CU644" s="1415"/>
      <c r="CV644" s="1415"/>
      <c r="CW644" s="1415"/>
      <c r="CX644" s="1415">
        <f>SUM(CX634:DB643)</f>
        <v>0</v>
      </c>
      <c r="CY644" s="1415"/>
      <c r="CZ644" s="1415"/>
      <c r="DA644" s="1415"/>
      <c r="DB644" s="1415"/>
      <c r="DC644" s="1415">
        <f>SUM(DC634:DG643)</f>
        <v>0</v>
      </c>
      <c r="DD644" s="1415"/>
      <c r="DE644" s="1415"/>
      <c r="DF644" s="1415"/>
      <c r="DG644" s="1415"/>
      <c r="DH644" s="1415">
        <f>SUM(DH634:DL643)</f>
        <v>0</v>
      </c>
      <c r="DI644" s="1415"/>
      <c r="DJ644" s="1415"/>
      <c r="DK644" s="1415"/>
      <c r="DL644" s="1415"/>
      <c r="DM644" s="1415">
        <f>SUM(DM634:DQ643)</f>
        <v>0</v>
      </c>
      <c r="DN644" s="1415"/>
      <c r="DO644" s="1415"/>
      <c r="DP644" s="1415"/>
      <c r="DQ644" s="1415"/>
      <c r="DR644" s="1415">
        <f>SUM(DR634:DV643)</f>
        <v>0</v>
      </c>
      <c r="DS644" s="1415"/>
      <c r="DT644" s="1415"/>
      <c r="DU644" s="1415"/>
      <c r="DV644" s="1415"/>
      <c r="DX644" s="1414" t="e">
        <f t="shared" si="25"/>
        <v>#VALUE!</v>
      </c>
      <c r="DY644" s="1414"/>
      <c r="DZ644" s="1414"/>
      <c r="EA644" s="1414"/>
      <c r="EB644" s="1414"/>
      <c r="EC644" s="1414" t="e">
        <f t="shared" si="26"/>
        <v>#VALUE!</v>
      </c>
      <c r="ED644" s="1414"/>
      <c r="EE644" s="1414"/>
      <c r="EF644" s="1414"/>
      <c r="EG644" s="1414"/>
      <c r="EH644" s="1414" t="e">
        <f t="shared" si="27"/>
        <v>#VALUE!</v>
      </c>
      <c r="EI644" s="1414"/>
      <c r="EJ644" s="1414"/>
      <c r="EK644" s="1414"/>
      <c r="EL644" s="1414"/>
      <c r="EM644" s="1414" t="e">
        <f t="shared" si="28"/>
        <v>#VALUE!</v>
      </c>
      <c r="EN644" s="1414"/>
      <c r="EO644" s="1414"/>
      <c r="EP644" s="1414"/>
      <c r="EQ644" s="1414"/>
      <c r="ER644" s="1414" t="e">
        <f t="shared" si="29"/>
        <v>#VALUE!</v>
      </c>
      <c r="ES644" s="1414"/>
      <c r="ET644" s="1414"/>
      <c r="EU644" s="1414"/>
      <c r="EV644" s="1414"/>
      <c r="EW644" s="1414" t="e">
        <f t="shared" si="30"/>
        <v>#VALUE!</v>
      </c>
      <c r="EX644" s="1414"/>
      <c r="EY644" s="1414"/>
      <c r="EZ644" s="1414"/>
      <c r="FA644" s="1414"/>
    </row>
    <row r="645" spans="1:157" ht="12.95" customHeight="1">
      <c r="A645" s="22"/>
      <c r="B645" t="s">
        <v>20</v>
      </c>
      <c r="N645" s="1358" t="s">
        <v>554</v>
      </c>
      <c r="O645" s="1358"/>
      <c r="T645" s="22"/>
      <c r="U645" t="s">
        <v>20</v>
      </c>
      <c r="AG645" s="1358" t="s">
        <v>554</v>
      </c>
      <c r="AH645" s="1358"/>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4" t="e">
        <f t="shared" si="25"/>
        <v>#VALUE!</v>
      </c>
      <c r="DY645" s="1414"/>
      <c r="DZ645" s="1414"/>
      <c r="EA645" s="1414"/>
      <c r="EB645" s="1414"/>
      <c r="EC645" s="1414" t="e">
        <f t="shared" si="26"/>
        <v>#VALUE!</v>
      </c>
      <c r="ED645" s="1414"/>
      <c r="EE645" s="1414"/>
      <c r="EF645" s="1414"/>
      <c r="EG645" s="1414"/>
      <c r="EH645" s="1414" t="e">
        <f t="shared" si="27"/>
        <v>#VALUE!</v>
      </c>
      <c r="EI645" s="1414"/>
      <c r="EJ645" s="1414"/>
      <c r="EK645" s="1414"/>
      <c r="EL645" s="1414"/>
      <c r="EM645" s="1414" t="e">
        <f t="shared" si="28"/>
        <v>#VALUE!</v>
      </c>
      <c r="EN645" s="1414"/>
      <c r="EO645" s="1414"/>
      <c r="EP645" s="1414"/>
      <c r="EQ645" s="1414"/>
      <c r="ER645" s="1414" t="e">
        <f t="shared" si="29"/>
        <v>#VALUE!</v>
      </c>
      <c r="ES645" s="1414"/>
      <c r="ET645" s="1414"/>
      <c r="EU645" s="1414"/>
      <c r="EV645" s="1414"/>
      <c r="EW645" s="1414" t="e">
        <f t="shared" si="30"/>
        <v>#VALUE!</v>
      </c>
      <c r="EX645" s="1414"/>
      <c r="EY645" s="1414"/>
      <c r="EZ645" s="1414"/>
      <c r="FA645" s="1414"/>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414">
        <f>SUM(CS644:DV644)</f>
        <v>0</v>
      </c>
      <c r="DS646" s="1414"/>
      <c r="DT646" s="1414"/>
      <c r="DU646" s="1414"/>
      <c r="DV646" s="1414"/>
      <c r="DX646" s="1414" t="e">
        <f t="shared" si="25"/>
        <v>#VALUE!</v>
      </c>
      <c r="DY646" s="1414"/>
      <c r="DZ646" s="1414"/>
      <c r="EA646" s="1414"/>
      <c r="EB646" s="1414"/>
      <c r="EC646" s="1414" t="e">
        <f t="shared" si="26"/>
        <v>#VALUE!</v>
      </c>
      <c r="ED646" s="1414"/>
      <c r="EE646" s="1414"/>
      <c r="EF646" s="1414"/>
      <c r="EG646" s="1414"/>
      <c r="EH646" s="1414" t="e">
        <f t="shared" si="27"/>
        <v>#VALUE!</v>
      </c>
      <c r="EI646" s="1414"/>
      <c r="EJ646" s="1414"/>
      <c r="EK646" s="1414"/>
      <c r="EL646" s="1414"/>
      <c r="EM646" s="1414" t="e">
        <f t="shared" si="28"/>
        <v>#VALUE!</v>
      </c>
      <c r="EN646" s="1414"/>
      <c r="EO646" s="1414"/>
      <c r="EP646" s="1414"/>
      <c r="EQ646" s="1414"/>
      <c r="ER646" s="1414" t="e">
        <f t="shared" si="29"/>
        <v>#VALUE!</v>
      </c>
      <c r="ES646" s="1414"/>
      <c r="ET646" s="1414"/>
      <c r="EU646" s="1414"/>
      <c r="EV646" s="1414"/>
      <c r="EW646" s="1414" t="e">
        <f t="shared" si="30"/>
        <v>#VALUE!</v>
      </c>
      <c r="EX646" s="1414"/>
      <c r="EY646" s="1414"/>
      <c r="EZ646" s="1414"/>
      <c r="FA646" s="1414"/>
    </row>
    <row r="647" spans="1:157" ht="12.95" customHeight="1">
      <c r="A647" s="55" t="s">
        <v>120</v>
      </c>
      <c r="B647" t="s">
        <v>472</v>
      </c>
      <c r="G647" s="1356" t="str">
        <f>C625</f>
        <v>Riverside County Loan</v>
      </c>
      <c r="H647" s="1356"/>
      <c r="I647" s="1356"/>
      <c r="J647" s="1356"/>
      <c r="K647" s="1356"/>
      <c r="L647" s="1356"/>
      <c r="M647" s="1356"/>
      <c r="N647" s="1356"/>
      <c r="O647" s="1356"/>
      <c r="P647" s="1356"/>
      <c r="Q647" s="1356"/>
      <c r="R647" s="1356"/>
      <c r="T647" s="55" t="s">
        <v>590</v>
      </c>
      <c r="U647" t="s">
        <v>472</v>
      </c>
      <c r="Z647" s="1356" t="str">
        <f>C626</f>
        <v>Deferred Developer Fees</v>
      </c>
      <c r="AA647" s="1356"/>
      <c r="AB647" s="1356"/>
      <c r="AC647" s="1356"/>
      <c r="AD647" s="1356"/>
      <c r="AE647" s="1356"/>
      <c r="AF647" s="1356"/>
      <c r="AG647" s="1356"/>
      <c r="AH647" s="1356"/>
      <c r="AI647" s="1356"/>
      <c r="AJ647" s="1356"/>
      <c r="AK647" s="1356"/>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414" t="e">
        <f t="shared" si="25"/>
        <v>#VALUE!</v>
      </c>
      <c r="DY647" s="1414"/>
      <c r="DZ647" s="1414"/>
      <c r="EA647" s="1414"/>
      <c r="EB647" s="1414"/>
      <c r="EC647" s="1414" t="e">
        <f t="shared" si="26"/>
        <v>#VALUE!</v>
      </c>
      <c r="ED647" s="1414"/>
      <c r="EE647" s="1414"/>
      <c r="EF647" s="1414"/>
      <c r="EG647" s="1414"/>
      <c r="EH647" s="1414" t="e">
        <f t="shared" si="27"/>
        <v>#VALUE!</v>
      </c>
      <c r="EI647" s="1414"/>
      <c r="EJ647" s="1414"/>
      <c r="EK647" s="1414"/>
      <c r="EL647" s="1414"/>
      <c r="EM647" s="1414" t="e">
        <f t="shared" si="28"/>
        <v>#VALUE!</v>
      </c>
      <c r="EN647" s="1414"/>
      <c r="EO647" s="1414"/>
      <c r="EP647" s="1414"/>
      <c r="EQ647" s="1414"/>
      <c r="ER647" s="1414" t="e">
        <f t="shared" si="29"/>
        <v>#VALUE!</v>
      </c>
      <c r="ES647" s="1414"/>
      <c r="ET647" s="1414"/>
      <c r="EU647" s="1414"/>
      <c r="EV647" s="1414"/>
      <c r="EW647" s="1414" t="e">
        <f t="shared" si="30"/>
        <v>#VALUE!</v>
      </c>
      <c r="EX647" s="1414"/>
      <c r="EY647" s="1414"/>
      <c r="EZ647" s="1414"/>
      <c r="FA647" s="1414"/>
    </row>
    <row r="648" spans="1:157" ht="12.95" customHeight="1">
      <c r="A648" s="22"/>
      <c r="B648" t="s">
        <v>86</v>
      </c>
      <c r="G648" s="1357" t="str">
        <f>G582</f>
        <v>5555 Arlington Ave</v>
      </c>
      <c r="H648" s="1357"/>
      <c r="I648" s="1357"/>
      <c r="J648" s="1357"/>
      <c r="K648" s="1357"/>
      <c r="L648" s="1357"/>
      <c r="M648" s="1357"/>
      <c r="N648" s="1357"/>
      <c r="O648" s="1357"/>
      <c r="P648" s="1357"/>
      <c r="Q648" s="1357"/>
      <c r="R648" s="1357"/>
      <c r="T648" s="22"/>
      <c r="U648" t="s">
        <v>86</v>
      </c>
      <c r="Z648" s="1357" t="str">
        <f>Z582</f>
        <v>100 Pacifica Ste. 203</v>
      </c>
      <c r="AA648" s="1357"/>
      <c r="AB648" s="1357"/>
      <c r="AC648" s="1357"/>
      <c r="AD648" s="1357"/>
      <c r="AE648" s="1357"/>
      <c r="AF648" s="1357"/>
      <c r="AG648" s="1357"/>
      <c r="AH648" s="1357"/>
      <c r="AI648" s="1357"/>
      <c r="AJ648" s="1357"/>
      <c r="AK648" s="1357"/>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4" t="e">
        <f t="shared" si="25"/>
        <v>#VALUE!</v>
      </c>
      <c r="DY648" s="1414"/>
      <c r="DZ648" s="1414"/>
      <c r="EA648" s="1414"/>
      <c r="EB648" s="1414"/>
      <c r="EC648" s="1414" t="e">
        <f t="shared" si="26"/>
        <v>#VALUE!</v>
      </c>
      <c r="ED648" s="1414"/>
      <c r="EE648" s="1414"/>
      <c r="EF648" s="1414"/>
      <c r="EG648" s="1414"/>
      <c r="EH648" s="1414" t="e">
        <f t="shared" si="27"/>
        <v>#VALUE!</v>
      </c>
      <c r="EI648" s="1414"/>
      <c r="EJ648" s="1414"/>
      <c r="EK648" s="1414"/>
      <c r="EL648" s="1414"/>
      <c r="EM648" s="1414" t="e">
        <f t="shared" si="28"/>
        <v>#VALUE!</v>
      </c>
      <c r="EN648" s="1414"/>
      <c r="EO648" s="1414"/>
      <c r="EP648" s="1414"/>
      <c r="EQ648" s="1414"/>
      <c r="ER648" s="1414" t="e">
        <f t="shared" si="29"/>
        <v>#VALUE!</v>
      </c>
      <c r="ES648" s="1414"/>
      <c r="ET648" s="1414"/>
      <c r="EU648" s="1414"/>
      <c r="EV648" s="1414"/>
      <c r="EW648" s="1414" t="e">
        <f t="shared" si="30"/>
        <v>#VALUE!</v>
      </c>
      <c r="EX648" s="1414"/>
      <c r="EY648" s="1414"/>
      <c r="EZ648" s="1414"/>
      <c r="FA648" s="1414"/>
    </row>
    <row r="649" spans="1:157" ht="12.95" customHeight="1">
      <c r="A649" s="22"/>
      <c r="B649" t="s">
        <v>589</v>
      </c>
      <c r="G649" s="1366" t="str">
        <f>G583</f>
        <v>Riverside, CA 92504</v>
      </c>
      <c r="H649" s="1366"/>
      <c r="I649" s="1366"/>
      <c r="J649" s="1366"/>
      <c r="K649" s="1366"/>
      <c r="L649" s="1366"/>
      <c r="M649" s="1366"/>
      <c r="N649" s="1366"/>
      <c r="O649" s="1366"/>
      <c r="P649" s="1366"/>
      <c r="Q649" s="1366"/>
      <c r="R649" s="1366"/>
      <c r="T649" s="22"/>
      <c r="U649" t="s">
        <v>589</v>
      </c>
      <c r="Z649" s="1366" t="str">
        <f>Z583</f>
        <v>Irvine, CA 92618</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419">
        <f>BN621+BN630+BN644</f>
        <v>0</v>
      </c>
      <c r="BO649" s="1420"/>
      <c r="BP649" s="1420"/>
      <c r="BQ649" s="1420"/>
      <c r="BR649" s="1421"/>
      <c r="BS649" s="1419">
        <f>BS621+BS630+BS644</f>
        <v>15</v>
      </c>
      <c r="BT649" s="1420"/>
      <c r="BU649" s="1420"/>
      <c r="BV649" s="1420"/>
      <c r="BW649" s="1421"/>
      <c r="BX649" s="1419">
        <f>BX621+BX630+BX644</f>
        <v>75</v>
      </c>
      <c r="BY649" s="1420"/>
      <c r="BZ649" s="1420"/>
      <c r="CA649" s="1420"/>
      <c r="CB649" s="1421"/>
      <c r="CC649" s="1419">
        <f>CC621+CC630+CC644</f>
        <v>31</v>
      </c>
      <c r="CD649" s="1420"/>
      <c r="CE649" s="1420"/>
      <c r="CF649" s="1420"/>
      <c r="CG649" s="1421"/>
      <c r="CH649" s="1419">
        <f>CH621+CH630+CH644</f>
        <v>0</v>
      </c>
      <c r="CI649" s="1420"/>
      <c r="CJ649" s="1420"/>
      <c r="CK649" s="1420"/>
      <c r="CL649" s="1421"/>
      <c r="CM649" s="1422">
        <f>CM644+CM630+CM621</f>
        <v>0</v>
      </c>
      <c r="CN649" s="1423"/>
      <c r="CO649" s="1423"/>
      <c r="CP649" s="1423"/>
      <c r="CQ649" s="1424"/>
      <c r="CR649" s="3"/>
      <c r="CS649" s="897">
        <f>CS623+CS647</f>
        <v>255</v>
      </c>
      <c r="CT649" s="57" t="s">
        <v>2128</v>
      </c>
      <c r="CU649" s="3"/>
      <c r="CV649" s="3"/>
      <c r="CW649" s="3"/>
      <c r="CX649" s="3"/>
      <c r="CY649" s="3"/>
      <c r="CZ649" s="3"/>
      <c r="DA649" s="3"/>
      <c r="DB649" s="3"/>
      <c r="DC649" s="3"/>
      <c r="DD649" s="3"/>
      <c r="DE649" s="3"/>
      <c r="DF649" s="3"/>
      <c r="DX649" s="1414">
        <f>SUMIF(DX624:EB648,"&gt;0")</f>
        <v>0</v>
      </c>
      <c r="DY649" s="1414"/>
      <c r="DZ649" s="1414"/>
      <c r="EA649" s="1414"/>
      <c r="EB649" s="1414"/>
      <c r="EC649" s="1414">
        <f>SUMIF(EC624:EG648,"&gt;0")</f>
        <v>416</v>
      </c>
      <c r="ED649" s="1414"/>
      <c r="EE649" s="1414"/>
      <c r="EF649" s="1414"/>
      <c r="EG649" s="1414"/>
      <c r="EH649" s="1414">
        <f>SUMIF(EH624:EL648,"&gt;0")</f>
        <v>898.4</v>
      </c>
      <c r="EI649" s="1414"/>
      <c r="EJ649" s="1414"/>
      <c r="EK649" s="1414"/>
      <c r="EL649" s="1414"/>
      <c r="EM649" s="1414">
        <f>SUMIF(EM624:EQ648,"&gt;0")</f>
        <v>1030.5999999999999</v>
      </c>
      <c r="EN649" s="1414"/>
      <c r="EO649" s="1414"/>
      <c r="EP649" s="1414"/>
      <c r="EQ649" s="1414"/>
      <c r="ER649" s="1414">
        <f>SUMIF(ER624:EV648,"&gt;0")</f>
        <v>0</v>
      </c>
      <c r="ES649" s="1414"/>
      <c r="ET649" s="1414"/>
      <c r="EU649" s="1414"/>
      <c r="EV649" s="1414"/>
      <c r="EW649" s="1414">
        <f>SUMIF(EW624:FA648,"&gt;0")</f>
        <v>0</v>
      </c>
      <c r="EX649" s="1414"/>
      <c r="EY649" s="1414"/>
      <c r="EZ649" s="1414"/>
      <c r="FA649" s="1414"/>
    </row>
    <row r="650" spans="1:157" ht="12.95" customHeight="1">
      <c r="A650" s="22"/>
      <c r="B650" t="s">
        <v>17</v>
      </c>
      <c r="G650" s="1366" t="str">
        <f>G584</f>
        <v>Nicole Sanchez</v>
      </c>
      <c r="H650" s="1366"/>
      <c r="I650" s="1366"/>
      <c r="J650" s="1366"/>
      <c r="K650" s="1366"/>
      <c r="L650" s="1366"/>
      <c r="M650" s="1366"/>
      <c r="N650" s="1366"/>
      <c r="O650" s="1366"/>
      <c r="P650" s="1366"/>
      <c r="Q650" s="1366"/>
      <c r="R650" s="1366"/>
      <c r="T650" s="22"/>
      <c r="U650" t="s">
        <v>17</v>
      </c>
      <c r="Z650" s="1366" t="str">
        <f>Z584</f>
        <v>Mitch Slagerman</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317</v>
      </c>
      <c r="G651" s="1360" t="str">
        <f>G593</f>
        <v>(951)204-5049</v>
      </c>
      <c r="H651" s="1360"/>
      <c r="I651" s="1360"/>
      <c r="J651" s="1360"/>
      <c r="K651" s="1360"/>
      <c r="L651" s="1360"/>
      <c r="O651" s="33" t="s">
        <v>207</v>
      </c>
      <c r="P651" s="1355"/>
      <c r="Q651" s="1355"/>
      <c r="R651" s="1355"/>
      <c r="T651" s="22"/>
      <c r="U651" t="s">
        <v>317</v>
      </c>
      <c r="Z651" s="1360" t="str">
        <f>Z585</f>
        <v>(951)204-5049</v>
      </c>
      <c r="AA651" s="1360"/>
      <c r="AB651" s="1360"/>
      <c r="AC651" s="1360"/>
      <c r="AD651" s="1360"/>
      <c r="AE651" s="1360"/>
      <c r="AH651" s="33" t="s">
        <v>207</v>
      </c>
      <c r="AI651" s="1355"/>
      <c r="AJ651" s="1355"/>
      <c r="AK651" s="1355"/>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71" t="s">
        <v>2740</v>
      </c>
      <c r="I652" s="1357"/>
      <c r="J652" s="1357"/>
      <c r="K652" s="1357"/>
      <c r="L652" s="1357"/>
      <c r="M652" s="1357"/>
      <c r="N652" s="1357"/>
      <c r="O652" s="1357"/>
      <c r="P652" s="1357"/>
      <c r="Q652" s="1357"/>
      <c r="R652" s="1357"/>
      <c r="T652" s="22"/>
      <c r="U652" t="s">
        <v>18</v>
      </c>
      <c r="AA652" s="1371" t="s">
        <v>1923</v>
      </c>
      <c r="AB652" s="1357"/>
      <c r="AC652" s="1357"/>
      <c r="AD652" s="1357"/>
      <c r="AE652" s="1357"/>
      <c r="AF652" s="1357"/>
      <c r="AG652" s="1357"/>
      <c r="AH652" s="1357"/>
      <c r="AI652" s="1357"/>
      <c r="AJ652" s="1357"/>
      <c r="AK652" s="1357"/>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8" t="s">
        <v>554</v>
      </c>
      <c r="O653" s="1358"/>
      <c r="T653" s="22"/>
      <c r="U653" t="s">
        <v>20</v>
      </c>
      <c r="AG653" s="1358" t="s">
        <v>554</v>
      </c>
      <c r="AH653" s="1358"/>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356">
        <f>C627</f>
        <v>0</v>
      </c>
      <c r="H655" s="1356"/>
      <c r="I655" s="1356"/>
      <c r="J655" s="1356"/>
      <c r="K655" s="1356"/>
      <c r="L655" s="1356"/>
      <c r="M655" s="1356"/>
      <c r="N655" s="1356"/>
      <c r="O655" s="1356"/>
      <c r="P655" s="1356"/>
      <c r="Q655" s="1356"/>
      <c r="R655" s="1356"/>
      <c r="T655" s="55" t="s">
        <v>593</v>
      </c>
      <c r="U655" t="s">
        <v>472</v>
      </c>
      <c r="Z655" s="1356">
        <f>C628</f>
        <v>0</v>
      </c>
      <c r="AA655" s="1356"/>
      <c r="AB655" s="1356"/>
      <c r="AC655" s="1356"/>
      <c r="AD655" s="1356"/>
      <c r="AE655" s="1356"/>
      <c r="AF655" s="1356"/>
      <c r="AG655" s="1356"/>
      <c r="AH655" s="1356"/>
      <c r="AI655" s="1356"/>
      <c r="AJ655" s="1356"/>
      <c r="AK655" s="1356"/>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7"/>
      <c r="H656" s="1357"/>
      <c r="I656" s="1357"/>
      <c r="J656" s="1357"/>
      <c r="K656" s="1357"/>
      <c r="L656" s="1357"/>
      <c r="M656" s="1357"/>
      <c r="N656" s="1357"/>
      <c r="O656" s="1357"/>
      <c r="P656" s="1357"/>
      <c r="Q656" s="1357"/>
      <c r="R656" s="1357"/>
      <c r="T656" s="22"/>
      <c r="U656" t="s">
        <v>86</v>
      </c>
      <c r="Z656" s="1357"/>
      <c r="AA656" s="1357"/>
      <c r="AB656" s="1357"/>
      <c r="AC656" s="1357"/>
      <c r="AD656" s="1357"/>
      <c r="AE656" s="1357"/>
      <c r="AF656" s="1357"/>
      <c r="AG656" s="1357"/>
      <c r="AH656" s="1357"/>
      <c r="AI656" s="1357"/>
      <c r="AJ656" s="1357"/>
      <c r="AK656" s="1357"/>
      <c r="AZ656" s="3"/>
      <c r="BA656" s="118">
        <f t="shared" ref="BA656:BA680" si="44">IF($G714=0,"N/A",VLOOKUP($T$189,TC_Rent,(MATCH($B714,bedrooms,FALSE))))</f>
        <v>1650</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57"/>
      <c r="H657" s="1357"/>
      <c r="I657" s="1357"/>
      <c r="J657" s="1357"/>
      <c r="K657" s="1357"/>
      <c r="L657" s="1357"/>
      <c r="M657" s="1357"/>
      <c r="N657" s="1357"/>
      <c r="O657" s="1357"/>
      <c r="P657" s="1357"/>
      <c r="Q657" s="1357"/>
      <c r="R657" s="1357"/>
      <c r="T657" s="22"/>
      <c r="U657" t="s">
        <v>589</v>
      </c>
      <c r="Z657" s="1366"/>
      <c r="AA657" s="1366"/>
      <c r="AB657" s="1366"/>
      <c r="AC657" s="1366"/>
      <c r="AD657" s="1366"/>
      <c r="AE657" s="1366"/>
      <c r="AF657" s="1366"/>
      <c r="AG657" s="1366"/>
      <c r="AH657" s="1366"/>
      <c r="AI657" s="1366"/>
      <c r="AJ657" s="1366"/>
      <c r="AK657" s="1366"/>
      <c r="AZ657" s="3"/>
      <c r="BA657" s="118">
        <f t="shared" si="44"/>
        <v>1650</v>
      </c>
      <c r="BB657" s="3"/>
      <c r="BC657" s="3"/>
      <c r="BD657" s="3"/>
      <c r="BE657" s="3"/>
      <c r="BF657" s="218"/>
      <c r="BG657" s="315">
        <f t="shared" ref="BG657:BG681" si="45">G714</f>
        <v>13</v>
      </c>
      <c r="BH657" s="319">
        <f>BG657/$BG$682</f>
        <v>0.10833333333333334</v>
      </c>
      <c r="BI657" s="320">
        <f t="shared" ref="BI657:BI681" si="46">IF(BH657=0," ",BH657*AC714)</f>
        <v>3.2500000000000001E-2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7"/>
      <c r="H658" s="1357"/>
      <c r="I658" s="1357"/>
      <c r="J658" s="1357"/>
      <c r="K658" s="1357"/>
      <c r="L658" s="1357"/>
      <c r="M658" s="1357"/>
      <c r="N658" s="1357"/>
      <c r="O658" s="1357"/>
      <c r="P658" s="1357"/>
      <c r="Q658" s="1357"/>
      <c r="R658" s="1357"/>
      <c r="T658" s="22"/>
      <c r="U658" t="s">
        <v>17</v>
      </c>
      <c r="Z658" s="1366"/>
      <c r="AA658" s="1366"/>
      <c r="AB658" s="1366"/>
      <c r="AC658" s="1366"/>
      <c r="AD658" s="1366"/>
      <c r="AE658" s="1366"/>
      <c r="AF658" s="1366"/>
      <c r="AG658" s="1366"/>
      <c r="AH658" s="1366"/>
      <c r="AI658" s="1366"/>
      <c r="AJ658" s="1366"/>
      <c r="AK658" s="1366"/>
      <c r="AZ658" s="3"/>
      <c r="BA658" s="118">
        <f t="shared" si="44"/>
        <v>1980</v>
      </c>
      <c r="BB658" s="3"/>
      <c r="BC658" s="3"/>
      <c r="BD658" s="3"/>
      <c r="BE658" s="3"/>
      <c r="BF658" s="218"/>
      <c r="BG658" s="316">
        <f t="shared" si="45"/>
        <v>2</v>
      </c>
      <c r="BH658" s="319">
        <f t="shared" ref="BH658:BH681" si="47">BG658/$BG$682</f>
        <v>1.6666666666666666E-2</v>
      </c>
      <c r="BI658" s="320">
        <f t="shared" si="46"/>
        <v>5.0000000000000001E-3</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317</v>
      </c>
      <c r="G659" s="1360"/>
      <c r="H659" s="1360"/>
      <c r="I659" s="1360"/>
      <c r="J659" s="1360"/>
      <c r="K659" s="1360"/>
      <c r="L659" s="1360"/>
      <c r="O659" s="33" t="s">
        <v>207</v>
      </c>
      <c r="P659" s="1355"/>
      <c r="Q659" s="1355"/>
      <c r="R659" s="1355"/>
      <c r="T659" s="22"/>
      <c r="U659" t="s">
        <v>317</v>
      </c>
      <c r="Z659" s="1360"/>
      <c r="AA659" s="1360"/>
      <c r="AB659" s="1360"/>
      <c r="AC659" s="1360"/>
      <c r="AD659" s="1360"/>
      <c r="AE659" s="1360"/>
      <c r="AH659" s="33" t="s">
        <v>207</v>
      </c>
      <c r="AI659" s="1355"/>
      <c r="AJ659" s="1355"/>
      <c r="AK659" s="1355"/>
      <c r="AZ659" s="3"/>
      <c r="BA659" s="118">
        <f t="shared" si="44"/>
        <v>1980</v>
      </c>
      <c r="BB659" s="3"/>
      <c r="BC659" s="3"/>
      <c r="BD659" s="3"/>
      <c r="BE659" s="3"/>
      <c r="BF659" s="218"/>
      <c r="BG659" s="316">
        <f t="shared" si="45"/>
        <v>21</v>
      </c>
      <c r="BH659" s="319">
        <f t="shared" si="47"/>
        <v>0.17499999999999999</v>
      </c>
      <c r="BI659" s="320">
        <f t="shared" si="46"/>
        <v>5.2499999999999998E-2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7"/>
      <c r="I660" s="1357"/>
      <c r="J660" s="1357"/>
      <c r="K660" s="1357"/>
      <c r="L660" s="1357"/>
      <c r="M660" s="1357"/>
      <c r="N660" s="1357"/>
      <c r="O660" s="1357"/>
      <c r="P660" s="1357"/>
      <c r="Q660" s="1357"/>
      <c r="R660" s="1357"/>
      <c r="T660" s="22"/>
      <c r="U660" t="s">
        <v>18</v>
      </c>
      <c r="AA660" s="1357"/>
      <c r="AB660" s="1357"/>
      <c r="AC660" s="1357"/>
      <c r="AD660" s="1357"/>
      <c r="AE660" s="1357"/>
      <c r="AF660" s="1357"/>
      <c r="AG660" s="1357"/>
      <c r="AH660" s="1357"/>
      <c r="AI660" s="1357"/>
      <c r="AJ660" s="1357"/>
      <c r="AK660" s="1357"/>
      <c r="AZ660" s="3"/>
      <c r="BA660" s="118">
        <f t="shared" si="44"/>
        <v>2288</v>
      </c>
      <c r="BB660" s="3"/>
      <c r="BC660" s="3"/>
      <c r="BD660" s="3"/>
      <c r="BE660" s="3"/>
      <c r="BF660" s="218"/>
      <c r="BG660" s="316">
        <f t="shared" si="45"/>
        <v>54</v>
      </c>
      <c r="BH660" s="319">
        <f t="shared" si="47"/>
        <v>0.45</v>
      </c>
      <c r="BI660" s="320">
        <f t="shared" si="46"/>
        <v>0.27</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8" t="s">
        <v>678</v>
      </c>
      <c r="O661" s="1358"/>
      <c r="T661" s="22"/>
      <c r="U661" t="s">
        <v>20</v>
      </c>
      <c r="AG661" s="1358" t="s">
        <v>678</v>
      </c>
      <c r="AH661" s="1358"/>
      <c r="AZ661" s="3"/>
      <c r="BA661" s="118">
        <f t="shared" si="44"/>
        <v>2288</v>
      </c>
      <c r="BB661" s="3"/>
      <c r="BC661" s="3"/>
      <c r="BD661" s="3"/>
      <c r="BE661" s="3"/>
      <c r="BF661" s="218"/>
      <c r="BG661" s="316">
        <f t="shared" si="45"/>
        <v>7</v>
      </c>
      <c r="BH661" s="319">
        <f t="shared" si="47"/>
        <v>5.8333333333333334E-2</v>
      </c>
      <c r="BI661" s="320">
        <f t="shared" si="46"/>
        <v>1.7499999999999998E-2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4"/>
        <v>2288</v>
      </c>
      <c r="BB662" s="3"/>
      <c r="BC662" s="3"/>
      <c r="BD662" s="3"/>
      <c r="BE662" s="3"/>
      <c r="BF662" s="218"/>
      <c r="BG662" s="316">
        <f t="shared" si="45"/>
        <v>21</v>
      </c>
      <c r="BH662" s="319">
        <f t="shared" si="47"/>
        <v>0.17499999999999999</v>
      </c>
      <c r="BI662" s="320">
        <f t="shared" si="46"/>
        <v>0.105</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356">
        <f>C629</f>
        <v>0</v>
      </c>
      <c r="H663" s="1356"/>
      <c r="I663" s="1356"/>
      <c r="J663" s="1356"/>
      <c r="K663" s="1356"/>
      <c r="L663" s="1356"/>
      <c r="M663" s="1356"/>
      <c r="N663" s="1356"/>
      <c r="O663" s="1356"/>
      <c r="P663" s="1356"/>
      <c r="Q663" s="1356"/>
      <c r="R663" s="1356"/>
      <c r="T663" s="55" t="s">
        <v>465</v>
      </c>
      <c r="U663" t="s">
        <v>472</v>
      </c>
      <c r="Z663" s="1356">
        <f>C630</f>
        <v>0</v>
      </c>
      <c r="AA663" s="1356"/>
      <c r="AB663" s="1356"/>
      <c r="AC663" s="1356"/>
      <c r="AD663" s="1356"/>
      <c r="AE663" s="1356"/>
      <c r="AF663" s="1356"/>
      <c r="AG663" s="1356"/>
      <c r="AH663" s="1356"/>
      <c r="AI663" s="1356"/>
      <c r="AJ663" s="1356"/>
      <c r="AK663" s="1356"/>
      <c r="AZ663" s="3"/>
      <c r="BA663" s="118" t="str">
        <f t="shared" si="44"/>
        <v>N/A</v>
      </c>
      <c r="BB663" s="3"/>
      <c r="BC663" s="3"/>
      <c r="BD663" s="3"/>
      <c r="BE663" s="3"/>
      <c r="BF663" s="218"/>
      <c r="BG663" s="316">
        <f t="shared" si="45"/>
        <v>2</v>
      </c>
      <c r="BH663" s="319">
        <f t="shared" si="47"/>
        <v>1.6666666666666666E-2</v>
      </c>
      <c r="BI663" s="320">
        <f t="shared" si="46"/>
        <v>5.0000000000000001E-3</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7"/>
      <c r="H664" s="1357"/>
      <c r="I664" s="1357"/>
      <c r="J664" s="1357"/>
      <c r="K664" s="1357"/>
      <c r="L664" s="1357"/>
      <c r="M664" s="1357"/>
      <c r="N664" s="1357"/>
      <c r="O664" s="1357"/>
      <c r="P664" s="1357"/>
      <c r="Q664" s="1357"/>
      <c r="R664" s="1357"/>
      <c r="T664" s="22"/>
      <c r="U664" t="s">
        <v>86</v>
      </c>
      <c r="Z664" s="1357"/>
      <c r="AA664" s="1357"/>
      <c r="AB664" s="1357"/>
      <c r="AC664" s="1357"/>
      <c r="AD664" s="1357"/>
      <c r="AE664" s="1357"/>
      <c r="AF664" s="1357"/>
      <c r="AG664" s="1357"/>
      <c r="AH664" s="1357"/>
      <c r="AI664" s="1357"/>
      <c r="AJ664" s="1357"/>
      <c r="AK664" s="1357"/>
      <c r="AZ664" s="3"/>
      <c r="BA664" s="118" t="str">
        <f t="shared" si="44"/>
        <v>N/A</v>
      </c>
      <c r="BB664" s="3"/>
      <c r="BC664" s="3"/>
      <c r="BD664" s="3"/>
      <c r="BE664" s="3"/>
      <c r="BF664" s="218"/>
      <c r="BG664" s="316">
        <f t="shared" si="45"/>
        <v>0</v>
      </c>
      <c r="BH664" s="319">
        <f t="shared" si="47"/>
        <v>0</v>
      </c>
      <c r="BI664" s="320" t="str">
        <f t="shared" si="46"/>
        <v xml:space="preserve"> </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57"/>
      <c r="H665" s="1357"/>
      <c r="I665" s="1357"/>
      <c r="J665" s="1357"/>
      <c r="K665" s="1357"/>
      <c r="L665" s="1357"/>
      <c r="M665" s="1357"/>
      <c r="N665" s="1357"/>
      <c r="O665" s="1357"/>
      <c r="P665" s="1357"/>
      <c r="Q665" s="1357"/>
      <c r="R665" s="1357"/>
      <c r="T665" s="22"/>
      <c r="U665" t="s">
        <v>589</v>
      </c>
      <c r="Z665" s="1366"/>
      <c r="AA665" s="1366"/>
      <c r="AB665" s="1366"/>
      <c r="AC665" s="1366"/>
      <c r="AD665" s="1366"/>
      <c r="AE665" s="1366"/>
      <c r="AF665" s="1366"/>
      <c r="AG665" s="1366"/>
      <c r="AH665" s="1366"/>
      <c r="AI665" s="1366"/>
      <c r="AJ665" s="1366"/>
      <c r="AK665" s="1366"/>
      <c r="AZ665" s="3"/>
      <c r="BA665" s="118" t="str">
        <f t="shared" si="44"/>
        <v>N/A</v>
      </c>
      <c r="BB665" s="3"/>
      <c r="BC665" s="3"/>
      <c r="BD665" s="3"/>
      <c r="BE665" s="3"/>
      <c r="BF665" s="218"/>
      <c r="BG665" s="316">
        <f t="shared" si="45"/>
        <v>0</v>
      </c>
      <c r="BH665" s="319">
        <f t="shared" si="47"/>
        <v>0</v>
      </c>
      <c r="BI665" s="320" t="str">
        <f t="shared" si="46"/>
        <v xml:space="preserve"> </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7"/>
      <c r="H666" s="1357"/>
      <c r="I666" s="1357"/>
      <c r="J666" s="1357"/>
      <c r="K666" s="1357"/>
      <c r="L666" s="1357"/>
      <c r="M666" s="1357"/>
      <c r="N666" s="1357"/>
      <c r="O666" s="1357"/>
      <c r="P666" s="1357"/>
      <c r="Q666" s="1357"/>
      <c r="R666" s="1357"/>
      <c r="T666" s="22"/>
      <c r="U666" t="s">
        <v>17</v>
      </c>
      <c r="Z666" s="1366"/>
      <c r="AA666" s="1366"/>
      <c r="AB666" s="1366"/>
      <c r="AC666" s="1366"/>
      <c r="AD666" s="1366"/>
      <c r="AE666" s="1366"/>
      <c r="AF666" s="1366"/>
      <c r="AG666" s="1366"/>
      <c r="AH666" s="1366"/>
      <c r="AI666" s="1366"/>
      <c r="AJ666" s="1366"/>
      <c r="AK666" s="1366"/>
      <c r="AZ666" s="3"/>
      <c r="BA666" s="118" t="str">
        <f t="shared" si="44"/>
        <v>N/A</v>
      </c>
      <c r="BB666" s="3"/>
      <c r="BC666" s="3"/>
      <c r="BD666" s="3"/>
      <c r="BE666" s="3"/>
      <c r="BF666" s="218"/>
      <c r="BG666" s="316">
        <f t="shared" si="45"/>
        <v>0</v>
      </c>
      <c r="BH666" s="319">
        <f t="shared" si="47"/>
        <v>0</v>
      </c>
      <c r="BI666" s="320" t="str">
        <f t="shared" si="46"/>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317</v>
      </c>
      <c r="G667" s="1360"/>
      <c r="H667" s="1360"/>
      <c r="I667" s="1360"/>
      <c r="J667" s="1360"/>
      <c r="K667" s="1360"/>
      <c r="L667" s="1360"/>
      <c r="O667" s="33" t="s">
        <v>207</v>
      </c>
      <c r="P667" s="1355"/>
      <c r="Q667" s="1355"/>
      <c r="R667" s="1355"/>
      <c r="T667" s="22"/>
      <c r="U667" t="s">
        <v>317</v>
      </c>
      <c r="Z667" s="1360"/>
      <c r="AA667" s="1360"/>
      <c r="AB667" s="1360"/>
      <c r="AC667" s="1360"/>
      <c r="AD667" s="1360"/>
      <c r="AE667" s="1360"/>
      <c r="AH667" s="33" t="s">
        <v>207</v>
      </c>
      <c r="AI667" s="1355"/>
      <c r="AJ667" s="1355"/>
      <c r="AK667" s="1355"/>
      <c r="AZ667" s="3"/>
      <c r="BA667" s="118" t="str">
        <f t="shared" si="44"/>
        <v>N/A</v>
      </c>
      <c r="BB667" s="3"/>
      <c r="BC667" s="3"/>
      <c r="BD667" s="3"/>
      <c r="BE667" s="3"/>
      <c r="BF667" s="218"/>
      <c r="BG667" s="316">
        <f t="shared" si="45"/>
        <v>0</v>
      </c>
      <c r="BH667" s="319">
        <f t="shared" si="47"/>
        <v>0</v>
      </c>
      <c r="BI667" s="320" t="str">
        <f t="shared" si="46"/>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7"/>
      <c r="I668" s="1357"/>
      <c r="J668" s="1357"/>
      <c r="K668" s="1357"/>
      <c r="L668" s="1357"/>
      <c r="M668" s="1357"/>
      <c r="N668" s="1357"/>
      <c r="O668" s="1357"/>
      <c r="P668" s="1357"/>
      <c r="Q668" s="1357"/>
      <c r="R668" s="1357"/>
      <c r="T668" s="22"/>
      <c r="U668" t="s">
        <v>18</v>
      </c>
      <c r="AA668" s="1357"/>
      <c r="AB668" s="1357"/>
      <c r="AC668" s="1357"/>
      <c r="AD668" s="1357"/>
      <c r="AE668" s="1357"/>
      <c r="AF668" s="1357"/>
      <c r="AG668" s="1357"/>
      <c r="AH668" s="1357"/>
      <c r="AI668" s="1357"/>
      <c r="AJ668" s="1357"/>
      <c r="AK668" s="1357"/>
      <c r="AZ668" s="3"/>
      <c r="BA668" s="118" t="str">
        <f t="shared" si="44"/>
        <v>N/A</v>
      </c>
      <c r="BB668" s="3"/>
      <c r="BC668" s="3"/>
      <c r="BD668" s="3"/>
      <c r="BE668" s="3"/>
      <c r="BF668" s="218"/>
      <c r="BG668" s="316">
        <f t="shared" si="45"/>
        <v>0</v>
      </c>
      <c r="BH668" s="319">
        <f t="shared" si="47"/>
        <v>0</v>
      </c>
      <c r="BI668" s="320" t="str">
        <f t="shared" si="46"/>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8" t="s">
        <v>678</v>
      </c>
      <c r="O669" s="1358"/>
      <c r="T669" s="22"/>
      <c r="U669" t="s">
        <v>20</v>
      </c>
      <c r="AG669" s="1358" t="s">
        <v>678</v>
      </c>
      <c r="AH669" s="1358"/>
      <c r="AZ669" s="3"/>
      <c r="BA669" s="118" t="str">
        <f t="shared" si="44"/>
        <v>N/A</v>
      </c>
      <c r="BB669" s="3"/>
      <c r="BC669" s="3"/>
      <c r="BD669" s="3"/>
      <c r="BE669" s="3"/>
      <c r="BF669" s="218"/>
      <c r="BG669" s="316">
        <f t="shared" si="45"/>
        <v>0</v>
      </c>
      <c r="BH669" s="319">
        <f t="shared" si="47"/>
        <v>0</v>
      </c>
      <c r="BI669" s="320" t="str">
        <f t="shared" si="46"/>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4"/>
        <v>N/A</v>
      </c>
      <c r="BB670" s="3"/>
      <c r="BC670" s="3"/>
      <c r="BD670" s="3"/>
      <c r="BE670" s="3"/>
      <c r="BF670" s="218"/>
      <c r="BG670" s="316">
        <f t="shared" si="45"/>
        <v>0</v>
      </c>
      <c r="BH670" s="319">
        <f t="shared" si="47"/>
        <v>0</v>
      </c>
      <c r="BI670" s="320" t="str">
        <f t="shared" si="46"/>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356">
        <f>C631</f>
        <v>0</v>
      </c>
      <c r="H671" s="1356"/>
      <c r="I671" s="1356"/>
      <c r="J671" s="1356"/>
      <c r="K671" s="1356"/>
      <c r="L671" s="1356"/>
      <c r="M671" s="1356"/>
      <c r="N671" s="1356"/>
      <c r="O671" s="1356"/>
      <c r="P671" s="1356"/>
      <c r="Q671" s="1356"/>
      <c r="R671" s="1356"/>
      <c r="T671" s="55" t="s">
        <v>655</v>
      </c>
      <c r="U671" t="s">
        <v>472</v>
      </c>
      <c r="Z671" s="1356">
        <f>C632</f>
        <v>0</v>
      </c>
      <c r="AA671" s="1356"/>
      <c r="AB671" s="1356"/>
      <c r="AC671" s="1356"/>
      <c r="AD671" s="1356"/>
      <c r="AE671" s="1356"/>
      <c r="AF671" s="1356"/>
      <c r="AG671" s="1356"/>
      <c r="AH671" s="1356"/>
      <c r="AI671" s="1356"/>
      <c r="AJ671" s="1356"/>
      <c r="AK671" s="1356"/>
      <c r="AZ671" s="3"/>
      <c r="BA671" s="118" t="str">
        <f t="shared" si="44"/>
        <v>N/A</v>
      </c>
      <c r="BB671" s="3"/>
      <c r="BC671" s="3"/>
      <c r="BD671" s="3"/>
      <c r="BE671" s="3"/>
      <c r="BF671" s="218"/>
      <c r="BG671" s="316">
        <f t="shared" si="45"/>
        <v>0</v>
      </c>
      <c r="BH671" s="319">
        <f t="shared" si="47"/>
        <v>0</v>
      </c>
      <c r="BI671" s="320" t="str">
        <f t="shared" si="46"/>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7"/>
      <c r="H672" s="1357"/>
      <c r="I672" s="1357"/>
      <c r="J672" s="1357"/>
      <c r="K672" s="1357"/>
      <c r="L672" s="1357"/>
      <c r="M672" s="1357"/>
      <c r="N672" s="1357"/>
      <c r="O672" s="1357"/>
      <c r="P672" s="1357"/>
      <c r="Q672" s="1357"/>
      <c r="R672" s="1357"/>
      <c r="T672" s="22"/>
      <c r="U672" t="s">
        <v>86</v>
      </c>
      <c r="Z672" s="1357"/>
      <c r="AA672" s="1357"/>
      <c r="AB672" s="1357"/>
      <c r="AC672" s="1357"/>
      <c r="AD672" s="1357"/>
      <c r="AE672" s="1357"/>
      <c r="AF672" s="1357"/>
      <c r="AG672" s="1357"/>
      <c r="AH672" s="1357"/>
      <c r="AI672" s="1357"/>
      <c r="AJ672" s="1357"/>
      <c r="AK672" s="1357"/>
      <c r="AZ672" s="3"/>
      <c r="BA672" s="118" t="str">
        <f t="shared" si="44"/>
        <v>N/A</v>
      </c>
      <c r="BB672" s="3"/>
      <c r="BC672" s="3"/>
      <c r="BD672" s="3"/>
      <c r="BE672" s="3"/>
      <c r="BF672" s="218"/>
      <c r="BG672" s="316">
        <f t="shared" si="45"/>
        <v>0</v>
      </c>
      <c r="BH672" s="319">
        <f t="shared" si="47"/>
        <v>0</v>
      </c>
      <c r="BI672" s="320" t="str">
        <f t="shared" si="46"/>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57"/>
      <c r="H673" s="1357"/>
      <c r="I673" s="1357"/>
      <c r="J673" s="1357"/>
      <c r="K673" s="1357"/>
      <c r="L673" s="1357"/>
      <c r="M673" s="1357"/>
      <c r="N673" s="1357"/>
      <c r="O673" s="1357"/>
      <c r="P673" s="1357"/>
      <c r="Q673" s="1357"/>
      <c r="R673" s="1357"/>
      <c r="T673" s="22"/>
      <c r="U673" t="s">
        <v>589</v>
      </c>
      <c r="Z673" s="1366"/>
      <c r="AA673" s="1366"/>
      <c r="AB673" s="1366"/>
      <c r="AC673" s="1366"/>
      <c r="AD673" s="1366"/>
      <c r="AE673" s="1366"/>
      <c r="AF673" s="1366"/>
      <c r="AG673" s="1366"/>
      <c r="AH673" s="1366"/>
      <c r="AI673" s="1366"/>
      <c r="AJ673" s="1366"/>
      <c r="AK673" s="1366"/>
      <c r="AZ673" s="3"/>
      <c r="BA673" s="118" t="str">
        <f t="shared" si="44"/>
        <v>N/A</v>
      </c>
      <c r="BB673" s="3"/>
      <c r="BC673" s="3"/>
      <c r="BD673" s="3"/>
      <c r="BE673" s="3"/>
      <c r="BF673" s="218"/>
      <c r="BG673" s="316">
        <f t="shared" si="45"/>
        <v>0</v>
      </c>
      <c r="BH673" s="319">
        <f t="shared" si="47"/>
        <v>0</v>
      </c>
      <c r="BI673" s="320" t="str">
        <f t="shared" si="46"/>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7"/>
      <c r="H674" s="1357"/>
      <c r="I674" s="1357"/>
      <c r="J674" s="1357"/>
      <c r="K674" s="1357"/>
      <c r="L674" s="1357"/>
      <c r="M674" s="1357"/>
      <c r="N674" s="1357"/>
      <c r="O674" s="1357"/>
      <c r="P674" s="1357"/>
      <c r="Q674" s="1357"/>
      <c r="R674" s="1357"/>
      <c r="T674" s="22"/>
      <c r="U674" t="s">
        <v>17</v>
      </c>
      <c r="Z674" s="1366"/>
      <c r="AA674" s="1366"/>
      <c r="AB674" s="1366"/>
      <c r="AC674" s="1366"/>
      <c r="AD674" s="1366"/>
      <c r="AE674" s="1366"/>
      <c r="AF674" s="1366"/>
      <c r="AG674" s="1366"/>
      <c r="AH674" s="1366"/>
      <c r="AI674" s="1366"/>
      <c r="AJ674" s="1366"/>
      <c r="AK674" s="1366"/>
      <c r="AZ674" s="3"/>
      <c r="BA674" s="118" t="str">
        <f t="shared" si="44"/>
        <v>N/A</v>
      </c>
      <c r="BB674" s="3"/>
      <c r="BC674" s="3"/>
      <c r="BD674" s="3"/>
      <c r="BE674" s="3"/>
      <c r="BF674" s="218"/>
      <c r="BG674" s="316">
        <f t="shared" si="45"/>
        <v>0</v>
      </c>
      <c r="BH674" s="319">
        <f t="shared" si="47"/>
        <v>0</v>
      </c>
      <c r="BI674" s="320" t="str">
        <f t="shared" si="46"/>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317</v>
      </c>
      <c r="G675" s="1360"/>
      <c r="H675" s="1360"/>
      <c r="I675" s="1360"/>
      <c r="J675" s="1360"/>
      <c r="K675" s="1360"/>
      <c r="L675" s="1360"/>
      <c r="O675" s="33" t="s">
        <v>207</v>
      </c>
      <c r="P675" s="1355"/>
      <c r="Q675" s="1355"/>
      <c r="R675" s="1355"/>
      <c r="T675" s="22"/>
      <c r="U675" t="s">
        <v>317</v>
      </c>
      <c r="Z675" s="1360"/>
      <c r="AA675" s="1360"/>
      <c r="AB675" s="1360"/>
      <c r="AC675" s="1360"/>
      <c r="AD675" s="1360"/>
      <c r="AE675" s="1360"/>
      <c r="AH675" s="33" t="s">
        <v>207</v>
      </c>
      <c r="AI675" s="1355"/>
      <c r="AJ675" s="1355"/>
      <c r="AK675" s="1355"/>
      <c r="AZ675" s="3"/>
      <c r="BA675" s="118" t="str">
        <f t="shared" si="44"/>
        <v>N/A</v>
      </c>
      <c r="BB675" s="3"/>
      <c r="BC675" s="3"/>
      <c r="BD675" s="3"/>
      <c r="BE675" s="3"/>
      <c r="BF675" s="218"/>
      <c r="BG675" s="316">
        <f t="shared" si="45"/>
        <v>0</v>
      </c>
      <c r="BH675" s="319">
        <f t="shared" si="47"/>
        <v>0</v>
      </c>
      <c r="BI675" s="320" t="str">
        <f t="shared" si="46"/>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7"/>
      <c r="I676" s="1357"/>
      <c r="J676" s="1357"/>
      <c r="K676" s="1357"/>
      <c r="L676" s="1357"/>
      <c r="M676" s="1357"/>
      <c r="N676" s="1357"/>
      <c r="O676" s="1357"/>
      <c r="P676" s="1357"/>
      <c r="Q676" s="1357"/>
      <c r="R676" s="1357"/>
      <c r="T676" s="22"/>
      <c r="U676" t="s">
        <v>18</v>
      </c>
      <c r="AA676" s="1357"/>
      <c r="AB676" s="1357"/>
      <c r="AC676" s="1357"/>
      <c r="AD676" s="1357"/>
      <c r="AE676" s="1357"/>
      <c r="AF676" s="1357"/>
      <c r="AG676" s="1357"/>
      <c r="AH676" s="1357"/>
      <c r="AI676" s="1357"/>
      <c r="AJ676" s="1357"/>
      <c r="AK676" s="1357"/>
      <c r="AZ676" s="3"/>
      <c r="BA676" s="118" t="str">
        <f t="shared" si="44"/>
        <v>N/A</v>
      </c>
      <c r="BB676" s="3"/>
      <c r="BC676" s="3"/>
      <c r="BD676" s="3"/>
      <c r="BE676" s="3"/>
      <c r="BF676" s="218"/>
      <c r="BG676" s="316">
        <f t="shared" si="45"/>
        <v>0</v>
      </c>
      <c r="BH676" s="319">
        <f t="shared" si="47"/>
        <v>0</v>
      </c>
      <c r="BI676" s="320" t="str">
        <f t="shared" si="46"/>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8" t="s">
        <v>678</v>
      </c>
      <c r="O677" s="1358"/>
      <c r="T677" s="22"/>
      <c r="U677" t="s">
        <v>20</v>
      </c>
      <c r="AG677" s="1358" t="s">
        <v>678</v>
      </c>
      <c r="AH677" s="1358"/>
      <c r="AZ677" s="3"/>
      <c r="BA677" s="118" t="str">
        <f t="shared" si="44"/>
        <v>N/A</v>
      </c>
      <c r="BB677" s="3"/>
      <c r="BF677" s="218"/>
      <c r="BG677" s="316">
        <f t="shared" si="45"/>
        <v>0</v>
      </c>
      <c r="BH677" s="319">
        <f t="shared" si="47"/>
        <v>0</v>
      </c>
      <c r="BI677" s="320" t="str">
        <f t="shared" si="46"/>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4"/>
        <v>N/A</v>
      </c>
      <c r="BB678" s="3"/>
      <c r="BF678" s="218"/>
      <c r="BG678" s="316">
        <f t="shared" si="45"/>
        <v>0</v>
      </c>
      <c r="BH678" s="319">
        <f t="shared" si="47"/>
        <v>0</v>
      </c>
      <c r="BI678" s="320" t="str">
        <f t="shared" si="46"/>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363</v>
      </c>
      <c r="B679" t="s">
        <v>472</v>
      </c>
      <c r="G679" s="1356">
        <f>C633</f>
        <v>0</v>
      </c>
      <c r="H679" s="1356"/>
      <c r="I679" s="1356"/>
      <c r="J679" s="1356"/>
      <c r="K679" s="1356"/>
      <c r="L679" s="1356"/>
      <c r="M679" s="1356"/>
      <c r="N679" s="1356"/>
      <c r="O679" s="1356"/>
      <c r="P679" s="1356"/>
      <c r="Q679" s="1356"/>
      <c r="R679" s="1356"/>
      <c r="T679" s="55" t="s">
        <v>364</v>
      </c>
      <c r="U679" t="s">
        <v>472</v>
      </c>
      <c r="Z679" s="1356">
        <f>C634</f>
        <v>0</v>
      </c>
      <c r="AA679" s="1356"/>
      <c r="AB679" s="1356"/>
      <c r="AC679" s="1356"/>
      <c r="AD679" s="1356"/>
      <c r="AE679" s="1356"/>
      <c r="AF679" s="1356"/>
      <c r="AG679" s="1356"/>
      <c r="AH679" s="1356"/>
      <c r="AI679" s="1356"/>
      <c r="AJ679" s="1356"/>
      <c r="AK679" s="1356"/>
      <c r="AZ679" s="3"/>
      <c r="BA679" s="118" t="str">
        <f t="shared" si="44"/>
        <v>N/A</v>
      </c>
      <c r="BB679" s="3"/>
      <c r="BF679" s="218"/>
      <c r="BG679" s="316">
        <f t="shared" si="45"/>
        <v>0</v>
      </c>
      <c r="BH679" s="319">
        <f t="shared" si="47"/>
        <v>0</v>
      </c>
      <c r="BI679" s="320" t="str">
        <f t="shared" si="46"/>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7"/>
      <c r="H680" s="1357"/>
      <c r="I680" s="1357"/>
      <c r="J680" s="1357"/>
      <c r="K680" s="1357"/>
      <c r="L680" s="1357"/>
      <c r="M680" s="1357"/>
      <c r="N680" s="1357"/>
      <c r="O680" s="1357"/>
      <c r="P680" s="1357"/>
      <c r="Q680" s="1357"/>
      <c r="R680" s="1357"/>
      <c r="T680" s="22"/>
      <c r="U680" t="s">
        <v>86</v>
      </c>
      <c r="Z680" s="1357"/>
      <c r="AA680" s="1357"/>
      <c r="AB680" s="1357"/>
      <c r="AC680" s="1357"/>
      <c r="AD680" s="1357"/>
      <c r="AE680" s="1357"/>
      <c r="AF680" s="1357"/>
      <c r="AG680" s="1357"/>
      <c r="AH680" s="1357"/>
      <c r="AI680" s="1357"/>
      <c r="AJ680" s="1357"/>
      <c r="AK680" s="1357"/>
      <c r="AZ680" s="3"/>
      <c r="BA680" s="118" t="str">
        <f t="shared" si="44"/>
        <v>N/A</v>
      </c>
      <c r="BB680" s="3"/>
      <c r="BF680" s="218"/>
      <c r="BG680" s="316">
        <f t="shared" si="45"/>
        <v>0</v>
      </c>
      <c r="BH680" s="319">
        <f t="shared" si="47"/>
        <v>0</v>
      </c>
      <c r="BI680" s="320" t="str">
        <f t="shared" si="46"/>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57"/>
      <c r="H681" s="1357"/>
      <c r="I681" s="1357"/>
      <c r="J681" s="1357"/>
      <c r="K681" s="1357"/>
      <c r="L681" s="1357"/>
      <c r="M681" s="1357"/>
      <c r="N681" s="1357"/>
      <c r="O681" s="1357"/>
      <c r="P681" s="1357"/>
      <c r="Q681" s="1357"/>
      <c r="R681" s="1357"/>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45"/>
        <v>0</v>
      </c>
      <c r="BH681" s="319">
        <f t="shared" si="47"/>
        <v>0</v>
      </c>
      <c r="BI681" s="320" t="str">
        <f t="shared" si="46"/>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7"/>
      <c r="H682" s="1357"/>
      <c r="I682" s="1357"/>
      <c r="J682" s="1357"/>
      <c r="K682" s="1357"/>
      <c r="L682" s="1357"/>
      <c r="M682" s="1357"/>
      <c r="N682" s="1357"/>
      <c r="O682" s="1357"/>
      <c r="P682" s="1357"/>
      <c r="Q682" s="1357"/>
      <c r="R682" s="1357"/>
      <c r="U682" t="s">
        <v>17</v>
      </c>
      <c r="Z682" s="1366"/>
      <c r="AA682" s="1366"/>
      <c r="AB682" s="1366"/>
      <c r="AC682" s="1366"/>
      <c r="AD682" s="1366"/>
      <c r="AE682" s="1366"/>
      <c r="AF682" s="1366"/>
      <c r="AG682" s="1366"/>
      <c r="AH682" s="1366"/>
      <c r="AI682" s="1366"/>
      <c r="AJ682" s="1366"/>
      <c r="AK682" s="1366"/>
      <c r="AZ682" s="3"/>
      <c r="BA682" s="3"/>
      <c r="BB682" s="3"/>
      <c r="BC682" s="3"/>
      <c r="BD682" s="3"/>
      <c r="BF682" s="312" t="s">
        <v>932</v>
      </c>
      <c r="BG682" s="321">
        <f>SUM(BG657:BG681)</f>
        <v>120</v>
      </c>
      <c r="BH682" s="322">
        <f>SUM(BH657:BH681)</f>
        <v>1</v>
      </c>
      <c r="BI682" s="322">
        <f>SUM(BI657:BI681)</f>
        <v>0.48749999999999999</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317</v>
      </c>
      <c r="G683" s="1360"/>
      <c r="H683" s="1360"/>
      <c r="I683" s="1360"/>
      <c r="J683" s="1360"/>
      <c r="K683" s="1360"/>
      <c r="L683" s="1360"/>
      <c r="O683" s="33" t="s">
        <v>207</v>
      </c>
      <c r="P683" s="1355"/>
      <c r="Q683" s="1355"/>
      <c r="R683" s="1355"/>
      <c r="U683" t="s">
        <v>317</v>
      </c>
      <c r="Z683" s="1360"/>
      <c r="AA683" s="1360"/>
      <c r="AB683" s="1360"/>
      <c r="AC683" s="1360"/>
      <c r="AD683" s="1360"/>
      <c r="AE683" s="1360"/>
      <c r="AH683" s="33" t="s">
        <v>207</v>
      </c>
      <c r="AI683" s="1355"/>
      <c r="AJ683" s="1355"/>
      <c r="AK683" s="1355"/>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7"/>
      <c r="I684" s="1357"/>
      <c r="J684" s="1357"/>
      <c r="K684" s="1357"/>
      <c r="L684" s="1357"/>
      <c r="M684" s="1357"/>
      <c r="N684" s="1357"/>
      <c r="O684" s="1357"/>
      <c r="P684" s="1357"/>
      <c r="Q684" s="1357"/>
      <c r="R684" s="1357"/>
      <c r="U684" t="s">
        <v>18</v>
      </c>
      <c r="AA684" s="1357"/>
      <c r="AB684" s="1357"/>
      <c r="AC684" s="1357"/>
      <c r="AD684" s="1357"/>
      <c r="AE684" s="1357"/>
      <c r="AF684" s="1357"/>
      <c r="AG684" s="1357"/>
      <c r="AH684" s="1357"/>
      <c r="AI684" s="1357"/>
      <c r="AJ684" s="1357"/>
      <c r="AK684" s="1357"/>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8" t="s">
        <v>678</v>
      </c>
      <c r="O685" s="1358"/>
      <c r="U685" t="s">
        <v>20</v>
      </c>
      <c r="AG685" s="1358" t="s">
        <v>678</v>
      </c>
      <c r="AH685" s="1358"/>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328</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437</v>
      </c>
      <c r="F689" s="135"/>
      <c r="G689" s="135"/>
      <c r="H689" s="135"/>
      <c r="AE689" s="1358" t="s">
        <v>554</v>
      </c>
      <c r="AF689" s="1358"/>
      <c r="AZ689" s="34"/>
      <c r="BA689" s="34"/>
      <c r="BB689" s="34"/>
      <c r="BC689" s="34"/>
      <c r="BD689" s="34"/>
      <c r="BE689" s="34"/>
      <c r="BF689" s="34"/>
      <c r="BG689" s="315">
        <f t="shared" ref="BG689:BG713" si="48">G714</f>
        <v>13</v>
      </c>
      <c r="BH689" s="319">
        <f>BG689/$BG$714</f>
        <v>0.10833333333333334</v>
      </c>
      <c r="BI689" s="320">
        <f t="shared" ref="BI689:BI713" si="49">IF(BH689=0," ",BH689*AH714)</f>
        <v>3.2303030303030299E-2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440</v>
      </c>
      <c r="E690" s="135"/>
      <c r="F690" s="135"/>
      <c r="G690" s="135"/>
      <c r="H690" s="135"/>
      <c r="AE690" s="1358" t="s">
        <v>554</v>
      </c>
      <c r="AF690" s="1358"/>
      <c r="AZ690" s="34"/>
      <c r="BA690" s="34"/>
      <c r="BB690" s="34"/>
      <c r="BC690" s="34"/>
      <c r="BD690" s="34"/>
      <c r="BE690" s="34"/>
      <c r="BF690" s="34"/>
      <c r="BG690" s="316">
        <f t="shared" si="48"/>
        <v>2</v>
      </c>
      <c r="BH690" s="319">
        <f t="shared" ref="BH690:BH713" si="50">BG690/$BG$714</f>
        <v>1.6666666666666666E-2</v>
      </c>
      <c r="BI690" s="320">
        <f t="shared" si="49"/>
        <v>4.9696969696969694E-3</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642">
        <v>44964</v>
      </c>
      <c r="AF691" s="1642"/>
      <c r="AG691" s="1642"/>
      <c r="AH691" s="1642"/>
      <c r="AI691" s="1642"/>
      <c r="AZ691" s="34"/>
      <c r="BA691" s="34"/>
      <c r="BB691" s="34"/>
      <c r="BC691" s="34"/>
      <c r="BD691" s="34"/>
      <c r="BE691" s="3"/>
      <c r="BF691" s="3"/>
      <c r="BG691" s="316">
        <f t="shared" si="48"/>
        <v>21</v>
      </c>
      <c r="BH691" s="319">
        <f t="shared" si="50"/>
        <v>0.17499999999999999</v>
      </c>
      <c r="BI691" s="320">
        <f t="shared" si="49"/>
        <v>5.2146464646464642E-2</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644">
        <v>45056</v>
      </c>
      <c r="AF692" s="1644"/>
      <c r="AG692" s="1644"/>
      <c r="AH692" s="1644"/>
      <c r="AI692" s="1644"/>
      <c r="AZ692" s="34"/>
      <c r="BA692" s="34"/>
      <c r="BB692" s="34"/>
      <c r="BC692" s="34"/>
      <c r="BD692" s="34"/>
      <c r="BE692" s="3"/>
      <c r="BF692" s="2"/>
      <c r="BG692" s="316">
        <f t="shared" si="48"/>
        <v>54</v>
      </c>
      <c r="BH692" s="319">
        <f t="shared" si="50"/>
        <v>0.45</v>
      </c>
      <c r="BI692" s="320">
        <f t="shared" si="49"/>
        <v>0.26363636363636367</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8"/>
        <v>7</v>
      </c>
      <c r="BH693" s="319">
        <f t="shared" si="50"/>
        <v>5.8333333333333334E-2</v>
      </c>
      <c r="BI693" s="320">
        <f t="shared" si="49"/>
        <v>1.7489801864801865E-2</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642">
        <v>45231</v>
      </c>
      <c r="AF694" s="1642"/>
      <c r="AG694" s="1642"/>
      <c r="AH694" s="1642"/>
      <c r="AI694" s="1642"/>
      <c r="AZ694" s="3"/>
      <c r="BA694" s="3"/>
      <c r="BB694" s="3"/>
      <c r="BC694" s="3"/>
      <c r="BD694" s="3"/>
      <c r="BE694" s="3"/>
      <c r="BF694" s="3"/>
      <c r="BG694" s="316">
        <f t="shared" si="48"/>
        <v>21</v>
      </c>
      <c r="BH694" s="319">
        <f t="shared" si="50"/>
        <v>0.17499999999999999</v>
      </c>
      <c r="BI694" s="320">
        <f t="shared" si="49"/>
        <v>0.10432692307692307</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438</v>
      </c>
      <c r="E695" s="135"/>
      <c r="F695" s="135"/>
      <c r="G695" s="135"/>
      <c r="H695" s="135"/>
      <c r="AE695" s="1672">
        <v>0.5363</v>
      </c>
      <c r="AF695" s="1672"/>
      <c r="AG695" s="1672"/>
      <c r="AH695" s="1672"/>
      <c r="AI695" s="1672"/>
      <c r="AZ695" s="3"/>
      <c r="BA695" s="3"/>
      <c r="BB695" s="3"/>
      <c r="BC695" s="3"/>
      <c r="BD695" s="3"/>
      <c r="BE695" s="3"/>
      <c r="BF695" s="3"/>
      <c r="BG695" s="316">
        <f t="shared" si="48"/>
        <v>2</v>
      </c>
      <c r="BH695" s="319">
        <f t="shared" si="50"/>
        <v>1.6666666666666666E-2</v>
      </c>
      <c r="BI695" s="320">
        <f t="shared" si="49"/>
        <v>4.9970862470862477E-3</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439</v>
      </c>
      <c r="E696" s="135"/>
      <c r="F696" s="135"/>
      <c r="G696" s="135"/>
      <c r="H696" s="135"/>
      <c r="W696" s="1356" t="str">
        <f>H334</f>
        <v>California Statewide Communities Development Authority</v>
      </c>
      <c r="X696" s="1356"/>
      <c r="Y696" s="1356"/>
      <c r="Z696" s="1356"/>
      <c r="AA696" s="1356"/>
      <c r="AB696" s="1356"/>
      <c r="AC696" s="1356"/>
      <c r="AD696" s="1356"/>
      <c r="AE696" s="1356"/>
      <c r="AF696" s="1356"/>
      <c r="AG696" s="1356"/>
      <c r="AH696" s="1356"/>
      <c r="AI696" s="1356"/>
      <c r="AJ696" s="1356"/>
      <c r="AK696" s="1356"/>
      <c r="AZ696" s="3"/>
      <c r="BA696" s="3"/>
      <c r="BB696" s="3"/>
      <c r="BC696" s="3"/>
      <c r="BD696" s="3"/>
      <c r="BE696" s="3"/>
      <c r="BF696" s="3"/>
      <c r="BG696" s="316">
        <f t="shared" si="48"/>
        <v>0</v>
      </c>
      <c r="BH696" s="319">
        <f t="shared" si="50"/>
        <v>0</v>
      </c>
      <c r="BI696" s="320" t="str">
        <f t="shared" si="49"/>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8"/>
        <v>0</v>
      </c>
      <c r="BH697" s="319">
        <f t="shared" si="50"/>
        <v>0</v>
      </c>
      <c r="BI697" s="320" t="str">
        <f t="shared" si="49"/>
        <v xml:space="preserve"> </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441</v>
      </c>
      <c r="E698" s="135"/>
      <c r="F698" s="135"/>
      <c r="G698" s="135"/>
      <c r="H698" s="135"/>
      <c r="AE698" s="1358" t="s">
        <v>678</v>
      </c>
      <c r="AF698" s="1358"/>
      <c r="AZ698" s="3"/>
      <c r="BA698" s="3"/>
      <c r="BB698" s="3"/>
      <c r="BC698" s="3"/>
      <c r="BD698" s="3"/>
      <c r="BE698" s="3"/>
      <c r="BF698" s="3"/>
      <c r="BG698" s="316">
        <f t="shared" si="48"/>
        <v>0</v>
      </c>
      <c r="BH698" s="319">
        <f t="shared" si="50"/>
        <v>0</v>
      </c>
      <c r="BI698" s="320" t="str">
        <f t="shared" si="49"/>
        <v xml:space="preserve"> </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57"/>
      <c r="X699" s="1357"/>
      <c r="Y699" s="1357"/>
      <c r="Z699" s="1357"/>
      <c r="AA699" s="1357"/>
      <c r="AB699" s="1357"/>
      <c r="AC699" s="1357"/>
      <c r="AD699" s="1357"/>
      <c r="AE699" s="1357"/>
      <c r="AF699" s="1357"/>
      <c r="AG699" s="1357"/>
      <c r="AH699" s="1357"/>
      <c r="AI699" s="1357"/>
      <c r="AJ699" s="1357"/>
      <c r="AK699" s="1357"/>
      <c r="AZ699" s="3"/>
      <c r="BA699" s="3"/>
      <c r="BB699" s="3"/>
      <c r="BC699" s="3"/>
      <c r="BD699" s="3"/>
      <c r="BE699" s="3"/>
      <c r="BF699" s="3"/>
      <c r="BG699" s="316">
        <f t="shared" si="48"/>
        <v>0</v>
      </c>
      <c r="BH699" s="319">
        <f t="shared" si="50"/>
        <v>0</v>
      </c>
      <c r="BI699" s="320" t="str">
        <f t="shared" si="49"/>
        <v xml:space="preserve"> </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7"/>
      <c r="K700" s="1357"/>
      <c r="L700" s="1357"/>
      <c r="M700" s="1357"/>
      <c r="N700" s="1357"/>
      <c r="O700" s="1357"/>
      <c r="P700" s="1357"/>
      <c r="Q700" s="1357"/>
      <c r="R700" s="1357"/>
      <c r="S700" s="1357"/>
      <c r="T700" s="1357"/>
      <c r="U700" s="1357"/>
      <c r="V700" s="1357"/>
      <c r="W700" s="1357"/>
      <c r="X700" s="1357"/>
      <c r="AZ700" s="3"/>
      <c r="BA700" s="3"/>
      <c r="BB700" s="3"/>
      <c r="BC700" s="3"/>
      <c r="BD700" s="3"/>
      <c r="BE700" s="3"/>
      <c r="BF700" s="3"/>
      <c r="BG700" s="316">
        <f t="shared" si="48"/>
        <v>0</v>
      </c>
      <c r="BH700" s="319">
        <f t="shared" si="50"/>
        <v>0</v>
      </c>
      <c r="BI700" s="320" t="str">
        <f t="shared" si="49"/>
        <v xml:space="preserve"> </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60"/>
      <c r="K701" s="1360"/>
      <c r="L701" s="1360"/>
      <c r="M701" s="1360"/>
      <c r="N701" s="1360"/>
      <c r="O701" s="1360"/>
      <c r="P701" s="4" t="s">
        <v>207</v>
      </c>
      <c r="Q701" s="4"/>
      <c r="R701" s="1355"/>
      <c r="S701" s="1355"/>
      <c r="T701" s="1355"/>
      <c r="AZ701" s="3"/>
      <c r="BA701" s="3"/>
      <c r="BB701" s="3"/>
      <c r="BC701" s="3"/>
      <c r="BD701" s="3"/>
      <c r="BE701" s="3"/>
      <c r="BF701" s="3"/>
      <c r="BG701" s="316">
        <f t="shared" si="48"/>
        <v>0</v>
      </c>
      <c r="BH701" s="319">
        <f t="shared" si="50"/>
        <v>0</v>
      </c>
      <c r="BI701" s="320" t="str">
        <f t="shared" si="49"/>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57" t="s">
        <v>308</v>
      </c>
      <c r="X702" s="1357"/>
      <c r="Y702" s="1357"/>
      <c r="Z702" s="1357"/>
      <c r="AA702" s="1357"/>
      <c r="AB702" s="1357"/>
      <c r="AC702" s="1357"/>
      <c r="AD702" s="1357"/>
      <c r="AE702" s="1357"/>
      <c r="AF702" s="1357"/>
      <c r="AG702" s="1357"/>
      <c r="AH702" s="1357"/>
      <c r="AI702" s="1357"/>
      <c r="AJ702" s="1357"/>
      <c r="AK702" s="1357"/>
      <c r="AZ702" s="3"/>
      <c r="BA702" s="3"/>
      <c r="BB702" s="3"/>
      <c r="BC702" s="3"/>
      <c r="BD702" s="3"/>
      <c r="BE702" s="3"/>
      <c r="BF702" s="3"/>
      <c r="BG702" s="316">
        <f t="shared" si="48"/>
        <v>0</v>
      </c>
      <c r="BH702" s="319">
        <f t="shared" si="50"/>
        <v>0</v>
      </c>
      <c r="BI702" s="320" t="str">
        <f t="shared" si="49"/>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7" t="s">
        <v>335</v>
      </c>
      <c r="F703" s="1357"/>
      <c r="G703" s="1357"/>
      <c r="H703" s="1357"/>
      <c r="I703" s="1357"/>
      <c r="J703" s="1357"/>
      <c r="K703" s="1357"/>
      <c r="L703" s="1357"/>
      <c r="M703" s="1357"/>
      <c r="N703" s="1357"/>
      <c r="O703" s="1357"/>
      <c r="P703" s="1357"/>
      <c r="Q703" s="1357"/>
      <c r="R703" s="1357"/>
      <c r="S703" s="1357"/>
      <c r="T703" s="1357"/>
      <c r="U703" s="1357"/>
      <c r="V703" s="1357"/>
      <c r="W703" s="1357"/>
      <c r="X703" s="1357"/>
      <c r="Y703" s="1357"/>
      <c r="Z703" s="1357"/>
      <c r="AA703" s="1357"/>
      <c r="AB703" s="1357"/>
      <c r="AC703" s="1357"/>
      <c r="AD703" s="1357"/>
      <c r="AE703" s="1357"/>
      <c r="AF703" s="1357"/>
      <c r="AG703" s="1357"/>
      <c r="AH703" s="1357"/>
      <c r="AI703" s="1357"/>
      <c r="AJ703" s="1357"/>
      <c r="AK703" s="1357"/>
      <c r="AZ703" s="3"/>
      <c r="BA703" s="3"/>
      <c r="BB703" s="3"/>
      <c r="BC703" s="3"/>
      <c r="BD703" s="3"/>
      <c r="BE703" s="3"/>
      <c r="BF703" s="3"/>
      <c r="BG703" s="316">
        <f t="shared" si="48"/>
        <v>0</v>
      </c>
      <c r="BH703" s="319">
        <f t="shared" si="50"/>
        <v>0</v>
      </c>
      <c r="BI703" s="320" t="str">
        <f t="shared" si="49"/>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8"/>
        <v>0</v>
      </c>
      <c r="BH704" s="319">
        <f t="shared" si="50"/>
        <v>0</v>
      </c>
      <c r="BI704" s="320" t="str">
        <f t="shared" si="49"/>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2" t="s">
        <v>96</v>
      </c>
      <c r="B705" s="1262"/>
      <c r="C705" s="1262"/>
      <c r="D705" s="1262"/>
      <c r="E705" s="1262"/>
      <c r="F705" s="1262"/>
      <c r="G705" s="1262"/>
      <c r="H705" s="1262"/>
      <c r="I705" s="1262"/>
      <c r="J705" s="1262"/>
      <c r="K705" s="1262"/>
      <c r="L705" s="1262"/>
      <c r="M705" s="1262"/>
      <c r="N705" s="1262"/>
      <c r="O705" s="1262"/>
      <c r="P705" s="1262"/>
      <c r="Q705" s="1262"/>
      <c r="R705" s="1262"/>
      <c r="S705" s="1262"/>
      <c r="T705" s="1262"/>
      <c r="U705" s="1262"/>
      <c r="V705" s="1262"/>
      <c r="W705" s="1262"/>
      <c r="X705" s="1262"/>
      <c r="Y705" s="1262"/>
      <c r="Z705" s="1262"/>
      <c r="AA705" s="1262"/>
      <c r="AB705" s="1262"/>
      <c r="AC705" s="1262"/>
      <c r="AD705" s="1262"/>
      <c r="AE705" s="1262"/>
      <c r="AF705" s="1262"/>
      <c r="AG705" s="1262"/>
      <c r="AH705" s="1262"/>
      <c r="AI705" s="1262"/>
      <c r="AJ705" s="1262"/>
      <c r="AK705" s="1262"/>
      <c r="AL705" s="1262"/>
      <c r="AM705" s="1262"/>
      <c r="AN705" s="1262"/>
      <c r="AO705" s="1262"/>
      <c r="AP705" s="936"/>
      <c r="AQ705" s="936"/>
      <c r="AR705" s="936"/>
      <c r="AS705" s="936"/>
      <c r="AZ705" s="3"/>
      <c r="BA705" s="3"/>
      <c r="BB705" s="3"/>
      <c r="BC705" s="3"/>
      <c r="BD705" s="3"/>
      <c r="BE705" s="3"/>
      <c r="BF705" s="3"/>
      <c r="BG705" s="316">
        <f t="shared" si="48"/>
        <v>0</v>
      </c>
      <c r="BH705" s="319">
        <f t="shared" si="50"/>
        <v>0</v>
      </c>
      <c r="BI705" s="320" t="str">
        <f t="shared" si="49"/>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2"/>
      <c r="B706" s="1262"/>
      <c r="C706" s="1262"/>
      <c r="D706" s="1262"/>
      <c r="E706" s="1262"/>
      <c r="F706" s="1262"/>
      <c r="G706" s="1262"/>
      <c r="H706" s="1262"/>
      <c r="I706" s="1262"/>
      <c r="J706" s="1262"/>
      <c r="K706" s="1262"/>
      <c r="L706" s="1262"/>
      <c r="M706" s="1262"/>
      <c r="N706" s="1262"/>
      <c r="O706" s="1262"/>
      <c r="P706" s="1262"/>
      <c r="Q706" s="1262"/>
      <c r="R706" s="1262"/>
      <c r="S706" s="1262"/>
      <c r="T706" s="1262"/>
      <c r="U706" s="1262"/>
      <c r="V706" s="1262"/>
      <c r="W706" s="1262"/>
      <c r="X706" s="1262"/>
      <c r="Y706" s="1262"/>
      <c r="Z706" s="1262"/>
      <c r="AA706" s="1262"/>
      <c r="AB706" s="1262"/>
      <c r="AC706" s="1262"/>
      <c r="AD706" s="1262"/>
      <c r="AE706" s="1262"/>
      <c r="AF706" s="1262"/>
      <c r="AG706" s="1262"/>
      <c r="AH706" s="1262"/>
      <c r="AI706" s="1262"/>
      <c r="AJ706" s="1262"/>
      <c r="AK706" s="1262"/>
      <c r="AL706" s="1262"/>
      <c r="AM706" s="1262"/>
      <c r="AN706" s="1262"/>
      <c r="AO706" s="1262"/>
      <c r="AP706" s="936"/>
      <c r="AQ706" s="936"/>
      <c r="AR706" s="936"/>
      <c r="AS706" s="936"/>
      <c r="AZ706" s="3"/>
      <c r="BA706" s="3"/>
      <c r="BB706" s="3"/>
      <c r="BC706" s="3"/>
      <c r="BD706" s="3"/>
      <c r="BE706" s="3"/>
      <c r="BF706" s="3"/>
      <c r="BG706" s="316">
        <f t="shared" si="48"/>
        <v>0</v>
      </c>
      <c r="BH706" s="319">
        <f t="shared" si="50"/>
        <v>0</v>
      </c>
      <c r="BI706" s="320" t="str">
        <f t="shared" si="49"/>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2"/>
      <c r="B707" s="1262"/>
      <c r="C707" s="1262"/>
      <c r="D707" s="1262"/>
      <c r="E707" s="1262"/>
      <c r="F707" s="1262"/>
      <c r="G707" s="1262"/>
      <c r="H707" s="1262"/>
      <c r="I707" s="1262"/>
      <c r="J707" s="1262"/>
      <c r="K707" s="1262"/>
      <c r="L707" s="1262"/>
      <c r="M707" s="1262"/>
      <c r="N707" s="1262"/>
      <c r="O707" s="1262"/>
      <c r="P707" s="1262"/>
      <c r="Q707" s="1262"/>
      <c r="R707" s="1262"/>
      <c r="S707" s="1262"/>
      <c r="T707" s="1262"/>
      <c r="U707" s="1262"/>
      <c r="V707" s="1262"/>
      <c r="W707" s="1262"/>
      <c r="X707" s="1262"/>
      <c r="Y707" s="1262"/>
      <c r="Z707" s="1262"/>
      <c r="AA707" s="1262"/>
      <c r="AB707" s="1262"/>
      <c r="AC707" s="1262"/>
      <c r="AD707" s="1262"/>
      <c r="AE707" s="1262"/>
      <c r="AF707" s="1262"/>
      <c r="AG707" s="1262"/>
      <c r="AH707" s="1262"/>
      <c r="AI707" s="1262"/>
      <c r="AJ707" s="1262"/>
      <c r="AK707" s="1262"/>
      <c r="AL707" s="1262"/>
      <c r="AM707" s="1262"/>
      <c r="AN707" s="1262"/>
      <c r="AO707" s="1262"/>
      <c r="AZ707" s="3"/>
      <c r="BA707" s="3"/>
      <c r="BB707" s="3"/>
      <c r="BC707" s="3"/>
      <c r="BD707" s="3"/>
      <c r="BE707" s="3"/>
      <c r="BF707" s="3"/>
      <c r="BG707" s="316">
        <f t="shared" si="48"/>
        <v>0</v>
      </c>
      <c r="BH707" s="319">
        <f t="shared" si="50"/>
        <v>0</v>
      </c>
      <c r="BI707" s="320" t="str">
        <f t="shared" si="49"/>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320</v>
      </c>
      <c r="B708" s="2"/>
      <c r="C708" s="2" t="s">
        <v>19</v>
      </c>
      <c r="AZ708" s="3"/>
      <c r="BA708" s="3"/>
      <c r="BB708" s="3"/>
      <c r="BC708" s="3"/>
      <c r="BD708" s="3"/>
      <c r="BE708" s="3"/>
      <c r="BF708" s="3"/>
      <c r="BG708" s="316">
        <f t="shared" si="48"/>
        <v>0</v>
      </c>
      <c r="BH708" s="319">
        <f t="shared" si="50"/>
        <v>0</v>
      </c>
      <c r="BI708" s="320" t="str">
        <f t="shared" si="49"/>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8"/>
        <v>0</v>
      </c>
      <c r="BH709" s="319">
        <f t="shared" si="50"/>
        <v>0</v>
      </c>
      <c r="BI709" s="320" t="str">
        <f t="shared" si="49"/>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13" t="s">
        <v>390</v>
      </c>
      <c r="C710" s="1402"/>
      <c r="D710" s="1402"/>
      <c r="E710" s="1402"/>
      <c r="F710" s="1403"/>
      <c r="G710" s="1413" t="s">
        <v>286</v>
      </c>
      <c r="H710" s="1402"/>
      <c r="I710" s="1402"/>
      <c r="J710" s="1403"/>
      <c r="K710" s="1636" t="s">
        <v>1940</v>
      </c>
      <c r="L710" s="1637"/>
      <c r="M710" s="1637"/>
      <c r="N710" s="1638"/>
      <c r="O710" s="1413" t="s">
        <v>456</v>
      </c>
      <c r="P710" s="1402"/>
      <c r="Q710" s="1402"/>
      <c r="R710" s="1402"/>
      <c r="S710" s="1403"/>
      <c r="T710" s="1401" t="s">
        <v>2337</v>
      </c>
      <c r="U710" s="1402"/>
      <c r="V710" s="1402"/>
      <c r="W710" s="1403"/>
      <c r="X710" s="1401" t="s">
        <v>2339</v>
      </c>
      <c r="Y710" s="1402"/>
      <c r="Z710" s="1402"/>
      <c r="AA710" s="1402"/>
      <c r="AB710" s="1403"/>
      <c r="AC710" s="1401" t="s">
        <v>2338</v>
      </c>
      <c r="AD710" s="1402"/>
      <c r="AE710" s="1402"/>
      <c r="AF710" s="1402"/>
      <c r="AG710" s="1403"/>
      <c r="AH710" s="1401" t="s">
        <v>2340</v>
      </c>
      <c r="AI710" s="1402"/>
      <c r="AJ710" s="1403"/>
      <c r="AK710" s="1401" t="s">
        <v>2374</v>
      </c>
      <c r="AL710" s="1402"/>
      <c r="AM710" s="1402"/>
      <c r="AN710" s="1402"/>
      <c r="AO710" s="1403"/>
      <c r="AP710" s="3"/>
      <c r="AQ710" s="3"/>
      <c r="AR710" s="3"/>
      <c r="AS710" s="3"/>
      <c r="AY710" s="116"/>
      <c r="AZ710" s="116"/>
      <c r="BA710" s="116"/>
      <c r="BB710" s="116"/>
      <c r="BC710" s="116"/>
      <c r="BD710" s="3"/>
      <c r="BE710" s="3"/>
      <c r="BF710" s="3"/>
      <c r="BG710" s="316">
        <f t="shared" si="48"/>
        <v>0</v>
      </c>
      <c r="BH710" s="319">
        <f t="shared" si="50"/>
        <v>0</v>
      </c>
      <c r="BI710" s="320" t="str">
        <f t="shared" si="49"/>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04"/>
      <c r="C711" s="1405"/>
      <c r="D711" s="1405"/>
      <c r="E711" s="1405"/>
      <c r="F711" s="1406"/>
      <c r="G711" s="1404"/>
      <c r="H711" s="1405"/>
      <c r="I711" s="1405"/>
      <c r="J711" s="1406"/>
      <c r="K711" s="1639"/>
      <c r="L711" s="1640"/>
      <c r="M711" s="1640"/>
      <c r="N711" s="1641"/>
      <c r="O711" s="1404"/>
      <c r="P711" s="1405"/>
      <c r="Q711" s="1405"/>
      <c r="R711" s="1405"/>
      <c r="S711" s="1406"/>
      <c r="T711" s="1404"/>
      <c r="U711" s="1405"/>
      <c r="V711" s="1405"/>
      <c r="W711" s="1406"/>
      <c r="X711" s="1404"/>
      <c r="Y711" s="1405"/>
      <c r="Z711" s="1405"/>
      <c r="AA711" s="1405"/>
      <c r="AB711" s="1406"/>
      <c r="AC711" s="1404"/>
      <c r="AD711" s="1405"/>
      <c r="AE711" s="1405"/>
      <c r="AF711" s="1405"/>
      <c r="AG711" s="1406"/>
      <c r="AH711" s="1404"/>
      <c r="AI711" s="1405"/>
      <c r="AJ711" s="1406"/>
      <c r="AK711" s="1404"/>
      <c r="AL711" s="1405"/>
      <c r="AM711" s="1405"/>
      <c r="AN711" s="1405"/>
      <c r="AO711" s="1406"/>
      <c r="AP711" s="3"/>
      <c r="AQ711" s="3"/>
      <c r="AR711" s="3"/>
      <c r="AS711" s="3"/>
      <c r="AY711" s="116"/>
      <c r="AZ711" s="116"/>
      <c r="BA711" s="116"/>
      <c r="BB711" s="116"/>
      <c r="BC711" s="116"/>
      <c r="BD711" s="3"/>
      <c r="BE711" s="3"/>
      <c r="BF711" s="3"/>
      <c r="BG711" s="316">
        <f t="shared" si="48"/>
        <v>0</v>
      </c>
      <c r="BH711" s="319">
        <f t="shared" si="50"/>
        <v>0</v>
      </c>
      <c r="BI711" s="320" t="str">
        <f t="shared" si="49"/>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04"/>
      <c r="C712" s="1405"/>
      <c r="D712" s="1405"/>
      <c r="E712" s="1405"/>
      <c r="F712" s="1406"/>
      <c r="G712" s="1404"/>
      <c r="H712" s="1405"/>
      <c r="I712" s="1405"/>
      <c r="J712" s="1406"/>
      <c r="K712" s="1639"/>
      <c r="L712" s="1640"/>
      <c r="M712" s="1640"/>
      <c r="N712" s="1641"/>
      <c r="O712" s="1404"/>
      <c r="P712" s="1405"/>
      <c r="Q712" s="1405"/>
      <c r="R712" s="1405"/>
      <c r="S712" s="1406"/>
      <c r="T712" s="1404"/>
      <c r="U712" s="1405"/>
      <c r="V712" s="1405"/>
      <c r="W712" s="1406"/>
      <c r="X712" s="1404"/>
      <c r="Y712" s="1405"/>
      <c r="Z712" s="1405"/>
      <c r="AA712" s="1405"/>
      <c r="AB712" s="1406"/>
      <c r="AC712" s="1404"/>
      <c r="AD712" s="1405"/>
      <c r="AE712" s="1405"/>
      <c r="AF712" s="1405"/>
      <c r="AG712" s="1406"/>
      <c r="AH712" s="1404"/>
      <c r="AI712" s="1405"/>
      <c r="AJ712" s="1406"/>
      <c r="AK712" s="1404"/>
      <c r="AL712" s="1405"/>
      <c r="AM712" s="1405"/>
      <c r="AN712" s="1405"/>
      <c r="AO712" s="1406"/>
      <c r="AP712" s="3"/>
      <c r="AQ712" s="3"/>
      <c r="AR712" s="3"/>
      <c r="AS712" s="3"/>
      <c r="AY712" s="116"/>
      <c r="AZ712" s="116"/>
      <c r="BA712" s="116"/>
      <c r="BB712" s="116"/>
      <c r="BC712" s="116"/>
      <c r="BD712" s="3"/>
      <c r="BE712" s="3"/>
      <c r="BF712" s="3"/>
      <c r="BG712" s="316">
        <f t="shared" si="48"/>
        <v>0</v>
      </c>
      <c r="BH712" s="319">
        <f t="shared" si="50"/>
        <v>0</v>
      </c>
      <c r="BI712" s="320" t="str">
        <f t="shared" si="49"/>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7"/>
      <c r="C713" s="1408"/>
      <c r="D713" s="1408"/>
      <c r="E713" s="1408"/>
      <c r="F713" s="1409"/>
      <c r="G713" s="1407"/>
      <c r="H713" s="1408"/>
      <c r="I713" s="1408"/>
      <c r="J713" s="1409"/>
      <c r="K713" s="1639"/>
      <c r="L713" s="1640"/>
      <c r="M713" s="1640"/>
      <c r="N713" s="1641"/>
      <c r="O713" s="1407"/>
      <c r="P713" s="1408"/>
      <c r="Q713" s="1408"/>
      <c r="R713" s="1408"/>
      <c r="S713" s="1409"/>
      <c r="T713" s="1407"/>
      <c r="U713" s="1408"/>
      <c r="V713" s="1408"/>
      <c r="W713" s="1409"/>
      <c r="X713" s="1407"/>
      <c r="Y713" s="1408"/>
      <c r="Z713" s="1408"/>
      <c r="AA713" s="1408"/>
      <c r="AB713" s="1409"/>
      <c r="AC713" s="1407"/>
      <c r="AD713" s="1408"/>
      <c r="AE713" s="1408"/>
      <c r="AF713" s="1408"/>
      <c r="AG713" s="1409"/>
      <c r="AH713" s="1407"/>
      <c r="AI713" s="1408"/>
      <c r="AJ713" s="1409"/>
      <c r="AK713" s="1407"/>
      <c r="AL713" s="1408"/>
      <c r="AM713" s="1408"/>
      <c r="AN713" s="1408"/>
      <c r="AO713" s="1409"/>
      <c r="AP713" s="3"/>
      <c r="AQ713" s="3"/>
      <c r="AR713" s="3"/>
      <c r="AS713" s="3"/>
      <c r="AY713" s="116"/>
      <c r="AZ713" s="116"/>
      <c r="BA713" s="116"/>
      <c r="BB713" s="116"/>
      <c r="BC713" s="116"/>
      <c r="BD713" s="3"/>
      <c r="BE713" s="3"/>
      <c r="BF713" s="3"/>
      <c r="BG713" s="896">
        <f t="shared" si="48"/>
        <v>0</v>
      </c>
      <c r="BH713" s="319">
        <f t="shared" si="50"/>
        <v>0</v>
      </c>
      <c r="BI713" s="320" t="str">
        <f t="shared" si="49"/>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91" t="s">
        <v>326</v>
      </c>
      <c r="C714" s="1392"/>
      <c r="D714" s="1392"/>
      <c r="E714" s="1392"/>
      <c r="F714" s="1393"/>
      <c r="G714" s="1578">
        <v>13</v>
      </c>
      <c r="H714" s="1579"/>
      <c r="I714" s="1579"/>
      <c r="J714" s="1580"/>
      <c r="K714" s="1575">
        <v>604</v>
      </c>
      <c r="L714" s="1576"/>
      <c r="M714" s="1576"/>
      <c r="N714" s="1577"/>
      <c r="O714" s="1572">
        <v>416</v>
      </c>
      <c r="P714" s="1573"/>
      <c r="Q714" s="1573"/>
      <c r="R714" s="1573"/>
      <c r="S714" s="1574"/>
      <c r="T714" s="1572">
        <v>76</v>
      </c>
      <c r="U714" s="1573"/>
      <c r="V714" s="1573"/>
      <c r="W714" s="1574"/>
      <c r="X714" s="1398">
        <f t="shared" ref="X714:X738" si="51">O714+T714</f>
        <v>492</v>
      </c>
      <c r="Y714" s="1399"/>
      <c r="Z714" s="1399"/>
      <c r="AA714" s="1399"/>
      <c r="AB714" s="1400"/>
      <c r="AC714" s="1410">
        <v>0.3</v>
      </c>
      <c r="AD714" s="1411"/>
      <c r="AE714" s="1411"/>
      <c r="AF714" s="1411"/>
      <c r="AG714" s="1412"/>
      <c r="AH714" s="1394">
        <f t="shared" ref="AH714:AH738" si="52">IF($AC714&gt;0,($X714/$BA656), " ")</f>
        <v>0.29818181818181816</v>
      </c>
      <c r="AI714" s="1395"/>
      <c r="AJ714" s="1396"/>
      <c r="AK714" s="1391" t="s">
        <v>600</v>
      </c>
      <c r="AL714" s="1392"/>
      <c r="AM714" s="1392"/>
      <c r="AN714" s="1392"/>
      <c r="AO714" s="1393"/>
      <c r="AP714" s="3"/>
      <c r="AQ714" s="3"/>
      <c r="AR714" s="3"/>
      <c r="AS714" s="3"/>
      <c r="AY714" s="1134"/>
      <c r="AZ714" s="1134"/>
      <c r="BA714" s="1134"/>
      <c r="BB714" s="1134"/>
      <c r="BC714" s="1134"/>
      <c r="BD714" s="3"/>
      <c r="BE714" s="3"/>
      <c r="BF714" s="3"/>
      <c r="BG714" s="895">
        <f>SUM(BG689:BG713)</f>
        <v>120</v>
      </c>
      <c r="BH714" s="322">
        <f>SUM(BH689:BH713)</f>
        <v>1</v>
      </c>
      <c r="BI714" s="322">
        <f>SUM(BI689:BI713)</f>
        <v>0.4798693667443667</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91" t="s">
        <v>326</v>
      </c>
      <c r="C715" s="1392"/>
      <c r="D715" s="1392"/>
      <c r="E715" s="1392"/>
      <c r="F715" s="1393"/>
      <c r="G715" s="1578">
        <v>2</v>
      </c>
      <c r="H715" s="1579"/>
      <c r="I715" s="1579"/>
      <c r="J715" s="1580"/>
      <c r="K715" s="1635">
        <v>604</v>
      </c>
      <c r="L715" s="1576"/>
      <c r="M715" s="1576"/>
      <c r="N715" s="1577"/>
      <c r="O715" s="1572">
        <v>416</v>
      </c>
      <c r="P715" s="1573"/>
      <c r="Q715" s="1573"/>
      <c r="R715" s="1573"/>
      <c r="S715" s="1574"/>
      <c r="T715" s="1572">
        <v>76</v>
      </c>
      <c r="U715" s="1573"/>
      <c r="V715" s="1573"/>
      <c r="W715" s="1574"/>
      <c r="X715" s="1398">
        <f t="shared" si="51"/>
        <v>492</v>
      </c>
      <c r="Y715" s="1399"/>
      <c r="Z715" s="1399"/>
      <c r="AA715" s="1399"/>
      <c r="AB715" s="1400"/>
      <c r="AC715" s="1410">
        <v>0.3</v>
      </c>
      <c r="AD715" s="1411"/>
      <c r="AE715" s="1411"/>
      <c r="AF715" s="1411"/>
      <c r="AG715" s="1412"/>
      <c r="AH715" s="1394">
        <f t="shared" si="52"/>
        <v>0.29818181818181816</v>
      </c>
      <c r="AI715" s="1395"/>
      <c r="AJ715" s="1396"/>
      <c r="AK715" s="1391" t="s">
        <v>600</v>
      </c>
      <c r="AL715" s="1392"/>
      <c r="AM715" s="1392"/>
      <c r="AN715" s="1392"/>
      <c r="AO715" s="1393"/>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91" t="s">
        <v>164</v>
      </c>
      <c r="C716" s="1392"/>
      <c r="D716" s="1392"/>
      <c r="E716" s="1392"/>
      <c r="F716" s="1393"/>
      <c r="G716" s="1578">
        <v>21</v>
      </c>
      <c r="H716" s="1579"/>
      <c r="I716" s="1579"/>
      <c r="J716" s="1580"/>
      <c r="K716" s="1635" t="s">
        <v>2634</v>
      </c>
      <c r="L716" s="1576"/>
      <c r="M716" s="1576"/>
      <c r="N716" s="1577"/>
      <c r="O716" s="1572">
        <v>488</v>
      </c>
      <c r="P716" s="1573"/>
      <c r="Q716" s="1573"/>
      <c r="R716" s="1573"/>
      <c r="S716" s="1574"/>
      <c r="T716" s="1572">
        <v>102</v>
      </c>
      <c r="U716" s="1573"/>
      <c r="V716" s="1573"/>
      <c r="W716" s="1574"/>
      <c r="X716" s="1398">
        <f t="shared" si="51"/>
        <v>590</v>
      </c>
      <c r="Y716" s="1399"/>
      <c r="Z716" s="1399"/>
      <c r="AA716" s="1399"/>
      <c r="AB716" s="1400"/>
      <c r="AC716" s="1410">
        <v>0.3</v>
      </c>
      <c r="AD716" s="1411"/>
      <c r="AE716" s="1411"/>
      <c r="AF716" s="1411"/>
      <c r="AG716" s="1412"/>
      <c r="AH716" s="1394">
        <f t="shared" si="52"/>
        <v>0.29797979797979796</v>
      </c>
      <c r="AI716" s="1395"/>
      <c r="AJ716" s="1396"/>
      <c r="AK716" s="1391" t="s">
        <v>600</v>
      </c>
      <c r="AL716" s="1392"/>
      <c r="AM716" s="1392"/>
      <c r="AN716" s="1392"/>
      <c r="AO716" s="1393"/>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91" t="s">
        <v>164</v>
      </c>
      <c r="C717" s="1392"/>
      <c r="D717" s="1392"/>
      <c r="E717" s="1392"/>
      <c r="F717" s="1393"/>
      <c r="G717" s="1578">
        <v>54</v>
      </c>
      <c r="H717" s="1579"/>
      <c r="I717" s="1579"/>
      <c r="J717" s="1580"/>
      <c r="K717" s="1635" t="s">
        <v>2635</v>
      </c>
      <c r="L717" s="1576"/>
      <c r="M717" s="1576"/>
      <c r="N717" s="1577"/>
      <c r="O717" s="1572">
        <v>1058</v>
      </c>
      <c r="P717" s="1573"/>
      <c r="Q717" s="1573"/>
      <c r="R717" s="1573"/>
      <c r="S717" s="1574"/>
      <c r="T717" s="1572">
        <v>102</v>
      </c>
      <c r="U717" s="1573"/>
      <c r="V717" s="1573"/>
      <c r="W717" s="1574"/>
      <c r="X717" s="1398">
        <f t="shared" si="51"/>
        <v>1160</v>
      </c>
      <c r="Y717" s="1399"/>
      <c r="Z717" s="1399"/>
      <c r="AA717" s="1399"/>
      <c r="AB717" s="1400"/>
      <c r="AC717" s="1410">
        <v>0.6</v>
      </c>
      <c r="AD717" s="1411"/>
      <c r="AE717" s="1411"/>
      <c r="AF717" s="1411"/>
      <c r="AG717" s="1412"/>
      <c r="AH717" s="1394">
        <f t="shared" si="52"/>
        <v>0.58585858585858586</v>
      </c>
      <c r="AI717" s="1395"/>
      <c r="AJ717" s="1396"/>
      <c r="AK717" s="1391" t="s">
        <v>600</v>
      </c>
      <c r="AL717" s="1392"/>
      <c r="AM717" s="1392"/>
      <c r="AN717" s="1392"/>
      <c r="AO717" s="1393"/>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91" t="s">
        <v>165</v>
      </c>
      <c r="C718" s="1392"/>
      <c r="D718" s="1392"/>
      <c r="E718" s="1392"/>
      <c r="F718" s="1393"/>
      <c r="G718" s="1578">
        <v>7</v>
      </c>
      <c r="H718" s="1579"/>
      <c r="I718" s="1579"/>
      <c r="J718" s="1580"/>
      <c r="K718" s="1635" t="s">
        <v>2635</v>
      </c>
      <c r="L718" s="1576"/>
      <c r="M718" s="1576"/>
      <c r="N718" s="1577"/>
      <c r="O718" s="1572">
        <v>556</v>
      </c>
      <c r="P718" s="1573"/>
      <c r="Q718" s="1573"/>
      <c r="R718" s="1573"/>
      <c r="S718" s="1574"/>
      <c r="T718" s="1572">
        <v>130</v>
      </c>
      <c r="U718" s="1573"/>
      <c r="V718" s="1573"/>
      <c r="W718" s="1574"/>
      <c r="X718" s="1398">
        <f t="shared" si="51"/>
        <v>686</v>
      </c>
      <c r="Y718" s="1399"/>
      <c r="Z718" s="1399"/>
      <c r="AA718" s="1399"/>
      <c r="AB718" s="1400"/>
      <c r="AC718" s="1410">
        <v>0.3</v>
      </c>
      <c r="AD718" s="1411"/>
      <c r="AE718" s="1411"/>
      <c r="AF718" s="1411"/>
      <c r="AG718" s="1412"/>
      <c r="AH718" s="1394">
        <f t="shared" si="52"/>
        <v>0.29982517482517484</v>
      </c>
      <c r="AI718" s="1395"/>
      <c r="AJ718" s="1396"/>
      <c r="AK718" s="1391" t="s">
        <v>600</v>
      </c>
      <c r="AL718" s="1392"/>
      <c r="AM718" s="1392"/>
      <c r="AN718" s="1392"/>
      <c r="AO718" s="1393"/>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91" t="s">
        <v>165</v>
      </c>
      <c r="C719" s="1392"/>
      <c r="D719" s="1392"/>
      <c r="E719" s="1392"/>
      <c r="F719" s="1393"/>
      <c r="G719" s="1578">
        <v>21</v>
      </c>
      <c r="H719" s="1579"/>
      <c r="I719" s="1579"/>
      <c r="J719" s="1580"/>
      <c r="K719" s="1575">
        <v>1003</v>
      </c>
      <c r="L719" s="1576"/>
      <c r="M719" s="1576"/>
      <c r="N719" s="1577"/>
      <c r="O719" s="1572">
        <v>1234</v>
      </c>
      <c r="P719" s="1573"/>
      <c r="Q719" s="1573"/>
      <c r="R719" s="1573"/>
      <c r="S719" s="1574"/>
      <c r="T719" s="1572">
        <v>130</v>
      </c>
      <c r="U719" s="1573"/>
      <c r="V719" s="1573"/>
      <c r="W719" s="1574"/>
      <c r="X719" s="1398">
        <f t="shared" si="51"/>
        <v>1364</v>
      </c>
      <c r="Y719" s="1399"/>
      <c r="Z719" s="1399"/>
      <c r="AA719" s="1399"/>
      <c r="AB719" s="1400"/>
      <c r="AC719" s="1410">
        <v>0.6</v>
      </c>
      <c r="AD719" s="1411"/>
      <c r="AE719" s="1411"/>
      <c r="AF719" s="1411"/>
      <c r="AG719" s="1412"/>
      <c r="AH719" s="1394">
        <f t="shared" si="52"/>
        <v>0.59615384615384615</v>
      </c>
      <c r="AI719" s="1395"/>
      <c r="AJ719" s="1396"/>
      <c r="AK719" s="1391" t="s">
        <v>600</v>
      </c>
      <c r="AL719" s="1392"/>
      <c r="AM719" s="1392"/>
      <c r="AN719" s="1392"/>
      <c r="AO719" s="1393"/>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91" t="s">
        <v>165</v>
      </c>
      <c r="C720" s="1392"/>
      <c r="D720" s="1392"/>
      <c r="E720" s="1392"/>
      <c r="F720" s="1393"/>
      <c r="G720" s="1578">
        <v>2</v>
      </c>
      <c r="H720" s="1579"/>
      <c r="I720" s="1579"/>
      <c r="J720" s="1580"/>
      <c r="K720" s="1575">
        <v>765</v>
      </c>
      <c r="L720" s="1576"/>
      <c r="M720" s="1576"/>
      <c r="N720" s="1577"/>
      <c r="O720" s="1572">
        <f>686-130</f>
        <v>556</v>
      </c>
      <c r="P720" s="1573"/>
      <c r="Q720" s="1573"/>
      <c r="R720" s="1573"/>
      <c r="S720" s="1574"/>
      <c r="T720" s="1572">
        <v>130</v>
      </c>
      <c r="U720" s="1573"/>
      <c r="V720" s="1573"/>
      <c r="W720" s="1574"/>
      <c r="X720" s="1398">
        <f t="shared" si="51"/>
        <v>686</v>
      </c>
      <c r="Y720" s="1399"/>
      <c r="Z720" s="1399"/>
      <c r="AA720" s="1399"/>
      <c r="AB720" s="1400"/>
      <c r="AC720" s="1410">
        <v>0.3</v>
      </c>
      <c r="AD720" s="1411"/>
      <c r="AE720" s="1411"/>
      <c r="AF720" s="1411"/>
      <c r="AG720" s="1412"/>
      <c r="AH720" s="1394">
        <f t="shared" si="52"/>
        <v>0.29982517482517484</v>
      </c>
      <c r="AI720" s="1395"/>
      <c r="AJ720" s="1396"/>
      <c r="AK720" s="1391" t="s">
        <v>600</v>
      </c>
      <c r="AL720" s="1392"/>
      <c r="AM720" s="1392"/>
      <c r="AN720" s="1392"/>
      <c r="AO720" s="1393"/>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91"/>
      <c r="C721" s="1392"/>
      <c r="D721" s="1392"/>
      <c r="E721" s="1392"/>
      <c r="F721" s="1393"/>
      <c r="G721" s="1578"/>
      <c r="H721" s="1579"/>
      <c r="I721" s="1579"/>
      <c r="J721" s="1580"/>
      <c r="K721" s="1575"/>
      <c r="L721" s="1576"/>
      <c r="M721" s="1576"/>
      <c r="N721" s="1577"/>
      <c r="O721" s="1572"/>
      <c r="P721" s="1573"/>
      <c r="Q721" s="1573"/>
      <c r="R721" s="1573"/>
      <c r="S721" s="1574"/>
      <c r="T721" s="1572"/>
      <c r="U721" s="1573"/>
      <c r="V721" s="1573"/>
      <c r="W721" s="1574"/>
      <c r="X721" s="1398">
        <f t="shared" si="51"/>
        <v>0</v>
      </c>
      <c r="Y721" s="1399"/>
      <c r="Z721" s="1399"/>
      <c r="AA721" s="1399"/>
      <c r="AB721" s="1400"/>
      <c r="AC721" s="1410"/>
      <c r="AD721" s="1411"/>
      <c r="AE721" s="1411"/>
      <c r="AF721" s="1411"/>
      <c r="AG721" s="1412"/>
      <c r="AH721" s="1394" t="str">
        <f t="shared" si="52"/>
        <v xml:space="preserve"> </v>
      </c>
      <c r="AI721" s="1395"/>
      <c r="AJ721" s="1396"/>
      <c r="AK721" s="1391" t="s">
        <v>600</v>
      </c>
      <c r="AL721" s="1392"/>
      <c r="AM721" s="1392"/>
      <c r="AN721" s="1392"/>
      <c r="AO721" s="1393"/>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91"/>
      <c r="C722" s="1392"/>
      <c r="D722" s="1392"/>
      <c r="E722" s="1392"/>
      <c r="F722" s="1393"/>
      <c r="G722" s="1578"/>
      <c r="H722" s="1579"/>
      <c r="I722" s="1579"/>
      <c r="J722" s="1580"/>
      <c r="K722" s="1575"/>
      <c r="L722" s="1576"/>
      <c r="M722" s="1576"/>
      <c r="N722" s="1577"/>
      <c r="O722" s="1572"/>
      <c r="P722" s="1573"/>
      <c r="Q722" s="1573"/>
      <c r="R722" s="1573"/>
      <c r="S722" s="1574"/>
      <c r="T722" s="1572"/>
      <c r="U722" s="1573"/>
      <c r="V722" s="1573"/>
      <c r="W722" s="1574"/>
      <c r="X722" s="1398">
        <f t="shared" si="51"/>
        <v>0</v>
      </c>
      <c r="Y722" s="1399"/>
      <c r="Z722" s="1399"/>
      <c r="AA722" s="1399"/>
      <c r="AB722" s="1400"/>
      <c r="AC722" s="1410"/>
      <c r="AD722" s="1411"/>
      <c r="AE722" s="1411"/>
      <c r="AF722" s="1411"/>
      <c r="AG722" s="1412"/>
      <c r="AH722" s="1394" t="str">
        <f t="shared" si="52"/>
        <v xml:space="preserve"> </v>
      </c>
      <c r="AI722" s="1395"/>
      <c r="AJ722" s="1396"/>
      <c r="AK722" s="1391" t="s">
        <v>600</v>
      </c>
      <c r="AL722" s="1392"/>
      <c r="AM722" s="1392"/>
      <c r="AN722" s="1392"/>
      <c r="AO722" s="1393"/>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91"/>
      <c r="C723" s="1392"/>
      <c r="D723" s="1392"/>
      <c r="E723" s="1392"/>
      <c r="F723" s="1393"/>
      <c r="G723" s="1578"/>
      <c r="H723" s="1579"/>
      <c r="I723" s="1579"/>
      <c r="J723" s="1580"/>
      <c r="K723" s="1575"/>
      <c r="L723" s="1576"/>
      <c r="M723" s="1576"/>
      <c r="N723" s="1577"/>
      <c r="O723" s="1572"/>
      <c r="P723" s="1573"/>
      <c r="Q723" s="1573"/>
      <c r="R723" s="1573"/>
      <c r="S723" s="1574"/>
      <c r="T723" s="1572"/>
      <c r="U723" s="1573"/>
      <c r="V723" s="1573"/>
      <c r="W723" s="1574"/>
      <c r="X723" s="1398">
        <f t="shared" si="51"/>
        <v>0</v>
      </c>
      <c r="Y723" s="1399"/>
      <c r="Z723" s="1399"/>
      <c r="AA723" s="1399"/>
      <c r="AB723" s="1400"/>
      <c r="AC723" s="1410"/>
      <c r="AD723" s="1411"/>
      <c r="AE723" s="1411"/>
      <c r="AF723" s="1411"/>
      <c r="AG723" s="1412"/>
      <c r="AH723" s="1394" t="str">
        <f t="shared" si="52"/>
        <v xml:space="preserve"> </v>
      </c>
      <c r="AI723" s="1395"/>
      <c r="AJ723" s="1396"/>
      <c r="AK723" s="1391" t="s">
        <v>600</v>
      </c>
      <c r="AL723" s="1392"/>
      <c r="AM723" s="1392"/>
      <c r="AN723" s="1392"/>
      <c r="AO723" s="1393"/>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91"/>
      <c r="C724" s="1392"/>
      <c r="D724" s="1392"/>
      <c r="E724" s="1392"/>
      <c r="F724" s="1393"/>
      <c r="G724" s="1578"/>
      <c r="H724" s="1579"/>
      <c r="I724" s="1579"/>
      <c r="J724" s="1580"/>
      <c r="K724" s="1575"/>
      <c r="L724" s="1576"/>
      <c r="M724" s="1576"/>
      <c r="N724" s="1577"/>
      <c r="O724" s="1572"/>
      <c r="P724" s="1573"/>
      <c r="Q724" s="1573"/>
      <c r="R724" s="1573"/>
      <c r="S724" s="1574"/>
      <c r="T724" s="1572"/>
      <c r="U724" s="1573"/>
      <c r="V724" s="1573"/>
      <c r="W724" s="1574"/>
      <c r="X724" s="1398">
        <f t="shared" si="51"/>
        <v>0</v>
      </c>
      <c r="Y724" s="1399"/>
      <c r="Z724" s="1399"/>
      <c r="AA724" s="1399"/>
      <c r="AB724" s="1400"/>
      <c r="AC724" s="1410"/>
      <c r="AD724" s="1411"/>
      <c r="AE724" s="1411"/>
      <c r="AF724" s="1411"/>
      <c r="AG724" s="1412"/>
      <c r="AH724" s="1394" t="str">
        <f t="shared" si="52"/>
        <v xml:space="preserve"> </v>
      </c>
      <c r="AI724" s="1395"/>
      <c r="AJ724" s="1396"/>
      <c r="AK724" s="1391" t="s">
        <v>600</v>
      </c>
      <c r="AL724" s="1392"/>
      <c r="AM724" s="1392"/>
      <c r="AN724" s="1392"/>
      <c r="AO724" s="1393"/>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91"/>
      <c r="C725" s="1392"/>
      <c r="D725" s="1392"/>
      <c r="E725" s="1392"/>
      <c r="F725" s="1393"/>
      <c r="G725" s="1578"/>
      <c r="H725" s="1579"/>
      <c r="I725" s="1579"/>
      <c r="J725" s="1580"/>
      <c r="K725" s="1575"/>
      <c r="L725" s="1576"/>
      <c r="M725" s="1576"/>
      <c r="N725" s="1577"/>
      <c r="O725" s="1572"/>
      <c r="P725" s="1573"/>
      <c r="Q725" s="1573"/>
      <c r="R725" s="1573"/>
      <c r="S725" s="1574"/>
      <c r="T725" s="1572"/>
      <c r="U725" s="1573"/>
      <c r="V725" s="1573"/>
      <c r="W725" s="1574"/>
      <c r="X725" s="1398">
        <f t="shared" si="51"/>
        <v>0</v>
      </c>
      <c r="Y725" s="1399"/>
      <c r="Z725" s="1399"/>
      <c r="AA725" s="1399"/>
      <c r="AB725" s="1400"/>
      <c r="AC725" s="1410"/>
      <c r="AD725" s="1411"/>
      <c r="AE725" s="1411"/>
      <c r="AF725" s="1411"/>
      <c r="AG725" s="1412"/>
      <c r="AH725" s="1394" t="str">
        <f t="shared" si="52"/>
        <v xml:space="preserve"> </v>
      </c>
      <c r="AI725" s="1395"/>
      <c r="AJ725" s="1396"/>
      <c r="AK725" s="1391" t="s">
        <v>600</v>
      </c>
      <c r="AL725" s="1392"/>
      <c r="AM725" s="1392"/>
      <c r="AN725" s="1392"/>
      <c r="AO725" s="1393"/>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91"/>
      <c r="C726" s="1392"/>
      <c r="D726" s="1392"/>
      <c r="E726" s="1392"/>
      <c r="F726" s="1393"/>
      <c r="G726" s="1578"/>
      <c r="H726" s="1579"/>
      <c r="I726" s="1579"/>
      <c r="J726" s="1580"/>
      <c r="K726" s="1575"/>
      <c r="L726" s="1576"/>
      <c r="M726" s="1576"/>
      <c r="N726" s="1577"/>
      <c r="O726" s="1572"/>
      <c r="P726" s="1573"/>
      <c r="Q726" s="1573"/>
      <c r="R726" s="1573"/>
      <c r="S726" s="1574"/>
      <c r="T726" s="1572"/>
      <c r="U726" s="1573"/>
      <c r="V726" s="1573"/>
      <c r="W726" s="1574"/>
      <c r="X726" s="1398">
        <f t="shared" si="51"/>
        <v>0</v>
      </c>
      <c r="Y726" s="1399"/>
      <c r="Z726" s="1399"/>
      <c r="AA726" s="1399"/>
      <c r="AB726" s="1400"/>
      <c r="AC726" s="1410"/>
      <c r="AD726" s="1411"/>
      <c r="AE726" s="1411"/>
      <c r="AF726" s="1411"/>
      <c r="AG726" s="1412"/>
      <c r="AH726" s="1394" t="str">
        <f t="shared" si="52"/>
        <v xml:space="preserve"> </v>
      </c>
      <c r="AI726" s="1395"/>
      <c r="AJ726" s="1396"/>
      <c r="AK726" s="1391" t="s">
        <v>600</v>
      </c>
      <c r="AL726" s="1392"/>
      <c r="AM726" s="1392"/>
      <c r="AN726" s="1392"/>
      <c r="AO726" s="1393"/>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91"/>
      <c r="C727" s="1392"/>
      <c r="D727" s="1392"/>
      <c r="E727" s="1392"/>
      <c r="F727" s="1393"/>
      <c r="G727" s="1578"/>
      <c r="H727" s="1579"/>
      <c r="I727" s="1579"/>
      <c r="J727" s="1580"/>
      <c r="K727" s="1575"/>
      <c r="L727" s="1576"/>
      <c r="M727" s="1576"/>
      <c r="N727" s="1577"/>
      <c r="O727" s="1572"/>
      <c r="P727" s="1573"/>
      <c r="Q727" s="1573"/>
      <c r="R727" s="1573"/>
      <c r="S727" s="1574"/>
      <c r="T727" s="1572"/>
      <c r="U727" s="1573"/>
      <c r="V727" s="1573"/>
      <c r="W727" s="1574"/>
      <c r="X727" s="1398">
        <f t="shared" si="51"/>
        <v>0</v>
      </c>
      <c r="Y727" s="1399"/>
      <c r="Z727" s="1399"/>
      <c r="AA727" s="1399"/>
      <c r="AB727" s="1400"/>
      <c r="AC727" s="1410">
        <v>0</v>
      </c>
      <c r="AD727" s="1411"/>
      <c r="AE727" s="1411"/>
      <c r="AF727" s="1411"/>
      <c r="AG727" s="1412"/>
      <c r="AH727" s="1394" t="str">
        <f t="shared" si="52"/>
        <v xml:space="preserve"> </v>
      </c>
      <c r="AI727" s="1395"/>
      <c r="AJ727" s="1396"/>
      <c r="AK727" s="1391" t="s">
        <v>600</v>
      </c>
      <c r="AL727" s="1392"/>
      <c r="AM727" s="1392"/>
      <c r="AN727" s="1392"/>
      <c r="AO727" s="1393"/>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91"/>
      <c r="C728" s="1392"/>
      <c r="D728" s="1392"/>
      <c r="E728" s="1392"/>
      <c r="F728" s="1393"/>
      <c r="G728" s="1578"/>
      <c r="H728" s="1579"/>
      <c r="I728" s="1579"/>
      <c r="J728" s="1580"/>
      <c r="K728" s="1575"/>
      <c r="L728" s="1576"/>
      <c r="M728" s="1576"/>
      <c r="N728" s="1577"/>
      <c r="O728" s="1572"/>
      <c r="P728" s="1573"/>
      <c r="Q728" s="1573"/>
      <c r="R728" s="1573"/>
      <c r="S728" s="1574"/>
      <c r="T728" s="1572"/>
      <c r="U728" s="1573"/>
      <c r="V728" s="1573"/>
      <c r="W728" s="1574"/>
      <c r="X728" s="1398">
        <f t="shared" si="51"/>
        <v>0</v>
      </c>
      <c r="Y728" s="1399"/>
      <c r="Z728" s="1399"/>
      <c r="AA728" s="1399"/>
      <c r="AB728" s="1400"/>
      <c r="AC728" s="1410">
        <v>0</v>
      </c>
      <c r="AD728" s="1411"/>
      <c r="AE728" s="1411"/>
      <c r="AF728" s="1411"/>
      <c r="AG728" s="1412"/>
      <c r="AH728" s="1394" t="str">
        <f t="shared" si="52"/>
        <v xml:space="preserve"> </v>
      </c>
      <c r="AI728" s="1395"/>
      <c r="AJ728" s="1396"/>
      <c r="AK728" s="1391" t="s">
        <v>600</v>
      </c>
      <c r="AL728" s="1392"/>
      <c r="AM728" s="1392"/>
      <c r="AN728" s="1392"/>
      <c r="AO728" s="1393"/>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91"/>
      <c r="C729" s="1392"/>
      <c r="D729" s="1392"/>
      <c r="E729" s="1392"/>
      <c r="F729" s="1393"/>
      <c r="G729" s="1578"/>
      <c r="H729" s="1579"/>
      <c r="I729" s="1579"/>
      <c r="J729" s="1580"/>
      <c r="K729" s="1575"/>
      <c r="L729" s="1576"/>
      <c r="M729" s="1576"/>
      <c r="N729" s="1577"/>
      <c r="O729" s="1572"/>
      <c r="P729" s="1573"/>
      <c r="Q729" s="1573"/>
      <c r="R729" s="1573"/>
      <c r="S729" s="1574"/>
      <c r="T729" s="1572"/>
      <c r="U729" s="1573"/>
      <c r="V729" s="1573"/>
      <c r="W729" s="1574"/>
      <c r="X729" s="1398">
        <f t="shared" si="51"/>
        <v>0</v>
      </c>
      <c r="Y729" s="1399"/>
      <c r="Z729" s="1399"/>
      <c r="AA729" s="1399"/>
      <c r="AB729" s="1400"/>
      <c r="AC729" s="1410">
        <v>0</v>
      </c>
      <c r="AD729" s="1411"/>
      <c r="AE729" s="1411"/>
      <c r="AF729" s="1411"/>
      <c r="AG729" s="1412"/>
      <c r="AH729" s="1394" t="str">
        <f t="shared" si="52"/>
        <v xml:space="preserve"> </v>
      </c>
      <c r="AI729" s="1395"/>
      <c r="AJ729" s="1396"/>
      <c r="AK729" s="1391" t="s">
        <v>600</v>
      </c>
      <c r="AL729" s="1392"/>
      <c r="AM729" s="1392"/>
      <c r="AN729" s="1392"/>
      <c r="AO729" s="1393"/>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91"/>
      <c r="C730" s="1392"/>
      <c r="D730" s="1392"/>
      <c r="E730" s="1392"/>
      <c r="F730" s="1393"/>
      <c r="G730" s="1578"/>
      <c r="H730" s="1579"/>
      <c r="I730" s="1579"/>
      <c r="J730" s="1580"/>
      <c r="K730" s="1575"/>
      <c r="L730" s="1576"/>
      <c r="M730" s="1576"/>
      <c r="N730" s="1577"/>
      <c r="O730" s="1572"/>
      <c r="P730" s="1573"/>
      <c r="Q730" s="1573"/>
      <c r="R730" s="1573"/>
      <c r="S730" s="1574"/>
      <c r="T730" s="1572"/>
      <c r="U730" s="1573"/>
      <c r="V730" s="1573"/>
      <c r="W730" s="1574"/>
      <c r="X730" s="1398">
        <f t="shared" si="51"/>
        <v>0</v>
      </c>
      <c r="Y730" s="1399"/>
      <c r="Z730" s="1399"/>
      <c r="AA730" s="1399"/>
      <c r="AB730" s="1400"/>
      <c r="AC730" s="1410">
        <v>0</v>
      </c>
      <c r="AD730" s="1411"/>
      <c r="AE730" s="1411"/>
      <c r="AF730" s="1411"/>
      <c r="AG730" s="1412"/>
      <c r="AH730" s="1394" t="str">
        <f t="shared" si="52"/>
        <v xml:space="preserve"> </v>
      </c>
      <c r="AI730" s="1395"/>
      <c r="AJ730" s="1396"/>
      <c r="AK730" s="1391" t="s">
        <v>600</v>
      </c>
      <c r="AL730" s="1392"/>
      <c r="AM730" s="1392"/>
      <c r="AN730" s="1392"/>
      <c r="AO730" s="1393"/>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91"/>
      <c r="C731" s="1392"/>
      <c r="D731" s="1392"/>
      <c r="E731" s="1392"/>
      <c r="F731" s="1393"/>
      <c r="G731" s="1578"/>
      <c r="H731" s="1579"/>
      <c r="I731" s="1579"/>
      <c r="J731" s="1580"/>
      <c r="K731" s="1575"/>
      <c r="L731" s="1576"/>
      <c r="M731" s="1576"/>
      <c r="N731" s="1577"/>
      <c r="O731" s="1572"/>
      <c r="P731" s="1573"/>
      <c r="Q731" s="1573"/>
      <c r="R731" s="1573"/>
      <c r="S731" s="1574"/>
      <c r="T731" s="1572"/>
      <c r="U731" s="1573"/>
      <c r="V731" s="1573"/>
      <c r="W731" s="1574"/>
      <c r="X731" s="1398">
        <f t="shared" si="51"/>
        <v>0</v>
      </c>
      <c r="Y731" s="1399"/>
      <c r="Z731" s="1399"/>
      <c r="AA731" s="1399"/>
      <c r="AB731" s="1400"/>
      <c r="AC731" s="1410">
        <v>0</v>
      </c>
      <c r="AD731" s="1411"/>
      <c r="AE731" s="1411"/>
      <c r="AF731" s="1411"/>
      <c r="AG731" s="1412"/>
      <c r="AH731" s="1394" t="str">
        <f t="shared" si="52"/>
        <v xml:space="preserve"> </v>
      </c>
      <c r="AI731" s="1395"/>
      <c r="AJ731" s="1396"/>
      <c r="AK731" s="1391" t="s">
        <v>600</v>
      </c>
      <c r="AL731" s="1392"/>
      <c r="AM731" s="1392"/>
      <c r="AN731" s="1392"/>
      <c r="AO731" s="1393"/>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91"/>
      <c r="C732" s="1392"/>
      <c r="D732" s="1392"/>
      <c r="E732" s="1392"/>
      <c r="F732" s="1393"/>
      <c r="G732" s="1578"/>
      <c r="H732" s="1579"/>
      <c r="I732" s="1579"/>
      <c r="J732" s="1580"/>
      <c r="K732" s="1575"/>
      <c r="L732" s="1576"/>
      <c r="M732" s="1576"/>
      <c r="N732" s="1577"/>
      <c r="O732" s="1572"/>
      <c r="P732" s="1573"/>
      <c r="Q732" s="1573"/>
      <c r="R732" s="1573"/>
      <c r="S732" s="1574"/>
      <c r="T732" s="1572"/>
      <c r="U732" s="1573"/>
      <c r="V732" s="1573"/>
      <c r="W732" s="1574"/>
      <c r="X732" s="1398">
        <f t="shared" si="51"/>
        <v>0</v>
      </c>
      <c r="Y732" s="1399"/>
      <c r="Z732" s="1399"/>
      <c r="AA732" s="1399"/>
      <c r="AB732" s="1400"/>
      <c r="AC732" s="1410">
        <v>0</v>
      </c>
      <c r="AD732" s="1411"/>
      <c r="AE732" s="1411"/>
      <c r="AF732" s="1411"/>
      <c r="AG732" s="1412"/>
      <c r="AH732" s="1394" t="str">
        <f t="shared" si="52"/>
        <v xml:space="preserve"> </v>
      </c>
      <c r="AI732" s="1395"/>
      <c r="AJ732" s="1396"/>
      <c r="AK732" s="1391" t="s">
        <v>600</v>
      </c>
      <c r="AL732" s="1392"/>
      <c r="AM732" s="1392"/>
      <c r="AN732" s="1392"/>
      <c r="AO732" s="1393"/>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91"/>
      <c r="C733" s="1392"/>
      <c r="D733" s="1392"/>
      <c r="E733" s="1392"/>
      <c r="F733" s="1393"/>
      <c r="G733" s="1578"/>
      <c r="H733" s="1579"/>
      <c r="I733" s="1579"/>
      <c r="J733" s="1580"/>
      <c r="K733" s="1575"/>
      <c r="L733" s="1576"/>
      <c r="M733" s="1576"/>
      <c r="N733" s="1577"/>
      <c r="O733" s="1572"/>
      <c r="P733" s="1573"/>
      <c r="Q733" s="1573"/>
      <c r="R733" s="1573"/>
      <c r="S733" s="1574"/>
      <c r="T733" s="1572"/>
      <c r="U733" s="1573"/>
      <c r="V733" s="1573"/>
      <c r="W733" s="1574"/>
      <c r="X733" s="1398">
        <f t="shared" si="51"/>
        <v>0</v>
      </c>
      <c r="Y733" s="1399"/>
      <c r="Z733" s="1399"/>
      <c r="AA733" s="1399"/>
      <c r="AB733" s="1400"/>
      <c r="AC733" s="1410">
        <v>0</v>
      </c>
      <c r="AD733" s="1411"/>
      <c r="AE733" s="1411"/>
      <c r="AF733" s="1411"/>
      <c r="AG733" s="1412"/>
      <c r="AH733" s="1394" t="str">
        <f t="shared" si="52"/>
        <v xml:space="preserve"> </v>
      </c>
      <c r="AI733" s="1395"/>
      <c r="AJ733" s="1396"/>
      <c r="AK733" s="1391" t="s">
        <v>600</v>
      </c>
      <c r="AL733" s="1392"/>
      <c r="AM733" s="1392"/>
      <c r="AN733" s="1392"/>
      <c r="AO733" s="1393"/>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91"/>
      <c r="C734" s="1392"/>
      <c r="D734" s="1392"/>
      <c r="E734" s="1392"/>
      <c r="F734" s="1393"/>
      <c r="G734" s="1578"/>
      <c r="H734" s="1579"/>
      <c r="I734" s="1579"/>
      <c r="J734" s="1580"/>
      <c r="K734" s="1575"/>
      <c r="L734" s="1576"/>
      <c r="M734" s="1576"/>
      <c r="N734" s="1577"/>
      <c r="O734" s="1572"/>
      <c r="P734" s="1573"/>
      <c r="Q734" s="1573"/>
      <c r="R734" s="1573"/>
      <c r="S734" s="1574"/>
      <c r="T734" s="1572"/>
      <c r="U734" s="1573"/>
      <c r="V734" s="1573"/>
      <c r="W734" s="1574"/>
      <c r="X734" s="1398">
        <f t="shared" si="51"/>
        <v>0</v>
      </c>
      <c r="Y734" s="1399"/>
      <c r="Z734" s="1399"/>
      <c r="AA734" s="1399"/>
      <c r="AB734" s="1400"/>
      <c r="AC734" s="1410">
        <v>0</v>
      </c>
      <c r="AD734" s="1411"/>
      <c r="AE734" s="1411"/>
      <c r="AF734" s="1411"/>
      <c r="AG734" s="1412"/>
      <c r="AH734" s="1394" t="str">
        <f t="shared" si="52"/>
        <v xml:space="preserve"> </v>
      </c>
      <c r="AI734" s="1395"/>
      <c r="AJ734" s="1396"/>
      <c r="AK734" s="1391" t="s">
        <v>600</v>
      </c>
      <c r="AL734" s="1392"/>
      <c r="AM734" s="1392"/>
      <c r="AN734" s="1392"/>
      <c r="AO734" s="1393"/>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91"/>
      <c r="C735" s="1392"/>
      <c r="D735" s="1392"/>
      <c r="E735" s="1392"/>
      <c r="F735" s="1393"/>
      <c r="G735" s="1578"/>
      <c r="H735" s="1579"/>
      <c r="I735" s="1579"/>
      <c r="J735" s="1580"/>
      <c r="K735" s="1575"/>
      <c r="L735" s="1576"/>
      <c r="M735" s="1576"/>
      <c r="N735" s="1577"/>
      <c r="O735" s="1572"/>
      <c r="P735" s="1573"/>
      <c r="Q735" s="1573"/>
      <c r="R735" s="1573"/>
      <c r="S735" s="1574"/>
      <c r="T735" s="1572"/>
      <c r="U735" s="1573"/>
      <c r="V735" s="1573"/>
      <c r="W735" s="1574"/>
      <c r="X735" s="1398">
        <f t="shared" si="51"/>
        <v>0</v>
      </c>
      <c r="Y735" s="1399"/>
      <c r="Z735" s="1399"/>
      <c r="AA735" s="1399"/>
      <c r="AB735" s="1400"/>
      <c r="AC735" s="1410">
        <v>0</v>
      </c>
      <c r="AD735" s="1411"/>
      <c r="AE735" s="1411"/>
      <c r="AF735" s="1411"/>
      <c r="AG735" s="1412"/>
      <c r="AH735" s="1394" t="str">
        <f t="shared" si="52"/>
        <v xml:space="preserve"> </v>
      </c>
      <c r="AI735" s="1395"/>
      <c r="AJ735" s="1396"/>
      <c r="AK735" s="1391" t="s">
        <v>600</v>
      </c>
      <c r="AL735" s="1392"/>
      <c r="AM735" s="1392"/>
      <c r="AN735" s="1392"/>
      <c r="AO735" s="1393"/>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91"/>
      <c r="C736" s="1392"/>
      <c r="D736" s="1392"/>
      <c r="E736" s="1392"/>
      <c r="F736" s="1393"/>
      <c r="G736" s="1578"/>
      <c r="H736" s="1579"/>
      <c r="I736" s="1579"/>
      <c r="J736" s="1580"/>
      <c r="K736" s="1575"/>
      <c r="L736" s="1576"/>
      <c r="M736" s="1576"/>
      <c r="N736" s="1577"/>
      <c r="O736" s="1572"/>
      <c r="P736" s="1573"/>
      <c r="Q736" s="1573"/>
      <c r="R736" s="1573"/>
      <c r="S736" s="1574"/>
      <c r="T736" s="1572"/>
      <c r="U736" s="1573"/>
      <c r="V736" s="1573"/>
      <c r="W736" s="1574"/>
      <c r="X736" s="1398">
        <f t="shared" si="51"/>
        <v>0</v>
      </c>
      <c r="Y736" s="1399"/>
      <c r="Z736" s="1399"/>
      <c r="AA736" s="1399"/>
      <c r="AB736" s="1400"/>
      <c r="AC736" s="1410">
        <v>0</v>
      </c>
      <c r="AD736" s="1411"/>
      <c r="AE736" s="1411"/>
      <c r="AF736" s="1411"/>
      <c r="AG736" s="1412"/>
      <c r="AH736" s="1394" t="str">
        <f t="shared" si="52"/>
        <v xml:space="preserve"> </v>
      </c>
      <c r="AI736" s="1395"/>
      <c r="AJ736" s="1396"/>
      <c r="AK736" s="1391" t="s">
        <v>600</v>
      </c>
      <c r="AL736" s="1392"/>
      <c r="AM736" s="1392"/>
      <c r="AN736" s="1392"/>
      <c r="AO736" s="1393"/>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91"/>
      <c r="C737" s="1392"/>
      <c r="D737" s="1392"/>
      <c r="E737" s="1392"/>
      <c r="F737" s="1393"/>
      <c r="G737" s="1578"/>
      <c r="H737" s="1579"/>
      <c r="I737" s="1579"/>
      <c r="J737" s="1580"/>
      <c r="K737" s="1575"/>
      <c r="L737" s="1576"/>
      <c r="M737" s="1576"/>
      <c r="N737" s="1577"/>
      <c r="O737" s="1572"/>
      <c r="P737" s="1573"/>
      <c r="Q737" s="1573"/>
      <c r="R737" s="1573"/>
      <c r="S737" s="1574"/>
      <c r="T737" s="1572"/>
      <c r="U737" s="1573"/>
      <c r="V737" s="1573"/>
      <c r="W737" s="1574"/>
      <c r="X737" s="1398">
        <f t="shared" si="51"/>
        <v>0</v>
      </c>
      <c r="Y737" s="1399"/>
      <c r="Z737" s="1399"/>
      <c r="AA737" s="1399"/>
      <c r="AB737" s="1400"/>
      <c r="AC737" s="1410">
        <v>0</v>
      </c>
      <c r="AD737" s="1411"/>
      <c r="AE737" s="1411"/>
      <c r="AF737" s="1411"/>
      <c r="AG737" s="1412"/>
      <c r="AH737" s="1394" t="str">
        <f t="shared" si="52"/>
        <v xml:space="preserve"> </v>
      </c>
      <c r="AI737" s="1395"/>
      <c r="AJ737" s="1396"/>
      <c r="AK737" s="1391" t="s">
        <v>600</v>
      </c>
      <c r="AL737" s="1392"/>
      <c r="AM737" s="1392"/>
      <c r="AN737" s="1392"/>
      <c r="AO737" s="1393"/>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91"/>
      <c r="C738" s="1392"/>
      <c r="D738" s="1392"/>
      <c r="E738" s="1392"/>
      <c r="F738" s="1393"/>
      <c r="G738" s="1578"/>
      <c r="H738" s="1579"/>
      <c r="I738" s="1579"/>
      <c r="J738" s="1580"/>
      <c r="K738" s="1575"/>
      <c r="L738" s="1576"/>
      <c r="M738" s="1576"/>
      <c r="N738" s="1577"/>
      <c r="O738" s="1572"/>
      <c r="P738" s="1573"/>
      <c r="Q738" s="1573"/>
      <c r="R738" s="1573"/>
      <c r="S738" s="1574"/>
      <c r="T738" s="1572"/>
      <c r="U738" s="1573"/>
      <c r="V738" s="1573"/>
      <c r="W738" s="1574"/>
      <c r="X738" s="1398">
        <f t="shared" si="51"/>
        <v>0</v>
      </c>
      <c r="Y738" s="1399"/>
      <c r="Z738" s="1399"/>
      <c r="AA738" s="1399"/>
      <c r="AB738" s="1400"/>
      <c r="AC738" s="1410">
        <v>0</v>
      </c>
      <c r="AD738" s="1411"/>
      <c r="AE738" s="1411"/>
      <c r="AF738" s="1411"/>
      <c r="AG738" s="1412"/>
      <c r="AH738" s="1394" t="str">
        <f t="shared" si="52"/>
        <v xml:space="preserve"> </v>
      </c>
      <c r="AI738" s="1395"/>
      <c r="AJ738" s="1396"/>
      <c r="AK738" s="1391" t="s">
        <v>600</v>
      </c>
      <c r="AL738" s="1392"/>
      <c r="AM738" s="1392"/>
      <c r="AN738" s="1392"/>
      <c r="AO738" s="1393"/>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85" t="s">
        <v>126</v>
      </c>
      <c r="C739" s="1586"/>
      <c r="D739" s="1586"/>
      <c r="E739" s="1586"/>
      <c r="F739" s="1587"/>
      <c r="G739" s="1582">
        <f>SUM(G714:J738)</f>
        <v>120</v>
      </c>
      <c r="H739" s="1583"/>
      <c r="I739" s="1583"/>
      <c r="J739" s="1584"/>
      <c r="K739" s="939" t="s">
        <v>125</v>
      </c>
      <c r="L739" s="5"/>
      <c r="M739" s="5"/>
      <c r="N739" s="46"/>
      <c r="O739" s="1398">
        <f>SUMPRODUCT(G714:G738,O714:O738)</f>
        <v>104538</v>
      </c>
      <c r="P739" s="1399"/>
      <c r="Q739" s="1399"/>
      <c r="R739" s="1399"/>
      <c r="S739" s="1400"/>
      <c r="X739" s="941" t="s">
        <v>933</v>
      </c>
      <c r="Y739" s="940"/>
      <c r="Z739" s="940"/>
      <c r="AA739" s="940"/>
      <c r="AB739" s="942"/>
      <c r="AC739" s="1588">
        <f>BI682</f>
        <v>0.48749999999999999</v>
      </c>
      <c r="AD739" s="1589"/>
      <c r="AE739" s="1589"/>
      <c r="AF739" s="1589"/>
      <c r="AG739" s="1590"/>
      <c r="AH739" s="1588">
        <f>BI714</f>
        <v>0.4798693667443667</v>
      </c>
      <c r="AI739" s="1589"/>
      <c r="AJ739" s="1590"/>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17" t="s">
        <v>2259</v>
      </c>
      <c r="C740" s="1817"/>
      <c r="D740" s="1817"/>
      <c r="E740" s="1817"/>
      <c r="F740" s="1817"/>
      <c r="G740" s="1817"/>
      <c r="H740" s="1817"/>
      <c r="I740" s="1817"/>
      <c r="J740" s="1817"/>
      <c r="K740" s="1817"/>
      <c r="L740" s="1817"/>
      <c r="M740" s="1817"/>
      <c r="N740" s="1817"/>
      <c r="O740" s="1817"/>
      <c r="P740" s="1817"/>
      <c r="Q740" s="1817"/>
      <c r="R740" s="1817"/>
      <c r="S740" s="1817"/>
      <c r="T740" s="1817"/>
      <c r="U740" s="1817"/>
      <c r="V740" s="1817"/>
      <c r="W740" s="1817"/>
      <c r="X740" s="1817"/>
      <c r="Y740" s="1817"/>
      <c r="Z740" s="1817"/>
      <c r="AA740" s="1817"/>
      <c r="AB740" s="1817"/>
      <c r="AC740" s="1817"/>
      <c r="AD740" s="1817"/>
      <c r="AE740" s="1817"/>
      <c r="AF740" s="1817"/>
      <c r="AG740" s="1817"/>
      <c r="AH740" s="1817"/>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17"/>
      <c r="C741" s="1817"/>
      <c r="D741" s="1817"/>
      <c r="E741" s="1817"/>
      <c r="F741" s="1817"/>
      <c r="G741" s="1817"/>
      <c r="H741" s="1817"/>
      <c r="I741" s="1817"/>
      <c r="J741" s="1817"/>
      <c r="K741" s="1817"/>
      <c r="L741" s="1817"/>
      <c r="M741" s="1817"/>
      <c r="N741" s="1817"/>
      <c r="O741" s="1817"/>
      <c r="P741" s="1817"/>
      <c r="Q741" s="1817"/>
      <c r="R741" s="1817"/>
      <c r="S741" s="1817"/>
      <c r="T741" s="1817"/>
      <c r="U741" s="1817"/>
      <c r="V741" s="1817"/>
      <c r="W741" s="1817"/>
      <c r="X741" s="1817"/>
      <c r="Y741" s="1817"/>
      <c r="Z741" s="1817"/>
      <c r="AA741" s="1817"/>
      <c r="AB741" s="1817"/>
      <c r="AC741" s="1817"/>
      <c r="AD741" s="1817"/>
      <c r="AE741" s="1817"/>
      <c r="AF741" s="1817"/>
      <c r="AG741" s="1817"/>
      <c r="AH741" s="1817"/>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427">
        <f>CS623</f>
        <v>255</v>
      </c>
      <c r="P742" s="1427"/>
      <c r="Q742" s="1427"/>
      <c r="R742" s="1427"/>
      <c r="S742" s="1006"/>
      <c r="T742" s="1006"/>
      <c r="U742" s="118" t="s">
        <v>2258</v>
      </c>
      <c r="V742" s="1076"/>
      <c r="W742" s="1076"/>
      <c r="X742" s="1076"/>
      <c r="Y742" s="1077"/>
      <c r="Z742" s="1077"/>
      <c r="AA742" s="1077"/>
      <c r="AB742" s="1077"/>
      <c r="AC742" s="1076"/>
      <c r="AD742" s="1076"/>
      <c r="AE742" s="1076"/>
      <c r="AF742" s="1076"/>
      <c r="AG742" s="1691"/>
      <c r="AH742" s="1691"/>
      <c r="AI742" s="1691"/>
      <c r="AJ742" s="1691"/>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50" t="s">
        <v>600</v>
      </c>
      <c r="AE744" s="1750"/>
      <c r="AF744" s="1750"/>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8" t="s">
        <v>2514</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2.95" customHeight="1">
      <c r="B749" s="1076"/>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2.95" customHeight="1">
      <c r="B750" s="1076"/>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2.95" customHeight="1">
      <c r="B751" s="1076"/>
      <c r="C751" s="1268" t="s">
        <v>2515</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2.95" customHeight="1">
      <c r="B752" s="1076"/>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2.95" customHeight="1">
      <c r="B753" s="1076"/>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2.95" customHeight="1">
      <c r="J754" s="1413" t="s">
        <v>390</v>
      </c>
      <c r="K754" s="1402"/>
      <c r="L754" s="1402"/>
      <c r="M754" s="1402"/>
      <c r="N754" s="1403"/>
      <c r="O754" s="1678" t="s">
        <v>286</v>
      </c>
      <c r="P754" s="1678"/>
      <c r="Q754" s="1678"/>
      <c r="R754" s="1678"/>
      <c r="S754" s="1678"/>
      <c r="T754" s="1636" t="s">
        <v>1940</v>
      </c>
      <c r="U754" s="1637"/>
      <c r="V754" s="1637"/>
      <c r="W754" s="1638"/>
      <c r="X754" s="1413" t="s">
        <v>456</v>
      </c>
      <c r="Y754" s="1402"/>
      <c r="Z754" s="1402"/>
      <c r="AA754" s="1402"/>
      <c r="AB754" s="1403"/>
      <c r="AC754" s="1413" t="s">
        <v>287</v>
      </c>
      <c r="AD754" s="1402"/>
      <c r="AE754" s="1402"/>
      <c r="AF754" s="1402"/>
      <c r="AG754" s="140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04"/>
      <c r="K755" s="1405"/>
      <c r="L755" s="1405"/>
      <c r="M755" s="1405"/>
      <c r="N755" s="1406"/>
      <c r="O755" s="1678"/>
      <c r="P755" s="1678"/>
      <c r="Q755" s="1678"/>
      <c r="R755" s="1678"/>
      <c r="S755" s="1678"/>
      <c r="T755" s="1639"/>
      <c r="U755" s="1640"/>
      <c r="V755" s="1640"/>
      <c r="W755" s="1641"/>
      <c r="X755" s="1404"/>
      <c r="Y755" s="1405"/>
      <c r="Z755" s="1405"/>
      <c r="AA755" s="1405"/>
      <c r="AB755" s="1406"/>
      <c r="AC755" s="1404"/>
      <c r="AD755" s="1405"/>
      <c r="AE755" s="1405"/>
      <c r="AF755" s="1405"/>
      <c r="AG755" s="140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04"/>
      <c r="K756" s="1405"/>
      <c r="L756" s="1405"/>
      <c r="M756" s="1405"/>
      <c r="N756" s="1406"/>
      <c r="O756" s="1678"/>
      <c r="P756" s="1678"/>
      <c r="Q756" s="1678"/>
      <c r="R756" s="1678"/>
      <c r="S756" s="1678"/>
      <c r="T756" s="1639"/>
      <c r="U756" s="1640"/>
      <c r="V756" s="1640"/>
      <c r="W756" s="1641"/>
      <c r="X756" s="1404"/>
      <c r="Y756" s="1405"/>
      <c r="Z756" s="1405"/>
      <c r="AA756" s="1405"/>
      <c r="AB756" s="1406"/>
      <c r="AC756" s="1404"/>
      <c r="AD756" s="1405"/>
      <c r="AE756" s="1405"/>
      <c r="AF756" s="1405"/>
      <c r="AG756" s="140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7"/>
      <c r="K757" s="1408"/>
      <c r="L757" s="1408"/>
      <c r="M757" s="1408"/>
      <c r="N757" s="1409"/>
      <c r="O757" s="1678"/>
      <c r="P757" s="1678"/>
      <c r="Q757" s="1678"/>
      <c r="R757" s="1678"/>
      <c r="S757" s="1678"/>
      <c r="T757" s="1733"/>
      <c r="U757" s="1734"/>
      <c r="V757" s="1734"/>
      <c r="W757" s="1735"/>
      <c r="X757" s="1407"/>
      <c r="Y757" s="1408"/>
      <c r="Z757" s="1408"/>
      <c r="AA757" s="1408"/>
      <c r="AB757" s="1409"/>
      <c r="AC757" s="1407"/>
      <c r="AD757" s="1408"/>
      <c r="AE757" s="1408"/>
      <c r="AF757" s="1408"/>
      <c r="AG757" s="140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91" t="s">
        <v>165</v>
      </c>
      <c r="K758" s="1392"/>
      <c r="L758" s="1392"/>
      <c r="M758" s="1392"/>
      <c r="N758" s="1393"/>
      <c r="O758" s="1630">
        <v>1</v>
      </c>
      <c r="P758" s="1630"/>
      <c r="Q758" s="1630"/>
      <c r="R758" s="1630"/>
      <c r="S758" s="1630"/>
      <c r="T758" s="1575">
        <v>1003</v>
      </c>
      <c r="U758" s="1576"/>
      <c r="V758" s="1576"/>
      <c r="W758" s="1577"/>
      <c r="X758" s="1572">
        <v>0</v>
      </c>
      <c r="Y758" s="1573"/>
      <c r="Z758" s="1573"/>
      <c r="AA758" s="1573"/>
      <c r="AB758" s="1574"/>
      <c r="AC758" s="1398">
        <f>X758*O758</f>
        <v>0</v>
      </c>
      <c r="AD758" s="1399"/>
      <c r="AE758" s="1399"/>
      <c r="AF758" s="1399"/>
      <c r="AG758" s="1400"/>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91"/>
      <c r="K759" s="1392"/>
      <c r="L759" s="1392"/>
      <c r="M759" s="1392"/>
      <c r="N759" s="1393"/>
      <c r="O759" s="1630"/>
      <c r="P759" s="1630"/>
      <c r="Q759" s="1630"/>
      <c r="R759" s="1630"/>
      <c r="S759" s="1630"/>
      <c r="T759" s="1575"/>
      <c r="U759" s="1576"/>
      <c r="V759" s="1576"/>
      <c r="W759" s="1577"/>
      <c r="X759" s="1572"/>
      <c r="Y759" s="1573"/>
      <c r="Z759" s="1573"/>
      <c r="AA759" s="1573"/>
      <c r="AB759" s="1574"/>
      <c r="AC759" s="1398">
        <f>X759*O759</f>
        <v>0</v>
      </c>
      <c r="AD759" s="1399"/>
      <c r="AE759" s="1399"/>
      <c r="AF759" s="1399"/>
      <c r="AG759" s="1400"/>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91"/>
      <c r="K760" s="1392"/>
      <c r="L760" s="1392"/>
      <c r="M760" s="1392"/>
      <c r="N760" s="1393"/>
      <c r="O760" s="1630"/>
      <c r="P760" s="1630"/>
      <c r="Q760" s="1630"/>
      <c r="R760" s="1630"/>
      <c r="S760" s="1630"/>
      <c r="T760" s="1575"/>
      <c r="U760" s="1576"/>
      <c r="V760" s="1576"/>
      <c r="W760" s="1577"/>
      <c r="X760" s="1572"/>
      <c r="Y760" s="1573"/>
      <c r="Z760" s="1573"/>
      <c r="AA760" s="1573"/>
      <c r="AB760" s="1574"/>
      <c r="AC760" s="1398">
        <f>X760*O760</f>
        <v>0</v>
      </c>
      <c r="AD760" s="1399"/>
      <c r="AE760" s="1399"/>
      <c r="AF760" s="1399"/>
      <c r="AG760" s="1400"/>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91"/>
      <c r="K761" s="1392"/>
      <c r="L761" s="1392"/>
      <c r="M761" s="1392"/>
      <c r="N761" s="1393"/>
      <c r="O761" s="1630"/>
      <c r="P761" s="1630"/>
      <c r="Q761" s="1630"/>
      <c r="R761" s="1630"/>
      <c r="S761" s="1630"/>
      <c r="T761" s="1575"/>
      <c r="U761" s="1576"/>
      <c r="V761" s="1576"/>
      <c r="W761" s="1577"/>
      <c r="X761" s="1572"/>
      <c r="Y761" s="1573"/>
      <c r="Z761" s="1573"/>
      <c r="AA761" s="1573"/>
      <c r="AB761" s="1574"/>
      <c r="AC761" s="1398">
        <f>X761*O761</f>
        <v>0</v>
      </c>
      <c r="AD761" s="1399"/>
      <c r="AE761" s="1399"/>
      <c r="AF761" s="1399"/>
      <c r="AG761" s="1400"/>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85" t="s">
        <v>126</v>
      </c>
      <c r="K762" s="1586"/>
      <c r="L762" s="1586"/>
      <c r="M762" s="1586"/>
      <c r="N762" s="1587"/>
      <c r="O762" s="1435">
        <f>SUM(O758:S761)</f>
        <v>1</v>
      </c>
      <c r="P762" s="1598"/>
      <c r="Q762" s="1598"/>
      <c r="R762" s="1598"/>
      <c r="S762" s="1436"/>
      <c r="X762" s="1585" t="s">
        <v>125</v>
      </c>
      <c r="Y762" s="1586"/>
      <c r="Z762" s="1586"/>
      <c r="AA762" s="1586"/>
      <c r="AB762" s="1587"/>
      <c r="AC762" s="1398">
        <f>SUM(AC758:AG761)</f>
        <v>0</v>
      </c>
      <c r="AD762" s="1399"/>
      <c r="AE762" s="1399"/>
      <c r="AF762" s="1399"/>
      <c r="AG762" s="1400"/>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38" t="s">
        <v>678</v>
      </c>
      <c r="K764" s="173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13" t="s">
        <v>390</v>
      </c>
      <c r="K768" s="1402"/>
      <c r="L768" s="1402"/>
      <c r="M768" s="1402"/>
      <c r="N768" s="1403"/>
      <c r="O768" s="1678" t="s">
        <v>286</v>
      </c>
      <c r="P768" s="1678"/>
      <c r="Q768" s="1678"/>
      <c r="R768" s="1678"/>
      <c r="S768" s="1678"/>
      <c r="T768" s="1636" t="s">
        <v>1940</v>
      </c>
      <c r="U768" s="1637"/>
      <c r="V768" s="1637"/>
      <c r="W768" s="1638"/>
      <c r="X768" s="1413" t="s">
        <v>456</v>
      </c>
      <c r="Y768" s="1402"/>
      <c r="Z768" s="1402"/>
      <c r="AA768" s="1402"/>
      <c r="AB768" s="1403"/>
      <c r="AC768" s="1413" t="s">
        <v>287</v>
      </c>
      <c r="AD768" s="1402"/>
      <c r="AE768" s="1402"/>
      <c r="AF768" s="1402"/>
      <c r="AG768" s="1403"/>
      <c r="AH768" s="1730" t="s">
        <v>2133</v>
      </c>
      <c r="AI768" s="1731"/>
      <c r="AJ768" s="1731"/>
      <c r="AK768" s="1731"/>
      <c r="AL768" s="173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04"/>
      <c r="K769" s="1405"/>
      <c r="L769" s="1405"/>
      <c r="M769" s="1405"/>
      <c r="N769" s="1406"/>
      <c r="O769" s="1678"/>
      <c r="P769" s="1678"/>
      <c r="Q769" s="1678"/>
      <c r="R769" s="1678"/>
      <c r="S769" s="1678"/>
      <c r="T769" s="1639"/>
      <c r="U769" s="1640"/>
      <c r="V769" s="1640"/>
      <c r="W769" s="1641"/>
      <c r="X769" s="1404"/>
      <c r="Y769" s="1405"/>
      <c r="Z769" s="1405"/>
      <c r="AA769" s="1405"/>
      <c r="AB769" s="1406"/>
      <c r="AC769" s="1404"/>
      <c r="AD769" s="1405"/>
      <c r="AE769" s="1405"/>
      <c r="AF769" s="1405"/>
      <c r="AG769" s="1406"/>
      <c r="AH769" s="1730"/>
      <c r="AI769" s="1731"/>
      <c r="AJ769" s="1731"/>
      <c r="AK769" s="1731"/>
      <c r="AL769" s="173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04"/>
      <c r="K770" s="1405"/>
      <c r="L770" s="1405"/>
      <c r="M770" s="1405"/>
      <c r="N770" s="1406"/>
      <c r="O770" s="1678"/>
      <c r="P770" s="1678"/>
      <c r="Q770" s="1678"/>
      <c r="R770" s="1678"/>
      <c r="S770" s="1678"/>
      <c r="T770" s="1639"/>
      <c r="U770" s="1640"/>
      <c r="V770" s="1640"/>
      <c r="W770" s="1641"/>
      <c r="X770" s="1404"/>
      <c r="Y770" s="1405"/>
      <c r="Z770" s="1405"/>
      <c r="AA770" s="1405"/>
      <c r="AB770" s="1406"/>
      <c r="AC770" s="1404"/>
      <c r="AD770" s="1405"/>
      <c r="AE770" s="1405"/>
      <c r="AF770" s="1405"/>
      <c r="AG770" s="1406"/>
      <c r="AH770" s="1730"/>
      <c r="AI770" s="1731"/>
      <c r="AJ770" s="1731"/>
      <c r="AK770" s="1731"/>
      <c r="AL770" s="173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7"/>
      <c r="K771" s="1408"/>
      <c r="L771" s="1408"/>
      <c r="M771" s="1408"/>
      <c r="N771" s="1409"/>
      <c r="O771" s="1678"/>
      <c r="P771" s="1678"/>
      <c r="Q771" s="1678"/>
      <c r="R771" s="1678"/>
      <c r="S771" s="1678"/>
      <c r="T771" s="1733"/>
      <c r="U771" s="1734"/>
      <c r="V771" s="1734"/>
      <c r="W771" s="1735"/>
      <c r="X771" s="1407"/>
      <c r="Y771" s="1408"/>
      <c r="Z771" s="1408"/>
      <c r="AA771" s="1408"/>
      <c r="AB771" s="1409"/>
      <c r="AC771" s="1407"/>
      <c r="AD771" s="1408"/>
      <c r="AE771" s="1408"/>
      <c r="AF771" s="1408"/>
      <c r="AG771" s="1409"/>
      <c r="AH771" s="1730"/>
      <c r="AI771" s="1731"/>
      <c r="AJ771" s="1731"/>
      <c r="AK771" s="1731"/>
      <c r="AL771" s="173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91"/>
      <c r="K772" s="1392"/>
      <c r="L772" s="1392"/>
      <c r="M772" s="1392"/>
      <c r="N772" s="1393"/>
      <c r="O772" s="1630"/>
      <c r="P772" s="1630"/>
      <c r="Q772" s="1630"/>
      <c r="R772" s="1630"/>
      <c r="S772" s="1630"/>
      <c r="T772" s="1575"/>
      <c r="U772" s="1576"/>
      <c r="V772" s="1576"/>
      <c r="W772" s="1577"/>
      <c r="X772" s="1572"/>
      <c r="Y772" s="1573"/>
      <c r="Z772" s="1573"/>
      <c r="AA772" s="1573"/>
      <c r="AB772" s="1574"/>
      <c r="AC772" s="1398">
        <f t="shared" ref="AC772:AC781" si="53">X772*O772</f>
        <v>0</v>
      </c>
      <c r="AD772" s="1399"/>
      <c r="AE772" s="1399"/>
      <c r="AF772" s="1399"/>
      <c r="AG772" s="1400"/>
      <c r="AH772" s="1631"/>
      <c r="AI772" s="1632"/>
      <c r="AJ772" s="1632"/>
      <c r="AK772" s="1632"/>
      <c r="AL772" s="163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91"/>
      <c r="K773" s="1392"/>
      <c r="L773" s="1392"/>
      <c r="M773" s="1392"/>
      <c r="N773" s="1393"/>
      <c r="O773" s="1630"/>
      <c r="P773" s="1630"/>
      <c r="Q773" s="1630"/>
      <c r="R773" s="1630"/>
      <c r="S773" s="1630"/>
      <c r="T773" s="1575"/>
      <c r="U773" s="1576"/>
      <c r="V773" s="1576"/>
      <c r="W773" s="1577"/>
      <c r="X773" s="1572"/>
      <c r="Y773" s="1573"/>
      <c r="Z773" s="1573"/>
      <c r="AA773" s="1573"/>
      <c r="AB773" s="1574"/>
      <c r="AC773" s="1398">
        <f t="shared" si="53"/>
        <v>0</v>
      </c>
      <c r="AD773" s="1399"/>
      <c r="AE773" s="1399"/>
      <c r="AF773" s="1399"/>
      <c r="AG773" s="1400"/>
      <c r="AH773" s="1631"/>
      <c r="AI773" s="1632"/>
      <c r="AJ773" s="1632"/>
      <c r="AK773" s="1632"/>
      <c r="AL773" s="163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91"/>
      <c r="K774" s="1392"/>
      <c r="L774" s="1392"/>
      <c r="M774" s="1392"/>
      <c r="N774" s="1393"/>
      <c r="O774" s="1630"/>
      <c r="P774" s="1630"/>
      <c r="Q774" s="1630"/>
      <c r="R774" s="1630"/>
      <c r="S774" s="1630"/>
      <c r="T774" s="1575"/>
      <c r="U774" s="1576"/>
      <c r="V774" s="1576"/>
      <c r="W774" s="1577"/>
      <c r="X774" s="1572"/>
      <c r="Y774" s="1573"/>
      <c r="Z774" s="1573"/>
      <c r="AA774" s="1573"/>
      <c r="AB774" s="1574"/>
      <c r="AC774" s="1398">
        <f t="shared" si="53"/>
        <v>0</v>
      </c>
      <c r="AD774" s="1399"/>
      <c r="AE774" s="1399"/>
      <c r="AF774" s="1399"/>
      <c r="AG774" s="1400"/>
      <c r="AH774" s="1631"/>
      <c r="AI774" s="1632"/>
      <c r="AJ774" s="1632"/>
      <c r="AK774" s="1632"/>
      <c r="AL774" s="163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91"/>
      <c r="K775" s="1392"/>
      <c r="L775" s="1392"/>
      <c r="M775" s="1392"/>
      <c r="N775" s="1393"/>
      <c r="O775" s="1630"/>
      <c r="P775" s="1630"/>
      <c r="Q775" s="1630"/>
      <c r="R775" s="1630"/>
      <c r="S775" s="1630"/>
      <c r="T775" s="1575"/>
      <c r="U775" s="1576"/>
      <c r="V775" s="1576"/>
      <c r="W775" s="1577"/>
      <c r="X775" s="1572"/>
      <c r="Y775" s="1573"/>
      <c r="Z775" s="1573"/>
      <c r="AA775" s="1573"/>
      <c r="AB775" s="1574"/>
      <c r="AC775" s="1398">
        <f t="shared" si="53"/>
        <v>0</v>
      </c>
      <c r="AD775" s="1399"/>
      <c r="AE775" s="1399"/>
      <c r="AF775" s="1399"/>
      <c r="AG775" s="1400"/>
      <c r="AH775" s="1631"/>
      <c r="AI775" s="1632"/>
      <c r="AJ775" s="1632"/>
      <c r="AK775" s="1632"/>
      <c r="AL775" s="163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91"/>
      <c r="K776" s="1392"/>
      <c r="L776" s="1392"/>
      <c r="M776" s="1392"/>
      <c r="N776" s="1393"/>
      <c r="O776" s="1630"/>
      <c r="P776" s="1630"/>
      <c r="Q776" s="1630"/>
      <c r="R776" s="1630"/>
      <c r="S776" s="1630"/>
      <c r="T776" s="1575"/>
      <c r="U776" s="1576"/>
      <c r="V776" s="1576"/>
      <c r="W776" s="1577"/>
      <c r="X776" s="1572"/>
      <c r="Y776" s="1573"/>
      <c r="Z776" s="1573"/>
      <c r="AA776" s="1573"/>
      <c r="AB776" s="1574"/>
      <c r="AC776" s="1398">
        <f t="shared" si="53"/>
        <v>0</v>
      </c>
      <c r="AD776" s="1399"/>
      <c r="AE776" s="1399"/>
      <c r="AF776" s="1399"/>
      <c r="AG776" s="1400"/>
      <c r="AH776" s="1631"/>
      <c r="AI776" s="1632"/>
      <c r="AJ776" s="1632"/>
      <c r="AK776" s="1632"/>
      <c r="AL776" s="163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91"/>
      <c r="K777" s="1392"/>
      <c r="L777" s="1392"/>
      <c r="M777" s="1392"/>
      <c r="N777" s="1393"/>
      <c r="O777" s="1630"/>
      <c r="P777" s="1630"/>
      <c r="Q777" s="1630"/>
      <c r="R777" s="1630"/>
      <c r="S777" s="1630"/>
      <c r="T777" s="1575"/>
      <c r="U777" s="1576"/>
      <c r="V777" s="1576"/>
      <c r="W777" s="1577"/>
      <c r="X777" s="1572"/>
      <c r="Y777" s="1573"/>
      <c r="Z777" s="1573"/>
      <c r="AA777" s="1573"/>
      <c r="AB777" s="1574"/>
      <c r="AC777" s="1398">
        <f t="shared" si="53"/>
        <v>0</v>
      </c>
      <c r="AD777" s="1399"/>
      <c r="AE777" s="1399"/>
      <c r="AF777" s="1399"/>
      <c r="AG777" s="1400"/>
      <c r="AH777" s="1631"/>
      <c r="AI777" s="1632"/>
      <c r="AJ777" s="1632"/>
      <c r="AK777" s="1632"/>
      <c r="AL777" s="163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91"/>
      <c r="K778" s="1392"/>
      <c r="L778" s="1392"/>
      <c r="M778" s="1392"/>
      <c r="N778" s="1393"/>
      <c r="O778" s="1630"/>
      <c r="P778" s="1630"/>
      <c r="Q778" s="1630"/>
      <c r="R778" s="1630"/>
      <c r="S778" s="1630"/>
      <c r="T778" s="1575"/>
      <c r="U778" s="1576"/>
      <c r="V778" s="1576"/>
      <c r="W778" s="1577"/>
      <c r="X778" s="1572"/>
      <c r="Y778" s="1573"/>
      <c r="Z778" s="1573"/>
      <c r="AA778" s="1573"/>
      <c r="AB778" s="1574"/>
      <c r="AC778" s="1398">
        <f t="shared" si="53"/>
        <v>0</v>
      </c>
      <c r="AD778" s="1399"/>
      <c r="AE778" s="1399"/>
      <c r="AF778" s="1399"/>
      <c r="AG778" s="1400"/>
      <c r="AH778" s="1631"/>
      <c r="AI778" s="1632"/>
      <c r="AJ778" s="1632"/>
      <c r="AK778" s="1632"/>
      <c r="AL778" s="163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91"/>
      <c r="K779" s="1392"/>
      <c r="L779" s="1392"/>
      <c r="M779" s="1392"/>
      <c r="N779" s="1393"/>
      <c r="O779" s="1630"/>
      <c r="P779" s="1630"/>
      <c r="Q779" s="1630"/>
      <c r="R779" s="1630"/>
      <c r="S779" s="1630"/>
      <c r="T779" s="1575"/>
      <c r="U779" s="1576"/>
      <c r="V779" s="1576"/>
      <c r="W779" s="1577"/>
      <c r="X779" s="1572"/>
      <c r="Y779" s="1573"/>
      <c r="Z779" s="1573"/>
      <c r="AA779" s="1573"/>
      <c r="AB779" s="1574"/>
      <c r="AC779" s="1398">
        <f t="shared" si="53"/>
        <v>0</v>
      </c>
      <c r="AD779" s="1399"/>
      <c r="AE779" s="1399"/>
      <c r="AF779" s="1399"/>
      <c r="AG779" s="1400"/>
      <c r="AH779" s="1631"/>
      <c r="AI779" s="1632"/>
      <c r="AJ779" s="1632"/>
      <c r="AK779" s="1632"/>
      <c r="AL779" s="163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91"/>
      <c r="K780" s="1392"/>
      <c r="L780" s="1392"/>
      <c r="M780" s="1392"/>
      <c r="N780" s="1393"/>
      <c r="O780" s="1630"/>
      <c r="P780" s="1630"/>
      <c r="Q780" s="1630"/>
      <c r="R780" s="1630"/>
      <c r="S780" s="1630"/>
      <c r="T780" s="1575"/>
      <c r="U780" s="1576"/>
      <c r="V780" s="1576"/>
      <c r="W780" s="1577"/>
      <c r="X780" s="1572"/>
      <c r="Y780" s="1573"/>
      <c r="Z780" s="1573"/>
      <c r="AA780" s="1573"/>
      <c r="AB780" s="1574"/>
      <c r="AC780" s="1398">
        <f t="shared" si="53"/>
        <v>0</v>
      </c>
      <c r="AD780" s="1399"/>
      <c r="AE780" s="1399"/>
      <c r="AF780" s="1399"/>
      <c r="AG780" s="1400"/>
      <c r="AH780" s="1631"/>
      <c r="AI780" s="1632"/>
      <c r="AJ780" s="1632"/>
      <c r="AK780" s="1632"/>
      <c r="AL780" s="163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91"/>
      <c r="K781" s="1392"/>
      <c r="L781" s="1392"/>
      <c r="M781" s="1392"/>
      <c r="N781" s="1393"/>
      <c r="O781" s="1630"/>
      <c r="P781" s="1630"/>
      <c r="Q781" s="1630"/>
      <c r="R781" s="1630"/>
      <c r="S781" s="1630"/>
      <c r="T781" s="1575"/>
      <c r="U781" s="1576"/>
      <c r="V781" s="1576"/>
      <c r="W781" s="1577"/>
      <c r="X781" s="1572"/>
      <c r="Y781" s="1573"/>
      <c r="Z781" s="1573"/>
      <c r="AA781" s="1573"/>
      <c r="AB781" s="1574"/>
      <c r="AC781" s="1398">
        <f t="shared" si="53"/>
        <v>0</v>
      </c>
      <c r="AD781" s="1399"/>
      <c r="AE781" s="1399"/>
      <c r="AF781" s="1399"/>
      <c r="AG781" s="1400"/>
      <c r="AH781" s="1631"/>
      <c r="AI781" s="1632"/>
      <c r="AJ781" s="1632"/>
      <c r="AK781" s="1632"/>
      <c r="AL781" s="163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85" t="s">
        <v>126</v>
      </c>
      <c r="K782" s="1586"/>
      <c r="L782" s="1586"/>
      <c r="M782" s="1586"/>
      <c r="N782" s="1587"/>
      <c r="O782" s="1415">
        <f>SUM(O772:S781)</f>
        <v>0</v>
      </c>
      <c r="P782" s="1415"/>
      <c r="Q782" s="1415"/>
      <c r="R782" s="1415"/>
      <c r="S782" s="1415"/>
      <c r="X782" s="939" t="s">
        <v>125</v>
      </c>
      <c r="Y782" s="11"/>
      <c r="Z782" s="11"/>
      <c r="AA782" s="11"/>
      <c r="AB782" s="946"/>
      <c r="AC782" s="1398">
        <f>SUM(AC772:AG781)</f>
        <v>0</v>
      </c>
      <c r="AD782" s="1399"/>
      <c r="AE782" s="1399"/>
      <c r="AF782" s="1399"/>
      <c r="AG782" s="140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9">
        <f>O739+AC762+AC782</f>
        <v>104538</v>
      </c>
      <c r="Z784" s="1679"/>
      <c r="AA784" s="1679"/>
      <c r="AB784" s="1679"/>
      <c r="AC784" s="167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9">
        <f>(O739+AC762+AC782)*12</f>
        <v>1254456</v>
      </c>
      <c r="Z785" s="1679"/>
      <c r="AA785" s="1679"/>
      <c r="AB785" s="1679"/>
      <c r="AC785" s="1679"/>
      <c r="AZ785" s="3"/>
      <c r="BA785" s="14" t="s">
        <v>641</v>
      </c>
      <c r="BB785" s="14"/>
      <c r="BC785" s="14"/>
      <c r="BD785" s="14"/>
      <c r="BE785" s="14"/>
      <c r="BF785" s="14"/>
      <c r="BG785" s="14"/>
      <c r="BH785" s="14"/>
      <c r="BI785" s="14"/>
      <c r="BJ785" s="14"/>
      <c r="BK785" s="14"/>
      <c r="BL785" s="14"/>
      <c r="BM785" s="14"/>
      <c r="BN785" s="1676" t="s">
        <v>478</v>
      </c>
      <c r="BO785" s="1677"/>
      <c r="BP785" s="3"/>
      <c r="BQ785" s="3"/>
      <c r="BR785" s="3"/>
      <c r="BS785" s="14" t="s">
        <v>643</v>
      </c>
      <c r="BT785" s="14"/>
      <c r="BU785" s="14"/>
      <c r="BV785" s="14"/>
      <c r="BW785" s="14"/>
      <c r="BX785" s="14"/>
      <c r="BY785" s="14"/>
      <c r="BZ785" s="14"/>
      <c r="CA785" s="14"/>
      <c r="CB785" s="1673" t="str">
        <f>T189</f>
        <v>Riverside</v>
      </c>
      <c r="CC785" s="1674"/>
      <c r="CD785" s="1674"/>
      <c r="CE785" s="1674"/>
      <c r="CF785" s="1674"/>
      <c r="CG785" s="1674"/>
      <c r="CH785" s="1675"/>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2620</v>
      </c>
      <c r="BP788" s="32"/>
      <c r="BQ788" s="32"/>
      <c r="BR788" s="32"/>
      <c r="BS788" s="32"/>
      <c r="BT788" s="32"/>
      <c r="BV788" s="31" t="s">
        <v>2621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92">
        <v>45</v>
      </c>
      <c r="AA790" s="1593"/>
      <c r="AB790" s="1593"/>
      <c r="AC790" s="1593"/>
      <c r="AD790" s="1593"/>
      <c r="AE790" s="1594"/>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26">
        <v>15</v>
      </c>
      <c r="AA791" s="1593"/>
      <c r="AB791" s="1593"/>
      <c r="AC791" s="1593"/>
      <c r="AD791" s="1593"/>
      <c r="AE791" s="1594"/>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32">
        <v>51441</v>
      </c>
      <c r="AA792" s="1683"/>
      <c r="AB792" s="1683"/>
      <c r="AC792" s="1683"/>
      <c r="AD792" s="1683"/>
      <c r="AE792" s="1684"/>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5">
        <f>'Subsidy Contract Calculation'!J30</f>
        <v>520524</v>
      </c>
      <c r="AA793" s="1596"/>
      <c r="AB793" s="1596"/>
      <c r="AC793" s="1596"/>
      <c r="AD793" s="1596"/>
      <c r="AE793" s="1597"/>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8">
        <v>8712</v>
      </c>
      <c r="AA797" s="1429"/>
      <c r="AB797" s="1429"/>
      <c r="AC797" s="1429"/>
      <c r="AD797" s="1429"/>
      <c r="AE797" s="1430"/>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8">
        <v>7260</v>
      </c>
      <c r="AA798" s="1429"/>
      <c r="AB798" s="1429"/>
      <c r="AC798" s="1429"/>
      <c r="AD798" s="1429"/>
      <c r="AE798" s="1430"/>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8"/>
      <c r="AA799" s="1429"/>
      <c r="AB799" s="1429"/>
      <c r="AC799" s="1429"/>
      <c r="AD799" s="1429"/>
      <c r="AE799" s="1430"/>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43" t="s">
        <v>335</v>
      </c>
      <c r="Q800" s="1544"/>
      <c r="R800" s="1544"/>
      <c r="S800" s="1544"/>
      <c r="T800" s="1544"/>
      <c r="U800" s="1544"/>
      <c r="V800" s="1544"/>
      <c r="W800" s="1544"/>
      <c r="X800" s="1544"/>
      <c r="Y800" s="1545"/>
      <c r="Z800" s="1428"/>
      <c r="AA800" s="1429"/>
      <c r="AB800" s="1429"/>
      <c r="AC800" s="1429"/>
      <c r="AD800" s="1429"/>
      <c r="AE800" s="1430"/>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5">
        <f>SUM(Z797:AE800)</f>
        <v>15972</v>
      </c>
      <c r="AA801" s="1596"/>
      <c r="AB801" s="1596"/>
      <c r="AC801" s="1596"/>
      <c r="AD801" s="1596"/>
      <c r="AE801" s="1597"/>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95">
        <f>Z801+Y785+Z793</f>
        <v>1790952</v>
      </c>
      <c r="AA802" s="1596"/>
      <c r="AB802" s="1596"/>
      <c r="AC802" s="1596"/>
      <c r="AD802" s="1596"/>
      <c r="AE802" s="1597"/>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8" t="s">
        <v>127</v>
      </c>
      <c r="N807" s="1528"/>
      <c r="O807" s="1528"/>
      <c r="P807" s="1748"/>
      <c r="Q807" s="1591" t="s">
        <v>291</v>
      </c>
      <c r="R807" s="1591"/>
      <c r="S807" s="1591"/>
      <c r="T807" s="1591"/>
      <c r="U807" s="1591" t="s">
        <v>292</v>
      </c>
      <c r="V807" s="1591"/>
      <c r="W807" s="1591"/>
      <c r="X807" s="1591"/>
      <c r="Y807" s="1591" t="s">
        <v>293</v>
      </c>
      <c r="Z807" s="1591"/>
      <c r="AA807" s="1591"/>
      <c r="AB807" s="1591"/>
      <c r="AC807" s="1591" t="s">
        <v>362</v>
      </c>
      <c r="AD807" s="1591"/>
      <c r="AE807" s="1591"/>
      <c r="AF807" s="1591"/>
      <c r="AG807" s="1724" t="s">
        <v>336</v>
      </c>
      <c r="AH807" s="1724"/>
      <c r="AI807" s="1724"/>
      <c r="AJ807" s="1724"/>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32"/>
      <c r="N808" s="1532"/>
      <c r="O808" s="1532"/>
      <c r="P808" s="1714"/>
      <c r="Q808" s="1591"/>
      <c r="R808" s="1591"/>
      <c r="S808" s="1591"/>
      <c r="T808" s="1591"/>
      <c r="U808" s="1591"/>
      <c r="V808" s="1591"/>
      <c r="W808" s="1591"/>
      <c r="X808" s="1591"/>
      <c r="Y808" s="1591"/>
      <c r="Z808" s="1591"/>
      <c r="AA808" s="1591"/>
      <c r="AB808" s="1591"/>
      <c r="AC808" s="1591"/>
      <c r="AD808" s="1591"/>
      <c r="AE808" s="1591"/>
      <c r="AF808" s="1591"/>
      <c r="AG808" s="1724"/>
      <c r="AH808" s="1724"/>
      <c r="AI808" s="1724"/>
      <c r="AJ808" s="1724"/>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87" t="s">
        <v>40</v>
      </c>
      <c r="D809" s="1356"/>
      <c r="E809" s="1356"/>
      <c r="F809" s="1356"/>
      <c r="G809" s="1356"/>
      <c r="H809" s="1356"/>
      <c r="I809" s="48"/>
      <c r="J809" s="48"/>
      <c r="K809" s="48"/>
      <c r="L809" s="49"/>
      <c r="M809" s="1581"/>
      <c r="N809" s="1581"/>
      <c r="O809" s="1581"/>
      <c r="P809" s="1581"/>
      <c r="Q809" s="1581">
        <v>14</v>
      </c>
      <c r="R809" s="1581"/>
      <c r="S809" s="1581"/>
      <c r="T809" s="1581"/>
      <c r="U809" s="1581">
        <v>17</v>
      </c>
      <c r="V809" s="1581"/>
      <c r="W809" s="1581"/>
      <c r="X809" s="1581"/>
      <c r="Y809" s="1581">
        <v>21</v>
      </c>
      <c r="Z809" s="1581"/>
      <c r="AA809" s="1581"/>
      <c r="AB809" s="1581"/>
      <c r="AC809" s="1372"/>
      <c r="AD809" s="1373"/>
      <c r="AE809" s="1373"/>
      <c r="AF809" s="1374"/>
      <c r="AG809" s="1372"/>
      <c r="AH809" s="1373"/>
      <c r="AI809" s="1373"/>
      <c r="AJ809" s="1374"/>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45" t="s">
        <v>41</v>
      </c>
      <c r="D810" s="1646"/>
      <c r="E810" s="1646"/>
      <c r="F810" s="1646"/>
      <c r="G810" s="1646"/>
      <c r="H810" s="1646"/>
      <c r="I810" s="5"/>
      <c r="J810" s="5"/>
      <c r="K810" s="5"/>
      <c r="L810" s="46"/>
      <c r="M810" s="1581"/>
      <c r="N810" s="1581"/>
      <c r="O810" s="1581"/>
      <c r="P810" s="1581"/>
      <c r="Q810" s="1581">
        <v>17</v>
      </c>
      <c r="R810" s="1581"/>
      <c r="S810" s="1581"/>
      <c r="T810" s="1581"/>
      <c r="U810" s="1581">
        <v>21</v>
      </c>
      <c r="V810" s="1581"/>
      <c r="W810" s="1581"/>
      <c r="X810" s="1581"/>
      <c r="Y810" s="1581">
        <v>26</v>
      </c>
      <c r="Z810" s="1581"/>
      <c r="AA810" s="1581"/>
      <c r="AB810" s="1581"/>
      <c r="AC810" s="1372"/>
      <c r="AD810" s="1373"/>
      <c r="AE810" s="1373"/>
      <c r="AF810" s="1374"/>
      <c r="AG810" s="1372"/>
      <c r="AH810" s="1373"/>
      <c r="AI810" s="1373"/>
      <c r="AJ810" s="1374"/>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45" t="s">
        <v>42</v>
      </c>
      <c r="D811" s="1646"/>
      <c r="E811" s="1646"/>
      <c r="F811" s="1646"/>
      <c r="G811" s="1646"/>
      <c r="H811" s="1646"/>
      <c r="I811" s="60"/>
      <c r="J811" s="60"/>
      <c r="K811" s="60"/>
      <c r="L811" s="61"/>
      <c r="M811" s="1581"/>
      <c r="N811" s="1581"/>
      <c r="O811" s="1581"/>
      <c r="P811" s="1581"/>
      <c r="Q811" s="1581">
        <v>7</v>
      </c>
      <c r="R811" s="1581"/>
      <c r="S811" s="1581"/>
      <c r="T811" s="1581"/>
      <c r="U811" s="1581">
        <v>11</v>
      </c>
      <c r="V811" s="1581"/>
      <c r="W811" s="1581"/>
      <c r="X811" s="1581"/>
      <c r="Y811" s="1581">
        <v>14</v>
      </c>
      <c r="Z811" s="1581"/>
      <c r="AA811" s="1581"/>
      <c r="AB811" s="1581"/>
      <c r="AC811" s="1372"/>
      <c r="AD811" s="1373"/>
      <c r="AE811" s="1373"/>
      <c r="AF811" s="1374"/>
      <c r="AG811" s="1372"/>
      <c r="AH811" s="1373"/>
      <c r="AI811" s="1373"/>
      <c r="AJ811" s="1374"/>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45" t="s">
        <v>786</v>
      </c>
      <c r="D812" s="1646"/>
      <c r="E812" s="1646"/>
      <c r="F812" s="1646"/>
      <c r="G812" s="1646"/>
      <c r="H812" s="1646"/>
      <c r="I812" s="60"/>
      <c r="J812" s="60"/>
      <c r="K812" s="60"/>
      <c r="L812" s="61"/>
      <c r="M812" s="1581"/>
      <c r="N812" s="1581"/>
      <c r="O812" s="1581"/>
      <c r="P812" s="1581"/>
      <c r="Q812" s="1581"/>
      <c r="R812" s="1581"/>
      <c r="S812" s="1581"/>
      <c r="T812" s="1581"/>
      <c r="U812" s="1581"/>
      <c r="V812" s="1581"/>
      <c r="W812" s="1581"/>
      <c r="X812" s="1581"/>
      <c r="Y812" s="1581"/>
      <c r="Z812" s="1581"/>
      <c r="AA812" s="1581"/>
      <c r="AB812" s="1581"/>
      <c r="AC812" s="1372"/>
      <c r="AD812" s="1373"/>
      <c r="AE812" s="1373"/>
      <c r="AF812" s="1374"/>
      <c r="AG812" s="1372"/>
      <c r="AH812" s="1373"/>
      <c r="AI812" s="1373"/>
      <c r="AJ812" s="1374"/>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45" t="s">
        <v>468</v>
      </c>
      <c r="D813" s="1646"/>
      <c r="E813" s="1646"/>
      <c r="F813" s="1646"/>
      <c r="G813" s="1646"/>
      <c r="H813" s="1646"/>
      <c r="I813" s="60"/>
      <c r="J813" s="60"/>
      <c r="K813" s="60"/>
      <c r="L813" s="61"/>
      <c r="M813" s="1581"/>
      <c r="N813" s="1581"/>
      <c r="O813" s="1581"/>
      <c r="P813" s="1581"/>
      <c r="Q813" s="1581">
        <v>25</v>
      </c>
      <c r="R813" s="1581"/>
      <c r="S813" s="1581"/>
      <c r="T813" s="1581"/>
      <c r="U813" s="1581">
        <v>36</v>
      </c>
      <c r="V813" s="1581"/>
      <c r="W813" s="1581"/>
      <c r="X813" s="1581"/>
      <c r="Y813" s="1581">
        <v>47</v>
      </c>
      <c r="Z813" s="1581"/>
      <c r="AA813" s="1581"/>
      <c r="AB813" s="1581"/>
      <c r="AC813" s="1372"/>
      <c r="AD813" s="1373"/>
      <c r="AE813" s="1373"/>
      <c r="AF813" s="1374"/>
      <c r="AG813" s="1372"/>
      <c r="AH813" s="1373"/>
      <c r="AI813" s="1373"/>
      <c r="AJ813" s="1374"/>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5" t="s">
        <v>807</v>
      </c>
      <c r="D814" s="1646"/>
      <c r="E814" s="1646"/>
      <c r="F814" s="1646"/>
      <c r="G814" s="1646"/>
      <c r="H814" s="1646"/>
      <c r="I814" s="60"/>
      <c r="J814" s="60"/>
      <c r="K814" s="60"/>
      <c r="L814" s="61"/>
      <c r="M814" s="1581"/>
      <c r="N814" s="1581"/>
      <c r="O814" s="1581"/>
      <c r="P814" s="1581"/>
      <c r="Q814" s="1581"/>
      <c r="R814" s="1581"/>
      <c r="S814" s="1581"/>
      <c r="T814" s="1581"/>
      <c r="U814" s="1581"/>
      <c r="V814" s="1581"/>
      <c r="W814" s="1581"/>
      <c r="X814" s="1581"/>
      <c r="Y814" s="1581"/>
      <c r="Z814" s="1581"/>
      <c r="AA814" s="1581"/>
      <c r="AB814" s="1581"/>
      <c r="AC814" s="1372"/>
      <c r="AD814" s="1373"/>
      <c r="AE814" s="1373"/>
      <c r="AF814" s="1374"/>
      <c r="AG814" s="1372"/>
      <c r="AH814" s="1373"/>
      <c r="AI814" s="1373"/>
      <c r="AJ814" s="1374"/>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294</v>
      </c>
      <c r="D815" s="60"/>
      <c r="E815" s="60"/>
      <c r="F815" s="1543" t="s">
        <v>2636</v>
      </c>
      <c r="G815" s="1544"/>
      <c r="H815" s="1544"/>
      <c r="I815" s="1544"/>
      <c r="J815" s="1544"/>
      <c r="K815" s="1544"/>
      <c r="L815" s="1544"/>
      <c r="M815" s="1581"/>
      <c r="N815" s="1581"/>
      <c r="O815" s="1581"/>
      <c r="P815" s="1581"/>
      <c r="Q815" s="1581">
        <v>13</v>
      </c>
      <c r="R815" s="1581"/>
      <c r="S815" s="1581"/>
      <c r="T815" s="1581"/>
      <c r="U815" s="1581">
        <v>17</v>
      </c>
      <c r="V815" s="1581"/>
      <c r="W815" s="1581"/>
      <c r="X815" s="1581"/>
      <c r="Y815" s="1581">
        <v>22</v>
      </c>
      <c r="Z815" s="1581"/>
      <c r="AA815" s="1581"/>
      <c r="AB815" s="1581"/>
      <c r="AC815" s="1372"/>
      <c r="AD815" s="1373"/>
      <c r="AE815" s="1373"/>
      <c r="AF815" s="1374"/>
      <c r="AG815" s="1372"/>
      <c r="AH815" s="1373"/>
      <c r="AI815" s="1373"/>
      <c r="AJ815" s="1374"/>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85" t="s">
        <v>125</v>
      </c>
      <c r="D816" s="1586"/>
      <c r="E816" s="1586"/>
      <c r="F816" s="1586"/>
      <c r="G816" s="1586"/>
      <c r="H816" s="1586"/>
      <c r="I816" s="1586"/>
      <c r="J816" s="1586"/>
      <c r="K816" s="1586"/>
      <c r="L816" s="1587"/>
      <c r="M816" s="1715">
        <f>SUM(M809:P815)</f>
        <v>0</v>
      </c>
      <c r="N816" s="1715"/>
      <c r="O816" s="1715"/>
      <c r="P816" s="1715"/>
      <c r="Q816" s="1715">
        <f>SUM(Q809:T815)</f>
        <v>76</v>
      </c>
      <c r="R816" s="1715"/>
      <c r="S816" s="1715"/>
      <c r="T816" s="1715"/>
      <c r="U816" s="1715">
        <f>SUM(U809:X815)</f>
        <v>102</v>
      </c>
      <c r="V816" s="1715"/>
      <c r="W816" s="1715"/>
      <c r="X816" s="1715"/>
      <c r="Y816" s="1715">
        <f>SUM(Y809:AB815)</f>
        <v>130</v>
      </c>
      <c r="Z816" s="1715"/>
      <c r="AA816" s="1715"/>
      <c r="AB816" s="1715"/>
      <c r="AC816" s="1715">
        <f>SUM(AC809:AF815)</f>
        <v>0</v>
      </c>
      <c r="AD816" s="1715"/>
      <c r="AE816" s="1715"/>
      <c r="AF816" s="1715"/>
      <c r="AG816" s="1715">
        <f>SUM(AG809:AJ815)</f>
        <v>0</v>
      </c>
      <c r="AH816" s="1715"/>
      <c r="AI816" s="1715"/>
      <c r="AJ816" s="1715"/>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9" t="s">
        <v>2718</v>
      </c>
      <c r="D821" s="1700"/>
      <c r="E821" s="1700"/>
      <c r="F821" s="1700"/>
      <c r="G821" s="1700"/>
      <c r="H821" s="1700"/>
      <c r="I821" s="1700"/>
      <c r="J821" s="1700"/>
      <c r="K821" s="1700"/>
      <c r="L821" s="1700"/>
      <c r="M821" s="1700"/>
      <c r="N821" s="1700"/>
      <c r="O821" s="1700"/>
      <c r="P821" s="1700"/>
      <c r="Q821" s="1700"/>
      <c r="R821" s="1700"/>
      <c r="S821" s="1700"/>
      <c r="T821" s="1700"/>
      <c r="U821" s="1700"/>
      <c r="V821" s="1700"/>
      <c r="W821" s="1700"/>
      <c r="X821" s="1700"/>
      <c r="Y821" s="1700"/>
      <c r="Z821" s="1700"/>
      <c r="AA821" s="1700"/>
      <c r="AB821" s="1700"/>
      <c r="AC821" s="1700"/>
      <c r="AD821" s="1700"/>
      <c r="AE821" s="1700"/>
      <c r="AF821" s="1700"/>
      <c r="AG821" s="1700"/>
      <c r="AH821" s="1700"/>
      <c r="AI821" s="1700"/>
      <c r="AJ821" s="1701"/>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344</v>
      </c>
      <c r="D826"/>
      <c r="E826"/>
      <c r="F826"/>
      <c r="G826"/>
      <c r="H826"/>
      <c r="I826"/>
      <c r="J826" s="45" t="s">
        <v>357</v>
      </c>
      <c r="K826" s="5"/>
      <c r="L826" s="5"/>
      <c r="M826" s="5"/>
      <c r="N826" s="5"/>
      <c r="O826" s="5"/>
      <c r="P826" s="5"/>
      <c r="Q826" s="5"/>
      <c r="R826" s="5"/>
      <c r="S826" s="5"/>
      <c r="T826" s="5"/>
      <c r="U826" s="5"/>
      <c r="V826" s="46"/>
      <c r="W826" s="1431">
        <v>2726</v>
      </c>
      <c r="X826" s="1431"/>
      <c r="Y826" s="1431"/>
      <c r="Z826" s="1431"/>
      <c r="AA826" s="1431"/>
      <c r="AB826" s="1431"/>
      <c r="AC826" s="1431"/>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356</v>
      </c>
      <c r="K827" s="5"/>
      <c r="L827" s="5"/>
      <c r="M827" s="5"/>
      <c r="N827" s="5"/>
      <c r="O827" s="5"/>
      <c r="P827" s="5"/>
      <c r="Q827" s="5"/>
      <c r="R827" s="5"/>
      <c r="S827" s="5"/>
      <c r="T827" s="5"/>
      <c r="U827" s="5"/>
      <c r="V827" s="46"/>
      <c r="W827" s="1431">
        <v>3340</v>
      </c>
      <c r="X827" s="1431"/>
      <c r="Y827" s="1431"/>
      <c r="Z827" s="1431"/>
      <c r="AA827" s="1431"/>
      <c r="AB827" s="1431"/>
      <c r="AC827" s="1431"/>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355</v>
      </c>
      <c r="K828" s="5"/>
      <c r="L828" s="5"/>
      <c r="M828" s="5"/>
      <c r="N828" s="5"/>
      <c r="O828" s="5"/>
      <c r="P828" s="5"/>
      <c r="Q828" s="5"/>
      <c r="R828" s="5"/>
      <c r="S828" s="5"/>
      <c r="T828" s="5"/>
      <c r="U828" s="5"/>
      <c r="V828" s="46"/>
      <c r="W828" s="1431">
        <v>13044</v>
      </c>
      <c r="X828" s="1431"/>
      <c r="Y828" s="1431"/>
      <c r="Z828" s="1431"/>
      <c r="AA828" s="1431"/>
      <c r="AB828" s="1431"/>
      <c r="AC828" s="1431"/>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354</v>
      </c>
      <c r="K829" s="5"/>
      <c r="L829" s="5"/>
      <c r="M829" s="5"/>
      <c r="N829" s="5"/>
      <c r="O829" s="5"/>
      <c r="P829" s="5"/>
      <c r="Q829" s="5"/>
      <c r="R829" s="5"/>
      <c r="S829" s="5"/>
      <c r="T829" s="5"/>
      <c r="U829" s="5"/>
      <c r="V829" s="46"/>
      <c r="W829" s="1431">
        <v>14864</v>
      </c>
      <c r="X829" s="1431"/>
      <c r="Y829" s="1431"/>
      <c r="Z829" s="1431"/>
      <c r="AA829" s="1431"/>
      <c r="AB829" s="1431"/>
      <c r="AC829" s="1431"/>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170</v>
      </c>
      <c r="K830" s="5"/>
      <c r="L830" s="5"/>
      <c r="M830" s="1543" t="s">
        <v>2719</v>
      </c>
      <c r="N830" s="1544"/>
      <c r="O830" s="1544"/>
      <c r="P830" s="1544"/>
      <c r="Q830" s="1544"/>
      <c r="R830" s="1544"/>
      <c r="S830" s="1544"/>
      <c r="T830" s="1544"/>
      <c r="U830" s="1544"/>
      <c r="V830" s="1545"/>
      <c r="W830" s="1431">
        <v>44911</v>
      </c>
      <c r="X830" s="1431"/>
      <c r="Y830" s="1431"/>
      <c r="Z830" s="1431"/>
      <c r="AA830" s="1431"/>
      <c r="AB830" s="1431"/>
      <c r="AC830" s="1431"/>
      <c r="AD830"/>
      <c r="AE830"/>
      <c r="AF830"/>
      <c r="AG830"/>
      <c r="AH830"/>
      <c r="AI830"/>
      <c r="AJ830"/>
      <c r="AK830"/>
      <c r="AL830"/>
      <c r="AM830"/>
      <c r="AN830"/>
      <c r="AO830"/>
      <c r="AP830"/>
      <c r="AQ830"/>
      <c r="AR830"/>
      <c r="AS830"/>
      <c r="AT830"/>
      <c r="AU830"/>
      <c r="AV830"/>
      <c r="AW830"/>
      <c r="AX830"/>
      <c r="AY830"/>
      <c r="BI830" s="1643">
        <f>ROUNDDOWN(BC918*2,2)</f>
        <v>0</v>
      </c>
      <c r="BJ830" s="1643"/>
      <c r="BK830" s="1643"/>
      <c r="BL830" s="1643"/>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343</v>
      </c>
      <c r="W831" s="1595">
        <f>SUM(W826:AC830)</f>
        <v>78885</v>
      </c>
      <c r="X831" s="1596"/>
      <c r="Y831" s="1596"/>
      <c r="Z831" s="1596"/>
      <c r="AA831" s="1596"/>
      <c r="AB831" s="1596"/>
      <c r="AC831" s="1597"/>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345</v>
      </c>
      <c r="D833"/>
      <c r="E833"/>
      <c r="F833"/>
      <c r="G833"/>
      <c r="H833"/>
      <c r="I833"/>
      <c r="J833" s="1585" t="s">
        <v>346</v>
      </c>
      <c r="K833" s="1586"/>
      <c r="L833" s="1586"/>
      <c r="M833" s="1586"/>
      <c r="N833" s="1586"/>
      <c r="O833" s="1586"/>
      <c r="P833" s="1586"/>
      <c r="Q833" s="1586"/>
      <c r="R833" s="1586"/>
      <c r="S833" s="1586"/>
      <c r="T833" s="1586"/>
      <c r="U833" s="1586"/>
      <c r="V833" s="1587"/>
      <c r="W833" s="1428">
        <v>74253</v>
      </c>
      <c r="X833" s="1429"/>
      <c r="Y833" s="1429"/>
      <c r="Z833" s="1429"/>
      <c r="AA833" s="1429"/>
      <c r="AB833" s="1429"/>
      <c r="AC833" s="1430"/>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353</v>
      </c>
      <c r="K835" s="5"/>
      <c r="L835" s="5"/>
      <c r="M835" s="5"/>
      <c r="N835" s="5"/>
      <c r="O835" s="5"/>
      <c r="P835" s="5"/>
      <c r="Q835" s="5"/>
      <c r="R835" s="5"/>
      <c r="S835" s="5"/>
      <c r="T835" s="5"/>
      <c r="U835" s="5"/>
      <c r="V835" s="46"/>
      <c r="W835" s="1708"/>
      <c r="X835" s="1708"/>
      <c r="Y835" s="1708"/>
      <c r="Z835" s="1708"/>
      <c r="AA835" s="1708"/>
      <c r="AB835" s="1708"/>
      <c r="AC835" s="1708"/>
      <c r="AD835"/>
      <c r="AE835"/>
      <c r="AF835"/>
      <c r="AG835"/>
      <c r="AH835"/>
      <c r="AI835"/>
      <c r="AJ835"/>
      <c r="AK835"/>
      <c r="AL835"/>
      <c r="AM835"/>
      <c r="AN835"/>
      <c r="AO835"/>
      <c r="AP835"/>
      <c r="AQ835"/>
      <c r="AR835"/>
      <c r="AS835"/>
      <c r="AT835"/>
      <c r="AU835"/>
      <c r="AV835"/>
      <c r="AW835"/>
      <c r="AX835"/>
      <c r="AY835"/>
      <c r="AZ835" s="30">
        <f>IF(AJ994&gt;1,0.05,0)</f>
        <v>0</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352</v>
      </c>
      <c r="K836" s="5"/>
      <c r="L836" s="5"/>
      <c r="M836" s="5"/>
      <c r="N836" s="5"/>
      <c r="O836" s="5"/>
      <c r="P836" s="5"/>
      <c r="Q836" s="5"/>
      <c r="R836" s="5"/>
      <c r="S836" s="5"/>
      <c r="T836" s="5"/>
      <c r="U836" s="5"/>
      <c r="V836" s="46"/>
      <c r="W836" s="1708">
        <v>4068</v>
      </c>
      <c r="X836" s="1708"/>
      <c r="Y836" s="1708"/>
      <c r="Z836" s="1708"/>
      <c r="AA836" s="1708"/>
      <c r="AB836" s="1708"/>
      <c r="AC836" s="1708"/>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708">
        <v>28701</v>
      </c>
      <c r="X837" s="1708"/>
      <c r="Y837" s="1708"/>
      <c r="Z837" s="1708"/>
      <c r="AA837" s="1708"/>
      <c r="AB837" s="1708"/>
      <c r="AC837" s="1708"/>
      <c r="AD837"/>
      <c r="AE837"/>
      <c r="AF837"/>
      <c r="AG837"/>
      <c r="AH837"/>
      <c r="AI837"/>
      <c r="AJ837"/>
      <c r="AK837"/>
      <c r="AL837"/>
      <c r="AM837"/>
      <c r="AN837"/>
      <c r="AO837"/>
      <c r="AP837"/>
      <c r="AQ837"/>
      <c r="AR837"/>
      <c r="AS837"/>
      <c r="AT837"/>
      <c r="AU837"/>
      <c r="AV837"/>
      <c r="AW837"/>
      <c r="AX837"/>
      <c r="AY837"/>
      <c r="AZ837" s="30"/>
      <c r="BA837" s="30"/>
      <c r="BG837" s="1653"/>
      <c r="BH837" s="1653"/>
      <c r="BI837" s="1653"/>
      <c r="BJ837" s="1653"/>
      <c r="BK837" s="1653"/>
      <c r="BL837" s="1653"/>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708">
        <v>67061</v>
      </c>
      <c r="X838" s="1708"/>
      <c r="Y838" s="1708"/>
      <c r="Z838" s="1708"/>
      <c r="AA838" s="1708"/>
      <c r="AB838" s="1708"/>
      <c r="AC838" s="1708"/>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273</v>
      </c>
      <c r="W839" s="1723">
        <f>SUM(W835:AC838)</f>
        <v>99830</v>
      </c>
      <c r="X839" s="1723"/>
      <c r="Y839" s="1723"/>
      <c r="Z839" s="1723"/>
      <c r="AA839" s="1723"/>
      <c r="AB839" s="1723"/>
      <c r="AC839" s="172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9">
        <f>SUM(AZ807:AZ835)</f>
        <v>0</v>
      </c>
      <c r="BA840" s="1719"/>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347</v>
      </c>
      <c r="D841"/>
      <c r="E841"/>
      <c r="F841"/>
      <c r="G841"/>
      <c r="H841"/>
      <c r="I841"/>
      <c r="J841" s="45" t="s">
        <v>628</v>
      </c>
      <c r="K841" s="5"/>
      <c r="L841" s="5"/>
      <c r="M841" s="5"/>
      <c r="N841" s="5"/>
      <c r="O841" s="5"/>
      <c r="P841" s="5"/>
      <c r="Q841" s="5"/>
      <c r="R841" s="5"/>
      <c r="S841" s="5"/>
      <c r="T841" s="5"/>
      <c r="U841" s="5"/>
      <c r="V841" s="46"/>
      <c r="W841" s="1650">
        <f>50677+42929</f>
        <v>93606</v>
      </c>
      <c r="X841" s="1651"/>
      <c r="Y841" s="1651"/>
      <c r="Z841" s="1651"/>
      <c r="AA841" s="1651"/>
      <c r="AB841" s="1651"/>
      <c r="AC841" s="1652"/>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348</v>
      </c>
      <c r="D842"/>
      <c r="E842"/>
      <c r="F842"/>
      <c r="G842"/>
      <c r="H842"/>
      <c r="I842"/>
      <c r="J842" s="121" t="s">
        <v>1837</v>
      </c>
      <c r="K842" s="5"/>
      <c r="L842" s="5"/>
      <c r="M842" s="5"/>
      <c r="N842" s="5"/>
      <c r="O842" s="5"/>
      <c r="P842" s="5"/>
      <c r="Q842" s="5"/>
      <c r="R842" s="5"/>
      <c r="S842" s="5"/>
      <c r="T842" s="1706">
        <v>1</v>
      </c>
      <c r="U842" s="1667"/>
      <c r="V842" s="1707"/>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50">
        <v>83261</v>
      </c>
      <c r="X843" s="1651"/>
      <c r="Y843" s="1651"/>
      <c r="Z843" s="1651"/>
      <c r="AA843" s="1651"/>
      <c r="AB843" s="1651"/>
      <c r="AC843" s="1652"/>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706">
        <v>1</v>
      </c>
      <c r="U844" s="1667"/>
      <c r="V844" s="1707"/>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170</v>
      </c>
      <c r="K845" s="5"/>
      <c r="L845" s="5"/>
      <c r="M845" s="1543" t="s">
        <v>2720</v>
      </c>
      <c r="N845" s="1544"/>
      <c r="O845" s="1544"/>
      <c r="P845" s="1544"/>
      <c r="Q845" s="1544"/>
      <c r="R845" s="1544"/>
      <c r="S845" s="1544"/>
      <c r="T845" s="1544"/>
      <c r="U845" s="1544"/>
      <c r="V845" s="1545"/>
      <c r="W845" s="1650">
        <v>43484</v>
      </c>
      <c r="X845" s="1651"/>
      <c r="Y845" s="1651"/>
      <c r="Z845" s="1651"/>
      <c r="AA845" s="1651"/>
      <c r="AB845" s="1651"/>
      <c r="AC845" s="1652"/>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274</v>
      </c>
      <c r="W846" s="1720">
        <f>SUM(W841:AC845)</f>
        <v>220351</v>
      </c>
      <c r="X846" s="1721"/>
      <c r="Y846" s="1721"/>
      <c r="Z846" s="1721"/>
      <c r="AA846" s="1721"/>
      <c r="AB846" s="1721"/>
      <c r="AC846" s="172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275</v>
      </c>
      <c r="W847" s="1650">
        <v>113590</v>
      </c>
      <c r="X847" s="1651"/>
      <c r="Y847" s="1651"/>
      <c r="Z847" s="1651"/>
      <c r="AA847" s="1651"/>
      <c r="AB847" s="1651"/>
      <c r="AC847" s="1652"/>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391</v>
      </c>
      <c r="J849" s="45" t="s">
        <v>626</v>
      </c>
      <c r="K849" s="5"/>
      <c r="L849" s="5"/>
      <c r="M849" s="5"/>
      <c r="N849" s="5"/>
      <c r="O849" s="5"/>
      <c r="P849" s="5"/>
      <c r="Q849" s="5"/>
      <c r="R849" s="5"/>
      <c r="S849" s="5"/>
      <c r="T849" s="5"/>
      <c r="U849" s="5"/>
      <c r="V849" s="46"/>
      <c r="W849" s="1431">
        <v>5852</v>
      </c>
      <c r="X849" s="1431"/>
      <c r="Y849" s="1431"/>
      <c r="Z849" s="1431"/>
      <c r="AA849" s="1431"/>
      <c r="AB849" s="1431"/>
      <c r="AC849" s="1431"/>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431">
        <v>17743</v>
      </c>
      <c r="X850" s="1431"/>
      <c r="Y850" s="1431"/>
      <c r="Z850" s="1431"/>
      <c r="AA850" s="1431"/>
      <c r="AB850" s="1431"/>
      <c r="AC850" s="1431"/>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431">
        <v>73844</v>
      </c>
      <c r="X851" s="1431"/>
      <c r="Y851" s="1431"/>
      <c r="Z851" s="1431"/>
      <c r="AA851" s="1431"/>
      <c r="AB851" s="1431"/>
      <c r="AC851" s="1431"/>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431">
        <v>5130</v>
      </c>
      <c r="X852" s="1431"/>
      <c r="Y852" s="1431"/>
      <c r="Z852" s="1431"/>
      <c r="AA852" s="1431"/>
      <c r="AB852" s="1431"/>
      <c r="AC852" s="1431"/>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431">
        <v>28697</v>
      </c>
      <c r="X853" s="1431"/>
      <c r="Y853" s="1431"/>
      <c r="Z853" s="1431"/>
      <c r="AA853" s="1431"/>
      <c r="AB853" s="1431"/>
      <c r="AC853" s="1431"/>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431"/>
      <c r="X854" s="1431"/>
      <c r="Y854" s="1431"/>
      <c r="Z854" s="1431"/>
      <c r="AA854" s="1431"/>
      <c r="AB854" s="1431"/>
      <c r="AC854" s="1431"/>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170</v>
      </c>
      <c r="K855" s="5"/>
      <c r="L855" s="5"/>
      <c r="M855" s="1543" t="s">
        <v>2721</v>
      </c>
      <c r="N855" s="1544"/>
      <c r="O855" s="1544"/>
      <c r="P855" s="1544"/>
      <c r="Q855" s="1544"/>
      <c r="R855" s="1544"/>
      <c r="S855" s="1544"/>
      <c r="T855" s="1544"/>
      <c r="U855" s="1544"/>
      <c r="V855" s="1545"/>
      <c r="W855" s="1431">
        <v>12000</v>
      </c>
      <c r="X855" s="1431"/>
      <c r="Y855" s="1431"/>
      <c r="Z855" s="1431"/>
      <c r="AA855" s="1431"/>
      <c r="AB855" s="1431"/>
      <c r="AC855" s="1431"/>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276</v>
      </c>
      <c r="W856" s="1679">
        <f>SUM(W849:AC855)</f>
        <v>143266</v>
      </c>
      <c r="X856" s="1679"/>
      <c r="Y856" s="1679"/>
      <c r="Z856" s="1679"/>
      <c r="AA856" s="1679"/>
      <c r="AB856" s="1679"/>
      <c r="AC856" s="1679"/>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170</v>
      </c>
      <c r="K858" s="5"/>
      <c r="L858" s="5"/>
      <c r="M858" s="1543" t="s">
        <v>335</v>
      </c>
      <c r="N858" s="1544"/>
      <c r="O858" s="1544"/>
      <c r="P858" s="1544"/>
      <c r="Q858" s="1544"/>
      <c r="R858" s="1544"/>
      <c r="S858" s="1544"/>
      <c r="T858" s="1544"/>
      <c r="U858" s="1544"/>
      <c r="V858" s="1545"/>
      <c r="W858" s="1428"/>
      <c r="X858" s="1429"/>
      <c r="Y858" s="1429"/>
      <c r="Z858" s="1429"/>
      <c r="AA858" s="1429"/>
      <c r="AB858" s="1429"/>
      <c r="AC858" s="1430"/>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170</v>
      </c>
      <c r="K859" s="5"/>
      <c r="L859" s="5"/>
      <c r="M859" s="1543" t="s">
        <v>335</v>
      </c>
      <c r="N859" s="1544"/>
      <c r="O859" s="1544"/>
      <c r="P859" s="1544"/>
      <c r="Q859" s="1544"/>
      <c r="R859" s="1544"/>
      <c r="S859" s="1544"/>
      <c r="T859" s="1544"/>
      <c r="U859" s="1544"/>
      <c r="V859" s="1545"/>
      <c r="W859" s="1428"/>
      <c r="X859" s="1429"/>
      <c r="Y859" s="1429"/>
      <c r="Z859" s="1429"/>
      <c r="AA859" s="1429"/>
      <c r="AB859" s="1429"/>
      <c r="AC859" s="1430"/>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170</v>
      </c>
      <c r="K860" s="5"/>
      <c r="L860" s="5"/>
      <c r="M860" s="1543" t="s">
        <v>335</v>
      </c>
      <c r="N860" s="1544"/>
      <c r="O860" s="1544"/>
      <c r="P860" s="1544"/>
      <c r="Q860" s="1544"/>
      <c r="R860" s="1544"/>
      <c r="S860" s="1544"/>
      <c r="T860" s="1544"/>
      <c r="U860" s="1544"/>
      <c r="V860" s="1545"/>
      <c r="W860" s="1428"/>
      <c r="X860" s="1429"/>
      <c r="Y860" s="1429"/>
      <c r="Z860" s="1429"/>
      <c r="AA860" s="1429"/>
      <c r="AB860" s="1429"/>
      <c r="AC860" s="1430"/>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170</v>
      </c>
      <c r="K861" s="5"/>
      <c r="L861" s="5"/>
      <c r="M861" s="1543" t="s">
        <v>335</v>
      </c>
      <c r="N861" s="1544"/>
      <c r="O861" s="1544"/>
      <c r="P861" s="1544"/>
      <c r="Q861" s="1544"/>
      <c r="R861" s="1544"/>
      <c r="S861" s="1544"/>
      <c r="T861" s="1544"/>
      <c r="U861" s="1544"/>
      <c r="V861" s="1545"/>
      <c r="W861" s="1428"/>
      <c r="X861" s="1429"/>
      <c r="Y861" s="1429"/>
      <c r="Z861" s="1429"/>
      <c r="AA861" s="1429"/>
      <c r="AB861" s="1429"/>
      <c r="AC861" s="1430"/>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170</v>
      </c>
      <c r="K862" s="5"/>
      <c r="L862" s="5"/>
      <c r="M862" s="1543" t="s">
        <v>335</v>
      </c>
      <c r="N862" s="1544"/>
      <c r="O862" s="1544"/>
      <c r="P862" s="1544"/>
      <c r="Q862" s="1544"/>
      <c r="R862" s="1544"/>
      <c r="S862" s="1544"/>
      <c r="T862" s="1544"/>
      <c r="U862" s="1544"/>
      <c r="V862" s="1545"/>
      <c r="W862" s="1428"/>
      <c r="X862" s="1429"/>
      <c r="Y862" s="1429"/>
      <c r="Z862" s="1429"/>
      <c r="AA862" s="1429"/>
      <c r="AB862" s="1429"/>
      <c r="AC862" s="1430"/>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277</v>
      </c>
      <c r="W863" s="1595">
        <f>SUM(W858:AC862)</f>
        <v>0</v>
      </c>
      <c r="X863" s="1596"/>
      <c r="Y863" s="1596"/>
      <c r="Z863" s="1596"/>
      <c r="AA863" s="1596"/>
      <c r="AB863" s="1596"/>
      <c r="AC863" s="1597"/>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96">
        <f>W831+W839+W846+W847+W856+W863+W833</f>
        <v>730175</v>
      </c>
      <c r="AD867" s="1596"/>
      <c r="AE867" s="1596"/>
      <c r="AF867" s="1596"/>
      <c r="AG867" s="1596"/>
      <c r="AH867" s="1597"/>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704">
        <f>O782+O762+G739</f>
        <v>121</v>
      </c>
      <c r="AD868" s="1704"/>
      <c r="AE868" s="1704"/>
      <c r="AF868" s="1704"/>
      <c r="AG868" s="1704"/>
      <c r="AH868" s="170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02" t="s">
        <v>32</v>
      </c>
      <c r="F869" s="1702"/>
      <c r="G869" s="1702"/>
      <c r="H869" s="1702"/>
      <c r="I869" s="1702"/>
      <c r="J869" s="1702"/>
      <c r="K869" s="1702"/>
      <c r="L869" s="1702"/>
      <c r="M869" s="1702"/>
      <c r="N869" s="1702"/>
      <c r="O869" s="1702"/>
      <c r="P869" s="1702"/>
      <c r="Q869" s="1702"/>
      <c r="R869" s="1702"/>
      <c r="S869" s="1702"/>
      <c r="T869" s="1702"/>
      <c r="U869" s="1702"/>
      <c r="V869" s="1702"/>
      <c r="W869" s="1702"/>
      <c r="X869" s="1702"/>
      <c r="Y869" s="1702"/>
      <c r="Z869" s="1702"/>
      <c r="AA869" s="1702"/>
      <c r="AB869" s="1703"/>
      <c r="AC869" s="1679">
        <f>IF(ISERROR((ROUNDDOWN(AC867/AC868,0))),0,(ROUNDDOWN(AC867/AC868,0)))</f>
        <v>6034</v>
      </c>
      <c r="AD869" s="1679"/>
      <c r="AE869" s="1679"/>
      <c r="AF869" s="1679"/>
      <c r="AG869" s="1679"/>
      <c r="AH869" s="1679"/>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8">
        <v>390087</v>
      </c>
      <c r="AD870" s="1729"/>
      <c r="AE870" s="1729"/>
      <c r="AF870" s="1729"/>
      <c r="AG870" s="1729"/>
      <c r="AH870" s="1729"/>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30"/>
      <c r="AD871" s="1431"/>
      <c r="AE871" s="1431"/>
      <c r="AF871" s="1431"/>
      <c r="AG871" s="1431"/>
      <c r="AH871" s="1431"/>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9">
        <v>48972</v>
      </c>
      <c r="AD872" s="1429"/>
      <c r="AE872" s="1429"/>
      <c r="AF872" s="1429"/>
      <c r="AG872" s="1429"/>
      <c r="AH872" s="1430"/>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9">
        <v>39325</v>
      </c>
      <c r="AD873" s="1429"/>
      <c r="AE873" s="1429"/>
      <c r="AF873" s="1429"/>
      <c r="AG873" s="1429"/>
      <c r="AH873" s="1430"/>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372">
        <v>17000</v>
      </c>
      <c r="AD874" s="1373"/>
      <c r="AE874" s="1373"/>
      <c r="AF874" s="1373"/>
      <c r="AG874" s="1373"/>
      <c r="AH874" s="137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9">
        <v>7056</v>
      </c>
      <c r="AD875" s="1429"/>
      <c r="AE875" s="1429"/>
      <c r="AF875" s="1429"/>
      <c r="AG875" s="1429"/>
      <c r="AH875" s="1430"/>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29"/>
      <c r="AD876" s="1429"/>
      <c r="AE876" s="1429"/>
      <c r="AF876" s="1429"/>
      <c r="AG876" s="1429"/>
      <c r="AH876" s="1430"/>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16" t="s">
        <v>996</v>
      </c>
      <c r="D877" s="1717"/>
      <c r="E877" s="1717"/>
      <c r="F877" s="1717"/>
      <c r="G877" s="1717"/>
      <c r="H877" s="1717"/>
      <c r="I877" s="1717"/>
      <c r="J877" s="1717"/>
      <c r="K877" s="1717"/>
      <c r="L877" s="1717"/>
      <c r="M877" s="1717"/>
      <c r="N877" s="1717"/>
      <c r="O877" s="1717"/>
      <c r="P877" s="1717"/>
      <c r="Q877" s="1717"/>
      <c r="R877" s="1717"/>
      <c r="S877" s="1717"/>
      <c r="T877" s="1717"/>
      <c r="U877" s="1717"/>
      <c r="V877" s="1717"/>
      <c r="W877" s="1717"/>
      <c r="X877" s="1717"/>
      <c r="Y877" s="1717"/>
      <c r="Z877" s="1717"/>
      <c r="AA877" s="1717"/>
      <c r="AB877" s="1718"/>
      <c r="AC877" s="1431"/>
      <c r="AD877" s="1431"/>
      <c r="AE877" s="1431"/>
      <c r="AF877" s="1431"/>
      <c r="AG877" s="1431"/>
      <c r="AH877" s="1431"/>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16" t="s">
        <v>996</v>
      </c>
      <c r="D878" s="1717"/>
      <c r="E878" s="1717"/>
      <c r="F878" s="1717"/>
      <c r="G878" s="1717"/>
      <c r="H878" s="1717"/>
      <c r="I878" s="1717"/>
      <c r="J878" s="1717"/>
      <c r="K878" s="1717"/>
      <c r="L878" s="1717"/>
      <c r="M878" s="1717"/>
      <c r="N878" s="1717"/>
      <c r="O878" s="1717"/>
      <c r="P878" s="1717"/>
      <c r="Q878" s="1717"/>
      <c r="R878" s="1717"/>
      <c r="S878" s="1717"/>
      <c r="T878" s="1717"/>
      <c r="U878" s="1717"/>
      <c r="V878" s="1717"/>
      <c r="W878" s="1717"/>
      <c r="X878" s="1717"/>
      <c r="Y878" s="1717"/>
      <c r="Z878" s="1717"/>
      <c r="AA878" s="1717"/>
      <c r="AB878" s="1718"/>
      <c r="AC878" s="1431"/>
      <c r="AD878" s="1431"/>
      <c r="AE878" s="1431"/>
      <c r="AF878" s="1431"/>
      <c r="AG878" s="1431"/>
      <c r="AH878" s="1431"/>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239</v>
      </c>
      <c r="I882" s="5"/>
      <c r="J882" s="5"/>
      <c r="K882" s="5"/>
      <c r="L882" s="5"/>
      <c r="M882" s="5"/>
      <c r="N882" s="5"/>
      <c r="O882" s="5"/>
      <c r="P882" s="5"/>
      <c r="Q882" s="5"/>
      <c r="R882" s="5"/>
      <c r="S882" s="5"/>
      <c r="T882" s="5"/>
      <c r="U882" s="5"/>
      <c r="V882" s="5"/>
      <c r="W882" s="5"/>
      <c r="X882" s="5"/>
      <c r="Y882" s="46"/>
      <c r="Z882" s="1428"/>
      <c r="AA882" s="1429"/>
      <c r="AB882" s="1429"/>
      <c r="AC882" s="1429"/>
      <c r="AD882" s="1429"/>
      <c r="AE882" s="1430"/>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240</v>
      </c>
      <c r="I883" s="5"/>
      <c r="J883" s="5"/>
      <c r="K883" s="5"/>
      <c r="L883" s="5"/>
      <c r="M883" s="5"/>
      <c r="N883" s="5"/>
      <c r="O883" s="5"/>
      <c r="P883" s="5"/>
      <c r="Q883" s="5"/>
      <c r="R883" s="5"/>
      <c r="S883" s="5"/>
      <c r="T883" s="5"/>
      <c r="U883" s="5"/>
      <c r="V883" s="5"/>
      <c r="W883" s="5"/>
      <c r="X883" s="5"/>
      <c r="Y883" s="5"/>
      <c r="Z883" s="1428"/>
      <c r="AA883" s="1429"/>
      <c r="AB883" s="1429"/>
      <c r="AC883" s="1429"/>
      <c r="AD883" s="1429"/>
      <c r="AE883" s="1430"/>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241</v>
      </c>
      <c r="I884" s="5"/>
      <c r="J884" s="5"/>
      <c r="K884" s="5"/>
      <c r="L884" s="5"/>
      <c r="M884" s="5"/>
      <c r="N884" s="5"/>
      <c r="O884" s="5"/>
      <c r="P884" s="5"/>
      <c r="Q884" s="5"/>
      <c r="R884" s="5"/>
      <c r="S884" s="5"/>
      <c r="T884" s="5"/>
      <c r="U884" s="5"/>
      <c r="V884" s="5"/>
      <c r="W884" s="5"/>
      <c r="X884" s="5"/>
      <c r="Y884" s="5"/>
      <c r="Z884" s="1428"/>
      <c r="AA884" s="1429"/>
      <c r="AB884" s="1429"/>
      <c r="AC884" s="1429"/>
      <c r="AD884" s="1429"/>
      <c r="AE884" s="1430"/>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242</v>
      </c>
      <c r="Z885" s="1595">
        <f>Z882-(Z883+Z884)</f>
        <v>0</v>
      </c>
      <c r="AA885" s="1596"/>
      <c r="AB885" s="1596"/>
      <c r="AC885" s="1596"/>
      <c r="AD885" s="1596"/>
      <c r="AE885" s="1597"/>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9"/>
      <c r="BE887" s="1709"/>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9"/>
      <c r="BE888" s="1709"/>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53"/>
      <c r="BE889" s="1653"/>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53"/>
      <c r="BE890" s="1653"/>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53"/>
      <c r="BE891" s="1653"/>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9"/>
      <c r="BE892" s="1653"/>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8" t="s">
        <v>97</v>
      </c>
      <c r="B893" s="1648"/>
      <c r="C893" s="1648"/>
      <c r="D893" s="1648"/>
      <c r="E893" s="1648"/>
      <c r="F893" s="1648"/>
      <c r="G893" s="1648"/>
      <c r="H893" s="1648"/>
      <c r="I893" s="1648"/>
      <c r="J893" s="1648"/>
      <c r="K893" s="1648"/>
      <c r="L893" s="1648"/>
      <c r="M893" s="1648"/>
      <c r="N893" s="1648"/>
      <c r="O893" s="1648"/>
      <c r="P893" s="1648"/>
      <c r="Q893" s="1648"/>
      <c r="R893" s="1648"/>
      <c r="S893" s="1648"/>
      <c r="T893" s="1648"/>
      <c r="U893" s="1648"/>
      <c r="V893" s="1648"/>
      <c r="W893" s="1648"/>
      <c r="X893" s="1648"/>
      <c r="Y893" s="1648"/>
      <c r="Z893" s="1648"/>
      <c r="AA893" s="1648"/>
      <c r="AB893" s="1648"/>
      <c r="AC893" s="1648"/>
      <c r="AD893" s="1648"/>
      <c r="AE893" s="1648"/>
      <c r="AF893" s="1648"/>
      <c r="AG893" s="1648"/>
      <c r="AH893" s="1648"/>
      <c r="AI893" s="1648"/>
      <c r="AJ893" s="1648"/>
      <c r="AK893" s="1648"/>
      <c r="AL893" s="1648"/>
      <c r="AM893" s="95"/>
      <c r="AN893" s="95"/>
      <c r="AO893" s="95"/>
      <c r="AP893" s="95"/>
      <c r="AQ893" s="95"/>
      <c r="AR893" s="95"/>
      <c r="AS893" s="95"/>
      <c r="AT893" s="95"/>
      <c r="AU893" s="95"/>
      <c r="AV893" s="95"/>
      <c r="AW893" s="95"/>
      <c r="AX893" s="95"/>
      <c r="AY893" s="95"/>
      <c r="AZ893" s="34"/>
      <c r="BB893" s="30"/>
      <c r="BC893" s="852"/>
      <c r="BD893" s="1727"/>
      <c r="BE893" s="1727"/>
      <c r="BF893" s="1727"/>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9"/>
      <c r="B894" s="1649"/>
      <c r="C894" s="1649"/>
      <c r="D894" s="1649"/>
      <c r="E894" s="1649"/>
      <c r="F894" s="1649"/>
      <c r="G894" s="1649"/>
      <c r="H894" s="1649"/>
      <c r="I894" s="1649"/>
      <c r="J894" s="1649"/>
      <c r="K894" s="1649"/>
      <c r="L894" s="1649"/>
      <c r="M894" s="1649"/>
      <c r="N894" s="1649"/>
      <c r="O894" s="1649"/>
      <c r="P894" s="1649"/>
      <c r="Q894" s="1649"/>
      <c r="R894" s="1649"/>
      <c r="S894" s="1649"/>
      <c r="T894" s="1649"/>
      <c r="U894" s="1649"/>
      <c r="V894" s="1649"/>
      <c r="W894" s="1649"/>
      <c r="X894" s="1649"/>
      <c r="Y894" s="1649"/>
      <c r="Z894" s="1649"/>
      <c r="AA894" s="1649"/>
      <c r="AB894" s="1649"/>
      <c r="AC894" s="1649"/>
      <c r="AD894" s="1649"/>
      <c r="AE894" s="1649"/>
      <c r="AF894" s="1649"/>
      <c r="AG894" s="1649"/>
      <c r="AH894" s="1649"/>
      <c r="AI894" s="1649"/>
      <c r="AJ894" s="1649"/>
      <c r="AK894" s="1649"/>
      <c r="AL894" s="1649"/>
      <c r="AM894" s="95"/>
      <c r="AN894" s="95"/>
      <c r="AO894" s="95"/>
      <c r="AP894" s="95"/>
      <c r="AQ894" s="95"/>
      <c r="AR894" s="95"/>
      <c r="AS894" s="95"/>
      <c r="AT894" s="95"/>
      <c r="AU894" s="95"/>
      <c r="AV894" s="95"/>
      <c r="AW894" s="95"/>
      <c r="AX894" s="95"/>
      <c r="AY894" s="95"/>
      <c r="AZ894" s="34"/>
      <c r="BB894" s="30"/>
      <c r="BC894" s="852"/>
      <c r="BD894" s="1643"/>
      <c r="BE894" s="1643"/>
      <c r="BF894" s="1643"/>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53"/>
      <c r="BE895" s="1653"/>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9"/>
      <c r="BE896" s="1653"/>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9" t="s">
        <v>816</v>
      </c>
      <c r="G898" s="1550"/>
      <c r="H898" s="1550"/>
      <c r="I898" s="1550"/>
      <c r="J898" s="1550"/>
      <c r="K898" s="1550"/>
      <c r="L898" s="1550"/>
      <c r="M898" s="1550"/>
      <c r="N898" s="1550"/>
      <c r="O898" s="1550"/>
      <c r="P898" s="1550"/>
      <c r="Q898" s="1550"/>
      <c r="R898" s="1550"/>
      <c r="S898" s="1550"/>
      <c r="T898" s="1551"/>
      <c r="U898" s="1527" t="s">
        <v>31</v>
      </c>
      <c r="V898" s="1528"/>
      <c r="W898" s="1528"/>
      <c r="X898" s="1528"/>
      <c r="Y898" s="1528"/>
      <c r="Z898" s="1528"/>
      <c r="AA898" s="43"/>
      <c r="AB898" s="105"/>
      <c r="AC898" s="105"/>
      <c r="AD898" s="105"/>
      <c r="AE898" s="105"/>
      <c r="AF898" s="106"/>
      <c r="AZ898" s="34"/>
      <c r="BA898" s="34"/>
      <c r="BB898" s="30"/>
      <c r="BC898" s="30"/>
      <c r="BD898" s="1709"/>
      <c r="BE898" s="1653"/>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9" t="s">
        <v>844</v>
      </c>
      <c r="G899" s="1530"/>
      <c r="H899" s="1530"/>
      <c r="I899" s="1530"/>
      <c r="J899" s="1530"/>
      <c r="K899" s="1530"/>
      <c r="L899" s="1530"/>
      <c r="M899" s="1530"/>
      <c r="N899" s="1530"/>
      <c r="O899" s="1530"/>
      <c r="P899" s="1530"/>
      <c r="Q899" s="1530"/>
      <c r="R899" s="1530"/>
      <c r="S899" s="1530"/>
      <c r="T899" s="1713"/>
      <c r="U899" s="1529"/>
      <c r="V899" s="1530"/>
      <c r="W899" s="1530"/>
      <c r="X899" s="1530"/>
      <c r="Y899" s="1530"/>
      <c r="Z899" s="1530"/>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31"/>
      <c r="G900" s="1532"/>
      <c r="H900" s="1532"/>
      <c r="I900" s="1532"/>
      <c r="J900" s="1532"/>
      <c r="K900" s="1532"/>
      <c r="L900" s="1532"/>
      <c r="M900" s="1532"/>
      <c r="N900" s="1532"/>
      <c r="O900" s="1532"/>
      <c r="P900" s="1532"/>
      <c r="Q900" s="1532"/>
      <c r="R900" s="1532"/>
      <c r="S900" s="1532"/>
      <c r="T900" s="1714"/>
      <c r="U900" s="1531"/>
      <c r="V900" s="1532"/>
      <c r="W900" s="1532"/>
      <c r="X900" s="1532"/>
      <c r="Y900" s="1532"/>
      <c r="Z900" s="1532"/>
      <c r="AA900" s="108"/>
      <c r="AB900" s="1554" t="s">
        <v>392</v>
      </c>
      <c r="AC900" s="1554"/>
      <c r="AD900" s="1554"/>
      <c r="AE900" s="1554"/>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539" t="s">
        <v>554</v>
      </c>
      <c r="V901" s="1525"/>
      <c r="W901" s="1525"/>
      <c r="X901" s="1525"/>
      <c r="Y901" s="1525"/>
      <c r="Z901" s="1526"/>
      <c r="AA901" s="1536">
        <f>AM550</f>
        <v>38763000</v>
      </c>
      <c r="AB901" s="1537"/>
      <c r="AC901" s="1537"/>
      <c r="AD901" s="1537"/>
      <c r="AE901" s="1537"/>
      <c r="AF901" s="1538"/>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539" t="s">
        <v>554</v>
      </c>
      <c r="V902" s="1525"/>
      <c r="W902" s="1525"/>
      <c r="X902" s="1525"/>
      <c r="Y902" s="1525"/>
      <c r="Z902" s="1526"/>
      <c r="AA902" s="1536">
        <f>AM551</f>
        <v>9433752</v>
      </c>
      <c r="AB902" s="1537"/>
      <c r="AC902" s="1537"/>
      <c r="AD902" s="1537"/>
      <c r="AE902" s="1537"/>
      <c r="AF902" s="1538"/>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524" t="s">
        <v>600</v>
      </c>
      <c r="V903" s="1525"/>
      <c r="W903" s="1525"/>
      <c r="X903" s="1525"/>
      <c r="Y903" s="1525"/>
      <c r="Z903" s="1526"/>
      <c r="AA903" s="1536"/>
      <c r="AB903" s="1537"/>
      <c r="AC903" s="1537"/>
      <c r="AD903" s="1537"/>
      <c r="AE903" s="1537"/>
      <c r="AF903" s="1538"/>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524" t="s">
        <v>600</v>
      </c>
      <c r="V904" s="1525"/>
      <c r="W904" s="1525"/>
      <c r="X904" s="1525"/>
      <c r="Y904" s="1525"/>
      <c r="Z904" s="1526"/>
      <c r="AA904" s="1536"/>
      <c r="AB904" s="1537"/>
      <c r="AC904" s="1537"/>
      <c r="AD904" s="1537"/>
      <c r="AE904" s="1537"/>
      <c r="AF904" s="1538"/>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524" t="s">
        <v>600</v>
      </c>
      <c r="V905" s="1525"/>
      <c r="W905" s="1525"/>
      <c r="X905" s="1525"/>
      <c r="Y905" s="1525"/>
      <c r="Z905" s="1526"/>
      <c r="AA905" s="1536"/>
      <c r="AB905" s="1537"/>
      <c r="AC905" s="1537"/>
      <c r="AD905" s="1537"/>
      <c r="AE905" s="1537"/>
      <c r="AF905" s="1538"/>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524" t="s">
        <v>600</v>
      </c>
      <c r="V906" s="1525"/>
      <c r="W906" s="1525"/>
      <c r="X906" s="1525"/>
      <c r="Y906" s="1525"/>
      <c r="Z906" s="1526"/>
      <c r="AA906" s="1536"/>
      <c r="AB906" s="1537"/>
      <c r="AC906" s="1537"/>
      <c r="AD906" s="1537"/>
      <c r="AE906" s="1537"/>
      <c r="AF906" s="1538"/>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524" t="s">
        <v>600</v>
      </c>
      <c r="V907" s="1525"/>
      <c r="W907" s="1525"/>
      <c r="X907" s="1525"/>
      <c r="Y907" s="1525"/>
      <c r="Z907" s="1526"/>
      <c r="AA907" s="1536"/>
      <c r="AB907" s="1537"/>
      <c r="AC907" s="1537"/>
      <c r="AD907" s="1537"/>
      <c r="AE907" s="1537"/>
      <c r="AF907" s="1538"/>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524" t="s">
        <v>600</v>
      </c>
      <c r="V908" s="1525"/>
      <c r="W908" s="1525"/>
      <c r="X908" s="1525"/>
      <c r="Y908" s="1525"/>
      <c r="Z908" s="1526"/>
      <c r="AA908" s="1536"/>
      <c r="AB908" s="1537"/>
      <c r="AC908" s="1537"/>
      <c r="AD908" s="1537"/>
      <c r="AE908" s="1537"/>
      <c r="AF908" s="1538"/>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524" t="s">
        <v>600</v>
      </c>
      <c r="V909" s="1525"/>
      <c r="W909" s="1525"/>
      <c r="X909" s="1525"/>
      <c r="Y909" s="1525"/>
      <c r="Z909" s="1526"/>
      <c r="AA909" s="1536"/>
      <c r="AB909" s="1537"/>
      <c r="AC909" s="1537"/>
      <c r="AD909" s="1537"/>
      <c r="AE909" s="1537"/>
      <c r="AF909" s="1538"/>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524" t="s">
        <v>600</v>
      </c>
      <c r="V910" s="1525"/>
      <c r="W910" s="1525"/>
      <c r="X910" s="1525"/>
      <c r="Y910" s="1525"/>
      <c r="Z910" s="1526"/>
      <c r="AA910" s="1536"/>
      <c r="AB910" s="1537"/>
      <c r="AC910" s="1537"/>
      <c r="AD910" s="1537"/>
      <c r="AE910" s="1537"/>
      <c r="AF910" s="153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524" t="s">
        <v>600</v>
      </c>
      <c r="V911" s="1525"/>
      <c r="W911" s="1525"/>
      <c r="X911" s="1525"/>
      <c r="Y911" s="1525"/>
      <c r="Z911" s="1526"/>
      <c r="AA911" s="1536"/>
      <c r="AB911" s="1537"/>
      <c r="AC911" s="1537"/>
      <c r="AD911" s="1537"/>
      <c r="AE911" s="1537"/>
      <c r="AF911" s="1538"/>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524" t="s">
        <v>600</v>
      </c>
      <c r="V912" s="1525"/>
      <c r="W912" s="1525"/>
      <c r="X912" s="1525"/>
      <c r="Y912" s="1525"/>
      <c r="Z912" s="1526"/>
      <c r="AA912" s="1536"/>
      <c r="AB912" s="1537"/>
      <c r="AC912" s="1537"/>
      <c r="AD912" s="1537"/>
      <c r="AE912" s="1537"/>
      <c r="AF912" s="1538"/>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524" t="s">
        <v>600</v>
      </c>
      <c r="V913" s="1525"/>
      <c r="W913" s="1525"/>
      <c r="X913" s="1525"/>
      <c r="Y913" s="1525"/>
      <c r="Z913" s="1526"/>
      <c r="AA913" s="1536"/>
      <c r="AB913" s="1537"/>
      <c r="AC913" s="1537"/>
      <c r="AD913" s="1537"/>
      <c r="AE913" s="1537"/>
      <c r="AF913" s="1538"/>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524" t="s">
        <v>600</v>
      </c>
      <c r="V914" s="1525"/>
      <c r="W914" s="1525"/>
      <c r="X914" s="1525"/>
      <c r="Y914" s="1525"/>
      <c r="Z914" s="1526"/>
      <c r="AA914" s="1536"/>
      <c r="AB914" s="1537"/>
      <c r="AC914" s="1537"/>
      <c r="AD914" s="1537"/>
      <c r="AE914" s="1537"/>
      <c r="AF914" s="1538"/>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524" t="s">
        <v>600</v>
      </c>
      <c r="V915" s="1525"/>
      <c r="W915" s="1525"/>
      <c r="X915" s="1525"/>
      <c r="Y915" s="1525"/>
      <c r="Z915" s="1526"/>
      <c r="AA915" s="1536"/>
      <c r="AB915" s="1537"/>
      <c r="AC915" s="1537"/>
      <c r="AD915" s="1537"/>
      <c r="AE915" s="1537"/>
      <c r="AF915" s="1538"/>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524" t="s">
        <v>678</v>
      </c>
      <c r="Q916" s="1525"/>
      <c r="R916" s="1525"/>
      <c r="S916" s="1525"/>
      <c r="T916" s="1526"/>
      <c r="U916" s="1524" t="s">
        <v>600</v>
      </c>
      <c r="V916" s="1525"/>
      <c r="W916" s="1525"/>
      <c r="X916" s="1525"/>
      <c r="Y916" s="1525"/>
      <c r="Z916" s="1526"/>
      <c r="AA916" s="1536"/>
      <c r="AB916" s="1537"/>
      <c r="AC916" s="1537"/>
      <c r="AD916" s="1537"/>
      <c r="AE916" s="1537"/>
      <c r="AF916" s="1538"/>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43" t="s">
        <v>335</v>
      </c>
      <c r="J917" s="1544"/>
      <c r="K917" s="1544"/>
      <c r="L917" s="1544"/>
      <c r="M917" s="1544"/>
      <c r="N917" s="1544"/>
      <c r="O917" s="1544"/>
      <c r="P917" s="1544"/>
      <c r="Q917" s="1544"/>
      <c r="R917" s="1544"/>
      <c r="S917" s="1544"/>
      <c r="T917" s="1545"/>
      <c r="U917" s="1524" t="s">
        <v>600</v>
      </c>
      <c r="V917" s="1525"/>
      <c r="W917" s="1525"/>
      <c r="X917" s="1525"/>
      <c r="Y917" s="1525"/>
      <c r="Z917" s="1526"/>
      <c r="AA917" s="1536"/>
      <c r="AB917" s="1537"/>
      <c r="AC917" s="1537"/>
      <c r="AD917" s="1537"/>
      <c r="AE917" s="1537"/>
      <c r="AF917" s="1538"/>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3" t="s">
        <v>2744</v>
      </c>
      <c r="J918" s="1552"/>
      <c r="K918" s="1552"/>
      <c r="L918" s="1552"/>
      <c r="M918" s="1552"/>
      <c r="N918" s="1552"/>
      <c r="O918" s="1552"/>
      <c r="P918" s="1552"/>
      <c r="Q918" s="1552"/>
      <c r="R918" s="1552"/>
      <c r="S918" s="1552"/>
      <c r="T918" s="1553"/>
      <c r="U918" s="1524" t="s">
        <v>554</v>
      </c>
      <c r="V918" s="1525"/>
      <c r="W918" s="1525"/>
      <c r="X918" s="1525"/>
      <c r="Y918" s="1525"/>
      <c r="Z918" s="1526"/>
      <c r="AA918" s="1536">
        <f>SUM(AO625,AO624)</f>
        <v>11000000</v>
      </c>
      <c r="AB918" s="1537"/>
      <c r="AC918" s="1537"/>
      <c r="AD918" s="1537"/>
      <c r="AE918" s="1537"/>
      <c r="AF918" s="1538"/>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170</v>
      </c>
      <c r="G919" s="48"/>
      <c r="H919" s="48"/>
      <c r="I919" s="1681" t="s">
        <v>335</v>
      </c>
      <c r="J919" s="1552"/>
      <c r="K919" s="1552"/>
      <c r="L919" s="1552"/>
      <c r="M919" s="1552"/>
      <c r="N919" s="1552"/>
      <c r="O919" s="1552"/>
      <c r="P919" s="1552"/>
      <c r="Q919" s="1552"/>
      <c r="R919" s="1552"/>
      <c r="S919" s="1552"/>
      <c r="T919" s="1553"/>
      <c r="U919" s="1524" t="s">
        <v>600</v>
      </c>
      <c r="V919" s="1525"/>
      <c r="W919" s="1525"/>
      <c r="X919" s="1525"/>
      <c r="Y919" s="1525"/>
      <c r="Z919" s="1526"/>
      <c r="AA919" s="1536"/>
      <c r="AB919" s="1537"/>
      <c r="AC919" s="1537"/>
      <c r="AD919" s="1537"/>
      <c r="AE919" s="1537"/>
      <c r="AF919" s="15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170</v>
      </c>
      <c r="G920" s="48"/>
      <c r="H920" s="48"/>
      <c r="I920" s="1681" t="s">
        <v>335</v>
      </c>
      <c r="J920" s="1552"/>
      <c r="K920" s="1552"/>
      <c r="L920" s="1552"/>
      <c r="M920" s="1552"/>
      <c r="N920" s="1552"/>
      <c r="O920" s="1552"/>
      <c r="P920" s="1552"/>
      <c r="Q920" s="1552"/>
      <c r="R920" s="1552"/>
      <c r="S920" s="1552"/>
      <c r="T920" s="1553"/>
      <c r="U920" s="1524" t="s">
        <v>600</v>
      </c>
      <c r="V920" s="1525"/>
      <c r="W920" s="1525"/>
      <c r="X920" s="1525"/>
      <c r="Y920" s="1525"/>
      <c r="Z920" s="1526"/>
      <c r="AA920" s="1536"/>
      <c r="AB920" s="1537"/>
      <c r="AC920" s="1537"/>
      <c r="AD920" s="1537"/>
      <c r="AE920" s="1537"/>
      <c r="AF920" s="15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82">
        <v>44949</v>
      </c>
      <c r="N925" s="1683"/>
      <c r="O925" s="1683"/>
      <c r="P925" s="1683"/>
      <c r="Q925" s="1683"/>
      <c r="R925" s="1683"/>
      <c r="S925" s="1684"/>
      <c r="U925" s="66" t="s">
        <v>11</v>
      </c>
      <c r="V925" s="5"/>
      <c r="W925" s="5"/>
      <c r="X925" s="5"/>
      <c r="Y925" s="5"/>
      <c r="Z925" s="5"/>
      <c r="AA925" s="5"/>
      <c r="AB925" s="5"/>
      <c r="AC925" s="5"/>
      <c r="AD925" s="46"/>
      <c r="AE925" s="1682"/>
      <c r="AF925" s="1683"/>
      <c r="AG925" s="1683"/>
      <c r="AH925" s="1683"/>
      <c r="AI925" s="1683"/>
      <c r="AJ925" s="1683"/>
      <c r="AK925" s="168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3" t="s">
        <v>2746</v>
      </c>
      <c r="N926" s="1365"/>
      <c r="O926" s="1365"/>
      <c r="P926" s="1365"/>
      <c r="Q926" s="1365"/>
      <c r="R926" s="1365"/>
      <c r="S926" s="1634"/>
      <c r="U926" s="66" t="s">
        <v>12</v>
      </c>
      <c r="V926" s="5"/>
      <c r="W926" s="5"/>
      <c r="X926" s="5"/>
      <c r="Y926" s="5"/>
      <c r="Z926" s="5"/>
      <c r="AA926" s="5"/>
      <c r="AB926" s="5"/>
      <c r="AC926" s="5"/>
      <c r="AD926" s="46"/>
      <c r="AE926" s="1633"/>
      <c r="AF926" s="1365"/>
      <c r="AG926" s="1365"/>
      <c r="AH926" s="1365"/>
      <c r="AI926" s="1365"/>
      <c r="AJ926" s="1365"/>
      <c r="AK926" s="16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710" t="s">
        <v>2745</v>
      </c>
      <c r="K927" s="1711"/>
      <c r="L927" s="1711"/>
      <c r="M927" s="1711"/>
      <c r="N927" s="1711"/>
      <c r="O927" s="1711"/>
      <c r="P927" s="1711"/>
      <c r="Q927" s="1711"/>
      <c r="R927" s="1711"/>
      <c r="S927" s="1712"/>
      <c r="U927" s="66" t="s">
        <v>909</v>
      </c>
      <c r="V927" s="5"/>
      <c r="W927" s="5"/>
      <c r="AB927" s="1710" t="s">
        <v>308</v>
      </c>
      <c r="AC927" s="1711"/>
      <c r="AD927" s="1711"/>
      <c r="AE927" s="1711"/>
      <c r="AF927" s="1711"/>
      <c r="AG927" s="1711"/>
      <c r="AH927" s="1711"/>
      <c r="AI927" s="1711"/>
      <c r="AJ927" s="1711"/>
      <c r="AK927" s="171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6">
        <v>1.1000000000000001</v>
      </c>
      <c r="N928" s="1557"/>
      <c r="O928" s="1557"/>
      <c r="P928" s="1557"/>
      <c r="Q928" s="1557"/>
      <c r="R928" s="1557"/>
      <c r="S928" s="1558"/>
      <c r="U928" s="66" t="s">
        <v>13</v>
      </c>
      <c r="V928" s="5"/>
      <c r="W928" s="5"/>
      <c r="X928" s="5"/>
      <c r="Y928" s="5"/>
      <c r="Z928" s="5"/>
      <c r="AA928" s="5"/>
      <c r="AB928" s="5"/>
      <c r="AC928" s="5"/>
      <c r="AD928" s="46"/>
      <c r="AE928" s="1692"/>
      <c r="AF928" s="1557"/>
      <c r="AG928" s="1557"/>
      <c r="AH928" s="1557"/>
      <c r="AI928" s="1557"/>
      <c r="AJ928" s="1557"/>
      <c r="AK928" s="1558"/>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92">
        <v>45</v>
      </c>
      <c r="N929" s="1593"/>
      <c r="O929" s="1593"/>
      <c r="P929" s="1593"/>
      <c r="Q929" s="1593"/>
      <c r="R929" s="1593"/>
      <c r="S929" s="1594"/>
      <c r="U929" s="66" t="s">
        <v>14</v>
      </c>
      <c r="V929" s="5"/>
      <c r="W929" s="5"/>
      <c r="X929" s="5"/>
      <c r="Y929" s="5"/>
      <c r="Z929" s="5"/>
      <c r="AA929" s="5"/>
      <c r="AB929" s="5"/>
      <c r="AC929" s="5"/>
      <c r="AD929" s="46"/>
      <c r="AE929" s="1592"/>
      <c r="AF929" s="1593"/>
      <c r="AG929" s="1593"/>
      <c r="AH929" s="1593"/>
      <c r="AI929" s="1593"/>
      <c r="AJ929" s="1593"/>
      <c r="AK929" s="159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6">
        <f>'Subsidy Contract Calculation'!J30</f>
        <v>520524</v>
      </c>
      <c r="N930" s="1537"/>
      <c r="O930" s="1537"/>
      <c r="P930" s="1537"/>
      <c r="Q930" s="1537"/>
      <c r="R930" s="1537"/>
      <c r="S930" s="1538"/>
      <c r="U930" s="66" t="s">
        <v>15</v>
      </c>
      <c r="V930" s="5"/>
      <c r="W930" s="5"/>
      <c r="X930" s="5"/>
      <c r="Y930" s="5"/>
      <c r="Z930" s="5"/>
      <c r="AA930" s="5"/>
      <c r="AB930" s="5"/>
      <c r="AC930" s="5"/>
      <c r="AD930" s="46"/>
      <c r="AE930" s="1536"/>
      <c r="AF930" s="1537"/>
      <c r="AG930" s="1537"/>
      <c r="AH930" s="1537"/>
      <c r="AI930" s="1537"/>
      <c r="AJ930" s="1537"/>
      <c r="AK930" s="1538"/>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6">
        <v>9010578</v>
      </c>
      <c r="N931" s="1537"/>
      <c r="O931" s="1537"/>
      <c r="P931" s="1537"/>
      <c r="Q931" s="1537"/>
      <c r="R931" s="1537"/>
      <c r="S931" s="1538"/>
      <c r="U931" s="66" t="s">
        <v>16</v>
      </c>
      <c r="V931" s="5"/>
      <c r="W931" s="5"/>
      <c r="X931" s="5"/>
      <c r="Y931" s="5"/>
      <c r="Z931" s="5"/>
      <c r="AA931" s="5"/>
      <c r="AB931" s="5"/>
      <c r="AC931" s="5"/>
      <c r="AD931" s="46"/>
      <c r="AE931" s="1536"/>
      <c r="AF931" s="1537"/>
      <c r="AG931" s="1537"/>
      <c r="AH931" s="1537"/>
      <c r="AI931" s="1537"/>
      <c r="AJ931" s="1537"/>
      <c r="AK931" s="1538"/>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444">
        <v>15</v>
      </c>
      <c r="N932" s="1445"/>
      <c r="O932" s="1445"/>
      <c r="P932" s="1445"/>
      <c r="Q932" s="1445"/>
      <c r="R932" s="1445"/>
      <c r="S932" s="1446"/>
      <c r="U932" s="121" t="s">
        <v>1844</v>
      </c>
      <c r="V932" s="5"/>
      <c r="W932" s="5"/>
      <c r="X932" s="5"/>
      <c r="Y932" s="5"/>
      <c r="Z932" s="5"/>
      <c r="AA932" s="5"/>
      <c r="AB932" s="5"/>
      <c r="AC932" s="5"/>
      <c r="AD932" s="46"/>
      <c r="AE932" s="1444"/>
      <c r="AF932" s="1445"/>
      <c r="AG932" s="1445"/>
      <c r="AH932" s="1445"/>
      <c r="AI932" s="1445"/>
      <c r="AJ932" s="1445"/>
      <c r="AK932" s="1446"/>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546"/>
      <c r="N937" s="1547"/>
      <c r="O937" s="1547"/>
      <c r="P937" s="1547"/>
      <c r="Q937" s="1547"/>
      <c r="R937" s="1547"/>
      <c r="S937" s="1548"/>
      <c r="T937" s="66" t="s">
        <v>814</v>
      </c>
      <c r="U937" s="5"/>
      <c r="V937" s="5"/>
      <c r="W937" s="5"/>
      <c r="X937" s="5"/>
      <c r="Y937" s="5"/>
      <c r="Z937" s="46"/>
      <c r="AA937" s="1546"/>
      <c r="AB937" s="1547"/>
      <c r="AC937" s="1547"/>
      <c r="AD937" s="1547"/>
      <c r="AE937" s="1547"/>
      <c r="AF937" s="1547"/>
      <c r="AG937" s="1548"/>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546"/>
      <c r="N938" s="1547"/>
      <c r="O938" s="1547"/>
      <c r="P938" s="1547"/>
      <c r="Q938" s="1547"/>
      <c r="R938" s="1547"/>
      <c r="S938" s="1548"/>
      <c r="T938" s="66" t="s">
        <v>813</v>
      </c>
      <c r="U938" s="5"/>
      <c r="V938" s="5"/>
      <c r="W938" s="5"/>
      <c r="X938" s="5"/>
      <c r="Y938" s="5"/>
      <c r="Z938" s="46"/>
      <c r="AA938" s="1546"/>
      <c r="AB938" s="1547"/>
      <c r="AC938" s="1547"/>
      <c r="AD938" s="1547"/>
      <c r="AE938" s="1547"/>
      <c r="AF938" s="1547"/>
      <c r="AG938" s="1548"/>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88" t="s">
        <v>600</v>
      </c>
      <c r="N939" s="1689"/>
      <c r="O939" s="1689"/>
      <c r="P939" s="1689"/>
      <c r="Q939" s="1689"/>
      <c r="R939" s="1689"/>
      <c r="S939" s="1690"/>
      <c r="T939" s="45" t="s">
        <v>338</v>
      </c>
      <c r="U939" s="5"/>
      <c r="V939" s="5"/>
      <c r="W939" s="5"/>
      <c r="X939" s="5"/>
      <c r="Y939" s="5"/>
      <c r="Z939" s="46"/>
      <c r="AA939" s="1546"/>
      <c r="AB939" s="1547"/>
      <c r="AC939" s="1547"/>
      <c r="AD939" s="1547"/>
      <c r="AE939" s="1547"/>
      <c r="AF939" s="1547"/>
      <c r="AG939" s="1548"/>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546"/>
      <c r="N940" s="1547"/>
      <c r="O940" s="1547"/>
      <c r="P940" s="1547"/>
      <c r="Q940" s="1547"/>
      <c r="R940" s="1547"/>
      <c r="S940" s="1548"/>
      <c r="T940" s="45" t="s">
        <v>339</v>
      </c>
      <c r="U940" s="5"/>
      <c r="V940" s="5"/>
      <c r="W940" s="5"/>
      <c r="X940" s="5"/>
      <c r="Y940" s="5"/>
      <c r="Z940" s="46"/>
      <c r="AA940" s="1546"/>
      <c r="AB940" s="1547"/>
      <c r="AC940" s="1547"/>
      <c r="AD940" s="1547"/>
      <c r="AE940" s="1547"/>
      <c r="AF940" s="1547"/>
      <c r="AG940" s="1548"/>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546"/>
      <c r="N941" s="1547"/>
      <c r="O941" s="1547"/>
      <c r="P941" s="1547"/>
      <c r="Q941" s="1547"/>
      <c r="R941" s="1547"/>
      <c r="S941" s="1548"/>
      <c r="T941" s="45" t="s">
        <v>377</v>
      </c>
      <c r="U941" s="5"/>
      <c r="V941" s="5"/>
      <c r="W941" s="5"/>
      <c r="X941" s="5"/>
      <c r="Y941" s="5"/>
      <c r="Z941" s="46"/>
      <c r="AA941" s="1546"/>
      <c r="AB941" s="1547"/>
      <c r="AC941" s="1547"/>
      <c r="AD941" s="1547"/>
      <c r="AE941" s="1547"/>
      <c r="AF941" s="1547"/>
      <c r="AG941" s="1548"/>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96" t="s">
        <v>308</v>
      </c>
      <c r="N942" s="1697"/>
      <c r="O942" s="1697"/>
      <c r="P942" s="1697"/>
      <c r="Q942" s="1697"/>
      <c r="R942" s="1697"/>
      <c r="S942" s="1698"/>
      <c r="T942" s="1540"/>
      <c r="U942" s="1541"/>
      <c r="V942" s="1541"/>
      <c r="W942" s="1541"/>
      <c r="X942" s="1541"/>
      <c r="Y942" s="1541"/>
      <c r="Z942" s="1542"/>
      <c r="AA942" s="1546"/>
      <c r="AB942" s="1547"/>
      <c r="AC942" s="1547"/>
      <c r="AD942" s="1547"/>
      <c r="AE942" s="1547"/>
      <c r="AF942" s="1547"/>
      <c r="AG942" s="1548"/>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546"/>
      <c r="N943" s="1547"/>
      <c r="O943" s="1547"/>
      <c r="P943" s="1547"/>
      <c r="Q943" s="1547"/>
      <c r="R943" s="1547"/>
      <c r="S943" s="1548"/>
      <c r="T943" s="1540"/>
      <c r="U943" s="1541"/>
      <c r="V943" s="1541"/>
      <c r="W943" s="1541"/>
      <c r="X943" s="1541"/>
      <c r="Y943" s="1541"/>
      <c r="Z943" s="1542"/>
      <c r="AA943" s="1546"/>
      <c r="AB943" s="1547"/>
      <c r="AC943" s="1547"/>
      <c r="AD943" s="1547"/>
      <c r="AE943" s="1547"/>
      <c r="AF943" s="1547"/>
      <c r="AG943" s="1548"/>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337</v>
      </c>
      <c r="G944" s="42"/>
      <c r="H944" s="42"/>
      <c r="I944" s="42"/>
      <c r="J944" s="42"/>
      <c r="K944" s="42"/>
      <c r="L944" s="42"/>
      <c r="M944" s="42"/>
      <c r="N944" s="42"/>
      <c r="O944" s="1685" t="s">
        <v>678</v>
      </c>
      <c r="P944" s="1686"/>
      <c r="Q944" s="92"/>
      <c r="R944" s="92"/>
      <c r="S944" s="93"/>
      <c r="T944" s="41" t="s">
        <v>170</v>
      </c>
      <c r="U944" s="42"/>
      <c r="V944" s="42"/>
      <c r="W944" s="1693" t="s">
        <v>335</v>
      </c>
      <c r="X944" s="1694"/>
      <c r="Y944" s="1694"/>
      <c r="Z944" s="1694"/>
      <c r="AA944" s="1694"/>
      <c r="AB944" s="1694"/>
      <c r="AC944" s="1694"/>
      <c r="AD944" s="1694"/>
      <c r="AE944" s="1694"/>
      <c r="AF944" s="1694"/>
      <c r="AG944" s="169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87" t="s">
        <v>33</v>
      </c>
      <c r="G945" s="1356"/>
      <c r="H945" s="1356"/>
      <c r="I945" s="1356"/>
      <c r="J945" s="1356"/>
      <c r="K945" s="1356"/>
      <c r="L945" s="1356"/>
      <c r="M945" s="1546"/>
      <c r="N945" s="1547"/>
      <c r="O945" s="1547"/>
      <c r="P945" s="1547"/>
      <c r="Q945" s="1547"/>
      <c r="R945" s="1547"/>
      <c r="S945" s="1548"/>
      <c r="T945" s="47"/>
      <c r="U945" s="48"/>
      <c r="V945" s="48"/>
      <c r="W945" s="48"/>
      <c r="X945" s="48"/>
      <c r="Y945" s="48"/>
      <c r="Z945" s="124" t="s">
        <v>135</v>
      </c>
      <c r="AA945" s="1533"/>
      <c r="AB945" s="1534"/>
      <c r="AC945" s="1534"/>
      <c r="AD945" s="1534"/>
      <c r="AE945" s="1534"/>
      <c r="AF945" s="1534"/>
      <c r="AG945" s="1535"/>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5" t="s">
        <v>557</v>
      </c>
      <c r="B949" s="1555"/>
      <c r="C949" s="1555"/>
      <c r="D949" s="1555"/>
      <c r="E949" s="1555"/>
      <c r="F949" s="1555"/>
      <c r="G949" s="1555"/>
      <c r="H949" s="1555"/>
      <c r="I949" s="1555"/>
      <c r="J949" s="1555"/>
      <c r="K949" s="1555"/>
      <c r="L949" s="1555"/>
      <c r="M949" s="1555"/>
      <c r="N949" s="1555"/>
      <c r="O949" s="1555"/>
      <c r="P949" s="1555"/>
      <c r="Q949" s="1555"/>
      <c r="R949" s="1555"/>
      <c r="S949" s="1555"/>
      <c r="T949" s="1555"/>
      <c r="U949" s="1555"/>
      <c r="V949" s="1555"/>
      <c r="W949" s="1555"/>
      <c r="X949" s="1555"/>
      <c r="Y949" s="1555"/>
      <c r="Z949" s="1555"/>
      <c r="AA949" s="1555"/>
      <c r="AB949" s="1555"/>
      <c r="AC949" s="1555"/>
      <c r="AD949" s="1555"/>
      <c r="AE949" s="1555"/>
      <c r="AF949" s="1555"/>
      <c r="AG949" s="1555"/>
      <c r="AH949" s="1555"/>
      <c r="AI949" s="1555"/>
      <c r="AJ949" s="1555"/>
      <c r="AK949" s="1555"/>
      <c r="AL949" s="1555"/>
      <c r="AM949" s="1555"/>
      <c r="AN949" s="1555"/>
      <c r="AO949" s="1555"/>
      <c r="AP949" s="1555"/>
      <c r="AQ949" s="1555"/>
      <c r="AR949" s="1555"/>
      <c r="AS949" s="1555"/>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5"/>
      <c r="B950" s="1555"/>
      <c r="C950" s="1555"/>
      <c r="D950" s="1555"/>
      <c r="E950" s="1555"/>
      <c r="F950" s="1555"/>
      <c r="G950" s="1555"/>
      <c r="H950" s="1555"/>
      <c r="I950" s="1555"/>
      <c r="J950" s="1555"/>
      <c r="K950" s="1555"/>
      <c r="L950" s="1555"/>
      <c r="M950" s="1555"/>
      <c r="N950" s="1555"/>
      <c r="O950" s="1555"/>
      <c r="P950" s="1555"/>
      <c r="Q950" s="1555"/>
      <c r="R950" s="1555"/>
      <c r="S950" s="1555"/>
      <c r="T950" s="1555"/>
      <c r="U950" s="1555"/>
      <c r="V950" s="1555"/>
      <c r="W950" s="1555"/>
      <c r="X950" s="1555"/>
      <c r="Y950" s="1555"/>
      <c r="Z950" s="1555"/>
      <c r="AA950" s="1555"/>
      <c r="AB950" s="1555"/>
      <c r="AC950" s="1555"/>
      <c r="AD950" s="1555"/>
      <c r="AE950" s="1555"/>
      <c r="AF950" s="1555"/>
      <c r="AG950" s="1555"/>
      <c r="AH950" s="1555"/>
      <c r="AI950" s="1555"/>
      <c r="AJ950" s="1555"/>
      <c r="AK950" s="1555"/>
      <c r="AL950" s="1555"/>
      <c r="AM950" s="1555"/>
      <c r="AN950" s="1555"/>
      <c r="AO950" s="1555"/>
      <c r="AP950" s="1555"/>
      <c r="AQ950" s="1555"/>
      <c r="AR950" s="1555"/>
      <c r="AS950" s="1555"/>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53"/>
      <c r="BH951" s="1653"/>
      <c r="BI951" s="1653"/>
      <c r="BJ951" s="1653"/>
      <c r="BK951" s="1653"/>
      <c r="BL951" s="1653"/>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5" t="s">
        <v>647</v>
      </c>
      <c r="E954" s="1486"/>
      <c r="F954" s="1486"/>
      <c r="G954" s="1486"/>
      <c r="H954" s="1486"/>
      <c r="I954" s="1486"/>
      <c r="J954" s="1486"/>
      <c r="K954" s="1486"/>
      <c r="L954" s="1486"/>
      <c r="M954" s="1486"/>
      <c r="N954" s="1486"/>
      <c r="O954" s="1486"/>
      <c r="P954" s="1486"/>
      <c r="Q954" s="1487"/>
      <c r="R954" s="1485" t="s">
        <v>648</v>
      </c>
      <c r="S954" s="1486"/>
      <c r="T954" s="1486"/>
      <c r="U954" s="1486"/>
      <c r="V954" s="1486"/>
      <c r="W954" s="1486"/>
      <c r="X954" s="1486"/>
      <c r="Y954" s="1486"/>
      <c r="Z954" s="1486"/>
      <c r="AA954" s="1487"/>
      <c r="AB954" s="1485" t="s">
        <v>649</v>
      </c>
      <c r="AC954" s="1486"/>
      <c r="AD954" s="1486"/>
      <c r="AE954" s="1486"/>
      <c r="AF954" s="1486"/>
      <c r="AG954" s="1486"/>
      <c r="AH954" s="1486"/>
      <c r="AI954" s="1487"/>
      <c r="AJ954" s="1485" t="s">
        <v>650</v>
      </c>
      <c r="AK954" s="1486"/>
      <c r="AL954" s="1486"/>
      <c r="AM954" s="1486"/>
      <c r="AN954" s="1486"/>
      <c r="AO954" s="1486"/>
      <c r="AP954" s="1486"/>
      <c r="AQ954" s="1487"/>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82" t="s">
        <v>642</v>
      </c>
      <c r="E955" s="1483"/>
      <c r="F955" s="1483"/>
      <c r="G955" s="1483"/>
      <c r="H955" s="1483"/>
      <c r="I955" s="1483"/>
      <c r="J955" s="1483"/>
      <c r="K955" s="1483"/>
      <c r="L955" s="1483"/>
      <c r="M955" s="1483"/>
      <c r="N955" s="1483"/>
      <c r="O955" s="1483"/>
      <c r="P955" s="1483"/>
      <c r="Q955" s="1484"/>
      <c r="R955" s="1523">
        <f>IF(ISNA(IF($BN$785="4%",(INDEX($BP$795:$BT$852,MATCH($CB$785,$BO$795:$BO$852,0),MATCH(D955,$BP$794:$BT$794,0))),(INDEX($BW$795:$CA$852,MATCH($CB$785,$BV$795:$BV$852,0),MATCH(D955,$BW$794:$CA$794,0))))),0,IF($BN$785="4%",(INDEX($BP$795:$BT$852,MATCH($CB$785,$BO$795:$BO$852,0),MATCH(D955,$BP$794:$BT$794,0))),(INDEX($BW$795:$CA$852,MATCH($CB$785,$BV$795:$BV$852,0),MATCH(D955,$BW$794:$CA$794,0)))))</f>
        <v>314634</v>
      </c>
      <c r="S955" s="1523"/>
      <c r="T955" s="1523"/>
      <c r="U955" s="1523"/>
      <c r="V955" s="1523"/>
      <c r="W955" s="1523"/>
      <c r="X955" s="1523"/>
      <c r="Y955" s="1523"/>
      <c r="Z955" s="1523"/>
      <c r="AA955" s="1523"/>
      <c r="AB955" s="1441">
        <f>BN649</f>
        <v>0</v>
      </c>
      <c r="AC955" s="1442"/>
      <c r="AD955" s="1442"/>
      <c r="AE955" s="1442"/>
      <c r="AF955" s="1442"/>
      <c r="AG955" s="1442"/>
      <c r="AH955" s="1442"/>
      <c r="AI955" s="1443"/>
      <c r="AJ955" s="1454">
        <f>IF(ISERROR((R955*AB955)),0,(R955*AB955))</f>
        <v>0</v>
      </c>
      <c r="AK955" s="1455"/>
      <c r="AL955" s="1455"/>
      <c r="AM955" s="1455"/>
      <c r="AN955" s="1455"/>
      <c r="AO955" s="1455"/>
      <c r="AP955" s="1455"/>
      <c r="AQ955" s="1456"/>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82" t="s">
        <v>326</v>
      </c>
      <c r="E956" s="1483"/>
      <c r="F956" s="1483"/>
      <c r="G956" s="1483"/>
      <c r="H956" s="1483"/>
      <c r="I956" s="1483"/>
      <c r="J956" s="1483"/>
      <c r="K956" s="1483"/>
      <c r="L956" s="1483"/>
      <c r="M956" s="1483"/>
      <c r="N956" s="1483"/>
      <c r="O956" s="1483"/>
      <c r="P956" s="1483"/>
      <c r="Q956" s="1484"/>
      <c r="R956" s="1523">
        <f>IF(ISNA(IF($BN$785="4%",(INDEX($BP$795:$BT$852,MATCH($CB$785,$BO$795:$BO$852,0),MATCH(D956,$BP$794:$BT$794,0))),(INDEX($BW$795:$CA$852,MATCH($CB$785,$BV$795:$BV$852,0),MATCH(D956,$BW$794:$CA$794,0))))),0,IF($BN$785="4%",(INDEX($BP$795:$BT$852,MATCH($CB$785,$BO$795:$BO$852,0),MATCH(D956,$BP$794:$BT$794,0))),(INDEX($BW$795:$CA$852,MATCH($CB$785,$BV$795:$BV$852,0),MATCH(D956,$BW$794:$CA$794,0)))))</f>
        <v>362770</v>
      </c>
      <c r="S956" s="1523"/>
      <c r="T956" s="1523"/>
      <c r="U956" s="1523"/>
      <c r="V956" s="1523"/>
      <c r="W956" s="1523"/>
      <c r="X956" s="1523"/>
      <c r="Y956" s="1523"/>
      <c r="Z956" s="1523"/>
      <c r="AA956" s="1523"/>
      <c r="AB956" s="1441">
        <f>BS649</f>
        <v>15</v>
      </c>
      <c r="AC956" s="1442"/>
      <c r="AD956" s="1442"/>
      <c r="AE956" s="1442"/>
      <c r="AF956" s="1442"/>
      <c r="AG956" s="1442"/>
      <c r="AH956" s="1442"/>
      <c r="AI956" s="1443"/>
      <c r="AJ956" s="1454">
        <f>IF(ISERROR((R956*AB956)),0,(R956*AB956))</f>
        <v>5441550</v>
      </c>
      <c r="AK956" s="1455"/>
      <c r="AL956" s="1455"/>
      <c r="AM956" s="1455"/>
      <c r="AN956" s="1455"/>
      <c r="AO956" s="1455"/>
      <c r="AP956" s="1455"/>
      <c r="AQ956" s="1456"/>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82" t="s">
        <v>164</v>
      </c>
      <c r="E957" s="1483"/>
      <c r="F957" s="1483"/>
      <c r="G957" s="1483"/>
      <c r="H957" s="1483"/>
      <c r="I957" s="1483"/>
      <c r="J957" s="1483"/>
      <c r="K957" s="1483"/>
      <c r="L957" s="1483"/>
      <c r="M957" s="1483"/>
      <c r="N957" s="1483"/>
      <c r="O957" s="1483"/>
      <c r="P957" s="1483"/>
      <c r="Q957" s="1484"/>
      <c r="R957" s="1523">
        <f>IF(ISNA(IF($BN$785="4%",(INDEX($BP$795:$BT$852,MATCH($CB$785,$BO$795:$BO$852,0),MATCH(D957,$BP$794:$BT$794,0))),(INDEX($BW$795:$CA$852,MATCH($CB$785,$BV$795:$BV$852,0),MATCH(D957,$BW$794:$CA$794,0))))),0,IF($BN$785="4%",(INDEX($BP$795:$BT$852,MATCH($CB$785,$BO$795:$BO$852,0),MATCH(D957,$BP$794:$BT$794,0))),(INDEX($BW$795:$CA$852,MATCH($CB$785,$BV$795:$BV$852,0),MATCH(D957,$BW$794:$CA$794,0)))))</f>
        <v>437600</v>
      </c>
      <c r="S957" s="1523"/>
      <c r="T957" s="1523"/>
      <c r="U957" s="1523"/>
      <c r="V957" s="1523"/>
      <c r="W957" s="1523"/>
      <c r="X957" s="1523"/>
      <c r="Y957" s="1523"/>
      <c r="Z957" s="1523"/>
      <c r="AA957" s="1523"/>
      <c r="AB957" s="1441">
        <f>BX649</f>
        <v>75</v>
      </c>
      <c r="AC957" s="1442"/>
      <c r="AD957" s="1442"/>
      <c r="AE957" s="1442"/>
      <c r="AF957" s="1442"/>
      <c r="AG957" s="1442"/>
      <c r="AH957" s="1442"/>
      <c r="AI957" s="1443"/>
      <c r="AJ957" s="1454">
        <f>IF(ISERROR((R957*AB957)),0,(R957*AB957))</f>
        <v>32820000</v>
      </c>
      <c r="AK957" s="1455"/>
      <c r="AL957" s="1455"/>
      <c r="AM957" s="1455"/>
      <c r="AN957" s="1455"/>
      <c r="AO957" s="1455"/>
      <c r="AP957" s="1455"/>
      <c r="AQ957" s="1456"/>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82" t="s">
        <v>165</v>
      </c>
      <c r="E958" s="1483"/>
      <c r="F958" s="1483"/>
      <c r="G958" s="1483"/>
      <c r="H958" s="1483"/>
      <c r="I958" s="1483"/>
      <c r="J958" s="1483"/>
      <c r="K958" s="1483"/>
      <c r="L958" s="1483"/>
      <c r="M958" s="1483"/>
      <c r="N958" s="1483"/>
      <c r="O958" s="1483"/>
      <c r="P958" s="1483"/>
      <c r="Q958" s="1484"/>
      <c r="R958" s="1523">
        <f>IF(ISNA(IF($BN$785="4%",(INDEX($BP$795:$BT$852,MATCH($CB$785,$BO$795:$BO$852,0),MATCH(D958,$BP$794:$BT$794,0))),(INDEX($BW$795:$CA$852,MATCH($CB$785,$BV$795:$BV$852,0),MATCH(D958,$BW$794:$CA$794,0))))),0,IF($BN$785="4%",(INDEX($BP$795:$BT$852,MATCH($CB$785,$BO$795:$BO$852,0),MATCH(D958,$BP$794:$BT$794,0))),(INDEX($BW$795:$CA$852,MATCH($CB$785,$BV$795:$BV$852,0),MATCH(D958,$BW$794:$CA$794,0)))))</f>
        <v>560128</v>
      </c>
      <c r="S958" s="1523"/>
      <c r="T958" s="1523"/>
      <c r="U958" s="1523"/>
      <c r="V958" s="1523"/>
      <c r="W958" s="1523"/>
      <c r="X958" s="1523"/>
      <c r="Y958" s="1523"/>
      <c r="Z958" s="1523"/>
      <c r="AA958" s="1523"/>
      <c r="AB958" s="1441">
        <f>CC649</f>
        <v>31</v>
      </c>
      <c r="AC958" s="1442"/>
      <c r="AD958" s="1442"/>
      <c r="AE958" s="1442"/>
      <c r="AF958" s="1442"/>
      <c r="AG958" s="1442"/>
      <c r="AH958" s="1442"/>
      <c r="AI958" s="1443"/>
      <c r="AJ958" s="1454">
        <f>IF(ISERROR((R958*AB958)),0,(R958*AB958))</f>
        <v>17363968</v>
      </c>
      <c r="AK958" s="1455"/>
      <c r="AL958" s="1455"/>
      <c r="AM958" s="1455"/>
      <c r="AN958" s="1455"/>
      <c r="AO958" s="1455"/>
      <c r="AP958" s="1455"/>
      <c r="AQ958" s="1456"/>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82" t="s">
        <v>469</v>
      </c>
      <c r="E959" s="1483"/>
      <c r="F959" s="1483"/>
      <c r="G959" s="1483"/>
      <c r="H959" s="1483"/>
      <c r="I959" s="1483"/>
      <c r="J959" s="1483"/>
      <c r="K959" s="1483"/>
      <c r="L959" s="1483"/>
      <c r="M959" s="1483"/>
      <c r="N959" s="1483"/>
      <c r="O959" s="1483"/>
      <c r="P959" s="1483"/>
      <c r="Q959" s="1484"/>
      <c r="R959" s="1523">
        <f>IF(ISNA(IF($BN$785="4%",(INDEX($BP$795:$BT$852,MATCH($CB$785,$BO$795:$BO$852,0),MATCH(D959,$BP$794:$BT$794,0))),(INDEX($BW$795:$CA$852,MATCH($CB$785,$BV$795:$BV$852,0),MATCH(D959,$BW$794:$CA$794,0))))),0,IF($BN$785="4%",(INDEX($BP$795:$BT$852,MATCH($CB$785,$BO$795:$BO$852,0),MATCH(D959,$BP$794:$BT$794,0))),(INDEX($BW$795:$CA$852,MATCH($CB$785,$BV$795:$BV$852,0),MATCH(D959,$BW$794:$CA$794,0)))))</f>
        <v>624018</v>
      </c>
      <c r="S959" s="1523"/>
      <c r="T959" s="1523"/>
      <c r="U959" s="1523"/>
      <c r="V959" s="1523"/>
      <c r="W959" s="1523"/>
      <c r="X959" s="1523"/>
      <c r="Y959" s="1523"/>
      <c r="Z959" s="1523"/>
      <c r="AA959" s="1523"/>
      <c r="AB959" s="1441">
        <f>CM649+CH649</f>
        <v>0</v>
      </c>
      <c r="AC959" s="1442"/>
      <c r="AD959" s="1442"/>
      <c r="AE959" s="1442"/>
      <c r="AF959" s="1442"/>
      <c r="AG959" s="1442"/>
      <c r="AH959" s="1442"/>
      <c r="AI959" s="1443"/>
      <c r="AJ959" s="1454">
        <f>IF(ISERROR((R959*AB959)),0,(R959*AB959))</f>
        <v>0</v>
      </c>
      <c r="AK959" s="1455"/>
      <c r="AL959" s="1455"/>
      <c r="AM959" s="1455"/>
      <c r="AN959" s="1455"/>
      <c r="AO959" s="1455"/>
      <c r="AP959" s="1455"/>
      <c r="AQ959" s="1456"/>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502" t="s">
        <v>815</v>
      </c>
      <c r="C960" s="1503"/>
      <c r="D960" s="1503"/>
      <c r="E960" s="1503"/>
      <c r="F960" s="1503"/>
      <c r="G960" s="1503"/>
      <c r="H960" s="1503"/>
      <c r="I960" s="1503"/>
      <c r="J960" s="1503"/>
      <c r="K960" s="1503"/>
      <c r="L960" s="1503"/>
      <c r="M960" s="1503"/>
      <c r="N960" s="1503"/>
      <c r="O960" s="1503"/>
      <c r="P960" s="1503"/>
      <c r="Q960" s="1503"/>
      <c r="R960" s="1503"/>
      <c r="S960" s="1503"/>
      <c r="T960" s="1503"/>
      <c r="U960" s="1503"/>
      <c r="V960" s="1503"/>
      <c r="W960" s="1503"/>
      <c r="X960" s="1503"/>
      <c r="Y960" s="1503"/>
      <c r="Z960" s="1503"/>
      <c r="AA960" s="1504"/>
      <c r="AB960" s="1441">
        <f>SUM(AB955:AI959)</f>
        <v>121</v>
      </c>
      <c r="AC960" s="1442"/>
      <c r="AD960" s="1442"/>
      <c r="AE960" s="1442"/>
      <c r="AF960" s="1442"/>
      <c r="AG960" s="1442"/>
      <c r="AH960" s="1442"/>
      <c r="AI960" s="1443"/>
      <c r="AJ960" s="1454"/>
      <c r="AK960" s="1455"/>
      <c r="AL960" s="1455"/>
      <c r="AM960" s="1455"/>
      <c r="AN960" s="1455"/>
      <c r="AO960" s="1455"/>
      <c r="AP960" s="1455"/>
      <c r="AQ960" s="1456"/>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20" t="s">
        <v>521</v>
      </c>
      <c r="C961" s="1521"/>
      <c r="D961" s="1521"/>
      <c r="E961" s="1521"/>
      <c r="F961" s="1521"/>
      <c r="G961" s="1521"/>
      <c r="H961" s="1521"/>
      <c r="I961" s="1521"/>
      <c r="J961" s="1521"/>
      <c r="K961" s="1521"/>
      <c r="L961" s="1521"/>
      <c r="M961" s="1521"/>
      <c r="N961" s="1521"/>
      <c r="O961" s="1521"/>
      <c r="P961" s="1521"/>
      <c r="Q961" s="1521"/>
      <c r="R961" s="1521"/>
      <c r="S961" s="1521"/>
      <c r="T961" s="1521"/>
      <c r="U961" s="1521"/>
      <c r="V961" s="1521"/>
      <c r="W961" s="1521"/>
      <c r="X961" s="1521"/>
      <c r="Y961" s="1521"/>
      <c r="Z961" s="1521"/>
      <c r="AA961" s="1521"/>
      <c r="AB961" s="1521"/>
      <c r="AC961" s="1521"/>
      <c r="AD961" s="1521"/>
      <c r="AE961" s="1521"/>
      <c r="AF961" s="1521"/>
      <c r="AG961" s="1521"/>
      <c r="AH961" s="1521"/>
      <c r="AI961" s="1522"/>
      <c r="AJ961" s="1454">
        <f>SUM(AJ955:AQ959)</f>
        <v>55625518</v>
      </c>
      <c r="AK961" s="1455"/>
      <c r="AL961" s="1455"/>
      <c r="AM961" s="1455"/>
      <c r="AN961" s="1455"/>
      <c r="AO961" s="1455"/>
      <c r="AP961" s="1455"/>
      <c r="AQ961" s="1456"/>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7"/>
      <c r="C962" s="1458"/>
      <c r="D962" s="1458"/>
      <c r="E962" s="1458"/>
      <c r="F962" s="1458"/>
      <c r="G962" s="1458"/>
      <c r="H962" s="1458"/>
      <c r="I962" s="1458"/>
      <c r="J962" s="1458"/>
      <c r="K962" s="1458"/>
      <c r="L962" s="1458"/>
      <c r="M962" s="1458"/>
      <c r="N962" s="1458"/>
      <c r="O962" s="1458"/>
      <c r="P962" s="1458"/>
      <c r="Q962" s="1458"/>
      <c r="R962" s="1458"/>
      <c r="S962" s="1458"/>
      <c r="T962" s="1458"/>
      <c r="U962" s="1458"/>
      <c r="V962" s="1458"/>
      <c r="W962" s="1458"/>
      <c r="X962" s="1458"/>
      <c r="Y962" s="1458"/>
      <c r="Z962" s="1458"/>
      <c r="AA962" s="1458"/>
      <c r="AB962" s="1458"/>
      <c r="AC962" s="1458"/>
      <c r="AD962" s="1458"/>
      <c r="AE962" s="1459"/>
      <c r="AF962" s="1463" t="s">
        <v>675</v>
      </c>
      <c r="AG962" s="1464"/>
      <c r="AH962" s="1464"/>
      <c r="AI962" s="1465"/>
      <c r="AJ962" s="1457"/>
      <c r="AK962" s="1458"/>
      <c r="AL962" s="1458"/>
      <c r="AM962" s="1458"/>
      <c r="AN962" s="1458"/>
      <c r="AO962" s="1458"/>
      <c r="AP962" s="1458"/>
      <c r="AQ962" s="1459"/>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470" t="s">
        <v>1364</v>
      </c>
      <c r="E963" s="1471"/>
      <c r="F963" s="1471"/>
      <c r="G963" s="1471"/>
      <c r="H963" s="1471"/>
      <c r="I963" s="1471"/>
      <c r="J963" s="1471"/>
      <c r="K963" s="1471"/>
      <c r="L963" s="1471"/>
      <c r="M963" s="1471"/>
      <c r="N963" s="1471"/>
      <c r="O963" s="1471"/>
      <c r="P963" s="1471"/>
      <c r="Q963" s="1471"/>
      <c r="R963" s="1471"/>
      <c r="S963" s="1471"/>
      <c r="T963" s="1471"/>
      <c r="U963" s="1471"/>
      <c r="V963" s="1471"/>
      <c r="W963" s="1471"/>
      <c r="X963" s="1471"/>
      <c r="Y963" s="1471"/>
      <c r="Z963" s="1471"/>
      <c r="AA963" s="1471"/>
      <c r="AB963" s="1471"/>
      <c r="AC963" s="1471"/>
      <c r="AD963" s="1471"/>
      <c r="AE963" s="1472"/>
      <c r="AF963" s="79"/>
      <c r="AG963" s="1466" t="s">
        <v>554</v>
      </c>
      <c r="AH963" s="1467"/>
      <c r="AI963" s="87"/>
      <c r="AJ963" s="1493">
        <f>ROUND(IF(AND(AG963="yes",D965&gt;0),AJ961*0.2,0),0)</f>
        <v>11125104</v>
      </c>
      <c r="AK963" s="1494"/>
      <c r="AL963" s="1494"/>
      <c r="AM963" s="1494"/>
      <c r="AN963" s="1494"/>
      <c r="AO963" s="1494"/>
      <c r="AP963" s="1494"/>
      <c r="AQ963" s="1495"/>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5" t="s">
        <v>1365</v>
      </c>
      <c r="E964" s="1506"/>
      <c r="F964" s="1506"/>
      <c r="G964" s="1506"/>
      <c r="H964" s="1506"/>
      <c r="I964" s="1506"/>
      <c r="J964" s="1506"/>
      <c r="K964" s="1506"/>
      <c r="L964" s="1506"/>
      <c r="M964" s="1506"/>
      <c r="N964" s="1506"/>
      <c r="O964" s="1506"/>
      <c r="P964" s="1506"/>
      <c r="Q964" s="1506"/>
      <c r="R964" s="1506"/>
      <c r="S964" s="1506"/>
      <c r="T964" s="1506"/>
      <c r="U964" s="1506"/>
      <c r="V964" s="1506"/>
      <c r="W964" s="1506"/>
      <c r="X964" s="1506"/>
      <c r="Y964" s="1506"/>
      <c r="Z964" s="1506"/>
      <c r="AA964" s="1506"/>
      <c r="AB964" s="1506"/>
      <c r="AC964" s="1506"/>
      <c r="AD964" s="1506"/>
      <c r="AE964" s="1507"/>
      <c r="AF964" s="73"/>
      <c r="AG964" s="14"/>
      <c r="AH964" s="14"/>
      <c r="AI964" s="83"/>
      <c r="AJ964" s="1496"/>
      <c r="AK964" s="1497"/>
      <c r="AL964" s="1497"/>
      <c r="AM964" s="1497"/>
      <c r="AN964" s="1497"/>
      <c r="AO964" s="1497"/>
      <c r="AP964" s="1497"/>
      <c r="AQ964" s="1498"/>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8" t="s">
        <v>2689</v>
      </c>
      <c r="E965" s="1509"/>
      <c r="F965" s="1509"/>
      <c r="G965" s="1509"/>
      <c r="H965" s="1509"/>
      <c r="I965" s="1509"/>
      <c r="J965" s="1509"/>
      <c r="K965" s="1509"/>
      <c r="L965" s="1509"/>
      <c r="M965" s="1509"/>
      <c r="N965" s="1509"/>
      <c r="O965" s="1509"/>
      <c r="P965" s="1509"/>
      <c r="Q965" s="1509"/>
      <c r="R965" s="1509"/>
      <c r="S965" s="1509"/>
      <c r="T965" s="1509"/>
      <c r="U965" s="1509"/>
      <c r="V965" s="1509"/>
      <c r="W965" s="1509"/>
      <c r="X965" s="1509"/>
      <c r="Y965" s="1509"/>
      <c r="Z965" s="1509"/>
      <c r="AA965" s="1509"/>
      <c r="AB965" s="1509"/>
      <c r="AC965" s="1509"/>
      <c r="AD965" s="1509"/>
      <c r="AE965" s="1510"/>
      <c r="AF965" s="77"/>
      <c r="AG965" s="7"/>
      <c r="AH965" s="7"/>
      <c r="AI965" s="78"/>
      <c r="AJ965" s="1499"/>
      <c r="AK965" s="1500"/>
      <c r="AL965" s="1500"/>
      <c r="AM965" s="1500"/>
      <c r="AN965" s="1500"/>
      <c r="AO965" s="1500"/>
      <c r="AP965" s="1500"/>
      <c r="AQ965" s="1501"/>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60" t="s">
        <v>1452</v>
      </c>
      <c r="E966" s="1461"/>
      <c r="F966" s="1461"/>
      <c r="G966" s="1461"/>
      <c r="H966" s="1461"/>
      <c r="I966" s="1461"/>
      <c r="J966" s="1461"/>
      <c r="K966" s="1461"/>
      <c r="L966" s="1461"/>
      <c r="M966" s="1461"/>
      <c r="N966" s="1461"/>
      <c r="O966" s="1461"/>
      <c r="P966" s="1461"/>
      <c r="Q966" s="1461"/>
      <c r="R966" s="1461"/>
      <c r="S966" s="1461"/>
      <c r="T966" s="1461"/>
      <c r="U966" s="1461"/>
      <c r="V966" s="1461"/>
      <c r="W966" s="1461"/>
      <c r="X966" s="1461"/>
      <c r="Y966" s="1461"/>
      <c r="Z966" s="1461"/>
      <c r="AA966" s="1461"/>
      <c r="AB966" s="1461"/>
      <c r="AC966" s="1461"/>
      <c r="AD966" s="1461"/>
      <c r="AE966" s="1462"/>
      <c r="AF966" s="79"/>
      <c r="AG966" s="1468" t="s">
        <v>678</v>
      </c>
      <c r="AH966" s="1469"/>
      <c r="AI966" s="87"/>
      <c r="AJ966" s="1493">
        <f>ROUND(IF(AG966="yes",AJ961*0.05,0),0)</f>
        <v>0</v>
      </c>
      <c r="AK966" s="1494"/>
      <c r="AL966" s="1494"/>
      <c r="AM966" s="1494"/>
      <c r="AN966" s="1494"/>
      <c r="AO966" s="1494"/>
      <c r="AP966" s="1494"/>
      <c r="AQ966" s="1495"/>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5" t="s">
        <v>1450</v>
      </c>
      <c r="E967" s="1506"/>
      <c r="F967" s="1506"/>
      <c r="G967" s="1506"/>
      <c r="H967" s="1506"/>
      <c r="I967" s="1506"/>
      <c r="J967" s="1506"/>
      <c r="K967" s="1506"/>
      <c r="L967" s="1506"/>
      <c r="M967" s="1506"/>
      <c r="N967" s="1506"/>
      <c r="O967" s="1506"/>
      <c r="P967" s="1506"/>
      <c r="Q967" s="1506"/>
      <c r="R967" s="1506"/>
      <c r="S967" s="1506"/>
      <c r="T967" s="1506"/>
      <c r="U967" s="1506"/>
      <c r="V967" s="1506"/>
      <c r="W967" s="1506"/>
      <c r="X967" s="1506"/>
      <c r="Y967" s="1506"/>
      <c r="Z967" s="1506"/>
      <c r="AA967" s="1506"/>
      <c r="AB967" s="1506"/>
      <c r="AC967" s="1506"/>
      <c r="AD967" s="1506"/>
      <c r="AE967" s="1507"/>
      <c r="AF967" s="73"/>
      <c r="AG967" s="14"/>
      <c r="AH967" s="14"/>
      <c r="AI967" s="83"/>
      <c r="AJ967" s="1496"/>
      <c r="AK967" s="1497"/>
      <c r="AL967" s="1497"/>
      <c r="AM967" s="1497"/>
      <c r="AN967" s="1497"/>
      <c r="AO967" s="1497"/>
      <c r="AP967" s="1497"/>
      <c r="AQ967" s="1498"/>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5"/>
      <c r="E968" s="1506"/>
      <c r="F968" s="1506"/>
      <c r="G968" s="1506"/>
      <c r="H968" s="1506"/>
      <c r="I968" s="1506"/>
      <c r="J968" s="1506"/>
      <c r="K968" s="1506"/>
      <c r="L968" s="1506"/>
      <c r="M968" s="1506"/>
      <c r="N968" s="1506"/>
      <c r="O968" s="1506"/>
      <c r="P968" s="1506"/>
      <c r="Q968" s="1506"/>
      <c r="R968" s="1506"/>
      <c r="S968" s="1506"/>
      <c r="T968" s="1506"/>
      <c r="U968" s="1506"/>
      <c r="V968" s="1506"/>
      <c r="W968" s="1506"/>
      <c r="X968" s="1506"/>
      <c r="Y968" s="1506"/>
      <c r="Z968" s="1506"/>
      <c r="AA968" s="1506"/>
      <c r="AB968" s="1506"/>
      <c r="AC968" s="1506"/>
      <c r="AD968" s="1506"/>
      <c r="AE968" s="1507"/>
      <c r="AF968" s="73"/>
      <c r="AG968" s="14"/>
      <c r="AH968" s="14"/>
      <c r="AI968" s="83"/>
      <c r="AJ968" s="1496"/>
      <c r="AK968" s="1497"/>
      <c r="AL968" s="1497"/>
      <c r="AM968" s="1497"/>
      <c r="AN968" s="1497"/>
      <c r="AO968" s="1497"/>
      <c r="AP968" s="1497"/>
      <c r="AQ968" s="1498"/>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5"/>
      <c r="E969" s="1506"/>
      <c r="F969" s="1506"/>
      <c r="G969" s="1506"/>
      <c r="H969" s="1506"/>
      <c r="I969" s="1506"/>
      <c r="J969" s="1506"/>
      <c r="K969" s="1506"/>
      <c r="L969" s="1506"/>
      <c r="M969" s="1506"/>
      <c r="N969" s="1506"/>
      <c r="O969" s="1506"/>
      <c r="P969" s="1506"/>
      <c r="Q969" s="1506"/>
      <c r="R969" s="1506"/>
      <c r="S969" s="1506"/>
      <c r="T969" s="1506"/>
      <c r="U969" s="1506"/>
      <c r="V969" s="1506"/>
      <c r="W969" s="1506"/>
      <c r="X969" s="1506"/>
      <c r="Y969" s="1506"/>
      <c r="Z969" s="1506"/>
      <c r="AA969" s="1506"/>
      <c r="AB969" s="1506"/>
      <c r="AC969" s="1506"/>
      <c r="AD969" s="1506"/>
      <c r="AE969" s="1507"/>
      <c r="AF969" s="73"/>
      <c r="AG969" s="14"/>
      <c r="AH969" s="14"/>
      <c r="AI969" s="83"/>
      <c r="AJ969" s="1496"/>
      <c r="AK969" s="1497"/>
      <c r="AL969" s="1497"/>
      <c r="AM969" s="1497"/>
      <c r="AN969" s="1497"/>
      <c r="AO969" s="1497"/>
      <c r="AP969" s="1497"/>
      <c r="AQ969" s="1498"/>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5"/>
      <c r="E970" s="1506"/>
      <c r="F970" s="1506"/>
      <c r="G970" s="1506"/>
      <c r="H970" s="1506"/>
      <c r="I970" s="1506"/>
      <c r="J970" s="1506"/>
      <c r="K970" s="1506"/>
      <c r="L970" s="1506"/>
      <c r="M970" s="1506"/>
      <c r="N970" s="1506"/>
      <c r="O970" s="1506"/>
      <c r="P970" s="1506"/>
      <c r="Q970" s="1506"/>
      <c r="R970" s="1506"/>
      <c r="S970" s="1506"/>
      <c r="T970" s="1506"/>
      <c r="U970" s="1506"/>
      <c r="V970" s="1506"/>
      <c r="W970" s="1506"/>
      <c r="X970" s="1506"/>
      <c r="Y970" s="1506"/>
      <c r="Z970" s="1506"/>
      <c r="AA970" s="1506"/>
      <c r="AB970" s="1506"/>
      <c r="AC970" s="1506"/>
      <c r="AD970" s="1506"/>
      <c r="AE970" s="1507"/>
      <c r="AF970" s="73"/>
      <c r="AG970" s="14"/>
      <c r="AH970" s="14"/>
      <c r="AI970" s="83"/>
      <c r="AJ970" s="1496"/>
      <c r="AK970" s="1497"/>
      <c r="AL970" s="1497"/>
      <c r="AM970" s="1497"/>
      <c r="AN970" s="1497"/>
      <c r="AO970" s="1497"/>
      <c r="AP970" s="1497"/>
      <c r="AQ970" s="1498"/>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11"/>
      <c r="E971" s="1512"/>
      <c r="F971" s="1512"/>
      <c r="G971" s="1512"/>
      <c r="H971" s="1512"/>
      <c r="I971" s="1512"/>
      <c r="J971" s="1512"/>
      <c r="K971" s="1512"/>
      <c r="L971" s="1512"/>
      <c r="M971" s="1512"/>
      <c r="N971" s="1512"/>
      <c r="O971" s="1512"/>
      <c r="P971" s="1512"/>
      <c r="Q971" s="1512"/>
      <c r="R971" s="1512"/>
      <c r="S971" s="1512"/>
      <c r="T971" s="1512"/>
      <c r="U971" s="1512"/>
      <c r="V971" s="1512"/>
      <c r="W971" s="1512"/>
      <c r="X971" s="1512"/>
      <c r="Y971" s="1512"/>
      <c r="Z971" s="1512"/>
      <c r="AA971" s="1512"/>
      <c r="AB971" s="1512"/>
      <c r="AC971" s="1512"/>
      <c r="AD971" s="1512"/>
      <c r="AE971" s="1513"/>
      <c r="AF971" s="77"/>
      <c r="AG971" s="7"/>
      <c r="AH971" s="7"/>
      <c r="AI971" s="78"/>
      <c r="AJ971" s="1499"/>
      <c r="AK971" s="1500"/>
      <c r="AL971" s="1500"/>
      <c r="AM971" s="1500"/>
      <c r="AN971" s="1500"/>
      <c r="AO971" s="1500"/>
      <c r="AP971" s="1500"/>
      <c r="AQ971" s="1501"/>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460" t="s">
        <v>1945</v>
      </c>
      <c r="E972" s="1461"/>
      <c r="F972" s="1461"/>
      <c r="G972" s="1461"/>
      <c r="H972" s="1461"/>
      <c r="I972" s="1461"/>
      <c r="J972" s="1461"/>
      <c r="K972" s="1461"/>
      <c r="L972" s="1461"/>
      <c r="M972" s="1461"/>
      <c r="N972" s="1461"/>
      <c r="O972" s="1461"/>
      <c r="P972" s="1461"/>
      <c r="Q972" s="1461"/>
      <c r="R972" s="1461"/>
      <c r="S972" s="1461"/>
      <c r="T972" s="1461"/>
      <c r="U972" s="1461"/>
      <c r="V972" s="1461"/>
      <c r="W972" s="1461"/>
      <c r="X972" s="1461"/>
      <c r="Y972" s="1461"/>
      <c r="Z972" s="1461"/>
      <c r="AA972" s="1461"/>
      <c r="AB972" s="1461"/>
      <c r="AC972" s="1461"/>
      <c r="AD972" s="1461"/>
      <c r="AE972" s="1462"/>
      <c r="AF972" s="86"/>
      <c r="AG972" s="1468" t="s">
        <v>678</v>
      </c>
      <c r="AH972" s="1469"/>
      <c r="AI972" s="87"/>
      <c r="AJ972" s="1493">
        <f>ROUND(IF(AG972="yes",AJ961*0.1,0),0)</f>
        <v>0</v>
      </c>
      <c r="AK972" s="1494"/>
      <c r="AL972" s="1494"/>
      <c r="AM972" s="1494"/>
      <c r="AN972" s="1494"/>
      <c r="AO972" s="1494"/>
      <c r="AP972" s="1494"/>
      <c r="AQ972" s="1495"/>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8" t="s">
        <v>1451</v>
      </c>
      <c r="E973" s="1449"/>
      <c r="F973" s="1449"/>
      <c r="G973" s="1449"/>
      <c r="H973" s="1449"/>
      <c r="I973" s="1449"/>
      <c r="J973" s="1449"/>
      <c r="K973" s="1449"/>
      <c r="L973" s="1449"/>
      <c r="M973" s="1449"/>
      <c r="N973" s="1449"/>
      <c r="O973" s="1449"/>
      <c r="P973" s="1449"/>
      <c r="Q973" s="1449"/>
      <c r="R973" s="1449"/>
      <c r="S973" s="1449"/>
      <c r="T973" s="1449"/>
      <c r="U973" s="1449"/>
      <c r="V973" s="1449"/>
      <c r="W973" s="1449"/>
      <c r="X973" s="1449"/>
      <c r="Y973" s="1449"/>
      <c r="Z973" s="1449"/>
      <c r="AA973" s="1449"/>
      <c r="AB973" s="1449"/>
      <c r="AC973" s="1449"/>
      <c r="AD973" s="1449"/>
      <c r="AE973" s="1450"/>
      <c r="AF973" s="73"/>
      <c r="AI973" s="83"/>
      <c r="AJ973" s="1496"/>
      <c r="AK973" s="1497"/>
      <c r="AL973" s="1497"/>
      <c r="AM973" s="1497"/>
      <c r="AN973" s="1497"/>
      <c r="AO973" s="1497"/>
      <c r="AP973" s="1497"/>
      <c r="AQ973" s="1498"/>
      <c r="AR973" s="68"/>
      <c r="AS973" s="68"/>
      <c r="AT973" s="68"/>
      <c r="AU973" s="68"/>
      <c r="AV973" s="68"/>
      <c r="AW973" s="68"/>
      <c r="AX973" s="68"/>
      <c r="AY973" s="68"/>
      <c r="AZ973" s="34"/>
      <c r="BA973" s="951">
        <f>G739+O782</f>
        <v>120</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8"/>
      <c r="E974" s="1449"/>
      <c r="F974" s="1449"/>
      <c r="G974" s="1449"/>
      <c r="H974" s="1449"/>
      <c r="I974" s="1449"/>
      <c r="J974" s="1449"/>
      <c r="K974" s="1449"/>
      <c r="L974" s="1449"/>
      <c r="M974" s="1449"/>
      <c r="N974" s="1449"/>
      <c r="O974" s="1449"/>
      <c r="P974" s="1449"/>
      <c r="Q974" s="1449"/>
      <c r="R974" s="1449"/>
      <c r="S974" s="1449"/>
      <c r="T974" s="1449"/>
      <c r="U974" s="1449"/>
      <c r="V974" s="1449"/>
      <c r="W974" s="1449"/>
      <c r="X974" s="1449"/>
      <c r="Y974" s="1449"/>
      <c r="Z974" s="1449"/>
      <c r="AA974" s="1449"/>
      <c r="AB974" s="1449"/>
      <c r="AC974" s="1449"/>
      <c r="AD974" s="1449"/>
      <c r="AE974" s="1450"/>
      <c r="AF974" s="73"/>
      <c r="AG974" s="14"/>
      <c r="AH974" s="14"/>
      <c r="AI974" s="83"/>
      <c r="AJ974" s="1496"/>
      <c r="AK974" s="1497"/>
      <c r="AL974" s="1497"/>
      <c r="AM974" s="1497"/>
      <c r="AN974" s="1497"/>
      <c r="AO974" s="1497"/>
      <c r="AP974" s="1497"/>
      <c r="AQ974" s="1498"/>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73"/>
      <c r="E975" s="1474"/>
      <c r="F975" s="1474"/>
      <c r="G975" s="1474"/>
      <c r="H975" s="1474"/>
      <c r="I975" s="1474"/>
      <c r="J975" s="1474"/>
      <c r="K975" s="1474"/>
      <c r="L975" s="1474"/>
      <c r="M975" s="1474"/>
      <c r="N975" s="1474"/>
      <c r="O975" s="1474"/>
      <c r="P975" s="1474"/>
      <c r="Q975" s="1474"/>
      <c r="R975" s="1474"/>
      <c r="S975" s="1474"/>
      <c r="T975" s="1474"/>
      <c r="U975" s="1474"/>
      <c r="V975" s="1474"/>
      <c r="W975" s="1474"/>
      <c r="X975" s="1474"/>
      <c r="Y975" s="1474"/>
      <c r="Z975" s="1474"/>
      <c r="AA975" s="1474"/>
      <c r="AB975" s="1474"/>
      <c r="AC975" s="1474"/>
      <c r="AD975" s="1474"/>
      <c r="AE975" s="1475"/>
      <c r="AF975" s="77"/>
      <c r="AG975" s="7"/>
      <c r="AH975" s="7"/>
      <c r="AI975" s="78"/>
      <c r="AJ975" s="1499"/>
      <c r="AK975" s="1500"/>
      <c r="AL975" s="1500"/>
      <c r="AM975" s="1500"/>
      <c r="AN975" s="1500"/>
      <c r="AO975" s="1500"/>
      <c r="AP975" s="1500"/>
      <c r="AQ975" s="1501"/>
      <c r="AR975" s="68"/>
      <c r="AS975" s="68"/>
      <c r="AT975" s="68"/>
      <c r="AU975" s="68"/>
      <c r="AV975" s="68"/>
      <c r="AW975" s="68"/>
      <c r="AX975" s="68"/>
      <c r="AY975" s="68"/>
      <c r="AZ975" s="34"/>
      <c r="BA975" s="950">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213</v>
      </c>
      <c r="D976" s="1460" t="s">
        <v>1453</v>
      </c>
      <c r="E976" s="1461"/>
      <c r="F976" s="1461"/>
      <c r="G976" s="1461"/>
      <c r="H976" s="1461"/>
      <c r="I976" s="1461"/>
      <c r="J976" s="1461"/>
      <c r="K976" s="1461"/>
      <c r="L976" s="1461"/>
      <c r="M976" s="1461"/>
      <c r="N976" s="1461"/>
      <c r="O976" s="1461"/>
      <c r="P976" s="1461"/>
      <c r="Q976" s="1461"/>
      <c r="R976" s="1461"/>
      <c r="S976" s="1461"/>
      <c r="T976" s="1461"/>
      <c r="U976" s="1461"/>
      <c r="V976" s="1461"/>
      <c r="W976" s="1461"/>
      <c r="X976" s="1461"/>
      <c r="Y976" s="1461"/>
      <c r="Z976" s="1461"/>
      <c r="AA976" s="1461"/>
      <c r="AB976" s="1461"/>
      <c r="AC976" s="1461"/>
      <c r="AD976" s="1461"/>
      <c r="AE976" s="1462"/>
      <c r="AF976" s="79"/>
      <c r="AG976" s="1468" t="s">
        <v>678</v>
      </c>
      <c r="AH976" s="1469"/>
      <c r="AI976" s="87"/>
      <c r="AJ976" s="1493">
        <f>ROUND(IF(AG976="yes",AJ961*0.02,0),0)</f>
        <v>0</v>
      </c>
      <c r="AK976" s="1494"/>
      <c r="AL976" s="1494"/>
      <c r="AM976" s="1494"/>
      <c r="AN976" s="1494"/>
      <c r="AO976" s="1494"/>
      <c r="AP976" s="1494"/>
      <c r="AQ976" s="1495"/>
      <c r="AR976" s="68"/>
      <c r="AS976" s="68"/>
      <c r="AT976" s="68"/>
      <c r="AU976" s="68"/>
      <c r="AV976" s="68"/>
      <c r="AW976" s="68"/>
      <c r="AX976" s="68"/>
      <c r="AY976" s="68"/>
      <c r="AZ976" s="34"/>
      <c r="BA976" s="950">
        <f>ROUNDDOWN(X1017/I1017,2)</f>
        <v>0.37</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73" t="s">
        <v>1454</v>
      </c>
      <c r="E977" s="1474"/>
      <c r="F977" s="1474"/>
      <c r="G977" s="1474"/>
      <c r="H977" s="1474"/>
      <c r="I977" s="1474"/>
      <c r="J977" s="1474"/>
      <c r="K977" s="1474"/>
      <c r="L977" s="1474"/>
      <c r="M977" s="1474"/>
      <c r="N977" s="1474"/>
      <c r="O977" s="1474"/>
      <c r="P977" s="1474"/>
      <c r="Q977" s="1474"/>
      <c r="R977" s="1474"/>
      <c r="S977" s="1474"/>
      <c r="T977" s="1474"/>
      <c r="U977" s="1474"/>
      <c r="V977" s="1474"/>
      <c r="W977" s="1474"/>
      <c r="X977" s="1474"/>
      <c r="Y977" s="1474"/>
      <c r="Z977" s="1474"/>
      <c r="AA977" s="1474"/>
      <c r="AB977" s="1474"/>
      <c r="AC977" s="1474"/>
      <c r="AD977" s="1474"/>
      <c r="AE977" s="1475"/>
      <c r="AF977" s="77"/>
      <c r="AG977" s="7"/>
      <c r="AH977" s="7"/>
      <c r="AI977" s="78"/>
      <c r="AJ977" s="1499"/>
      <c r="AK977" s="1500"/>
      <c r="AL977" s="1500"/>
      <c r="AM977" s="1500"/>
      <c r="AN977" s="1500"/>
      <c r="AO977" s="1500"/>
      <c r="AP977" s="1500"/>
      <c r="AQ977" s="1501"/>
      <c r="AR977" s="68"/>
      <c r="AS977" s="68"/>
      <c r="AT977" s="68"/>
      <c r="AU977" s="68"/>
      <c r="AV977" s="68"/>
      <c r="AW977" s="68"/>
      <c r="AX977" s="68"/>
      <c r="AY977" s="68"/>
      <c r="BB977" s="34"/>
      <c r="BC977" s="34"/>
      <c r="BD977" s="34"/>
      <c r="BE977" s="34"/>
      <c r="BF977" s="34"/>
    </row>
    <row r="978" spans="1:58" ht="12.95" customHeight="1">
      <c r="A978" s="14"/>
      <c r="B978" s="79"/>
      <c r="C978" s="80" t="s">
        <v>216</v>
      </c>
      <c r="D978" s="1460" t="s">
        <v>1455</v>
      </c>
      <c r="E978" s="1461"/>
      <c r="F978" s="1461"/>
      <c r="G978" s="1461"/>
      <c r="H978" s="1461"/>
      <c r="I978" s="1461"/>
      <c r="J978" s="1461"/>
      <c r="K978" s="1461"/>
      <c r="L978" s="1461"/>
      <c r="M978" s="1461"/>
      <c r="N978" s="1461"/>
      <c r="O978" s="1461"/>
      <c r="P978" s="1461"/>
      <c r="Q978" s="1461"/>
      <c r="R978" s="1461"/>
      <c r="S978" s="1461"/>
      <c r="T978" s="1461"/>
      <c r="U978" s="1461"/>
      <c r="V978" s="1461"/>
      <c r="W978" s="1461"/>
      <c r="X978" s="1461"/>
      <c r="Y978" s="1461"/>
      <c r="Z978" s="1461"/>
      <c r="AA978" s="1461"/>
      <c r="AB978" s="1461"/>
      <c r="AC978" s="1461"/>
      <c r="AD978" s="1461"/>
      <c r="AE978" s="1462"/>
      <c r="AF978" s="79"/>
      <c r="AG978" s="1468" t="s">
        <v>678</v>
      </c>
      <c r="AH978" s="1469"/>
      <c r="AI978" s="79"/>
      <c r="AJ978" s="1493">
        <f>ROUND(IF(AG978="yes",AJ961*0.02,0),0)</f>
        <v>0</v>
      </c>
      <c r="AK978" s="1494"/>
      <c r="AL978" s="1494"/>
      <c r="AM978" s="1494"/>
      <c r="AN978" s="1494"/>
      <c r="AO978" s="1494"/>
      <c r="AP978" s="1494"/>
      <c r="AQ978" s="1495"/>
      <c r="AR978" s="68"/>
      <c r="AS978" s="68"/>
      <c r="AT978" s="68"/>
      <c r="AU978" s="68"/>
      <c r="AV978" s="68"/>
      <c r="AW978" s="68"/>
      <c r="AX978" s="68"/>
      <c r="AY978" s="68"/>
    </row>
    <row r="979" spans="1:58" ht="12.95" customHeight="1">
      <c r="A979" s="14"/>
      <c r="B979" s="73"/>
      <c r="C979" s="74"/>
      <c r="D979" s="1448" t="s">
        <v>1456</v>
      </c>
      <c r="E979" s="1449"/>
      <c r="F979" s="1449"/>
      <c r="G979" s="1449"/>
      <c r="H979" s="1449"/>
      <c r="I979" s="1449"/>
      <c r="J979" s="1449"/>
      <c r="K979" s="1449"/>
      <c r="L979" s="1449"/>
      <c r="M979" s="1449"/>
      <c r="N979" s="1449"/>
      <c r="O979" s="1449"/>
      <c r="P979" s="1449"/>
      <c r="Q979" s="1449"/>
      <c r="R979" s="1449"/>
      <c r="S979" s="1449"/>
      <c r="T979" s="1449"/>
      <c r="U979" s="1449"/>
      <c r="V979" s="1449"/>
      <c r="W979" s="1449"/>
      <c r="X979" s="1449"/>
      <c r="Y979" s="1449"/>
      <c r="Z979" s="1449"/>
      <c r="AA979" s="1449"/>
      <c r="AB979" s="1449"/>
      <c r="AC979" s="1449"/>
      <c r="AD979" s="1449"/>
      <c r="AE979" s="1450"/>
      <c r="AF979" s="73"/>
      <c r="AI979" s="14"/>
      <c r="AJ979" s="1496"/>
      <c r="AK979" s="1497"/>
      <c r="AL979" s="1497"/>
      <c r="AM979" s="1497"/>
      <c r="AN979" s="1497"/>
      <c r="AO979" s="1497"/>
      <c r="AP979" s="1497"/>
      <c r="AQ979" s="1498"/>
      <c r="AR979" s="68"/>
      <c r="AS979" s="68"/>
      <c r="AT979" s="68"/>
      <c r="AU979" s="68"/>
      <c r="AV979" s="68"/>
      <c r="AW979" s="68"/>
      <c r="AX979" s="68"/>
      <c r="AY979" s="68"/>
    </row>
    <row r="980" spans="1:58" ht="12.95" customHeight="1">
      <c r="A980" s="14"/>
      <c r="B980" s="75"/>
      <c r="C980" s="76"/>
      <c r="D980" s="1473"/>
      <c r="E980" s="1474"/>
      <c r="F980" s="1474"/>
      <c r="G980" s="1474"/>
      <c r="H980" s="1474"/>
      <c r="I980" s="1474"/>
      <c r="J980" s="1474"/>
      <c r="K980" s="1474"/>
      <c r="L980" s="1474"/>
      <c r="M980" s="1474"/>
      <c r="N980" s="1474"/>
      <c r="O980" s="1474"/>
      <c r="P980" s="1474"/>
      <c r="Q980" s="1474"/>
      <c r="R980" s="1474"/>
      <c r="S980" s="1474"/>
      <c r="T980" s="1474"/>
      <c r="U980" s="1474"/>
      <c r="V980" s="1474"/>
      <c r="W980" s="1474"/>
      <c r="X980" s="1474"/>
      <c r="Y980" s="1474"/>
      <c r="Z980" s="1474"/>
      <c r="AA980" s="1474"/>
      <c r="AB980" s="1474"/>
      <c r="AC980" s="1474"/>
      <c r="AD980" s="1474"/>
      <c r="AE980" s="1475"/>
      <c r="AF980" s="77"/>
      <c r="AG980" s="7"/>
      <c r="AH980" s="7"/>
      <c r="AI980" s="78"/>
      <c r="AJ980" s="1499"/>
      <c r="AK980" s="1500"/>
      <c r="AL980" s="1500"/>
      <c r="AM980" s="1500"/>
      <c r="AN980" s="1500"/>
      <c r="AO980" s="1500"/>
      <c r="AP980" s="1500"/>
      <c r="AQ980" s="1501"/>
      <c r="AR980" s="68"/>
      <c r="AS980" s="68"/>
      <c r="AT980" s="68"/>
      <c r="AU980" s="68"/>
      <c r="AV980" s="68"/>
      <c r="AW980" s="68"/>
      <c r="AX980" s="68"/>
      <c r="AY980" s="68"/>
    </row>
    <row r="981" spans="1:58" ht="12.95" customHeight="1">
      <c r="A981" s="14"/>
      <c r="B981" s="79"/>
      <c r="C981" s="80" t="s">
        <v>219</v>
      </c>
      <c r="D981" s="1470" t="s">
        <v>1457</v>
      </c>
      <c r="E981" s="1471"/>
      <c r="F981" s="1471"/>
      <c r="G981" s="1471"/>
      <c r="H981" s="1471"/>
      <c r="I981" s="1471"/>
      <c r="J981" s="1471"/>
      <c r="K981" s="1471"/>
      <c r="L981" s="1471"/>
      <c r="M981" s="1471"/>
      <c r="N981" s="1471"/>
      <c r="O981" s="1471"/>
      <c r="P981" s="1471"/>
      <c r="Q981" s="1471"/>
      <c r="R981" s="1471"/>
      <c r="S981" s="1471"/>
      <c r="T981" s="1471"/>
      <c r="U981" s="1471"/>
      <c r="V981" s="1471"/>
      <c r="W981" s="1471"/>
      <c r="X981" s="1471"/>
      <c r="Y981" s="1471"/>
      <c r="Z981" s="1471"/>
      <c r="AA981" s="1471"/>
      <c r="AB981" s="1471"/>
      <c r="AC981" s="1471"/>
      <c r="AD981" s="1471"/>
      <c r="AE981" s="1472"/>
      <c r="AF981" s="79"/>
      <c r="AG981" s="1468" t="s">
        <v>678</v>
      </c>
      <c r="AH981" s="1469"/>
      <c r="AI981" s="87"/>
      <c r="AJ981" s="1493">
        <f>IF(AG981="yes",AJ961*BA981,0)</f>
        <v>0</v>
      </c>
      <c r="AK981" s="1494"/>
      <c r="AL981" s="1494"/>
      <c r="AM981" s="1494"/>
      <c r="AN981" s="1494"/>
      <c r="AO981" s="1494"/>
      <c r="AP981" s="1494"/>
      <c r="AQ981" s="1495"/>
      <c r="AR981" s="68"/>
      <c r="AS981" s="68"/>
      <c r="AT981" s="68"/>
      <c r="AU981" s="68"/>
      <c r="AV981" s="68"/>
      <c r="AW981" s="68"/>
      <c r="AX981" s="68"/>
      <c r="AY981" s="68"/>
      <c r="BA981" s="215">
        <f>IF(SUM(BA983:BA991)&lt;=0.1,SUM(BA983:BA991),0.1)</f>
        <v>0</v>
      </c>
    </row>
    <row r="982" spans="1:58" ht="12.95" customHeight="1">
      <c r="A982" s="14"/>
      <c r="B982" s="73"/>
      <c r="C982" s="74"/>
      <c r="D982" s="1448" t="s">
        <v>1458</v>
      </c>
      <c r="E982" s="1449"/>
      <c r="F982" s="1449"/>
      <c r="G982" s="1449"/>
      <c r="H982" s="1449"/>
      <c r="I982" s="1449"/>
      <c r="J982" s="1449"/>
      <c r="K982" s="1449"/>
      <c r="L982" s="1449"/>
      <c r="M982" s="1449"/>
      <c r="N982" s="1449"/>
      <c r="O982" s="1449"/>
      <c r="P982" s="1449"/>
      <c r="Q982" s="1449"/>
      <c r="R982" s="1449"/>
      <c r="S982" s="1449"/>
      <c r="T982" s="1449"/>
      <c r="U982" s="1449"/>
      <c r="V982" s="1449"/>
      <c r="W982" s="1449"/>
      <c r="X982" s="1449"/>
      <c r="Y982" s="1449"/>
      <c r="Z982" s="1449"/>
      <c r="AA982" s="1449"/>
      <c r="AB982" s="1449"/>
      <c r="AC982" s="1449"/>
      <c r="AD982" s="1449"/>
      <c r="AE982" s="1450"/>
      <c r="AF982" s="73"/>
      <c r="AG982" s="14"/>
      <c r="AH982" s="14"/>
      <c r="AI982" s="83"/>
      <c r="AJ982" s="1496"/>
      <c r="AK982" s="1497"/>
      <c r="AL982" s="1497"/>
      <c r="AM982" s="1497"/>
      <c r="AN982" s="1497"/>
      <c r="AO982" s="1497"/>
      <c r="AP982" s="1497"/>
      <c r="AQ982" s="1498"/>
      <c r="AR982" s="68"/>
      <c r="AS982" s="68"/>
      <c r="AT982" s="68"/>
      <c r="AU982" s="68"/>
      <c r="AV982" s="68"/>
      <c r="AW982" s="68"/>
      <c r="AX982" s="68"/>
      <c r="AY982" s="68"/>
    </row>
    <row r="983" spans="1:58" ht="12.95" customHeight="1">
      <c r="A983" s="14"/>
      <c r="B983" s="73"/>
      <c r="C983" s="74"/>
      <c r="D983" s="1448"/>
      <c r="E983" s="1449"/>
      <c r="F983" s="1449"/>
      <c r="G983" s="1449"/>
      <c r="H983" s="1449"/>
      <c r="I983" s="1449"/>
      <c r="J983" s="1449"/>
      <c r="K983" s="1449"/>
      <c r="L983" s="1449"/>
      <c r="M983" s="1449"/>
      <c r="N983" s="1449"/>
      <c r="O983" s="1449"/>
      <c r="P983" s="1449"/>
      <c r="Q983" s="1449"/>
      <c r="R983" s="1449"/>
      <c r="S983" s="1449"/>
      <c r="T983" s="1449"/>
      <c r="U983" s="1449"/>
      <c r="V983" s="1449"/>
      <c r="W983" s="1449"/>
      <c r="X983" s="1449"/>
      <c r="Y983" s="1449"/>
      <c r="Z983" s="1449"/>
      <c r="AA983" s="1449"/>
      <c r="AB983" s="1449"/>
      <c r="AC983" s="1449"/>
      <c r="AD983" s="1449"/>
      <c r="AE983" s="1450"/>
      <c r="AF983" s="73"/>
      <c r="AG983" s="14"/>
      <c r="AH983" s="14"/>
      <c r="AI983" s="83"/>
      <c r="AJ983" s="1496"/>
      <c r="AK983" s="1497"/>
      <c r="AL983" s="1497"/>
      <c r="AM983" s="1497"/>
      <c r="AN983" s="1497"/>
      <c r="AO983" s="1497"/>
      <c r="AP983" s="1497"/>
      <c r="AQ983" s="1498"/>
      <c r="AR983" s="68"/>
      <c r="AS983" s="68"/>
      <c r="AT983" s="68"/>
      <c r="AU983" s="68"/>
      <c r="AV983" s="68"/>
      <c r="AW983" s="68"/>
      <c r="AX983" s="68"/>
      <c r="AY983" s="68"/>
      <c r="BA983" s="213">
        <f>IF(A1030="Yes",0.05,0)</f>
        <v>0</v>
      </c>
    </row>
    <row r="984" spans="1:58" ht="12.95" customHeight="1">
      <c r="A984" s="14"/>
      <c r="B984" s="81"/>
      <c r="C984" s="82"/>
      <c r="D984" s="1473"/>
      <c r="E984" s="1474"/>
      <c r="F984" s="1474"/>
      <c r="G984" s="1474"/>
      <c r="H984" s="1474"/>
      <c r="I984" s="1474"/>
      <c r="J984" s="1474"/>
      <c r="K984" s="1474"/>
      <c r="L984" s="1474"/>
      <c r="M984" s="1474"/>
      <c r="N984" s="1474"/>
      <c r="O984" s="1474"/>
      <c r="P984" s="1474"/>
      <c r="Q984" s="1474"/>
      <c r="R984" s="1474"/>
      <c r="S984" s="1474"/>
      <c r="T984" s="1474"/>
      <c r="U984" s="1474"/>
      <c r="V984" s="1474"/>
      <c r="W984" s="1474"/>
      <c r="X984" s="1474"/>
      <c r="Y984" s="1474"/>
      <c r="Z984" s="1474"/>
      <c r="AA984" s="1474"/>
      <c r="AB984" s="1474"/>
      <c r="AC984" s="1474"/>
      <c r="AD984" s="1474"/>
      <c r="AE984" s="1475"/>
      <c r="AF984" s="77"/>
      <c r="AG984" s="7"/>
      <c r="AH984" s="7"/>
      <c r="AI984" s="78"/>
      <c r="AJ984" s="1499"/>
      <c r="AK984" s="1500"/>
      <c r="AL984" s="1500"/>
      <c r="AM984" s="1500"/>
      <c r="AN984" s="1500"/>
      <c r="AO984" s="1500"/>
      <c r="AP984" s="1500"/>
      <c r="AQ984" s="1501"/>
      <c r="AR984" s="68"/>
      <c r="AS984" s="68"/>
      <c r="AT984" s="68"/>
      <c r="AU984" s="68"/>
      <c r="AV984" s="68"/>
      <c r="AW984" s="68"/>
      <c r="AX984" s="68"/>
      <c r="AY984" s="68"/>
      <c r="BA984" s="213">
        <f>IF(A1036="Yes",0.02,0)</f>
        <v>0</v>
      </c>
    </row>
    <row r="985" spans="1:58" ht="12.95" customHeight="1">
      <c r="A985" s="14"/>
      <c r="B985" s="79"/>
      <c r="C985" s="80" t="s">
        <v>224</v>
      </c>
      <c r="D985" s="1514" t="s">
        <v>1459</v>
      </c>
      <c r="E985" s="1515"/>
      <c r="F985" s="1515"/>
      <c r="G985" s="1515"/>
      <c r="H985" s="1515"/>
      <c r="I985" s="1515"/>
      <c r="J985" s="1515"/>
      <c r="K985" s="1515"/>
      <c r="L985" s="1515"/>
      <c r="M985" s="1515"/>
      <c r="N985" s="1515"/>
      <c r="O985" s="1515"/>
      <c r="P985" s="1515"/>
      <c r="Q985" s="1515"/>
      <c r="R985" s="1515"/>
      <c r="S985" s="1515"/>
      <c r="T985" s="1515"/>
      <c r="U985" s="1515"/>
      <c r="V985" s="1515"/>
      <c r="W985" s="1515"/>
      <c r="X985" s="1515"/>
      <c r="Y985" s="1515"/>
      <c r="Z985" s="1515"/>
      <c r="AA985" s="1515"/>
      <c r="AB985" s="1515"/>
      <c r="AC985" s="1515"/>
      <c r="AD985" s="1515"/>
      <c r="AE985" s="1516"/>
      <c r="AF985" s="79"/>
      <c r="AG985" s="1468" t="s">
        <v>678</v>
      </c>
      <c r="AH985" s="1469"/>
      <c r="AI985" s="87"/>
      <c r="AJ985" s="1493">
        <f>ROUND(IF(AG985="Yes",MIN(AF988,(0.15*AJ961)),0),0)</f>
        <v>0</v>
      </c>
      <c r="AK985" s="1494"/>
      <c r="AL985" s="1494"/>
      <c r="AM985" s="1494"/>
      <c r="AN985" s="1494"/>
      <c r="AO985" s="1494"/>
      <c r="AP985" s="1494"/>
      <c r="AQ985" s="1495"/>
      <c r="AR985" s="68"/>
      <c r="AS985" s="68"/>
      <c r="AT985" s="68"/>
      <c r="AU985" s="68"/>
      <c r="AV985" s="68"/>
      <c r="AW985" s="68"/>
      <c r="AX985" s="68"/>
      <c r="AY985" s="68"/>
      <c r="BA985" s="213">
        <f>IF(A1042="Yes",0.04,0)</f>
        <v>0</v>
      </c>
    </row>
    <row r="986" spans="1:58" ht="12.95" customHeight="1">
      <c r="A986" s="14"/>
      <c r="B986" s="81"/>
      <c r="C986" s="84"/>
      <c r="D986" s="1517"/>
      <c r="E986" s="1518"/>
      <c r="F986" s="1518"/>
      <c r="G986" s="1518"/>
      <c r="H986" s="1518"/>
      <c r="I986" s="1518"/>
      <c r="J986" s="1518"/>
      <c r="K986" s="1518"/>
      <c r="L986" s="1518"/>
      <c r="M986" s="1518"/>
      <c r="N986" s="1518"/>
      <c r="O986" s="1518"/>
      <c r="P986" s="1518"/>
      <c r="Q986" s="1518"/>
      <c r="R986" s="1518"/>
      <c r="S986" s="1518"/>
      <c r="T986" s="1518"/>
      <c r="U986" s="1518"/>
      <c r="V986" s="1518"/>
      <c r="W986" s="1518"/>
      <c r="X986" s="1518"/>
      <c r="Y986" s="1518"/>
      <c r="Z986" s="1518"/>
      <c r="AA986" s="1518"/>
      <c r="AB986" s="1518"/>
      <c r="AC986" s="1518"/>
      <c r="AD986" s="1518"/>
      <c r="AE986" s="1519"/>
      <c r="AF986" s="1476" t="str">
        <f>IF(AG985="yes","Please Select Type and Enter Amount:","")</f>
        <v/>
      </c>
      <c r="AG986" s="1477"/>
      <c r="AH986" s="1477"/>
      <c r="AI986" s="1478"/>
      <c r="AJ986" s="1496"/>
      <c r="AK986" s="1497"/>
      <c r="AL986" s="1497"/>
      <c r="AM986" s="1497"/>
      <c r="AN986" s="1497"/>
      <c r="AO986" s="1497"/>
      <c r="AP986" s="1497"/>
      <c r="AQ986" s="1498"/>
      <c r="AR986" s="68"/>
      <c r="AS986" s="68"/>
      <c r="AT986" s="68"/>
      <c r="AU986" s="68"/>
      <c r="AV986" s="68"/>
      <c r="AW986" s="68"/>
      <c r="AX986" s="68"/>
      <c r="AY986" s="68"/>
      <c r="BA986" s="213">
        <f>IF(A1049="Yes",0.04,0)</f>
        <v>0</v>
      </c>
    </row>
    <row r="987" spans="1:58" ht="12.95" customHeight="1">
      <c r="A987" s="14"/>
      <c r="B987" s="81"/>
      <c r="C987" s="84"/>
      <c r="D987" s="1448" t="s">
        <v>1460</v>
      </c>
      <c r="E987" s="1449"/>
      <c r="F987" s="1449"/>
      <c r="G987" s="1449"/>
      <c r="H987" s="1449"/>
      <c r="I987" s="1449"/>
      <c r="J987" s="1449"/>
      <c r="K987" s="1449"/>
      <c r="L987" s="1449"/>
      <c r="M987" s="1449"/>
      <c r="N987" s="1449"/>
      <c r="O987" s="1449"/>
      <c r="P987" s="1449"/>
      <c r="Q987" s="1449"/>
      <c r="R987" s="1449"/>
      <c r="S987" s="1449"/>
      <c r="T987" s="1449"/>
      <c r="U987" s="1449"/>
      <c r="V987" s="1449"/>
      <c r="W987" s="1449"/>
      <c r="X987" s="1449"/>
      <c r="Y987" s="1449"/>
      <c r="Z987" s="1449"/>
      <c r="AA987" s="1449"/>
      <c r="AB987" s="1449"/>
      <c r="AC987" s="1449"/>
      <c r="AD987" s="1449"/>
      <c r="AE987" s="1450"/>
      <c r="AF987" s="1476"/>
      <c r="AG987" s="1477"/>
      <c r="AH987" s="1477"/>
      <c r="AI987" s="1478"/>
      <c r="AJ987" s="1496"/>
      <c r="AK987" s="1497"/>
      <c r="AL987" s="1497"/>
      <c r="AM987" s="1497"/>
      <c r="AN987" s="1497"/>
      <c r="AO987" s="1497"/>
      <c r="AP987" s="1497"/>
      <c r="AQ987" s="1498"/>
      <c r="AR987" s="68"/>
      <c r="AS987" s="68"/>
      <c r="AT987" s="68"/>
      <c r="AU987" s="68"/>
      <c r="AV987" s="68"/>
      <c r="AW987" s="68"/>
      <c r="AX987" s="68"/>
      <c r="AY987" s="68"/>
      <c r="BA987" s="213">
        <f>IF(A1052="Yes",0.01,0)</f>
        <v>0</v>
      </c>
    </row>
    <row r="988" spans="1:58" ht="12.95" customHeight="1">
      <c r="A988" s="14"/>
      <c r="B988" s="81"/>
      <c r="C988" s="84"/>
      <c r="D988" s="1448"/>
      <c r="E988" s="1449"/>
      <c r="F988" s="1449"/>
      <c r="G988" s="1449"/>
      <c r="H988" s="1449"/>
      <c r="I988" s="1449"/>
      <c r="J988" s="1449"/>
      <c r="K988" s="1449"/>
      <c r="L988" s="1449"/>
      <c r="M988" s="1449"/>
      <c r="N988" s="1449"/>
      <c r="O988" s="1449"/>
      <c r="P988" s="1449"/>
      <c r="Q988" s="1449"/>
      <c r="R988" s="1449"/>
      <c r="S988" s="1449"/>
      <c r="T988" s="1449"/>
      <c r="U988" s="1449"/>
      <c r="V988" s="1449"/>
      <c r="W988" s="1449"/>
      <c r="X988" s="1449"/>
      <c r="Y988" s="1449"/>
      <c r="Z988" s="1449"/>
      <c r="AA988" s="1449"/>
      <c r="AB988" s="1449"/>
      <c r="AC988" s="1449"/>
      <c r="AD988" s="1449"/>
      <c r="AE988" s="1450"/>
      <c r="AF988" s="1440"/>
      <c r="AG988" s="1440"/>
      <c r="AH988" s="1440"/>
      <c r="AI988" s="1440"/>
      <c r="AJ988" s="1496"/>
      <c r="AK988" s="1497"/>
      <c r="AL988" s="1497"/>
      <c r="AM988" s="1497"/>
      <c r="AN988" s="1497"/>
      <c r="AO988" s="1497"/>
      <c r="AP988" s="1497"/>
      <c r="AQ988" s="1498"/>
      <c r="AR988" s="68"/>
      <c r="AS988" s="68"/>
      <c r="AT988" s="68"/>
      <c r="AU988" s="68"/>
      <c r="AV988" s="68"/>
      <c r="AW988" s="68"/>
      <c r="AX988" s="68"/>
      <c r="AY988" s="68"/>
      <c r="BA988" s="213">
        <f>IF(A1057="Yes",0.01,0)</f>
        <v>0</v>
      </c>
    </row>
    <row r="989" spans="1:58" ht="12.95" customHeight="1">
      <c r="A989" s="14"/>
      <c r="B989" s="81"/>
      <c r="C989" s="84"/>
      <c r="D989" s="561" t="s">
        <v>360</v>
      </c>
      <c r="E989" s="90"/>
      <c r="F989" s="90"/>
      <c r="G989" s="104"/>
      <c r="H989" s="104"/>
      <c r="I989" s="49"/>
      <c r="J989" s="1451" t="s">
        <v>600</v>
      </c>
      <c r="K989" s="1452"/>
      <c r="L989" s="1452"/>
      <c r="M989" s="1452"/>
      <c r="N989" s="1452"/>
      <c r="O989" s="1452"/>
      <c r="P989" s="1452"/>
      <c r="Q989" s="1452"/>
      <c r="R989" s="1452"/>
      <c r="S989" s="1452"/>
      <c r="T989" s="1452"/>
      <c r="U989" s="1452"/>
      <c r="V989" s="1452"/>
      <c r="W989" s="1452"/>
      <c r="X989" s="1452"/>
      <c r="Y989" s="1452"/>
      <c r="Z989" s="1452"/>
      <c r="AA989" s="1452"/>
      <c r="AB989" s="1452"/>
      <c r="AC989" s="1452"/>
      <c r="AD989" s="1452"/>
      <c r="AE989" s="1453"/>
      <c r="AF989" s="1440"/>
      <c r="AG989" s="1440"/>
      <c r="AH989" s="1440"/>
      <c r="AI989" s="1440"/>
      <c r="AJ989" s="1499"/>
      <c r="AK989" s="1500"/>
      <c r="AL989" s="1500"/>
      <c r="AM989" s="1500"/>
      <c r="AN989" s="1500"/>
      <c r="AO989" s="1500"/>
      <c r="AP989" s="1500"/>
      <c r="AQ989" s="1501"/>
      <c r="AR989" s="68"/>
      <c r="AS989" s="68"/>
      <c r="AT989" s="68"/>
      <c r="AU989" s="68"/>
      <c r="AV989" s="68"/>
      <c r="AW989" s="68"/>
      <c r="AX989" s="68"/>
      <c r="AY989" s="68"/>
      <c r="BA989" s="213">
        <f>IF(A1060="Yes",0.01,0)</f>
        <v>0</v>
      </c>
    </row>
    <row r="990" spans="1:58" ht="12.95" customHeight="1">
      <c r="A990" s="14"/>
      <c r="B990" s="79"/>
      <c r="C990" s="80" t="s">
        <v>230</v>
      </c>
      <c r="D990" s="1460" t="s">
        <v>1461</v>
      </c>
      <c r="E990" s="1461"/>
      <c r="F990" s="1461"/>
      <c r="G990" s="1461"/>
      <c r="H990" s="1461"/>
      <c r="I990" s="1461"/>
      <c r="J990" s="1461"/>
      <c r="K990" s="1461"/>
      <c r="L990" s="1461"/>
      <c r="M990" s="1461"/>
      <c r="N990" s="1461"/>
      <c r="O990" s="1461"/>
      <c r="P990" s="1461"/>
      <c r="Q990" s="1461"/>
      <c r="R990" s="1461"/>
      <c r="S990" s="1461"/>
      <c r="T990" s="1461"/>
      <c r="U990" s="1461"/>
      <c r="V990" s="1461"/>
      <c r="W990" s="1461"/>
      <c r="X990" s="1461"/>
      <c r="Y990" s="1461"/>
      <c r="Z990" s="1461"/>
      <c r="AA990" s="1461"/>
      <c r="AB990" s="1461"/>
      <c r="AC990" s="1461"/>
      <c r="AD990" s="1461"/>
      <c r="AE990" s="1462"/>
      <c r="AF990" s="79"/>
      <c r="AG990" s="1468" t="s">
        <v>554</v>
      </c>
      <c r="AH990" s="1469"/>
      <c r="AI990" s="87"/>
      <c r="AJ990" s="1493">
        <f>ROUND(IF(AG990="Yes",AF992,0),0)</f>
        <v>2034255</v>
      </c>
      <c r="AK990" s="1494"/>
      <c r="AL990" s="1494"/>
      <c r="AM990" s="1494"/>
      <c r="AN990" s="1494"/>
      <c r="AO990" s="1494"/>
      <c r="AP990" s="1494"/>
      <c r="AQ990" s="1495"/>
      <c r="AR990" s="68"/>
      <c r="AS990" s="68"/>
      <c r="AT990" s="68"/>
      <c r="AU990" s="68"/>
      <c r="AV990" s="68"/>
      <c r="AW990" s="68"/>
      <c r="AX990" s="68"/>
      <c r="AY990" s="68"/>
      <c r="BA990" s="213">
        <f>IF(A1064="Yes",0.02,0)</f>
        <v>0</v>
      </c>
    </row>
    <row r="991" spans="1:58" ht="12.95" customHeight="1">
      <c r="A991" s="14"/>
      <c r="B991" s="73"/>
      <c r="C991" s="74"/>
      <c r="D991" s="1448" t="s">
        <v>1952</v>
      </c>
      <c r="E991" s="1449"/>
      <c r="F991" s="1449"/>
      <c r="G991" s="1449"/>
      <c r="H991" s="1449"/>
      <c r="I991" s="1449"/>
      <c r="J991" s="1449"/>
      <c r="K991" s="1449"/>
      <c r="L991" s="1449"/>
      <c r="M991" s="1449"/>
      <c r="N991" s="1449"/>
      <c r="O991" s="1449"/>
      <c r="P991" s="1449"/>
      <c r="Q991" s="1449"/>
      <c r="R991" s="1449"/>
      <c r="S991" s="1449"/>
      <c r="T991" s="1449"/>
      <c r="U991" s="1449"/>
      <c r="V991" s="1449"/>
      <c r="W991" s="1449"/>
      <c r="X991" s="1449"/>
      <c r="Y991" s="1449"/>
      <c r="Z991" s="1449"/>
      <c r="AA991" s="1449"/>
      <c r="AB991" s="1449"/>
      <c r="AC991" s="1449"/>
      <c r="AD991" s="1449"/>
      <c r="AE991" s="1450"/>
      <c r="AF991" s="1479" t="str">
        <f>IF(AG990="yes","Enter Amount:","")</f>
        <v>Enter Amount:</v>
      </c>
      <c r="AG991" s="1480"/>
      <c r="AH991" s="1480"/>
      <c r="AI991" s="1481"/>
      <c r="AJ991" s="1496"/>
      <c r="AK991" s="1497"/>
      <c r="AL991" s="1497"/>
      <c r="AM991" s="1497"/>
      <c r="AN991" s="1497"/>
      <c r="AO991" s="1497"/>
      <c r="AP991" s="1497"/>
      <c r="AQ991" s="1498"/>
      <c r="AR991" s="68"/>
      <c r="AS991" s="68"/>
      <c r="AT991" s="68"/>
      <c r="AU991" s="68"/>
      <c r="AV991" s="68"/>
      <c r="AW991" s="68"/>
      <c r="AX991" s="68"/>
      <c r="AY991" s="68"/>
      <c r="BA991" s="214">
        <f>IF(A1068="Yes",0.02,0)</f>
        <v>0</v>
      </c>
    </row>
    <row r="992" spans="1:58" ht="12.95" customHeight="1">
      <c r="A992" s="14"/>
      <c r="B992" s="73"/>
      <c r="C992" s="74"/>
      <c r="D992" s="1448"/>
      <c r="E992" s="1449"/>
      <c r="F992" s="1449"/>
      <c r="G992" s="1449"/>
      <c r="H992" s="1449"/>
      <c r="I992" s="1449"/>
      <c r="J992" s="1449"/>
      <c r="K992" s="1449"/>
      <c r="L992" s="1449"/>
      <c r="M992" s="1449"/>
      <c r="N992" s="1449"/>
      <c r="O992" s="1449"/>
      <c r="P992" s="1449"/>
      <c r="Q992" s="1449"/>
      <c r="R992" s="1449"/>
      <c r="S992" s="1449"/>
      <c r="T992" s="1449"/>
      <c r="U992" s="1449"/>
      <c r="V992" s="1449"/>
      <c r="W992" s="1449"/>
      <c r="X992" s="1449"/>
      <c r="Y992" s="1449"/>
      <c r="Z992" s="1449"/>
      <c r="AA992" s="1449"/>
      <c r="AB992" s="1449"/>
      <c r="AC992" s="1449"/>
      <c r="AD992" s="1449"/>
      <c r="AE992" s="1450"/>
      <c r="AF992" s="1440">
        <v>2034255</v>
      </c>
      <c r="AG992" s="1440"/>
      <c r="AH992" s="1440"/>
      <c r="AI992" s="1440"/>
      <c r="AJ992" s="1496"/>
      <c r="AK992" s="1497"/>
      <c r="AL992" s="1497"/>
      <c r="AM992" s="1497"/>
      <c r="AN992" s="1497"/>
      <c r="AO992" s="1497"/>
      <c r="AP992" s="1497"/>
      <c r="AQ992" s="1498"/>
      <c r="AR992" s="68"/>
      <c r="AS992" s="68"/>
      <c r="AT992" s="68"/>
      <c r="AU992" s="68"/>
      <c r="AV992" s="68"/>
      <c r="AW992" s="68"/>
      <c r="AX992" s="68"/>
      <c r="AY992" s="68"/>
    </row>
    <row r="993" spans="1:51" ht="12.95" customHeight="1">
      <c r="A993" s="14"/>
      <c r="B993" s="85"/>
      <c r="C993" s="84"/>
      <c r="D993" s="1473"/>
      <c r="E993" s="1474"/>
      <c r="F993" s="1474"/>
      <c r="G993" s="1474"/>
      <c r="H993" s="1474"/>
      <c r="I993" s="1474"/>
      <c r="J993" s="1474"/>
      <c r="K993" s="1474"/>
      <c r="L993" s="1474"/>
      <c r="M993" s="1474"/>
      <c r="N993" s="1474"/>
      <c r="O993" s="1474"/>
      <c r="P993" s="1474"/>
      <c r="Q993" s="1474"/>
      <c r="R993" s="1474"/>
      <c r="S993" s="1474"/>
      <c r="T993" s="1474"/>
      <c r="U993" s="1474"/>
      <c r="V993" s="1474"/>
      <c r="W993" s="1474"/>
      <c r="X993" s="1474"/>
      <c r="Y993" s="1474"/>
      <c r="Z993" s="1474"/>
      <c r="AA993" s="1474"/>
      <c r="AB993" s="1474"/>
      <c r="AC993" s="1474"/>
      <c r="AD993" s="1474"/>
      <c r="AE993" s="1475"/>
      <c r="AF993" s="1440"/>
      <c r="AG993" s="1440"/>
      <c r="AH993" s="1440"/>
      <c r="AI993" s="1440"/>
      <c r="AJ993" s="1499"/>
      <c r="AK993" s="1500"/>
      <c r="AL993" s="1500"/>
      <c r="AM993" s="1500"/>
      <c r="AN993" s="1500"/>
      <c r="AO993" s="1500"/>
      <c r="AP993" s="1500"/>
      <c r="AQ993" s="1501"/>
      <c r="AR993" s="68"/>
      <c r="AS993" s="68"/>
      <c r="AT993" s="68"/>
      <c r="AU993" s="68"/>
      <c r="AV993" s="68"/>
      <c r="AW993" s="68"/>
      <c r="AX993" s="68"/>
      <c r="AY993" s="68"/>
    </row>
    <row r="994" spans="1:51" ht="12.95" customHeight="1">
      <c r="A994" s="14"/>
      <c r="B994" s="79"/>
      <c r="C994" s="80" t="s">
        <v>235</v>
      </c>
      <c r="D994" s="1470" t="s">
        <v>1462</v>
      </c>
      <c r="E994" s="1471"/>
      <c r="F994" s="1471"/>
      <c r="G994" s="1471"/>
      <c r="H994" s="1471"/>
      <c r="I994" s="1471"/>
      <c r="J994" s="1471"/>
      <c r="K994" s="1471"/>
      <c r="L994" s="1471"/>
      <c r="M994" s="1471"/>
      <c r="N994" s="1471"/>
      <c r="O994" s="1471"/>
      <c r="P994" s="1471"/>
      <c r="Q994" s="1471"/>
      <c r="R994" s="1471"/>
      <c r="S994" s="1471"/>
      <c r="T994" s="1471"/>
      <c r="U994" s="1471"/>
      <c r="V994" s="1471"/>
      <c r="W994" s="1471"/>
      <c r="X994" s="1471"/>
      <c r="Y994" s="1471"/>
      <c r="Z994" s="1471"/>
      <c r="AA994" s="1471"/>
      <c r="AB994" s="1471"/>
      <c r="AC994" s="1471"/>
      <c r="AD994" s="1471"/>
      <c r="AE994" s="1472"/>
      <c r="AF994" s="79"/>
      <c r="AG994" s="1468" t="s">
        <v>678</v>
      </c>
      <c r="AH994" s="1469"/>
      <c r="AI994" s="87"/>
      <c r="AJ994" s="1493">
        <f>ROUND(IF(AG994="yes",(AJ961*0.1),0),0)</f>
        <v>0</v>
      </c>
      <c r="AK994" s="1494"/>
      <c r="AL994" s="1494"/>
      <c r="AM994" s="1494"/>
      <c r="AN994" s="1494"/>
      <c r="AO994" s="1494"/>
      <c r="AP994" s="1494"/>
      <c r="AQ994" s="1495"/>
      <c r="AR994" s="68"/>
      <c r="AS994" s="68"/>
      <c r="AT994" s="68"/>
      <c r="AU994" s="68"/>
      <c r="AV994" s="68"/>
      <c r="AW994" s="68"/>
      <c r="AX994" s="68"/>
      <c r="AY994" s="68"/>
    </row>
    <row r="995" spans="1:51" ht="12.95" customHeight="1">
      <c r="A995" s="14"/>
      <c r="B995" s="73"/>
      <c r="C995" s="74"/>
      <c r="D995" s="1448" t="s">
        <v>1463</v>
      </c>
      <c r="E995" s="1449"/>
      <c r="F995" s="1449"/>
      <c r="G995" s="1449"/>
      <c r="H995" s="1449"/>
      <c r="I995" s="1449"/>
      <c r="J995" s="1449"/>
      <c r="K995" s="1449"/>
      <c r="L995" s="1449"/>
      <c r="M995" s="1449"/>
      <c r="N995" s="1449"/>
      <c r="O995" s="1449"/>
      <c r="P995" s="1449"/>
      <c r="Q995" s="1449"/>
      <c r="R995" s="1449"/>
      <c r="S995" s="1449"/>
      <c r="T995" s="1449"/>
      <c r="U995" s="1449"/>
      <c r="V995" s="1449"/>
      <c r="W995" s="1449"/>
      <c r="X995" s="1449"/>
      <c r="Y995" s="1449"/>
      <c r="Z995" s="1449"/>
      <c r="AA995" s="1449"/>
      <c r="AB995" s="1449"/>
      <c r="AC995" s="1449"/>
      <c r="AD995" s="1449"/>
      <c r="AE995" s="1450"/>
      <c r="AF995" s="73"/>
      <c r="AG995" s="14"/>
      <c r="AH995" s="14"/>
      <c r="AI995" s="83"/>
      <c r="AJ995" s="1496"/>
      <c r="AK995" s="1497"/>
      <c r="AL995" s="1497"/>
      <c r="AM995" s="1497"/>
      <c r="AN995" s="1497"/>
      <c r="AO995" s="1497"/>
      <c r="AP995" s="1497"/>
      <c r="AQ995" s="1498"/>
      <c r="AR995" s="68"/>
      <c r="AS995" s="68"/>
      <c r="AT995" s="68"/>
      <c r="AU995" s="68"/>
      <c r="AV995" s="68"/>
      <c r="AW995" s="68"/>
      <c r="AX995" s="68"/>
      <c r="AY995" s="68"/>
    </row>
    <row r="996" spans="1:51" ht="12.95" customHeight="1">
      <c r="A996" s="14"/>
      <c r="B996" s="77"/>
      <c r="C996" s="74"/>
      <c r="D996" s="1473"/>
      <c r="E996" s="1474"/>
      <c r="F996" s="1474"/>
      <c r="G996" s="1474"/>
      <c r="H996" s="1474"/>
      <c r="I996" s="1474"/>
      <c r="J996" s="1474"/>
      <c r="K996" s="1474"/>
      <c r="L996" s="1474"/>
      <c r="M996" s="1474"/>
      <c r="N996" s="1474"/>
      <c r="O996" s="1474"/>
      <c r="P996" s="1474"/>
      <c r="Q996" s="1474"/>
      <c r="R996" s="1474"/>
      <c r="S996" s="1474"/>
      <c r="T996" s="1474"/>
      <c r="U996" s="1474"/>
      <c r="V996" s="1474"/>
      <c r="W996" s="1474"/>
      <c r="X996" s="1474"/>
      <c r="Y996" s="1474"/>
      <c r="Z996" s="1474"/>
      <c r="AA996" s="1474"/>
      <c r="AB996" s="1474"/>
      <c r="AC996" s="1474"/>
      <c r="AD996" s="1474"/>
      <c r="AE996" s="1475"/>
      <c r="AF996" s="73"/>
      <c r="AG996" s="14"/>
      <c r="AH996" s="14"/>
      <c r="AI996" s="83"/>
      <c r="AJ996" s="1499"/>
      <c r="AK996" s="1500"/>
      <c r="AL996" s="1500"/>
      <c r="AM996" s="1500"/>
      <c r="AN996" s="1500"/>
      <c r="AO996" s="1500"/>
      <c r="AP996" s="1500"/>
      <c r="AQ996" s="1501"/>
      <c r="AR996" s="68"/>
      <c r="AS996" s="68"/>
      <c r="AT996" s="68"/>
      <c r="AU996" s="68"/>
      <c r="AV996" s="68"/>
      <c r="AW996" s="68"/>
      <c r="AX996" s="68"/>
      <c r="AY996" s="68"/>
    </row>
    <row r="997" spans="1:51" ht="12.95" customHeight="1">
      <c r="A997" s="14"/>
      <c r="B997" s="73"/>
      <c r="C997" s="368" t="s">
        <v>697</v>
      </c>
      <c r="D997" s="1460" t="s">
        <v>1948</v>
      </c>
      <c r="E997" s="1461"/>
      <c r="F997" s="1461"/>
      <c r="G997" s="1461"/>
      <c r="H997" s="1461"/>
      <c r="I997" s="1461"/>
      <c r="J997" s="1461"/>
      <c r="K997" s="1461"/>
      <c r="L997" s="1461"/>
      <c r="M997" s="1461"/>
      <c r="N997" s="1461"/>
      <c r="O997" s="1461"/>
      <c r="P997" s="1461"/>
      <c r="Q997" s="1461"/>
      <c r="R997" s="1461"/>
      <c r="S997" s="1461"/>
      <c r="T997" s="1461"/>
      <c r="U997" s="1461"/>
      <c r="V997" s="1461"/>
      <c r="W997" s="1461"/>
      <c r="X997" s="1461"/>
      <c r="Y997" s="1461"/>
      <c r="Z997" s="1461"/>
      <c r="AA997" s="1461"/>
      <c r="AB997" s="1461"/>
      <c r="AC997" s="1461"/>
      <c r="AD997" s="1461"/>
      <c r="AE997" s="1462"/>
      <c r="AF997" s="79"/>
      <c r="AG997" s="1468" t="s">
        <v>678</v>
      </c>
      <c r="AH997" s="1469"/>
      <c r="AI997" s="87"/>
      <c r="AJ997" s="1493">
        <f>ROUND(IF(AG997="yes",(AJ961*0.15),0),0)</f>
        <v>0</v>
      </c>
      <c r="AK997" s="1494"/>
      <c r="AL997" s="1494"/>
      <c r="AM997" s="1494"/>
      <c r="AN997" s="1494"/>
      <c r="AO997" s="1494"/>
      <c r="AP997" s="1494"/>
      <c r="AQ997" s="1495"/>
      <c r="AR997" s="68"/>
      <c r="AS997" s="68"/>
      <c r="AT997" s="68"/>
      <c r="AU997" s="68"/>
      <c r="AV997" s="68"/>
      <c r="AW997" s="68"/>
      <c r="AX997" s="68"/>
      <c r="AY997" s="68"/>
    </row>
    <row r="998" spans="1:51" ht="12.95" customHeight="1">
      <c r="A998" s="14"/>
      <c r="B998" s="73"/>
      <c r="C998" s="74"/>
      <c r="D998" s="1488" t="s">
        <v>1949</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489"/>
      <c r="AF998" s="952"/>
      <c r="AG998" s="953"/>
      <c r="AH998" s="953"/>
      <c r="AI998" s="954"/>
      <c r="AJ998" s="1496"/>
      <c r="AK998" s="1497"/>
      <c r="AL998" s="1497"/>
      <c r="AM998" s="1497"/>
      <c r="AN998" s="1497"/>
      <c r="AO998" s="1497"/>
      <c r="AP998" s="1497"/>
      <c r="AQ998" s="1498"/>
      <c r="AR998" s="68"/>
      <c r="AS998" s="68"/>
      <c r="AT998" s="68"/>
      <c r="AU998" s="68"/>
      <c r="AV998" s="68"/>
      <c r="AW998" s="68"/>
      <c r="AX998" s="68"/>
      <c r="AY998" s="68"/>
    </row>
    <row r="999" spans="1:51" ht="12.95" customHeight="1">
      <c r="A999" s="14"/>
      <c r="B999" s="73"/>
      <c r="C999" s="74"/>
      <c r="D999" s="1488"/>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489"/>
      <c r="AF999" s="952"/>
      <c r="AG999" s="953"/>
      <c r="AH999" s="953"/>
      <c r="AI999" s="954"/>
      <c r="AJ999" s="1496"/>
      <c r="AK999" s="1497"/>
      <c r="AL999" s="1497"/>
      <c r="AM999" s="1497"/>
      <c r="AN999" s="1497"/>
      <c r="AO999" s="1497"/>
      <c r="AP999" s="1497"/>
      <c r="AQ999" s="1498"/>
      <c r="AR999" s="68"/>
      <c r="AS999" s="68"/>
      <c r="AT999" s="68"/>
      <c r="AU999" s="68"/>
      <c r="AV999" s="68"/>
      <c r="AW999" s="68"/>
      <c r="AX999" s="68"/>
      <c r="AY999" s="68"/>
    </row>
    <row r="1000" spans="1:51" ht="12.95" customHeight="1">
      <c r="A1000" s="14"/>
      <c r="B1000" s="73"/>
      <c r="C1000" s="74"/>
      <c r="D1000" s="1490"/>
      <c r="E1000" s="1491"/>
      <c r="F1000" s="1491"/>
      <c r="G1000" s="1491"/>
      <c r="H1000" s="1491"/>
      <c r="I1000" s="1491"/>
      <c r="J1000" s="1491"/>
      <c r="K1000" s="1491"/>
      <c r="L1000" s="1491"/>
      <c r="M1000" s="1491"/>
      <c r="N1000" s="1491"/>
      <c r="O1000" s="1491"/>
      <c r="P1000" s="1491"/>
      <c r="Q1000" s="1491"/>
      <c r="R1000" s="1491"/>
      <c r="S1000" s="1491"/>
      <c r="T1000" s="1491"/>
      <c r="U1000" s="1491"/>
      <c r="V1000" s="1491"/>
      <c r="W1000" s="1491"/>
      <c r="X1000" s="1491"/>
      <c r="Y1000" s="1491"/>
      <c r="Z1000" s="1491"/>
      <c r="AA1000" s="1491"/>
      <c r="AB1000" s="1491"/>
      <c r="AC1000" s="1491"/>
      <c r="AD1000" s="1491"/>
      <c r="AE1000" s="1492"/>
      <c r="AF1000" s="955"/>
      <c r="AG1000" s="956"/>
      <c r="AH1000" s="956"/>
      <c r="AI1000" s="957"/>
      <c r="AJ1000" s="1499"/>
      <c r="AK1000" s="1500"/>
      <c r="AL1000" s="1500"/>
      <c r="AM1000" s="1500"/>
      <c r="AN1000" s="1500"/>
      <c r="AO1000" s="1500"/>
      <c r="AP1000" s="1500"/>
      <c r="AQ1000" s="1501"/>
      <c r="AR1000" s="68"/>
      <c r="AS1000" s="68"/>
      <c r="AT1000" s="68"/>
      <c r="AU1000" s="68"/>
      <c r="AV1000" s="68"/>
      <c r="AW1000" s="68"/>
      <c r="AX1000" s="68"/>
      <c r="AY1000" s="68"/>
    </row>
    <row r="1001" spans="1:51" ht="12.95" customHeight="1">
      <c r="A1001" s="14"/>
      <c r="B1001" s="73"/>
      <c r="C1001" s="368" t="s">
        <v>697</v>
      </c>
      <c r="D1001" s="1470" t="s">
        <v>1950</v>
      </c>
      <c r="E1001" s="1471"/>
      <c r="F1001" s="1471"/>
      <c r="G1001" s="1471"/>
      <c r="H1001" s="1471"/>
      <c r="I1001" s="1471"/>
      <c r="J1001" s="1471"/>
      <c r="K1001" s="1471"/>
      <c r="L1001" s="1471"/>
      <c r="M1001" s="1471"/>
      <c r="N1001" s="1471"/>
      <c r="O1001" s="1471"/>
      <c r="P1001" s="1471"/>
      <c r="Q1001" s="1471"/>
      <c r="R1001" s="1471"/>
      <c r="S1001" s="1471"/>
      <c r="T1001" s="1471"/>
      <c r="U1001" s="1471"/>
      <c r="V1001" s="1471"/>
      <c r="W1001" s="1471"/>
      <c r="X1001" s="1471"/>
      <c r="Y1001" s="1471"/>
      <c r="Z1001" s="1471"/>
      <c r="AA1001" s="1471"/>
      <c r="AB1001" s="1471"/>
      <c r="AC1001" s="1471"/>
      <c r="AD1001" s="1471"/>
      <c r="AE1001" s="1472"/>
      <c r="AF1001" s="73"/>
      <c r="AG1001" s="1567" t="s">
        <v>678</v>
      </c>
      <c r="AH1001" s="1568"/>
      <c r="AI1001" s="83"/>
      <c r="AJ1001" s="1493">
        <f>ROUND(IF(AND(AG1001="yes",AJ997=0),(AJ961*0.1),0),0)</f>
        <v>0</v>
      </c>
      <c r="AK1001" s="1494"/>
      <c r="AL1001" s="1494"/>
      <c r="AM1001" s="1494"/>
      <c r="AN1001" s="1494"/>
      <c r="AO1001" s="1494"/>
      <c r="AP1001" s="1494"/>
      <c r="AQ1001" s="1495"/>
      <c r="AR1001" s="68"/>
      <c r="AS1001" s="68"/>
      <c r="AT1001" s="68"/>
      <c r="AU1001" s="68"/>
      <c r="AV1001" s="68"/>
      <c r="AW1001" s="68"/>
      <c r="AX1001" s="68"/>
      <c r="AY1001" s="68"/>
    </row>
    <row r="1002" spans="1:51" ht="12.95" customHeight="1">
      <c r="A1002" s="14"/>
      <c r="B1002" s="73"/>
      <c r="C1002" s="74"/>
      <c r="D1002" s="1488" t="s">
        <v>1951</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489"/>
      <c r="AF1002" s="73"/>
      <c r="AG1002" s="14"/>
      <c r="AH1002" s="14"/>
      <c r="AI1002" s="83"/>
      <c r="AJ1002" s="1496"/>
      <c r="AK1002" s="1497"/>
      <c r="AL1002" s="1497"/>
      <c r="AM1002" s="1497"/>
      <c r="AN1002" s="1497"/>
      <c r="AO1002" s="1497"/>
      <c r="AP1002" s="1497"/>
      <c r="AQ1002" s="1498"/>
      <c r="AR1002" s="68"/>
      <c r="AS1002" s="68"/>
      <c r="AT1002" s="68"/>
      <c r="AU1002" s="68"/>
      <c r="AV1002" s="68"/>
      <c r="AW1002" s="68"/>
      <c r="AX1002" s="68"/>
      <c r="AY1002" s="68"/>
    </row>
    <row r="1003" spans="1:51" ht="12.95" customHeight="1">
      <c r="A1003" s="14"/>
      <c r="B1003" s="73"/>
      <c r="C1003" s="74"/>
      <c r="D1003" s="1488"/>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489"/>
      <c r="AF1003" s="73"/>
      <c r="AG1003" s="14"/>
      <c r="AH1003" s="14"/>
      <c r="AI1003" s="83"/>
      <c r="AJ1003" s="1496"/>
      <c r="AK1003" s="1497"/>
      <c r="AL1003" s="1497"/>
      <c r="AM1003" s="1497"/>
      <c r="AN1003" s="1497"/>
      <c r="AO1003" s="1497"/>
      <c r="AP1003" s="1497"/>
      <c r="AQ1003" s="1498"/>
      <c r="AR1003" s="68"/>
      <c r="AS1003" s="68"/>
      <c r="AT1003" s="68"/>
      <c r="AU1003" s="68"/>
      <c r="AV1003" s="68"/>
      <c r="AW1003" s="68"/>
      <c r="AX1003" s="68"/>
      <c r="AY1003" s="68"/>
    </row>
    <row r="1004" spans="1:51" ht="12.95" customHeight="1">
      <c r="A1004" s="14"/>
      <c r="B1004" s="73"/>
      <c r="C1004" s="74"/>
      <c r="D1004" s="1488"/>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489"/>
      <c r="AF1004" s="73"/>
      <c r="AG1004" s="14"/>
      <c r="AH1004" s="14"/>
      <c r="AI1004" s="83"/>
      <c r="AJ1004" s="1496"/>
      <c r="AK1004" s="1497"/>
      <c r="AL1004" s="1497"/>
      <c r="AM1004" s="1497"/>
      <c r="AN1004" s="1497"/>
      <c r="AO1004" s="1497"/>
      <c r="AP1004" s="1497"/>
      <c r="AQ1004" s="1498"/>
      <c r="AR1004" s="68"/>
      <c r="AS1004" s="68"/>
      <c r="AT1004" s="68"/>
      <c r="AU1004" s="68"/>
      <c r="AV1004" s="68"/>
      <c r="AW1004" s="68"/>
      <c r="AX1004" s="68"/>
      <c r="AY1004" s="68"/>
    </row>
    <row r="1005" spans="1:51" ht="12.95" customHeight="1">
      <c r="A1005" s="14"/>
      <c r="B1005" s="73"/>
      <c r="C1005" s="74"/>
      <c r="D1005" s="1490"/>
      <c r="E1005" s="1491"/>
      <c r="F1005" s="1491"/>
      <c r="G1005" s="1491"/>
      <c r="H1005" s="1491"/>
      <c r="I1005" s="1491"/>
      <c r="J1005" s="1491"/>
      <c r="K1005" s="1491"/>
      <c r="L1005" s="1491"/>
      <c r="M1005" s="1491"/>
      <c r="N1005" s="1491"/>
      <c r="O1005" s="1491"/>
      <c r="P1005" s="1491"/>
      <c r="Q1005" s="1491"/>
      <c r="R1005" s="1491"/>
      <c r="S1005" s="1491"/>
      <c r="T1005" s="1491"/>
      <c r="U1005" s="1491"/>
      <c r="V1005" s="1491"/>
      <c r="W1005" s="1491"/>
      <c r="X1005" s="1491"/>
      <c r="Y1005" s="1491"/>
      <c r="Z1005" s="1491"/>
      <c r="AA1005" s="1491"/>
      <c r="AB1005" s="1491"/>
      <c r="AC1005" s="1491"/>
      <c r="AD1005" s="1491"/>
      <c r="AE1005" s="1492"/>
      <c r="AF1005" s="73"/>
      <c r="AG1005" s="14"/>
      <c r="AH1005" s="14"/>
      <c r="AI1005" s="83"/>
      <c r="AJ1005" s="1496"/>
      <c r="AK1005" s="1497"/>
      <c r="AL1005" s="1497"/>
      <c r="AM1005" s="1497"/>
      <c r="AN1005" s="1497"/>
      <c r="AO1005" s="1497"/>
      <c r="AP1005" s="1497"/>
      <c r="AQ1005" s="1498"/>
      <c r="AR1005" s="68"/>
      <c r="AS1005" s="68"/>
      <c r="AT1005" s="68"/>
      <c r="AU1005" s="68"/>
      <c r="AV1005" s="68"/>
      <c r="AW1005" s="68"/>
      <c r="AX1005" s="68"/>
      <c r="AY1005" s="68"/>
    </row>
    <row r="1006" spans="1:51" ht="12.95" customHeight="1">
      <c r="A1006" s="14"/>
      <c r="B1006" s="79"/>
      <c r="C1006" s="131" t="s">
        <v>1067</v>
      </c>
      <c r="D1006" s="1460" t="s">
        <v>1464</v>
      </c>
      <c r="E1006" s="1461"/>
      <c r="F1006" s="1461"/>
      <c r="G1006" s="1461"/>
      <c r="H1006" s="1461"/>
      <c r="I1006" s="1461"/>
      <c r="J1006" s="1461"/>
      <c r="K1006" s="1461"/>
      <c r="L1006" s="1461"/>
      <c r="M1006" s="1461"/>
      <c r="N1006" s="1461"/>
      <c r="O1006" s="1461"/>
      <c r="P1006" s="1461"/>
      <c r="Q1006" s="1461"/>
      <c r="R1006" s="1461"/>
      <c r="S1006" s="1461"/>
      <c r="T1006" s="1461"/>
      <c r="U1006" s="1461"/>
      <c r="V1006" s="1461"/>
      <c r="W1006" s="1461"/>
      <c r="X1006" s="1461"/>
      <c r="Y1006" s="1461"/>
      <c r="Z1006" s="1461"/>
      <c r="AA1006" s="1461"/>
      <c r="AB1006" s="1461"/>
      <c r="AC1006" s="1461"/>
      <c r="AD1006" s="1461"/>
      <c r="AE1006" s="1462"/>
      <c r="AF1006" s="79"/>
      <c r="AG1006" s="1468" t="s">
        <v>678</v>
      </c>
      <c r="AH1006" s="1469"/>
      <c r="AI1006" s="87"/>
      <c r="AJ1006" s="1493">
        <f>ROUND(IF(AG1006="yes",(AJ961*0.1),0),0)</f>
        <v>0</v>
      </c>
      <c r="AK1006" s="1494"/>
      <c r="AL1006" s="1494"/>
      <c r="AM1006" s="1494"/>
      <c r="AN1006" s="1494"/>
      <c r="AO1006" s="1494"/>
      <c r="AP1006" s="1494"/>
      <c r="AQ1006" s="1495"/>
      <c r="AR1006" s="68"/>
      <c r="AS1006" s="68"/>
      <c r="AT1006" s="68"/>
      <c r="AU1006" s="68"/>
      <c r="AV1006" s="68"/>
      <c r="AW1006" s="68"/>
      <c r="AX1006" s="68"/>
      <c r="AY1006" s="68"/>
    </row>
    <row r="1007" spans="1:51" ht="12.95" customHeight="1">
      <c r="A1007" s="14"/>
      <c r="B1007" s="73"/>
      <c r="C1007" s="74"/>
      <c r="D1007" s="1448" t="s">
        <v>2517</v>
      </c>
      <c r="E1007" s="1449"/>
      <c r="F1007" s="1449"/>
      <c r="G1007" s="1449"/>
      <c r="H1007" s="1449"/>
      <c r="I1007" s="1449"/>
      <c r="J1007" s="1449"/>
      <c r="K1007" s="1449"/>
      <c r="L1007" s="1449"/>
      <c r="M1007" s="1449"/>
      <c r="N1007" s="1449"/>
      <c r="O1007" s="1449"/>
      <c r="P1007" s="1449"/>
      <c r="Q1007" s="1449"/>
      <c r="R1007" s="1449"/>
      <c r="S1007" s="1449"/>
      <c r="T1007" s="1449"/>
      <c r="U1007" s="1449"/>
      <c r="V1007" s="1449"/>
      <c r="W1007" s="1449"/>
      <c r="X1007" s="1449"/>
      <c r="Y1007" s="1449"/>
      <c r="Z1007" s="1449"/>
      <c r="AA1007" s="1449"/>
      <c r="AB1007" s="1449"/>
      <c r="AC1007" s="1449"/>
      <c r="AD1007" s="1449"/>
      <c r="AE1007" s="1450"/>
      <c r="AF1007" s="73"/>
      <c r="AG1007" s="14"/>
      <c r="AH1007" s="14"/>
      <c r="AI1007" s="83"/>
      <c r="AJ1007" s="1496"/>
      <c r="AK1007" s="1497"/>
      <c r="AL1007" s="1497"/>
      <c r="AM1007" s="1497"/>
      <c r="AN1007" s="1497"/>
      <c r="AO1007" s="1497"/>
      <c r="AP1007" s="1497"/>
      <c r="AQ1007" s="1498"/>
      <c r="AR1007" s="68"/>
      <c r="AS1007" s="68"/>
      <c r="AT1007" s="68"/>
      <c r="AU1007" s="68"/>
      <c r="AV1007" s="68"/>
      <c r="AW1007" s="68"/>
      <c r="AX1007" s="68"/>
      <c r="AY1007" s="68"/>
    </row>
    <row r="1008" spans="1:51" ht="12.95" customHeight="1">
      <c r="A1008" s="14"/>
      <c r="B1008" s="73"/>
      <c r="C1008" s="74"/>
      <c r="D1008" s="1448"/>
      <c r="E1008" s="1449"/>
      <c r="F1008" s="1449"/>
      <c r="G1008" s="1449"/>
      <c r="H1008" s="1449"/>
      <c r="I1008" s="1449"/>
      <c r="J1008" s="1449"/>
      <c r="K1008" s="1449"/>
      <c r="L1008" s="1449"/>
      <c r="M1008" s="1449"/>
      <c r="N1008" s="1449"/>
      <c r="O1008" s="1449"/>
      <c r="P1008" s="1449"/>
      <c r="Q1008" s="1449"/>
      <c r="R1008" s="1449"/>
      <c r="S1008" s="1449"/>
      <c r="T1008" s="1449"/>
      <c r="U1008" s="1449"/>
      <c r="V1008" s="1449"/>
      <c r="W1008" s="1449"/>
      <c r="X1008" s="1449"/>
      <c r="Y1008" s="1449"/>
      <c r="Z1008" s="1449"/>
      <c r="AA1008" s="1449"/>
      <c r="AB1008" s="1449"/>
      <c r="AC1008" s="1449"/>
      <c r="AD1008" s="1449"/>
      <c r="AE1008" s="1450"/>
      <c r="AF1008" s="73"/>
      <c r="AG1008" s="14"/>
      <c r="AH1008" s="14"/>
      <c r="AI1008" s="83"/>
      <c r="AJ1008" s="1496"/>
      <c r="AK1008" s="1497"/>
      <c r="AL1008" s="1497"/>
      <c r="AM1008" s="1497"/>
      <c r="AN1008" s="1497"/>
      <c r="AO1008" s="1497"/>
      <c r="AP1008" s="1497"/>
      <c r="AQ1008" s="1498"/>
      <c r="AR1008" s="68"/>
      <c r="AS1008" s="68"/>
      <c r="AT1008" s="68"/>
      <c r="AU1008" s="68"/>
      <c r="AV1008" s="68"/>
      <c r="AW1008" s="68"/>
      <c r="AX1008" s="68"/>
      <c r="AY1008" s="68"/>
    </row>
    <row r="1009" spans="1:51" ht="12.95" customHeight="1">
      <c r="A1009" s="14"/>
      <c r="B1009" s="73"/>
      <c r="C1009" s="74"/>
      <c r="D1009" s="1473"/>
      <c r="E1009" s="1474"/>
      <c r="F1009" s="1474"/>
      <c r="G1009" s="1474"/>
      <c r="H1009" s="1474"/>
      <c r="I1009" s="1474"/>
      <c r="J1009" s="1474"/>
      <c r="K1009" s="1474"/>
      <c r="L1009" s="1474"/>
      <c r="M1009" s="1474"/>
      <c r="N1009" s="1474"/>
      <c r="O1009" s="1474"/>
      <c r="P1009" s="1474"/>
      <c r="Q1009" s="1474"/>
      <c r="R1009" s="1474"/>
      <c r="S1009" s="1474"/>
      <c r="T1009" s="1474"/>
      <c r="U1009" s="1474"/>
      <c r="V1009" s="1474"/>
      <c r="W1009" s="1474"/>
      <c r="X1009" s="1474"/>
      <c r="Y1009" s="1474"/>
      <c r="Z1009" s="1474"/>
      <c r="AA1009" s="1474"/>
      <c r="AB1009" s="1474"/>
      <c r="AC1009" s="1474"/>
      <c r="AD1009" s="1474"/>
      <c r="AE1009" s="1475"/>
      <c r="AF1009" s="73"/>
      <c r="AG1009" s="14"/>
      <c r="AH1009" s="14"/>
      <c r="AI1009" s="83"/>
      <c r="AJ1009" s="1499"/>
      <c r="AK1009" s="1500"/>
      <c r="AL1009" s="1500"/>
      <c r="AM1009" s="1500"/>
      <c r="AN1009" s="1500"/>
      <c r="AO1009" s="1500"/>
      <c r="AP1009" s="1500"/>
      <c r="AQ1009" s="1501"/>
      <c r="AR1009" s="68"/>
      <c r="AS1009" s="68"/>
      <c r="AT1009" s="68"/>
      <c r="AU1009" s="68"/>
      <c r="AV1009" s="68"/>
      <c r="AW1009" s="68"/>
      <c r="AX1009" s="68"/>
      <c r="AY1009" s="68"/>
    </row>
    <row r="1010" spans="1:51" ht="12.95" customHeight="1">
      <c r="A1010" s="14"/>
      <c r="B1010" s="79"/>
      <c r="C1010" s="131" t="s">
        <v>1946</v>
      </c>
      <c r="D1010" s="1470" t="s">
        <v>2130</v>
      </c>
      <c r="E1010" s="1471"/>
      <c r="F1010" s="1471"/>
      <c r="G1010" s="1471"/>
      <c r="H1010" s="1471"/>
      <c r="I1010" s="1471"/>
      <c r="J1010" s="1471"/>
      <c r="K1010" s="1471"/>
      <c r="L1010" s="1471"/>
      <c r="M1010" s="1471"/>
      <c r="N1010" s="1471"/>
      <c r="O1010" s="1471"/>
      <c r="P1010" s="1471"/>
      <c r="Q1010" s="1471"/>
      <c r="R1010" s="1471"/>
      <c r="S1010" s="1471"/>
      <c r="T1010" s="1471"/>
      <c r="U1010" s="1471"/>
      <c r="V1010" s="1471"/>
      <c r="W1010" s="1471"/>
      <c r="X1010" s="1471"/>
      <c r="Y1010" s="1471"/>
      <c r="Z1010" s="1471"/>
      <c r="AA1010" s="1471"/>
      <c r="AB1010" s="1471"/>
      <c r="AC1010" s="1471"/>
      <c r="AD1010" s="1471"/>
      <c r="AE1010" s="1472"/>
      <c r="AF1010" s="79"/>
      <c r="AG1010" s="1565" t="str">
        <f>IF(X1013&gt;0,"Yes","No")</f>
        <v>No</v>
      </c>
      <c r="AH1010" s="1566"/>
      <c r="AI1010" s="87"/>
      <c r="AJ1010" s="1493">
        <f>IF((X1013=0),0,BA975*AJ961)</f>
        <v>0</v>
      </c>
      <c r="AK1010" s="1494"/>
      <c r="AL1010" s="1494"/>
      <c r="AM1010" s="1494"/>
      <c r="AN1010" s="1494"/>
      <c r="AO1010" s="1494"/>
      <c r="AP1010" s="1494"/>
      <c r="AQ1010" s="1495"/>
      <c r="AR1010" s="68"/>
      <c r="AS1010" s="68"/>
      <c r="AT1010" s="68"/>
      <c r="AU1010" s="68"/>
      <c r="AV1010" s="68"/>
      <c r="AW1010" s="68"/>
      <c r="AX1010" s="68"/>
      <c r="AY1010" s="68"/>
    </row>
    <row r="1011" spans="1:51" ht="12.95" customHeight="1">
      <c r="A1011" s="14"/>
      <c r="B1011" s="73"/>
      <c r="C1011" s="477"/>
      <c r="D1011" s="1448" t="s">
        <v>1466</v>
      </c>
      <c r="E1011" s="1449"/>
      <c r="F1011" s="1449"/>
      <c r="G1011" s="1449"/>
      <c r="H1011" s="1449"/>
      <c r="I1011" s="1449"/>
      <c r="J1011" s="1449"/>
      <c r="K1011" s="1449"/>
      <c r="L1011" s="1449"/>
      <c r="M1011" s="1449"/>
      <c r="N1011" s="1449"/>
      <c r="O1011" s="1449"/>
      <c r="P1011" s="1449"/>
      <c r="Q1011" s="1449"/>
      <c r="R1011" s="1449"/>
      <c r="S1011" s="1449"/>
      <c r="T1011" s="1449"/>
      <c r="U1011" s="1449"/>
      <c r="V1011" s="1449"/>
      <c r="W1011" s="1449"/>
      <c r="X1011" s="1449"/>
      <c r="Y1011" s="1449"/>
      <c r="Z1011" s="1449"/>
      <c r="AA1011" s="1449"/>
      <c r="AB1011" s="1449"/>
      <c r="AC1011" s="1449"/>
      <c r="AD1011" s="1449"/>
      <c r="AE1011" s="1450"/>
      <c r="AF1011" s="73"/>
      <c r="AG1011" s="478"/>
      <c r="AH1011" s="478"/>
      <c r="AI1011" s="83"/>
      <c r="AJ1011" s="1496"/>
      <c r="AK1011" s="1497"/>
      <c r="AL1011" s="1497"/>
      <c r="AM1011" s="1497"/>
      <c r="AN1011" s="1497"/>
      <c r="AO1011" s="1497"/>
      <c r="AP1011" s="1497"/>
      <c r="AQ1011" s="1498"/>
      <c r="AR1011" s="68"/>
      <c r="AS1011" s="68"/>
      <c r="AT1011" s="68"/>
      <c r="AU1011" s="68"/>
      <c r="AV1011" s="68"/>
      <c r="AW1011" s="68"/>
      <c r="AX1011" s="68"/>
      <c r="AY1011" s="68"/>
    </row>
    <row r="1012" spans="1:51" ht="12.95" customHeight="1">
      <c r="A1012" s="14"/>
      <c r="B1012" s="73"/>
      <c r="C1012" s="477"/>
      <c r="D1012" s="1448"/>
      <c r="E1012" s="1449"/>
      <c r="F1012" s="1449"/>
      <c r="G1012" s="1449"/>
      <c r="H1012" s="1449"/>
      <c r="I1012" s="1449"/>
      <c r="J1012" s="1449"/>
      <c r="K1012" s="1449"/>
      <c r="L1012" s="1449"/>
      <c r="M1012" s="1449"/>
      <c r="N1012" s="1449"/>
      <c r="O1012" s="1449"/>
      <c r="P1012" s="1449"/>
      <c r="Q1012" s="1449"/>
      <c r="R1012" s="1449"/>
      <c r="S1012" s="1449"/>
      <c r="T1012" s="1449"/>
      <c r="U1012" s="1449"/>
      <c r="V1012" s="1449"/>
      <c r="W1012" s="1449"/>
      <c r="X1012" s="1449"/>
      <c r="Y1012" s="1449"/>
      <c r="Z1012" s="1449"/>
      <c r="AA1012" s="1449"/>
      <c r="AB1012" s="1449"/>
      <c r="AC1012" s="1449"/>
      <c r="AD1012" s="1449"/>
      <c r="AE1012" s="1450"/>
      <c r="AF1012" s="73"/>
      <c r="AG1012" s="478"/>
      <c r="AH1012" s="478"/>
      <c r="AI1012" s="83"/>
      <c r="AJ1012" s="1496"/>
      <c r="AK1012" s="1497"/>
      <c r="AL1012" s="1497"/>
      <c r="AM1012" s="1497"/>
      <c r="AN1012" s="1497"/>
      <c r="AO1012" s="1497"/>
      <c r="AP1012" s="1497"/>
      <c r="AQ1012" s="1498"/>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563">
        <f>BA973</f>
        <v>120</v>
      </c>
      <c r="J1013" s="1564"/>
      <c r="K1013" s="7"/>
      <c r="L1013" s="133"/>
      <c r="M1013" s="133"/>
      <c r="N1013" s="133"/>
      <c r="O1013" s="133"/>
      <c r="P1013" s="133"/>
      <c r="Q1013" s="133"/>
      <c r="R1013" s="133"/>
      <c r="S1013" s="133"/>
      <c r="T1013" s="133"/>
      <c r="U1013" s="133"/>
      <c r="V1013" s="134" t="s">
        <v>1013</v>
      </c>
      <c r="W1013" s="48"/>
      <c r="X1013" s="1561">
        <f>BG621</f>
        <v>0</v>
      </c>
      <c r="Y1013" s="1562"/>
      <c r="Z1013" s="48"/>
      <c r="AA1013" s="48"/>
      <c r="AB1013" s="48"/>
      <c r="AC1013" s="48"/>
      <c r="AD1013" s="48"/>
      <c r="AE1013" s="49"/>
      <c r="AF1013" s="961"/>
      <c r="AG1013" s="962"/>
      <c r="AH1013" s="962"/>
      <c r="AI1013" s="963"/>
      <c r="AJ1013" s="1499"/>
      <c r="AK1013" s="1500"/>
      <c r="AL1013" s="1500"/>
      <c r="AM1013" s="1500"/>
      <c r="AN1013" s="1500"/>
      <c r="AO1013" s="1500"/>
      <c r="AP1013" s="1500"/>
      <c r="AQ1013" s="1501"/>
      <c r="AR1013" s="68"/>
      <c r="AS1013" s="68"/>
      <c r="AT1013" s="68"/>
      <c r="AU1013" s="68"/>
      <c r="AV1013" s="68"/>
      <c r="AW1013" s="68"/>
      <c r="AX1013" s="68"/>
      <c r="AY1013" s="68"/>
    </row>
    <row r="1014" spans="1:51" ht="12.95" customHeight="1">
      <c r="A1014" s="14"/>
      <c r="B1014" s="79"/>
      <c r="C1014" s="131" t="s">
        <v>1947</v>
      </c>
      <c r="D1014" s="1460" t="s">
        <v>2131</v>
      </c>
      <c r="E1014" s="1461"/>
      <c r="F1014" s="1461"/>
      <c r="G1014" s="1461"/>
      <c r="H1014" s="1461"/>
      <c r="I1014" s="1461"/>
      <c r="J1014" s="1461"/>
      <c r="K1014" s="1461"/>
      <c r="L1014" s="1461"/>
      <c r="M1014" s="1461"/>
      <c r="N1014" s="1461"/>
      <c r="O1014" s="1461"/>
      <c r="P1014" s="1461"/>
      <c r="Q1014" s="1461"/>
      <c r="R1014" s="1461"/>
      <c r="S1014" s="1461"/>
      <c r="T1014" s="1461"/>
      <c r="U1014" s="1461"/>
      <c r="V1014" s="1461"/>
      <c r="W1014" s="1461"/>
      <c r="X1014" s="1461"/>
      <c r="Y1014" s="1461"/>
      <c r="Z1014" s="1461"/>
      <c r="AA1014" s="1461"/>
      <c r="AB1014" s="1461"/>
      <c r="AC1014" s="1461"/>
      <c r="AD1014" s="1461"/>
      <c r="AE1014" s="1462"/>
      <c r="AF1014" s="73"/>
      <c r="AG1014" s="1565" t="str">
        <f>IF(X1017&gt;0,"Yes","No")</f>
        <v>Yes</v>
      </c>
      <c r="AH1014" s="1566"/>
      <c r="AI1014" s="83"/>
      <c r="AJ1014" s="1493">
        <f>IF((X1017=0),0,(2*BA976)*AJ961)</f>
        <v>41162883.32</v>
      </c>
      <c r="AK1014" s="1494"/>
      <c r="AL1014" s="1494"/>
      <c r="AM1014" s="1494"/>
      <c r="AN1014" s="1494"/>
      <c r="AO1014" s="1494"/>
      <c r="AP1014" s="1494"/>
      <c r="AQ1014" s="1495"/>
      <c r="AR1014" s="68"/>
      <c r="AS1014" s="68"/>
      <c r="AT1014" s="68"/>
      <c r="AU1014" s="68"/>
      <c r="AV1014" s="68"/>
      <c r="AW1014" s="68"/>
      <c r="AX1014" s="68"/>
      <c r="AY1014" s="68"/>
    </row>
    <row r="1015" spans="1:51" ht="12.95" customHeight="1">
      <c r="A1015" s="14"/>
      <c r="B1015" s="73"/>
      <c r="C1015" s="477"/>
      <c r="D1015" s="1448" t="s">
        <v>1465</v>
      </c>
      <c r="E1015" s="1449"/>
      <c r="F1015" s="1449"/>
      <c r="G1015" s="1449"/>
      <c r="H1015" s="1449"/>
      <c r="I1015" s="1449"/>
      <c r="J1015" s="1449"/>
      <c r="K1015" s="1449"/>
      <c r="L1015" s="1449"/>
      <c r="M1015" s="1449"/>
      <c r="N1015" s="1449"/>
      <c r="O1015" s="1449"/>
      <c r="P1015" s="1449"/>
      <c r="Q1015" s="1449"/>
      <c r="R1015" s="1449"/>
      <c r="S1015" s="1449"/>
      <c r="T1015" s="1449"/>
      <c r="U1015" s="1449"/>
      <c r="V1015" s="1449"/>
      <c r="W1015" s="1449"/>
      <c r="X1015" s="1449"/>
      <c r="Y1015" s="1449"/>
      <c r="Z1015" s="1449"/>
      <c r="AA1015" s="1449"/>
      <c r="AB1015" s="1449"/>
      <c r="AC1015" s="1449"/>
      <c r="AD1015" s="1449"/>
      <c r="AE1015" s="1450"/>
      <c r="AF1015" s="73"/>
      <c r="AG1015" s="478"/>
      <c r="AH1015" s="478"/>
      <c r="AI1015" s="83"/>
      <c r="AJ1015" s="1496"/>
      <c r="AK1015" s="1497"/>
      <c r="AL1015" s="1497"/>
      <c r="AM1015" s="1497"/>
      <c r="AN1015" s="1497"/>
      <c r="AO1015" s="1497"/>
      <c r="AP1015" s="1497"/>
      <c r="AQ1015" s="1498"/>
      <c r="AR1015" s="68"/>
      <c r="AS1015" s="68"/>
      <c r="AT1015" s="68"/>
      <c r="AU1015" s="68"/>
      <c r="AV1015" s="68"/>
      <c r="AW1015" s="68"/>
      <c r="AX1015" s="68"/>
      <c r="AY1015" s="68"/>
    </row>
    <row r="1016" spans="1:51" ht="12.95" customHeight="1">
      <c r="A1016" s="14"/>
      <c r="B1016" s="73"/>
      <c r="C1016" s="83"/>
      <c r="D1016" s="1448"/>
      <c r="E1016" s="1449"/>
      <c r="F1016" s="1449"/>
      <c r="G1016" s="1449"/>
      <c r="H1016" s="1449"/>
      <c r="I1016" s="1449"/>
      <c r="J1016" s="1449"/>
      <c r="K1016" s="1449"/>
      <c r="L1016" s="1449"/>
      <c r="M1016" s="1449"/>
      <c r="N1016" s="1449"/>
      <c r="O1016" s="1449"/>
      <c r="P1016" s="1449"/>
      <c r="Q1016" s="1449"/>
      <c r="R1016" s="1449"/>
      <c r="S1016" s="1449"/>
      <c r="T1016" s="1449"/>
      <c r="U1016" s="1449"/>
      <c r="V1016" s="1449"/>
      <c r="W1016" s="1449"/>
      <c r="X1016" s="1449"/>
      <c r="Y1016" s="1449"/>
      <c r="Z1016" s="1449"/>
      <c r="AA1016" s="1449"/>
      <c r="AB1016" s="1449"/>
      <c r="AC1016" s="1449"/>
      <c r="AD1016" s="1449"/>
      <c r="AE1016" s="1450"/>
      <c r="AF1016" s="958"/>
      <c r="AG1016" s="959"/>
      <c r="AH1016" s="959"/>
      <c r="AI1016" s="960"/>
      <c r="AJ1016" s="1496"/>
      <c r="AK1016" s="1497"/>
      <c r="AL1016" s="1497"/>
      <c r="AM1016" s="1497"/>
      <c r="AN1016" s="1497"/>
      <c r="AO1016" s="1497"/>
      <c r="AP1016" s="1497"/>
      <c r="AQ1016" s="1498"/>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563">
        <f>BA973</f>
        <v>120</v>
      </c>
      <c r="J1017" s="1564"/>
      <c r="K1017" s="14"/>
      <c r="L1017" s="133"/>
      <c r="M1017" s="133"/>
      <c r="N1017" s="133"/>
      <c r="O1017" s="133"/>
      <c r="P1017" s="133"/>
      <c r="Q1017" s="133"/>
      <c r="R1017" s="133"/>
      <c r="S1017" s="133"/>
      <c r="T1017" s="133"/>
      <c r="U1017" s="133"/>
      <c r="V1017" s="134" t="s">
        <v>1014</v>
      </c>
      <c r="X1017" s="1561">
        <f>BK621</f>
        <v>45</v>
      </c>
      <c r="Y1017" s="1562"/>
      <c r="AF1017" s="961"/>
      <c r="AG1017" s="962"/>
      <c r="AH1017" s="962"/>
      <c r="AI1017" s="963"/>
      <c r="AJ1017" s="1499"/>
      <c r="AK1017" s="1500"/>
      <c r="AL1017" s="1500"/>
      <c r="AM1017" s="1500"/>
      <c r="AN1017" s="1500"/>
      <c r="AO1017" s="1500"/>
      <c r="AP1017" s="1500"/>
      <c r="AQ1017" s="1501"/>
      <c r="AR1017" s="68"/>
      <c r="AS1017" s="68"/>
      <c r="AT1017" s="68"/>
      <c r="AU1017" s="68"/>
      <c r="AV1017" s="68"/>
      <c r="AW1017" s="68"/>
      <c r="AX1017" s="68"/>
      <c r="AY1017" s="68"/>
    </row>
    <row r="1018" spans="1:51" ht="12.95" customHeight="1">
      <c r="A1018" s="14"/>
      <c r="B1018" s="102"/>
      <c r="C1018" s="103"/>
      <c r="D1018" s="1559" t="s">
        <v>522</v>
      </c>
      <c r="E1018" s="1559"/>
      <c r="F1018" s="1559"/>
      <c r="G1018" s="1559"/>
      <c r="H1018" s="1559"/>
      <c r="I1018" s="1559"/>
      <c r="J1018" s="1559"/>
      <c r="K1018" s="1559"/>
      <c r="L1018" s="1559"/>
      <c r="M1018" s="1559"/>
      <c r="N1018" s="1559"/>
      <c r="O1018" s="1559"/>
      <c r="P1018" s="1559"/>
      <c r="Q1018" s="1559"/>
      <c r="R1018" s="1559"/>
      <c r="S1018" s="1559"/>
      <c r="T1018" s="1559"/>
      <c r="U1018" s="1559"/>
      <c r="V1018" s="1559"/>
      <c r="W1018" s="1559"/>
      <c r="X1018" s="1559"/>
      <c r="Y1018" s="1559"/>
      <c r="Z1018" s="1559"/>
      <c r="AA1018" s="1559"/>
      <c r="AB1018" s="1559"/>
      <c r="AC1018" s="1559"/>
      <c r="AD1018" s="1559"/>
      <c r="AE1018" s="1559"/>
      <c r="AF1018" s="1559"/>
      <c r="AG1018" s="1559"/>
      <c r="AH1018" s="1559"/>
      <c r="AI1018" s="1560"/>
      <c r="AJ1018" s="1569">
        <f>SUM(AJ961:AQ1017)</f>
        <v>109947760.31999999</v>
      </c>
      <c r="AK1018" s="1570"/>
      <c r="AL1018" s="1570"/>
      <c r="AM1018" s="1570"/>
      <c r="AN1018" s="1570"/>
      <c r="AO1018" s="1570"/>
      <c r="AP1018" s="1570"/>
      <c r="AQ1018" s="1571"/>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7">
        <f>IF(ISNA(IF((AJ985&gt;(AJ961*0.15)),"(f) cannot be greater than 15% of unadjusted eligible basis.",0)),"",(IF((AJ985&gt;(AJ961*0.15)),"(f) cannot be greater than 15% of unadjusted eligible basis.",0)))</f>
        <v>0</v>
      </c>
      <c r="C1025" s="1647"/>
      <c r="D1025" s="1647"/>
      <c r="E1025" s="1647"/>
      <c r="F1025" s="1647"/>
      <c r="G1025" s="1647"/>
      <c r="H1025" s="1647"/>
      <c r="I1025" s="1647"/>
      <c r="J1025" s="1647"/>
      <c r="K1025" s="1647"/>
      <c r="L1025" s="1647"/>
      <c r="M1025" s="1647"/>
      <c r="N1025" s="1647"/>
      <c r="O1025" s="1647"/>
      <c r="P1025" s="1647"/>
      <c r="Q1025" s="1647"/>
      <c r="R1025" s="1647"/>
      <c r="S1025" s="1647"/>
      <c r="T1025" s="1647"/>
      <c r="U1025" s="1647"/>
      <c r="V1025" s="1647"/>
      <c r="W1025" s="1647"/>
      <c r="X1025" s="1647"/>
      <c r="Y1025" s="1647"/>
      <c r="Z1025" s="1647"/>
      <c r="AA1025" s="1647"/>
      <c r="AB1025" s="1647"/>
      <c r="AC1025" s="1647"/>
      <c r="AD1025" s="1647"/>
      <c r="AE1025" s="1647"/>
      <c r="AF1025" s="1647"/>
      <c r="AG1025" s="1647"/>
      <c r="AH1025" s="1647"/>
      <c r="AI1025" s="1647"/>
      <c r="AJ1025" s="1647"/>
      <c r="AK1025" s="1647"/>
      <c r="AL1025" s="68"/>
      <c r="AM1025" s="68"/>
      <c r="AN1025" s="68"/>
      <c r="AO1025" s="68"/>
      <c r="AP1025" s="68"/>
      <c r="AQ1025" s="68"/>
      <c r="AR1025" s="68"/>
      <c r="AS1025" s="68"/>
      <c r="AT1025" s="68"/>
      <c r="AU1025" s="68"/>
      <c r="AV1025" s="68"/>
      <c r="AW1025" s="68"/>
      <c r="AX1025" s="68"/>
      <c r="AY1025" s="68"/>
    </row>
    <row r="1026" spans="1:51" ht="12.95" customHeight="1" thickBot="1">
      <c r="A1026" s="1680" t="s">
        <v>818</v>
      </c>
      <c r="B1026" s="1680"/>
      <c r="C1026" s="1680"/>
      <c r="D1026" s="1680"/>
      <c r="E1026" s="1680"/>
      <c r="F1026" s="1680"/>
      <c r="G1026" s="1680"/>
      <c r="H1026" s="1680"/>
      <c r="I1026" s="1680"/>
      <c r="J1026" s="1680"/>
      <c r="K1026" s="1680"/>
      <c r="L1026" s="1680"/>
      <c r="M1026" s="1680"/>
      <c r="N1026" s="1680"/>
      <c r="O1026" s="1680"/>
      <c r="P1026" s="1680"/>
      <c r="Q1026" s="1680"/>
      <c r="R1026" s="1680"/>
      <c r="S1026" s="1680"/>
      <c r="T1026" s="1680"/>
      <c r="U1026" s="1680"/>
      <c r="V1026" s="1680"/>
      <c r="W1026" s="1680"/>
      <c r="X1026" s="1680"/>
      <c r="Y1026" s="1680"/>
      <c r="Z1026" s="1680"/>
      <c r="AA1026" s="1680"/>
      <c r="AB1026" s="1680"/>
      <c r="AC1026" s="1680"/>
      <c r="AD1026" s="1680"/>
      <c r="AE1026" s="1680"/>
      <c r="AF1026" s="1680"/>
      <c r="AG1026" s="1680"/>
      <c r="AH1026" s="1680"/>
      <c r="AI1026" s="1680"/>
      <c r="AJ1026" s="1680"/>
      <c r="AK1026" s="1680"/>
      <c r="AL1026" s="1680"/>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8" t="s">
        <v>600</v>
      </c>
      <c r="B1030" s="1358"/>
      <c r="C1030" s="8">
        <v>1</v>
      </c>
      <c r="D1030" s="1264" t="s">
        <v>1170</v>
      </c>
      <c r="E1030" s="1264"/>
      <c r="F1030" s="1264"/>
      <c r="G1030" s="1264"/>
      <c r="H1030" s="1264"/>
      <c r="I1030" s="1264"/>
      <c r="J1030" s="1264"/>
      <c r="K1030" s="1264"/>
      <c r="L1030" s="1264"/>
      <c r="M1030" s="1264"/>
      <c r="N1030" s="1264"/>
      <c r="O1030" s="1264"/>
      <c r="P1030" s="1264"/>
      <c r="Q1030" s="1264"/>
      <c r="R1030" s="1264"/>
      <c r="S1030" s="1264"/>
      <c r="T1030" s="1264"/>
      <c r="U1030" s="1264"/>
      <c r="V1030" s="1264"/>
      <c r="W1030" s="1264"/>
      <c r="X1030" s="1264"/>
      <c r="Y1030" s="1264"/>
      <c r="Z1030" s="1264"/>
      <c r="AA1030" s="1264"/>
      <c r="AB1030" s="1264"/>
      <c r="AC1030" s="1264"/>
      <c r="AD1030" s="1264"/>
      <c r="AE1030" s="1264"/>
      <c r="AF1030" s="1264"/>
      <c r="AG1030" s="1264"/>
      <c r="AH1030" s="1264"/>
      <c r="AI1030" s="1264"/>
      <c r="AJ1030" s="1264"/>
      <c r="AK1030" s="1264"/>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4"/>
      <c r="E1031" s="1264"/>
      <c r="F1031" s="1264"/>
      <c r="G1031" s="1264"/>
      <c r="H1031" s="1264"/>
      <c r="I1031" s="1264"/>
      <c r="J1031" s="1264"/>
      <c r="K1031" s="1264"/>
      <c r="L1031" s="1264"/>
      <c r="M1031" s="1264"/>
      <c r="N1031" s="1264"/>
      <c r="O1031" s="1264"/>
      <c r="P1031" s="1264"/>
      <c r="Q1031" s="1264"/>
      <c r="R1031" s="1264"/>
      <c r="S1031" s="1264"/>
      <c r="T1031" s="1264"/>
      <c r="U1031" s="1264"/>
      <c r="V1031" s="1264"/>
      <c r="W1031" s="1264"/>
      <c r="X1031" s="1264"/>
      <c r="Y1031" s="1264"/>
      <c r="Z1031" s="1264"/>
      <c r="AA1031" s="1264"/>
      <c r="AB1031" s="1264"/>
      <c r="AC1031" s="1264"/>
      <c r="AD1031" s="1264"/>
      <c r="AE1031" s="1264"/>
      <c r="AF1031" s="1264"/>
      <c r="AG1031" s="1264"/>
      <c r="AH1031" s="1264"/>
      <c r="AI1031" s="1264"/>
      <c r="AJ1031" s="1264"/>
      <c r="AK1031" s="1264"/>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4"/>
      <c r="E1032" s="1264"/>
      <c r="F1032" s="1264"/>
      <c r="G1032" s="1264"/>
      <c r="H1032" s="1264"/>
      <c r="I1032" s="1264"/>
      <c r="J1032" s="1264"/>
      <c r="K1032" s="1264"/>
      <c r="L1032" s="1264"/>
      <c r="M1032" s="1264"/>
      <c r="N1032" s="1264"/>
      <c r="O1032" s="1264"/>
      <c r="P1032" s="1264"/>
      <c r="Q1032" s="1264"/>
      <c r="R1032" s="1264"/>
      <c r="S1032" s="1264"/>
      <c r="T1032" s="1264"/>
      <c r="U1032" s="1264"/>
      <c r="V1032" s="1264"/>
      <c r="W1032" s="1264"/>
      <c r="X1032" s="1264"/>
      <c r="Y1032" s="1264"/>
      <c r="Z1032" s="1264"/>
      <c r="AA1032" s="1264"/>
      <c r="AB1032" s="1264"/>
      <c r="AC1032" s="1264"/>
      <c r="AD1032" s="1264"/>
      <c r="AE1032" s="1264"/>
      <c r="AF1032" s="1264"/>
      <c r="AG1032" s="1264"/>
      <c r="AH1032" s="1264"/>
      <c r="AI1032" s="1264"/>
      <c r="AJ1032" s="1264"/>
      <c r="AK1032" s="1264"/>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4"/>
      <c r="E1033" s="1264"/>
      <c r="F1033" s="1264"/>
      <c r="G1033" s="1264"/>
      <c r="H1033" s="1264"/>
      <c r="I1033" s="1264"/>
      <c r="J1033" s="1264"/>
      <c r="K1033" s="1264"/>
      <c r="L1033" s="1264"/>
      <c r="M1033" s="1264"/>
      <c r="N1033" s="1264"/>
      <c r="O1033" s="1264"/>
      <c r="P1033" s="1264"/>
      <c r="Q1033" s="1264"/>
      <c r="R1033" s="1264"/>
      <c r="S1033" s="1264"/>
      <c r="T1033" s="1264"/>
      <c r="U1033" s="1264"/>
      <c r="V1033" s="1264"/>
      <c r="W1033" s="1264"/>
      <c r="X1033" s="1264"/>
      <c r="Y1033" s="1264"/>
      <c r="Z1033" s="1264"/>
      <c r="AA1033" s="1264"/>
      <c r="AB1033" s="1264"/>
      <c r="AC1033" s="1264"/>
      <c r="AD1033" s="1264"/>
      <c r="AE1033" s="1264"/>
      <c r="AF1033" s="1264"/>
      <c r="AG1033" s="1264"/>
      <c r="AH1033" s="1264"/>
      <c r="AI1033" s="1264"/>
      <c r="AJ1033" s="1264"/>
      <c r="AK1033" s="1264"/>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4"/>
      <c r="E1034" s="1264"/>
      <c r="F1034" s="1264"/>
      <c r="G1034" s="1264"/>
      <c r="H1034" s="1264"/>
      <c r="I1034" s="1264"/>
      <c r="J1034" s="1264"/>
      <c r="K1034" s="1264"/>
      <c r="L1034" s="1264"/>
      <c r="M1034" s="1264"/>
      <c r="N1034" s="1264"/>
      <c r="O1034" s="1264"/>
      <c r="P1034" s="1264"/>
      <c r="Q1034" s="1264"/>
      <c r="R1034" s="1264"/>
      <c r="S1034" s="1264"/>
      <c r="T1034" s="1264"/>
      <c r="U1034" s="1264"/>
      <c r="V1034" s="1264"/>
      <c r="W1034" s="1264"/>
      <c r="X1034" s="1264"/>
      <c r="Y1034" s="1264"/>
      <c r="Z1034" s="1264"/>
      <c r="AA1034" s="1264"/>
      <c r="AB1034" s="1264"/>
      <c r="AC1034" s="1264"/>
      <c r="AD1034" s="1264"/>
      <c r="AE1034" s="1264"/>
      <c r="AF1034" s="1264"/>
      <c r="AG1034" s="1264"/>
      <c r="AH1034" s="1264"/>
      <c r="AI1034" s="1264"/>
      <c r="AJ1034" s="1264"/>
      <c r="AK1034" s="1264"/>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4"/>
      <c r="E1035" s="1264"/>
      <c r="F1035" s="1264"/>
      <c r="G1035" s="1264"/>
      <c r="H1035" s="1264"/>
      <c r="I1035" s="1264"/>
      <c r="J1035" s="1264"/>
      <c r="K1035" s="1264"/>
      <c r="L1035" s="1264"/>
      <c r="M1035" s="1264"/>
      <c r="N1035" s="1264"/>
      <c r="O1035" s="1264"/>
      <c r="P1035" s="1264"/>
      <c r="Q1035" s="1264"/>
      <c r="R1035" s="1264"/>
      <c r="S1035" s="1264"/>
      <c r="T1035" s="1264"/>
      <c r="U1035" s="1264"/>
      <c r="V1035" s="1264"/>
      <c r="W1035" s="1264"/>
      <c r="X1035" s="1264"/>
      <c r="Y1035" s="1264"/>
      <c r="Z1035" s="1264"/>
      <c r="AA1035" s="1264"/>
      <c r="AB1035" s="1264"/>
      <c r="AC1035" s="1264"/>
      <c r="AD1035" s="1264"/>
      <c r="AE1035" s="1264"/>
      <c r="AF1035" s="1264"/>
      <c r="AG1035" s="1264"/>
      <c r="AH1035" s="1264"/>
      <c r="AI1035" s="1264"/>
      <c r="AJ1035" s="1264"/>
      <c r="AK1035" s="1264"/>
      <c r="AL1035" s="68"/>
      <c r="AM1035" s="68"/>
      <c r="AN1035" s="68"/>
      <c r="AO1035" s="68"/>
      <c r="AP1035" s="68"/>
      <c r="AQ1035" s="68"/>
      <c r="AR1035" s="68"/>
      <c r="AS1035" s="68"/>
      <c r="AT1035" s="68"/>
      <c r="AU1035" s="68"/>
      <c r="AV1035" s="68"/>
      <c r="AW1035" s="68"/>
      <c r="AX1035" s="68"/>
      <c r="AY1035" s="68"/>
    </row>
    <row r="1036" spans="1:51" ht="12.95" customHeight="1">
      <c r="A1036" s="1358" t="s">
        <v>600</v>
      </c>
      <c r="B1036" s="1358"/>
      <c r="C1036" s="8">
        <v>2</v>
      </c>
      <c r="D1036" s="1264" t="s">
        <v>1169</v>
      </c>
      <c r="E1036" s="1264"/>
      <c r="F1036" s="1264"/>
      <c r="G1036" s="1264"/>
      <c r="H1036" s="1264"/>
      <c r="I1036" s="1264"/>
      <c r="J1036" s="1264"/>
      <c r="K1036" s="1264"/>
      <c r="L1036" s="1264"/>
      <c r="M1036" s="1264"/>
      <c r="N1036" s="1264"/>
      <c r="O1036" s="1264"/>
      <c r="P1036" s="1264"/>
      <c r="Q1036" s="1264"/>
      <c r="R1036" s="1264"/>
      <c r="S1036" s="1264"/>
      <c r="T1036" s="1264"/>
      <c r="U1036" s="1264"/>
      <c r="V1036" s="1264"/>
      <c r="W1036" s="1264"/>
      <c r="X1036" s="1264"/>
      <c r="Y1036" s="1264"/>
      <c r="Z1036" s="1264"/>
      <c r="AA1036" s="1264"/>
      <c r="AB1036" s="1264"/>
      <c r="AC1036" s="1264"/>
      <c r="AD1036" s="1264"/>
      <c r="AE1036" s="1264"/>
      <c r="AF1036" s="1264"/>
      <c r="AG1036" s="1264"/>
      <c r="AH1036" s="1264"/>
      <c r="AI1036" s="1264"/>
      <c r="AJ1036" s="1264"/>
      <c r="AK1036" s="1264"/>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4"/>
      <c r="E1037" s="1264"/>
      <c r="F1037" s="1264"/>
      <c r="G1037" s="1264"/>
      <c r="H1037" s="1264"/>
      <c r="I1037" s="1264"/>
      <c r="J1037" s="1264"/>
      <c r="K1037" s="1264"/>
      <c r="L1037" s="1264"/>
      <c r="M1037" s="1264"/>
      <c r="N1037" s="1264"/>
      <c r="O1037" s="1264"/>
      <c r="P1037" s="1264"/>
      <c r="Q1037" s="1264"/>
      <c r="R1037" s="1264"/>
      <c r="S1037" s="1264"/>
      <c r="T1037" s="1264"/>
      <c r="U1037" s="1264"/>
      <c r="V1037" s="1264"/>
      <c r="W1037" s="1264"/>
      <c r="X1037" s="1264"/>
      <c r="Y1037" s="1264"/>
      <c r="Z1037" s="1264"/>
      <c r="AA1037" s="1264"/>
      <c r="AB1037" s="1264"/>
      <c r="AC1037" s="1264"/>
      <c r="AD1037" s="1264"/>
      <c r="AE1037" s="1264"/>
      <c r="AF1037" s="1264"/>
      <c r="AG1037" s="1264"/>
      <c r="AH1037" s="1264"/>
      <c r="AI1037" s="1264"/>
      <c r="AJ1037" s="1264"/>
      <c r="AK1037" s="1264"/>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4"/>
      <c r="E1038" s="1264"/>
      <c r="F1038" s="1264"/>
      <c r="G1038" s="1264"/>
      <c r="H1038" s="1264"/>
      <c r="I1038" s="1264"/>
      <c r="J1038" s="1264"/>
      <c r="K1038" s="1264"/>
      <c r="L1038" s="1264"/>
      <c r="M1038" s="1264"/>
      <c r="N1038" s="1264"/>
      <c r="O1038" s="1264"/>
      <c r="P1038" s="1264"/>
      <c r="Q1038" s="1264"/>
      <c r="R1038" s="1264"/>
      <c r="S1038" s="1264"/>
      <c r="T1038" s="1264"/>
      <c r="U1038" s="1264"/>
      <c r="V1038" s="1264"/>
      <c r="W1038" s="1264"/>
      <c r="X1038" s="1264"/>
      <c r="Y1038" s="1264"/>
      <c r="Z1038" s="1264"/>
      <c r="AA1038" s="1264"/>
      <c r="AB1038" s="1264"/>
      <c r="AC1038" s="1264"/>
      <c r="AD1038" s="1264"/>
      <c r="AE1038" s="1264"/>
      <c r="AF1038" s="1264"/>
      <c r="AG1038" s="1264"/>
      <c r="AH1038" s="1264"/>
      <c r="AI1038" s="1264"/>
      <c r="AJ1038" s="1264"/>
      <c r="AK1038" s="1264"/>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4"/>
      <c r="E1039" s="1264"/>
      <c r="F1039" s="1264"/>
      <c r="G1039" s="1264"/>
      <c r="H1039" s="1264"/>
      <c r="I1039" s="1264"/>
      <c r="J1039" s="1264"/>
      <c r="K1039" s="1264"/>
      <c r="L1039" s="1264"/>
      <c r="M1039" s="1264"/>
      <c r="N1039" s="1264"/>
      <c r="O1039" s="1264"/>
      <c r="P1039" s="1264"/>
      <c r="Q1039" s="1264"/>
      <c r="R1039" s="1264"/>
      <c r="S1039" s="1264"/>
      <c r="T1039" s="1264"/>
      <c r="U1039" s="1264"/>
      <c r="V1039" s="1264"/>
      <c r="W1039" s="1264"/>
      <c r="X1039" s="1264"/>
      <c r="Y1039" s="1264"/>
      <c r="Z1039" s="1264"/>
      <c r="AA1039" s="1264"/>
      <c r="AB1039" s="1264"/>
      <c r="AC1039" s="1264"/>
      <c r="AD1039" s="1264"/>
      <c r="AE1039" s="1264"/>
      <c r="AF1039" s="1264"/>
      <c r="AG1039" s="1264"/>
      <c r="AH1039" s="1264"/>
      <c r="AI1039" s="1264"/>
      <c r="AJ1039" s="1264"/>
      <c r="AK1039" s="1264"/>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4"/>
      <c r="E1040" s="1264"/>
      <c r="F1040" s="1264"/>
      <c r="G1040" s="1264"/>
      <c r="H1040" s="1264"/>
      <c r="I1040" s="1264"/>
      <c r="J1040" s="1264"/>
      <c r="K1040" s="1264"/>
      <c r="L1040" s="1264"/>
      <c r="M1040" s="1264"/>
      <c r="N1040" s="1264"/>
      <c r="O1040" s="1264"/>
      <c r="P1040" s="1264"/>
      <c r="Q1040" s="1264"/>
      <c r="R1040" s="1264"/>
      <c r="S1040" s="1264"/>
      <c r="T1040" s="1264"/>
      <c r="U1040" s="1264"/>
      <c r="V1040" s="1264"/>
      <c r="W1040" s="1264"/>
      <c r="X1040" s="1264"/>
      <c r="Y1040" s="1264"/>
      <c r="Z1040" s="1264"/>
      <c r="AA1040" s="1264"/>
      <c r="AB1040" s="1264"/>
      <c r="AC1040" s="1264"/>
      <c r="AD1040" s="1264"/>
      <c r="AE1040" s="1264"/>
      <c r="AF1040" s="1264"/>
      <c r="AG1040" s="1264"/>
      <c r="AH1040" s="1264"/>
      <c r="AI1040" s="1264"/>
      <c r="AJ1040" s="1264"/>
      <c r="AK1040" s="1264"/>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4"/>
      <c r="E1041" s="1264"/>
      <c r="F1041" s="1264"/>
      <c r="G1041" s="1264"/>
      <c r="H1041" s="1264"/>
      <c r="I1041" s="1264"/>
      <c r="J1041" s="1264"/>
      <c r="K1041" s="1264"/>
      <c r="L1041" s="1264"/>
      <c r="M1041" s="1264"/>
      <c r="N1041" s="1264"/>
      <c r="O1041" s="1264"/>
      <c r="P1041" s="1264"/>
      <c r="Q1041" s="1264"/>
      <c r="R1041" s="1264"/>
      <c r="S1041" s="1264"/>
      <c r="T1041" s="1264"/>
      <c r="U1041" s="1264"/>
      <c r="V1041" s="1264"/>
      <c r="W1041" s="1264"/>
      <c r="X1041" s="1264"/>
      <c r="Y1041" s="1264"/>
      <c r="Z1041" s="1264"/>
      <c r="AA1041" s="1264"/>
      <c r="AB1041" s="1264"/>
      <c r="AC1041" s="1264"/>
      <c r="AD1041" s="1264"/>
      <c r="AE1041" s="1264"/>
      <c r="AF1041" s="1264"/>
      <c r="AG1041" s="1264"/>
      <c r="AH1041" s="1264"/>
      <c r="AI1041" s="1264"/>
      <c r="AJ1041" s="1264"/>
      <c r="AK1041" s="1264"/>
    </row>
    <row r="1042" spans="1:37" ht="12.95" customHeight="1">
      <c r="A1042" s="1358" t="s">
        <v>600</v>
      </c>
      <c r="B1042" s="1358"/>
      <c r="C1042" s="8">
        <v>3</v>
      </c>
      <c r="D1042" s="1264" t="s">
        <v>2568</v>
      </c>
      <c r="E1042" s="1264"/>
      <c r="F1042" s="1264"/>
      <c r="G1042" s="1264"/>
      <c r="H1042" s="1264"/>
      <c r="I1042" s="1264"/>
      <c r="J1042" s="1264"/>
      <c r="K1042" s="1264"/>
      <c r="L1042" s="1264"/>
      <c r="M1042" s="1264"/>
      <c r="N1042" s="1264"/>
      <c r="O1042" s="1264"/>
      <c r="P1042" s="1264"/>
      <c r="Q1042" s="1264"/>
      <c r="R1042" s="1264"/>
      <c r="S1042" s="1264"/>
      <c r="T1042" s="1264"/>
      <c r="U1042" s="1264"/>
      <c r="V1042" s="1264"/>
      <c r="W1042" s="1264"/>
      <c r="X1042" s="1264"/>
      <c r="Y1042" s="1264"/>
      <c r="Z1042" s="1264"/>
      <c r="AA1042" s="1264"/>
      <c r="AB1042" s="1264"/>
      <c r="AC1042" s="1264"/>
      <c r="AD1042" s="1264"/>
      <c r="AE1042" s="1264"/>
      <c r="AF1042" s="1264"/>
      <c r="AG1042" s="1264"/>
      <c r="AH1042" s="1264"/>
      <c r="AI1042" s="1264"/>
      <c r="AJ1042" s="1264"/>
      <c r="AK1042" s="1264"/>
    </row>
    <row r="1043" spans="1:37" ht="12.95" customHeight="1">
      <c r="A1043" s="4"/>
      <c r="B1043" s="4"/>
      <c r="C1043" s="8"/>
      <c r="D1043" s="1264"/>
      <c r="E1043" s="1264"/>
      <c r="F1043" s="1264"/>
      <c r="G1043" s="1264"/>
      <c r="H1043" s="1264"/>
      <c r="I1043" s="1264"/>
      <c r="J1043" s="1264"/>
      <c r="K1043" s="1264"/>
      <c r="L1043" s="1264"/>
      <c r="M1043" s="1264"/>
      <c r="N1043" s="1264"/>
      <c r="O1043" s="1264"/>
      <c r="P1043" s="1264"/>
      <c r="Q1043" s="1264"/>
      <c r="R1043" s="1264"/>
      <c r="S1043" s="1264"/>
      <c r="T1043" s="1264"/>
      <c r="U1043" s="1264"/>
      <c r="V1043" s="1264"/>
      <c r="W1043" s="1264"/>
      <c r="X1043" s="1264"/>
      <c r="Y1043" s="1264"/>
      <c r="Z1043" s="1264"/>
      <c r="AA1043" s="1264"/>
      <c r="AB1043" s="1264"/>
      <c r="AC1043" s="1264"/>
      <c r="AD1043" s="1264"/>
      <c r="AE1043" s="1264"/>
      <c r="AF1043" s="1264"/>
      <c r="AG1043" s="1264"/>
      <c r="AH1043" s="1264"/>
      <c r="AI1043" s="1264"/>
      <c r="AJ1043" s="1264"/>
      <c r="AK1043" s="1264"/>
    </row>
    <row r="1044" spans="1:37" ht="12.95" customHeight="1">
      <c r="A1044" s="4"/>
      <c r="B1044" s="4"/>
      <c r="C1044" s="8"/>
      <c r="D1044" s="1264"/>
      <c r="E1044" s="1264"/>
      <c r="F1044" s="1264"/>
      <c r="G1044" s="1264"/>
      <c r="H1044" s="1264"/>
      <c r="I1044" s="1264"/>
      <c r="J1044" s="1264"/>
      <c r="K1044" s="1264"/>
      <c r="L1044" s="1264"/>
      <c r="M1044" s="1264"/>
      <c r="N1044" s="1264"/>
      <c r="O1044" s="1264"/>
      <c r="P1044" s="1264"/>
      <c r="Q1044" s="1264"/>
      <c r="R1044" s="1264"/>
      <c r="S1044" s="1264"/>
      <c r="T1044" s="1264"/>
      <c r="U1044" s="1264"/>
      <c r="V1044" s="1264"/>
      <c r="W1044" s="1264"/>
      <c r="X1044" s="1264"/>
      <c r="Y1044" s="1264"/>
      <c r="Z1044" s="1264"/>
      <c r="AA1044" s="1264"/>
      <c r="AB1044" s="1264"/>
      <c r="AC1044" s="1264"/>
      <c r="AD1044" s="1264"/>
      <c r="AE1044" s="1264"/>
      <c r="AF1044" s="1264"/>
      <c r="AG1044" s="1264"/>
      <c r="AH1044" s="1264"/>
      <c r="AI1044" s="1264"/>
      <c r="AJ1044" s="1264"/>
      <c r="AK1044" s="1264"/>
    </row>
    <row r="1045" spans="1:37" ht="12.95" customHeight="1">
      <c r="A1045" s="35"/>
      <c r="B1045" s="25"/>
      <c r="C1045" s="8"/>
      <c r="D1045" s="1264"/>
      <c r="E1045" s="1264"/>
      <c r="F1045" s="1264"/>
      <c r="G1045" s="1264"/>
      <c r="H1045" s="1264"/>
      <c r="I1045" s="1264"/>
      <c r="J1045" s="1264"/>
      <c r="K1045" s="1264"/>
      <c r="L1045" s="1264"/>
      <c r="M1045" s="1264"/>
      <c r="N1045" s="1264"/>
      <c r="O1045" s="1264"/>
      <c r="P1045" s="1264"/>
      <c r="Q1045" s="1264"/>
      <c r="R1045" s="1264"/>
      <c r="S1045" s="1264"/>
      <c r="T1045" s="1264"/>
      <c r="U1045" s="1264"/>
      <c r="V1045" s="1264"/>
      <c r="W1045" s="1264"/>
      <c r="X1045" s="1264"/>
      <c r="Y1045" s="1264"/>
      <c r="Z1045" s="1264"/>
      <c r="AA1045" s="1264"/>
      <c r="AB1045" s="1264"/>
      <c r="AC1045" s="1264"/>
      <c r="AD1045" s="1264"/>
      <c r="AE1045" s="1264"/>
      <c r="AF1045" s="1264"/>
      <c r="AG1045" s="1264"/>
      <c r="AH1045" s="1264"/>
      <c r="AI1045" s="1264"/>
      <c r="AJ1045" s="1264"/>
      <c r="AK1045" s="1264"/>
    </row>
    <row r="1046" spans="1:37" ht="12.95" customHeight="1">
      <c r="A1046" s="35"/>
      <c r="B1046" s="25"/>
      <c r="C1046" s="8"/>
      <c r="D1046" s="1264"/>
      <c r="E1046" s="1264"/>
      <c r="F1046" s="1264"/>
      <c r="G1046" s="1264"/>
      <c r="H1046" s="1264"/>
      <c r="I1046" s="1264"/>
      <c r="J1046" s="1264"/>
      <c r="K1046" s="1264"/>
      <c r="L1046" s="1264"/>
      <c r="M1046" s="1264"/>
      <c r="N1046" s="1264"/>
      <c r="O1046" s="1264"/>
      <c r="P1046" s="1264"/>
      <c r="Q1046" s="1264"/>
      <c r="R1046" s="1264"/>
      <c r="S1046" s="1264"/>
      <c r="T1046" s="1264"/>
      <c r="U1046" s="1264"/>
      <c r="V1046" s="1264"/>
      <c r="W1046" s="1264"/>
      <c r="X1046" s="1264"/>
      <c r="Y1046" s="1264"/>
      <c r="Z1046" s="1264"/>
      <c r="AA1046" s="1264"/>
      <c r="AB1046" s="1264"/>
      <c r="AC1046" s="1264"/>
      <c r="AD1046" s="1264"/>
      <c r="AE1046" s="1264"/>
      <c r="AF1046" s="1264"/>
      <c r="AG1046" s="1264"/>
      <c r="AH1046" s="1264"/>
      <c r="AI1046" s="1264"/>
      <c r="AJ1046" s="1264"/>
      <c r="AK1046" s="1264"/>
    </row>
    <row r="1047" spans="1:37" ht="12.95" customHeight="1">
      <c r="A1047" s="35"/>
      <c r="B1047" s="25"/>
      <c r="C1047" s="8"/>
      <c r="D1047" s="1264"/>
      <c r="E1047" s="1264"/>
      <c r="F1047" s="1264"/>
      <c r="G1047" s="1264"/>
      <c r="H1047" s="1264"/>
      <c r="I1047" s="1264"/>
      <c r="J1047" s="1264"/>
      <c r="K1047" s="1264"/>
      <c r="L1047" s="1264"/>
      <c r="M1047" s="1264"/>
      <c r="N1047" s="1264"/>
      <c r="O1047" s="1264"/>
      <c r="P1047" s="1264"/>
      <c r="Q1047" s="1264"/>
      <c r="R1047" s="1264"/>
      <c r="S1047" s="1264"/>
      <c r="T1047" s="1264"/>
      <c r="U1047" s="1264"/>
      <c r="V1047" s="1264"/>
      <c r="W1047" s="1264"/>
      <c r="X1047" s="1264"/>
      <c r="Y1047" s="1264"/>
      <c r="Z1047" s="1264"/>
      <c r="AA1047" s="1264"/>
      <c r="AB1047" s="1264"/>
      <c r="AC1047" s="1264"/>
      <c r="AD1047" s="1264"/>
      <c r="AE1047" s="1264"/>
      <c r="AF1047" s="1264"/>
      <c r="AG1047" s="1264"/>
      <c r="AH1047" s="1264"/>
      <c r="AI1047" s="1264"/>
      <c r="AJ1047" s="1264"/>
      <c r="AK1047" s="1264"/>
    </row>
    <row r="1048" spans="1:37" ht="12.95" customHeight="1">
      <c r="A1048" s="35"/>
      <c r="B1048" s="25"/>
      <c r="C1048" s="8"/>
      <c r="D1048" s="1264"/>
      <c r="E1048" s="1264"/>
      <c r="F1048" s="1264"/>
      <c r="G1048" s="1264"/>
      <c r="H1048" s="1264"/>
      <c r="I1048" s="1264"/>
      <c r="J1048" s="1264"/>
      <c r="K1048" s="1264"/>
      <c r="L1048" s="1264"/>
      <c r="M1048" s="1264"/>
      <c r="N1048" s="1264"/>
      <c r="O1048" s="1264"/>
      <c r="P1048" s="1264"/>
      <c r="Q1048" s="1264"/>
      <c r="R1048" s="1264"/>
      <c r="S1048" s="1264"/>
      <c r="T1048" s="1264"/>
      <c r="U1048" s="1264"/>
      <c r="V1048" s="1264"/>
      <c r="W1048" s="1264"/>
      <c r="X1048" s="1264"/>
      <c r="Y1048" s="1264"/>
      <c r="Z1048" s="1264"/>
      <c r="AA1048" s="1264"/>
      <c r="AB1048" s="1264"/>
      <c r="AC1048" s="1264"/>
      <c r="AD1048" s="1264"/>
      <c r="AE1048" s="1264"/>
      <c r="AF1048" s="1264"/>
      <c r="AG1048" s="1264"/>
      <c r="AH1048" s="1264"/>
      <c r="AI1048" s="1264"/>
      <c r="AJ1048" s="1264"/>
      <c r="AK1048" s="1264"/>
    </row>
    <row r="1049" spans="1:37" ht="12.95" customHeight="1">
      <c r="A1049" s="1358" t="s">
        <v>600</v>
      </c>
      <c r="B1049" s="1358"/>
      <c r="C1049" s="8">
        <v>4</v>
      </c>
      <c r="D1049" s="1264" t="s">
        <v>1155</v>
      </c>
      <c r="E1049" s="1264"/>
      <c r="F1049" s="1264"/>
      <c r="G1049" s="1264"/>
      <c r="H1049" s="1264"/>
      <c r="I1049" s="1264"/>
      <c r="J1049" s="1264"/>
      <c r="K1049" s="1264"/>
      <c r="L1049" s="1264"/>
      <c r="M1049" s="1264"/>
      <c r="N1049" s="1264"/>
      <c r="O1049" s="1264"/>
      <c r="P1049" s="1264"/>
      <c r="Q1049" s="1264"/>
      <c r="R1049" s="1264"/>
      <c r="S1049" s="1264"/>
      <c r="T1049" s="1264"/>
      <c r="U1049" s="1264"/>
      <c r="V1049" s="1264"/>
      <c r="W1049" s="1264"/>
      <c r="X1049" s="1264"/>
      <c r="Y1049" s="1264"/>
      <c r="Z1049" s="1264"/>
      <c r="AA1049" s="1264"/>
      <c r="AB1049" s="1264"/>
      <c r="AC1049" s="1264"/>
      <c r="AD1049" s="1264"/>
      <c r="AE1049" s="1264"/>
      <c r="AF1049" s="1264"/>
      <c r="AG1049" s="1264"/>
      <c r="AH1049" s="1264"/>
      <c r="AI1049" s="1264"/>
      <c r="AJ1049" s="1264"/>
      <c r="AK1049" s="1264"/>
    </row>
    <row r="1050" spans="1:37" ht="12.95" customHeight="1">
      <c r="A1050" s="1"/>
      <c r="B1050" s="1"/>
      <c r="C1050" s="8"/>
      <c r="D1050" s="1264"/>
      <c r="E1050" s="1264"/>
      <c r="F1050" s="1264"/>
      <c r="G1050" s="1264"/>
      <c r="H1050" s="1264"/>
      <c r="I1050" s="1264"/>
      <c r="J1050" s="1264"/>
      <c r="K1050" s="1264"/>
      <c r="L1050" s="1264"/>
      <c r="M1050" s="1264"/>
      <c r="N1050" s="1264"/>
      <c r="O1050" s="1264"/>
      <c r="P1050" s="1264"/>
      <c r="Q1050" s="1264"/>
      <c r="R1050" s="1264"/>
      <c r="S1050" s="1264"/>
      <c r="T1050" s="1264"/>
      <c r="U1050" s="1264"/>
      <c r="V1050" s="1264"/>
      <c r="W1050" s="1264"/>
      <c r="X1050" s="1264"/>
      <c r="Y1050" s="1264"/>
      <c r="Z1050" s="1264"/>
      <c r="AA1050" s="1264"/>
      <c r="AB1050" s="1264"/>
      <c r="AC1050" s="1264"/>
      <c r="AD1050" s="1264"/>
      <c r="AE1050" s="1264"/>
      <c r="AF1050" s="1264"/>
      <c r="AG1050" s="1264"/>
      <c r="AH1050" s="1264"/>
      <c r="AI1050" s="1264"/>
      <c r="AJ1050" s="1264"/>
      <c r="AK1050" s="1264"/>
    </row>
    <row r="1051" spans="1:37" ht="12.95" customHeight="1">
      <c r="A1051" s="35"/>
      <c r="B1051" s="25"/>
      <c r="C1051" s="8"/>
      <c r="D1051" s="1264"/>
      <c r="E1051" s="1264"/>
      <c r="F1051" s="1264"/>
      <c r="G1051" s="1264"/>
      <c r="H1051" s="1264"/>
      <c r="I1051" s="1264"/>
      <c r="J1051" s="1264"/>
      <c r="K1051" s="1264"/>
      <c r="L1051" s="1264"/>
      <c r="M1051" s="1264"/>
      <c r="N1051" s="1264"/>
      <c r="O1051" s="1264"/>
      <c r="P1051" s="1264"/>
      <c r="Q1051" s="1264"/>
      <c r="R1051" s="1264"/>
      <c r="S1051" s="1264"/>
      <c r="T1051" s="1264"/>
      <c r="U1051" s="1264"/>
      <c r="V1051" s="1264"/>
      <c r="W1051" s="1264"/>
      <c r="X1051" s="1264"/>
      <c r="Y1051" s="1264"/>
      <c r="Z1051" s="1264"/>
      <c r="AA1051" s="1264"/>
      <c r="AB1051" s="1264"/>
      <c r="AC1051" s="1264"/>
      <c r="AD1051" s="1264"/>
      <c r="AE1051" s="1264"/>
      <c r="AF1051" s="1264"/>
      <c r="AG1051" s="1264"/>
      <c r="AH1051" s="1264"/>
      <c r="AI1051" s="1264"/>
      <c r="AJ1051" s="1264"/>
      <c r="AK1051" s="1264"/>
    </row>
    <row r="1052" spans="1:37" ht="12.95" customHeight="1">
      <c r="A1052" s="1358" t="s">
        <v>600</v>
      </c>
      <c r="B1052" s="1358"/>
      <c r="C1052" s="8">
        <v>5</v>
      </c>
      <c r="D1052" s="1264" t="s">
        <v>2569</v>
      </c>
      <c r="E1052" s="1264"/>
      <c r="F1052" s="1264"/>
      <c r="G1052" s="1264"/>
      <c r="H1052" s="1264"/>
      <c r="I1052" s="1264"/>
      <c r="J1052" s="1264"/>
      <c r="K1052" s="1264"/>
      <c r="L1052" s="1264"/>
      <c r="M1052" s="1264"/>
      <c r="N1052" s="1264"/>
      <c r="O1052" s="1264"/>
      <c r="P1052" s="1264"/>
      <c r="Q1052" s="1264"/>
      <c r="R1052" s="1264"/>
      <c r="S1052" s="1264"/>
      <c r="T1052" s="1264"/>
      <c r="U1052" s="1264"/>
      <c r="V1052" s="1264"/>
      <c r="W1052" s="1264"/>
      <c r="X1052" s="1264"/>
      <c r="Y1052" s="1264"/>
      <c r="Z1052" s="1264"/>
      <c r="AA1052" s="1264"/>
      <c r="AB1052" s="1264"/>
      <c r="AC1052" s="1264"/>
      <c r="AD1052" s="1264"/>
      <c r="AE1052" s="1264"/>
      <c r="AF1052" s="1264"/>
      <c r="AG1052" s="1264"/>
      <c r="AH1052" s="1264"/>
      <c r="AI1052" s="1264"/>
      <c r="AJ1052" s="1264"/>
      <c r="AK1052" s="1264"/>
    </row>
    <row r="1053" spans="1:37" ht="12.95" customHeight="1">
      <c r="A1053" s="1"/>
      <c r="B1053" s="1"/>
      <c r="C1053" s="8"/>
      <c r="D1053" s="1264"/>
      <c r="E1053" s="1264"/>
      <c r="F1053" s="1264"/>
      <c r="G1053" s="1264"/>
      <c r="H1053" s="1264"/>
      <c r="I1053" s="1264"/>
      <c r="J1053" s="1264"/>
      <c r="K1053" s="1264"/>
      <c r="L1053" s="1264"/>
      <c r="M1053" s="1264"/>
      <c r="N1053" s="1264"/>
      <c r="O1053" s="1264"/>
      <c r="P1053" s="1264"/>
      <c r="Q1053" s="1264"/>
      <c r="R1053" s="1264"/>
      <c r="S1053" s="1264"/>
      <c r="T1053" s="1264"/>
      <c r="U1053" s="1264"/>
      <c r="V1053" s="1264"/>
      <c r="W1053" s="1264"/>
      <c r="X1053" s="1264"/>
      <c r="Y1053" s="1264"/>
      <c r="Z1053" s="1264"/>
      <c r="AA1053" s="1264"/>
      <c r="AB1053" s="1264"/>
      <c r="AC1053" s="1264"/>
      <c r="AD1053" s="1264"/>
      <c r="AE1053" s="1264"/>
      <c r="AF1053" s="1264"/>
      <c r="AG1053" s="1264"/>
      <c r="AH1053" s="1264"/>
      <c r="AI1053" s="1264"/>
      <c r="AJ1053" s="1264"/>
      <c r="AK1053" s="1264"/>
    </row>
    <row r="1054" spans="1:37" ht="12.95" customHeight="1">
      <c r="A1054" s="1"/>
      <c r="B1054" s="1"/>
      <c r="C1054" s="8"/>
      <c r="D1054" s="1264"/>
      <c r="E1054" s="1264"/>
      <c r="F1054" s="1264"/>
      <c r="G1054" s="1264"/>
      <c r="H1054" s="1264"/>
      <c r="I1054" s="1264"/>
      <c r="J1054" s="1264"/>
      <c r="K1054" s="1264"/>
      <c r="L1054" s="1264"/>
      <c r="M1054" s="1264"/>
      <c r="N1054" s="1264"/>
      <c r="O1054" s="1264"/>
      <c r="P1054" s="1264"/>
      <c r="Q1054" s="1264"/>
      <c r="R1054" s="1264"/>
      <c r="S1054" s="1264"/>
      <c r="T1054" s="1264"/>
      <c r="U1054" s="1264"/>
      <c r="V1054" s="1264"/>
      <c r="W1054" s="1264"/>
      <c r="X1054" s="1264"/>
      <c r="Y1054" s="1264"/>
      <c r="Z1054" s="1264"/>
      <c r="AA1054" s="1264"/>
      <c r="AB1054" s="1264"/>
      <c r="AC1054" s="1264"/>
      <c r="AD1054" s="1264"/>
      <c r="AE1054" s="1264"/>
      <c r="AF1054" s="1264"/>
      <c r="AG1054" s="1264"/>
      <c r="AH1054" s="1264"/>
      <c r="AI1054" s="1264"/>
      <c r="AJ1054" s="1264"/>
      <c r="AK1054" s="1264"/>
    </row>
    <row r="1055" spans="1:37" ht="12.95" hidden="1" customHeight="1">
      <c r="A1055" s="1"/>
      <c r="B1055" s="1"/>
      <c r="C1055" s="8"/>
      <c r="D1055" s="1264"/>
      <c r="E1055" s="1264"/>
      <c r="F1055" s="1264"/>
      <c r="G1055" s="1264"/>
      <c r="H1055" s="1264"/>
      <c r="I1055" s="1264"/>
      <c r="J1055" s="1264"/>
      <c r="K1055" s="1264"/>
      <c r="L1055" s="1264"/>
      <c r="M1055" s="1264"/>
      <c r="N1055" s="1264"/>
      <c r="O1055" s="1264"/>
      <c r="P1055" s="1264"/>
      <c r="Q1055" s="1264"/>
      <c r="R1055" s="1264"/>
      <c r="S1055" s="1264"/>
      <c r="T1055" s="1264"/>
      <c r="U1055" s="1264"/>
      <c r="V1055" s="1264"/>
      <c r="W1055" s="1264"/>
      <c r="X1055" s="1264"/>
      <c r="Y1055" s="1264"/>
      <c r="Z1055" s="1264"/>
      <c r="AA1055" s="1264"/>
      <c r="AB1055" s="1264"/>
      <c r="AC1055" s="1264"/>
      <c r="AD1055" s="1264"/>
      <c r="AE1055" s="1264"/>
      <c r="AF1055" s="1264"/>
      <c r="AG1055" s="1264"/>
      <c r="AH1055" s="1264"/>
      <c r="AI1055" s="1264"/>
      <c r="AJ1055" s="1264"/>
      <c r="AK1055" s="1264"/>
    </row>
    <row r="1056" spans="1:37" ht="12.95" customHeight="1">
      <c r="A1056" s="35"/>
      <c r="B1056" s="25"/>
      <c r="C1056" s="8"/>
      <c r="D1056" s="1264"/>
      <c r="E1056" s="1264"/>
      <c r="F1056" s="1264"/>
      <c r="G1056" s="1264"/>
      <c r="H1056" s="1264"/>
      <c r="I1056" s="1264"/>
      <c r="J1056" s="1264"/>
      <c r="K1056" s="1264"/>
      <c r="L1056" s="1264"/>
      <c r="M1056" s="1264"/>
      <c r="N1056" s="1264"/>
      <c r="O1056" s="1264"/>
      <c r="P1056" s="1264"/>
      <c r="Q1056" s="1264"/>
      <c r="R1056" s="1264"/>
      <c r="S1056" s="1264"/>
      <c r="T1056" s="1264"/>
      <c r="U1056" s="1264"/>
      <c r="V1056" s="1264"/>
      <c r="W1056" s="1264"/>
      <c r="X1056" s="1264"/>
      <c r="Y1056" s="1264"/>
      <c r="Z1056" s="1264"/>
      <c r="AA1056" s="1264"/>
      <c r="AB1056" s="1264"/>
      <c r="AC1056" s="1264"/>
      <c r="AD1056" s="1264"/>
      <c r="AE1056" s="1264"/>
      <c r="AF1056" s="1264"/>
      <c r="AG1056" s="1264"/>
      <c r="AH1056" s="1264"/>
      <c r="AI1056" s="1264"/>
      <c r="AJ1056" s="1264"/>
      <c r="AK1056" s="1264"/>
    </row>
    <row r="1057" spans="1:37" ht="12.95" customHeight="1">
      <c r="A1057" s="1358" t="s">
        <v>600</v>
      </c>
      <c r="B1057" s="1358"/>
      <c r="C1057" s="8">
        <v>6</v>
      </c>
      <c r="D1057" s="1264" t="s">
        <v>1156</v>
      </c>
      <c r="E1057" s="1264"/>
      <c r="F1057" s="1264"/>
      <c r="G1057" s="1264"/>
      <c r="H1057" s="1264"/>
      <c r="I1057" s="1264"/>
      <c r="J1057" s="1264"/>
      <c r="K1057" s="1264"/>
      <c r="L1057" s="1264"/>
      <c r="M1057" s="1264"/>
      <c r="N1057" s="1264"/>
      <c r="O1057" s="1264"/>
      <c r="P1057" s="1264"/>
      <c r="Q1057" s="1264"/>
      <c r="R1057" s="1264"/>
      <c r="S1057" s="1264"/>
      <c r="T1057" s="1264"/>
      <c r="U1057" s="1264"/>
      <c r="V1057" s="1264"/>
      <c r="W1057" s="1264"/>
      <c r="X1057" s="1264"/>
      <c r="Y1057" s="1264"/>
      <c r="Z1057" s="1264"/>
      <c r="AA1057" s="1264"/>
      <c r="AB1057" s="1264"/>
      <c r="AC1057" s="1264"/>
      <c r="AD1057" s="1264"/>
      <c r="AE1057" s="1264"/>
      <c r="AF1057" s="1264"/>
      <c r="AG1057" s="1264"/>
      <c r="AH1057" s="1264"/>
      <c r="AI1057" s="1264"/>
      <c r="AJ1057" s="1264"/>
      <c r="AK1057" s="1264"/>
    </row>
    <row r="1058" spans="1:37" ht="12.95" customHeight="1">
      <c r="A1058" s="35"/>
      <c r="B1058" s="25"/>
      <c r="C1058" s="8"/>
      <c r="D1058" s="1264"/>
      <c r="E1058" s="1264"/>
      <c r="F1058" s="1264"/>
      <c r="G1058" s="1264"/>
      <c r="H1058" s="1264"/>
      <c r="I1058" s="1264"/>
      <c r="J1058" s="1264"/>
      <c r="K1058" s="1264"/>
      <c r="L1058" s="1264"/>
      <c r="M1058" s="1264"/>
      <c r="N1058" s="1264"/>
      <c r="O1058" s="1264"/>
      <c r="P1058" s="1264"/>
      <c r="Q1058" s="1264"/>
      <c r="R1058" s="1264"/>
      <c r="S1058" s="1264"/>
      <c r="T1058" s="1264"/>
      <c r="U1058" s="1264"/>
      <c r="V1058" s="1264"/>
      <c r="W1058" s="1264"/>
      <c r="X1058" s="1264"/>
      <c r="Y1058" s="1264"/>
      <c r="Z1058" s="1264"/>
      <c r="AA1058" s="1264"/>
      <c r="AB1058" s="1264"/>
      <c r="AC1058" s="1264"/>
      <c r="AD1058" s="1264"/>
      <c r="AE1058" s="1264"/>
      <c r="AF1058" s="1264"/>
      <c r="AG1058" s="1264"/>
      <c r="AH1058" s="1264"/>
      <c r="AI1058" s="1264"/>
      <c r="AJ1058" s="1264"/>
      <c r="AK1058" s="1264"/>
    </row>
    <row r="1059" spans="1:37" ht="12.95" customHeight="1">
      <c r="A1059" s="35"/>
      <c r="B1059" s="25"/>
      <c r="C1059" s="8"/>
      <c r="D1059" s="1264"/>
      <c r="E1059" s="1264"/>
      <c r="F1059" s="1264"/>
      <c r="G1059" s="1264"/>
      <c r="H1059" s="1264"/>
      <c r="I1059" s="1264"/>
      <c r="J1059" s="1264"/>
      <c r="K1059" s="1264"/>
      <c r="L1059" s="1264"/>
      <c r="M1059" s="1264"/>
      <c r="N1059" s="1264"/>
      <c r="O1059" s="1264"/>
      <c r="P1059" s="1264"/>
      <c r="Q1059" s="1264"/>
      <c r="R1059" s="1264"/>
      <c r="S1059" s="1264"/>
      <c r="T1059" s="1264"/>
      <c r="U1059" s="1264"/>
      <c r="V1059" s="1264"/>
      <c r="W1059" s="1264"/>
      <c r="X1059" s="1264"/>
      <c r="Y1059" s="1264"/>
      <c r="Z1059" s="1264"/>
      <c r="AA1059" s="1264"/>
      <c r="AB1059" s="1264"/>
      <c r="AC1059" s="1264"/>
      <c r="AD1059" s="1264"/>
      <c r="AE1059" s="1264"/>
      <c r="AF1059" s="1264"/>
      <c r="AG1059" s="1264"/>
      <c r="AH1059" s="1264"/>
      <c r="AI1059" s="1264"/>
      <c r="AJ1059" s="1264"/>
      <c r="AK1059" s="1264"/>
    </row>
    <row r="1060" spans="1:37" ht="12.95" customHeight="1">
      <c r="A1060" s="1358" t="s">
        <v>600</v>
      </c>
      <c r="B1060" s="1358"/>
      <c r="C1060" s="212">
        <v>7</v>
      </c>
      <c r="D1060" s="1264" t="s">
        <v>1158</v>
      </c>
      <c r="E1060" s="1264"/>
      <c r="F1060" s="1264"/>
      <c r="G1060" s="1264"/>
      <c r="H1060" s="1264"/>
      <c r="I1060" s="1264"/>
      <c r="J1060" s="1264"/>
      <c r="K1060" s="1264"/>
      <c r="L1060" s="1264"/>
      <c r="M1060" s="1264"/>
      <c r="N1060" s="1264"/>
      <c r="O1060" s="1264"/>
      <c r="P1060" s="1264"/>
      <c r="Q1060" s="1264"/>
      <c r="R1060" s="1264"/>
      <c r="S1060" s="1264"/>
      <c r="T1060" s="1264"/>
      <c r="U1060" s="1264"/>
      <c r="V1060" s="1264"/>
      <c r="W1060" s="1264"/>
      <c r="X1060" s="1264"/>
      <c r="Y1060" s="1264"/>
      <c r="Z1060" s="1264"/>
      <c r="AA1060" s="1264"/>
      <c r="AB1060" s="1264"/>
      <c r="AC1060" s="1264"/>
      <c r="AD1060" s="1264"/>
      <c r="AE1060" s="1264"/>
      <c r="AF1060" s="1264"/>
      <c r="AG1060" s="1264"/>
      <c r="AH1060" s="1264"/>
      <c r="AI1060" s="1264"/>
      <c r="AJ1060" s="1264"/>
      <c r="AK1060" s="1264"/>
    </row>
    <row r="1061" spans="1:37" ht="12.95" customHeight="1">
      <c r="A1061" s="1"/>
      <c r="B1061" s="1"/>
      <c r="C1061" s="212"/>
      <c r="D1061" s="1264"/>
      <c r="E1061" s="1264"/>
      <c r="F1061" s="1264"/>
      <c r="G1061" s="1264"/>
      <c r="H1061" s="1264"/>
      <c r="I1061" s="1264"/>
      <c r="J1061" s="1264"/>
      <c r="K1061" s="1264"/>
      <c r="L1061" s="1264"/>
      <c r="M1061" s="1264"/>
      <c r="N1061" s="1264"/>
      <c r="O1061" s="1264"/>
      <c r="P1061" s="1264"/>
      <c r="Q1061" s="1264"/>
      <c r="R1061" s="1264"/>
      <c r="S1061" s="1264"/>
      <c r="T1061" s="1264"/>
      <c r="U1061" s="1264"/>
      <c r="V1061" s="1264"/>
      <c r="W1061" s="1264"/>
      <c r="X1061" s="1264"/>
      <c r="Y1061" s="1264"/>
      <c r="Z1061" s="1264"/>
      <c r="AA1061" s="1264"/>
      <c r="AB1061" s="1264"/>
      <c r="AC1061" s="1264"/>
      <c r="AD1061" s="1264"/>
      <c r="AE1061" s="1264"/>
      <c r="AF1061" s="1264"/>
      <c r="AG1061" s="1264"/>
      <c r="AH1061" s="1264"/>
      <c r="AI1061" s="1264"/>
      <c r="AJ1061" s="1264"/>
      <c r="AK1061" s="1264"/>
    </row>
    <row r="1062" spans="1:37" ht="12.95" customHeight="1">
      <c r="A1062" s="1"/>
      <c r="B1062" s="1"/>
      <c r="C1062" s="212"/>
      <c r="D1062" s="1264"/>
      <c r="E1062" s="1264"/>
      <c r="F1062" s="1264"/>
      <c r="G1062" s="1264"/>
      <c r="H1062" s="1264"/>
      <c r="I1062" s="1264"/>
      <c r="J1062" s="1264"/>
      <c r="K1062" s="1264"/>
      <c r="L1062" s="1264"/>
      <c r="M1062" s="1264"/>
      <c r="N1062" s="1264"/>
      <c r="O1062" s="1264"/>
      <c r="P1062" s="1264"/>
      <c r="Q1062" s="1264"/>
      <c r="R1062" s="1264"/>
      <c r="S1062" s="1264"/>
      <c r="T1062" s="1264"/>
      <c r="U1062" s="1264"/>
      <c r="V1062" s="1264"/>
      <c r="W1062" s="1264"/>
      <c r="X1062" s="1264"/>
      <c r="Y1062" s="1264"/>
      <c r="Z1062" s="1264"/>
      <c r="AA1062" s="1264"/>
      <c r="AB1062" s="1264"/>
      <c r="AC1062" s="1264"/>
      <c r="AD1062" s="1264"/>
      <c r="AE1062" s="1264"/>
      <c r="AF1062" s="1264"/>
      <c r="AG1062" s="1264"/>
      <c r="AH1062" s="1264"/>
      <c r="AI1062" s="1264"/>
      <c r="AJ1062" s="1264"/>
      <c r="AK1062" s="1264"/>
    </row>
    <row r="1063" spans="1:37" ht="12.95" customHeight="1">
      <c r="A1063" s="35"/>
      <c r="B1063" s="25"/>
      <c r="C1063" s="212"/>
      <c r="D1063" s="1264"/>
      <c r="E1063" s="1264"/>
      <c r="F1063" s="1264"/>
      <c r="G1063" s="1264"/>
      <c r="H1063" s="1264"/>
      <c r="I1063" s="1264"/>
      <c r="J1063" s="1264"/>
      <c r="K1063" s="1264"/>
      <c r="L1063" s="1264"/>
      <c r="M1063" s="1264"/>
      <c r="N1063" s="1264"/>
      <c r="O1063" s="1264"/>
      <c r="P1063" s="1264"/>
      <c r="Q1063" s="1264"/>
      <c r="R1063" s="1264"/>
      <c r="S1063" s="1264"/>
      <c r="T1063" s="1264"/>
      <c r="U1063" s="1264"/>
      <c r="V1063" s="1264"/>
      <c r="W1063" s="1264"/>
      <c r="X1063" s="1264"/>
      <c r="Y1063" s="1264"/>
      <c r="Z1063" s="1264"/>
      <c r="AA1063" s="1264"/>
      <c r="AB1063" s="1264"/>
      <c r="AC1063" s="1264"/>
      <c r="AD1063" s="1264"/>
      <c r="AE1063" s="1264"/>
      <c r="AF1063" s="1264"/>
      <c r="AG1063" s="1264"/>
      <c r="AH1063" s="1264"/>
      <c r="AI1063" s="1264"/>
      <c r="AJ1063" s="1264"/>
      <c r="AK1063" s="1264"/>
    </row>
    <row r="1064" spans="1:37" ht="12.95" customHeight="1">
      <c r="A1064" s="1358" t="s">
        <v>600</v>
      </c>
      <c r="B1064" s="1358"/>
      <c r="C1064" s="212">
        <v>8</v>
      </c>
      <c r="D1064" s="1324" t="s">
        <v>1944</v>
      </c>
      <c r="E1064" s="1324"/>
      <c r="F1064" s="1324"/>
      <c r="G1064" s="1324"/>
      <c r="H1064" s="1324"/>
      <c r="I1064" s="1324"/>
      <c r="J1064" s="1324"/>
      <c r="K1064" s="1324"/>
      <c r="L1064" s="1324"/>
      <c r="M1064" s="1324"/>
      <c r="N1064" s="1324"/>
      <c r="O1064" s="1324"/>
      <c r="P1064" s="1324"/>
      <c r="Q1064" s="1324"/>
      <c r="R1064" s="1324"/>
      <c r="S1064" s="1324"/>
      <c r="T1064" s="1324"/>
      <c r="U1064" s="1324"/>
      <c r="V1064" s="1324"/>
      <c r="W1064" s="1324"/>
      <c r="X1064" s="1324"/>
      <c r="Y1064" s="1324"/>
      <c r="Z1064" s="1324"/>
      <c r="AA1064" s="1324"/>
      <c r="AB1064" s="1324"/>
      <c r="AC1064" s="1324"/>
      <c r="AD1064" s="1324"/>
      <c r="AE1064" s="1324"/>
      <c r="AF1064" s="1324"/>
      <c r="AG1064" s="1324"/>
      <c r="AH1064" s="1324"/>
      <c r="AI1064" s="1324"/>
      <c r="AJ1064" s="1324"/>
      <c r="AK1064" s="1324"/>
    </row>
    <row r="1065" spans="1:37" ht="12.95" customHeight="1">
      <c r="A1065" s="1"/>
      <c r="B1065" s="1"/>
      <c r="C1065" s="212"/>
      <c r="D1065" s="1324"/>
      <c r="E1065" s="1324"/>
      <c r="F1065" s="1324"/>
      <c r="G1065" s="1324"/>
      <c r="H1065" s="1324"/>
      <c r="I1065" s="1324"/>
      <c r="J1065" s="1324"/>
      <c r="K1065" s="1324"/>
      <c r="L1065" s="1324"/>
      <c r="M1065" s="1324"/>
      <c r="N1065" s="1324"/>
      <c r="O1065" s="1324"/>
      <c r="P1065" s="1324"/>
      <c r="Q1065" s="1324"/>
      <c r="R1065" s="1324"/>
      <c r="S1065" s="1324"/>
      <c r="T1065" s="1324"/>
      <c r="U1065" s="1324"/>
      <c r="V1065" s="1324"/>
      <c r="W1065" s="1324"/>
      <c r="X1065" s="1324"/>
      <c r="Y1065" s="1324"/>
      <c r="Z1065" s="1324"/>
      <c r="AA1065" s="1324"/>
      <c r="AB1065" s="1324"/>
      <c r="AC1065" s="1324"/>
      <c r="AD1065" s="1324"/>
      <c r="AE1065" s="1324"/>
      <c r="AF1065" s="1324"/>
      <c r="AG1065" s="1324"/>
      <c r="AH1065" s="1324"/>
      <c r="AI1065" s="1324"/>
      <c r="AJ1065" s="1324"/>
      <c r="AK1065" s="1324"/>
    </row>
    <row r="1066" spans="1:37" ht="12.95" customHeight="1">
      <c r="A1066" s="1"/>
      <c r="B1066" s="1"/>
      <c r="C1066" s="212"/>
      <c r="D1066" s="1324"/>
      <c r="E1066" s="1324"/>
      <c r="F1066" s="1324"/>
      <c r="G1066" s="1324"/>
      <c r="H1066" s="1324"/>
      <c r="I1066" s="1324"/>
      <c r="J1066" s="1324"/>
      <c r="K1066" s="1324"/>
      <c r="L1066" s="1324"/>
      <c r="M1066" s="1324"/>
      <c r="N1066" s="1324"/>
      <c r="O1066" s="1324"/>
      <c r="P1066" s="1324"/>
      <c r="Q1066" s="1324"/>
      <c r="R1066" s="1324"/>
      <c r="S1066" s="1324"/>
      <c r="T1066" s="1324"/>
      <c r="U1066" s="1324"/>
      <c r="V1066" s="1324"/>
      <c r="W1066" s="1324"/>
      <c r="X1066" s="1324"/>
      <c r="Y1066" s="1324"/>
      <c r="Z1066" s="1324"/>
      <c r="AA1066" s="1324"/>
      <c r="AB1066" s="1324"/>
      <c r="AC1066" s="1324"/>
      <c r="AD1066" s="1324"/>
      <c r="AE1066" s="1324"/>
      <c r="AF1066" s="1324"/>
      <c r="AG1066" s="1324"/>
      <c r="AH1066" s="1324"/>
      <c r="AI1066" s="1324"/>
      <c r="AJ1066" s="1324"/>
      <c r="AK1066" s="1324"/>
    </row>
    <row r="1067" spans="1:37" ht="12.95" customHeight="1">
      <c r="A1067" s="35"/>
      <c r="B1067" s="25"/>
      <c r="C1067" s="212"/>
      <c r="D1067" s="1324"/>
      <c r="E1067" s="1324"/>
      <c r="F1067" s="1324"/>
      <c r="G1067" s="1324"/>
      <c r="H1067" s="1324"/>
      <c r="I1067" s="1324"/>
      <c r="J1067" s="1324"/>
      <c r="K1067" s="1324"/>
      <c r="L1067" s="1324"/>
      <c r="M1067" s="1324"/>
      <c r="N1067" s="1324"/>
      <c r="O1067" s="1324"/>
      <c r="P1067" s="1324"/>
      <c r="Q1067" s="1324"/>
      <c r="R1067" s="1324"/>
      <c r="S1067" s="1324"/>
      <c r="T1067" s="1324"/>
      <c r="U1067" s="1324"/>
      <c r="V1067" s="1324"/>
      <c r="W1067" s="1324"/>
      <c r="X1067" s="1324"/>
      <c r="Y1067" s="1324"/>
      <c r="Z1067" s="1324"/>
      <c r="AA1067" s="1324"/>
      <c r="AB1067" s="1324"/>
      <c r="AC1067" s="1324"/>
      <c r="AD1067" s="1324"/>
      <c r="AE1067" s="1324"/>
      <c r="AF1067" s="1324"/>
      <c r="AG1067" s="1324"/>
      <c r="AH1067" s="1324"/>
      <c r="AI1067" s="1324"/>
      <c r="AJ1067" s="1324"/>
      <c r="AK1067" s="1324"/>
    </row>
    <row r="1068" spans="1:37" ht="12.95" customHeight="1">
      <c r="A1068" s="1358" t="s">
        <v>600</v>
      </c>
      <c r="B1068" s="1358"/>
      <c r="C1068" s="212">
        <v>9</v>
      </c>
      <c r="D1068" s="1264" t="s">
        <v>1157</v>
      </c>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row>
    <row r="1069" spans="1:37" ht="12.95" customHeight="1">
      <c r="A1069" s="35"/>
      <c r="B1069" s="25"/>
      <c r="C1069" s="212"/>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row>
    <row r="1070" spans="1:37" ht="12.95" customHeight="1">
      <c r="D1070" s="1264"/>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M493:P493"/>
    <mergeCell ref="J386:U386"/>
    <mergeCell ref="AC385:AJ385"/>
    <mergeCell ref="BX642:CB642"/>
    <mergeCell ref="BX643:CB643"/>
    <mergeCell ref="J387:U387"/>
    <mergeCell ref="A542:AS543"/>
    <mergeCell ref="AC539:AF539"/>
    <mergeCell ref="B487:P488"/>
    <mergeCell ref="AC504:AF504"/>
    <mergeCell ref="Q487:R488"/>
    <mergeCell ref="Q486:AK486"/>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AF417:AH417"/>
    <mergeCell ref="Z433:AA433"/>
    <mergeCell ref="AD411:AE411"/>
    <mergeCell ref="AI577:AK577"/>
    <mergeCell ref="AC455:AF455"/>
    <mergeCell ref="D443:AF443"/>
    <mergeCell ref="Z553:AD55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Q491:AK491"/>
    <mergeCell ref="Q490:AK490"/>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ySplit="2" topLeftCell="A76" activePane="bottomLeft" state="frozen"/>
      <selection pane="bottomLeft" activeCell="E108" sqref="E10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2" t="s">
        <v>630</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375</v>
      </c>
      <c r="D2" s="138" t="s">
        <v>374</v>
      </c>
      <c r="E2" s="138" t="s">
        <v>24</v>
      </c>
      <c r="F2" s="139" t="str">
        <f>Application!B623&amp;Application!C623</f>
        <v>1)PNC Bank - Permanent Loan</v>
      </c>
      <c r="G2" s="139" t="str">
        <f>Application!B624&amp;Application!C624</f>
        <v>2)Palm Desert Housing Authority Loan</v>
      </c>
      <c r="H2" s="139" t="str">
        <f>Application!B625&amp;Application!C625</f>
        <v>3)Riverside County Loan</v>
      </c>
      <c r="I2" s="139" t="str">
        <f>Application!B626&amp;Application!C626</f>
        <v>4)Deferred Developer Fees</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1965539</v>
      </c>
      <c r="C4" s="147">
        <v>1965539</v>
      </c>
      <c r="D4" s="147"/>
      <c r="E4" s="147"/>
      <c r="F4" s="147"/>
      <c r="G4" s="147"/>
      <c r="H4" s="147">
        <v>1965539</v>
      </c>
      <c r="I4" s="147"/>
      <c r="J4" s="147"/>
      <c r="K4" s="147"/>
      <c r="L4" s="147"/>
      <c r="M4" s="147"/>
      <c r="N4" s="147"/>
      <c r="O4" s="147"/>
      <c r="P4" s="147"/>
      <c r="Q4" s="147"/>
      <c r="R4" s="551">
        <f>SUM(E4:Q4)</f>
        <v>1965539</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1965539</v>
      </c>
      <c r="C8" s="146">
        <f t="shared" ref="C8:Q8" si="0">SUM(C4:C7)</f>
        <v>1965539</v>
      </c>
      <c r="D8" s="146">
        <f t="shared" si="0"/>
        <v>0</v>
      </c>
      <c r="E8" s="146">
        <f t="shared" si="0"/>
        <v>0</v>
      </c>
      <c r="F8" s="146">
        <f t="shared" si="0"/>
        <v>0</v>
      </c>
      <c r="G8" s="146">
        <f t="shared" si="0"/>
        <v>0</v>
      </c>
      <c r="H8" s="146">
        <f t="shared" si="0"/>
        <v>1965539</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1965539</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4486695</v>
      </c>
      <c r="C10" s="147">
        <v>4486695</v>
      </c>
      <c r="D10" s="147"/>
      <c r="E10" s="147">
        <v>4486695</v>
      </c>
      <c r="F10" s="147"/>
      <c r="G10" s="147"/>
      <c r="H10" s="147"/>
      <c r="I10" s="147"/>
      <c r="J10" s="147"/>
      <c r="K10" s="147"/>
      <c r="L10" s="147"/>
      <c r="M10" s="147"/>
      <c r="N10" s="147"/>
      <c r="O10" s="147"/>
      <c r="P10" s="147"/>
      <c r="Q10" s="147"/>
      <c r="R10" s="551">
        <f>SUM(E10:Q10)</f>
        <v>4486695</v>
      </c>
      <c r="S10" s="147">
        <v>4486695</v>
      </c>
      <c r="T10" s="147"/>
      <c r="U10" s="143"/>
    </row>
    <row r="11" spans="1:21" s="144" customFormat="1">
      <c r="A11" s="149" t="s">
        <v>605</v>
      </c>
      <c r="B11" s="146">
        <f>SUM(C11:D11)</f>
        <v>4486695</v>
      </c>
      <c r="C11" s="146">
        <f t="shared" ref="C11:Q11" si="1">SUM(C9:C10)</f>
        <v>4486695</v>
      </c>
      <c r="D11" s="146">
        <f t="shared" si="1"/>
        <v>0</v>
      </c>
      <c r="E11" s="146">
        <f t="shared" si="1"/>
        <v>4486695</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4486695</v>
      </c>
      <c r="S11" s="148"/>
      <c r="T11" s="150">
        <f>SUM(T9:T10)</f>
        <v>0</v>
      </c>
      <c r="U11" s="143"/>
    </row>
    <row r="12" spans="1:21" s="144" customFormat="1">
      <c r="A12" s="149" t="s">
        <v>85</v>
      </c>
      <c r="B12" s="146">
        <f t="shared" ref="B12:Q12" si="2">SUM(B8+B11)</f>
        <v>6452234</v>
      </c>
      <c r="C12" s="146">
        <f t="shared" si="2"/>
        <v>6452234</v>
      </c>
      <c r="D12" s="146">
        <f t="shared" si="2"/>
        <v>0</v>
      </c>
      <c r="E12" s="146">
        <f t="shared" si="2"/>
        <v>4486695</v>
      </c>
      <c r="F12" s="146">
        <f t="shared" si="2"/>
        <v>0</v>
      </c>
      <c r="G12" s="146">
        <f t="shared" si="2"/>
        <v>0</v>
      </c>
      <c r="H12" s="146">
        <f t="shared" si="2"/>
        <v>1965539</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6452234</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2722</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8953428</v>
      </c>
      <c r="C29" s="147">
        <v>8953428</v>
      </c>
      <c r="D29" s="147"/>
      <c r="E29" s="147">
        <v>1174992</v>
      </c>
      <c r="F29" s="147">
        <v>7778436</v>
      </c>
      <c r="G29" s="147"/>
      <c r="H29" s="147"/>
      <c r="I29" s="147"/>
      <c r="J29" s="147"/>
      <c r="K29" s="147"/>
      <c r="L29" s="147"/>
      <c r="M29" s="147"/>
      <c r="N29" s="147"/>
      <c r="O29" s="147"/>
      <c r="P29" s="147"/>
      <c r="Q29" s="147"/>
      <c r="R29" s="551">
        <f t="shared" ref="R29:R37" si="7">SUM(E29:Q29)</f>
        <v>8953428</v>
      </c>
      <c r="S29" s="147">
        <v>8953428</v>
      </c>
      <c r="T29" s="147"/>
      <c r="U29" s="143"/>
    </row>
    <row r="30" spans="1:21" s="144" customFormat="1">
      <c r="A30" s="145" t="s">
        <v>608</v>
      </c>
      <c r="B30" s="146">
        <f t="shared" si="6"/>
        <v>33184657</v>
      </c>
      <c r="C30" s="147">
        <v>33184657</v>
      </c>
      <c r="D30" s="147"/>
      <c r="E30" s="147">
        <f>22391618+93060</f>
        <v>22484678</v>
      </c>
      <c r="F30" s="147">
        <f>1758578-93060</f>
        <v>1665518</v>
      </c>
      <c r="G30" s="147">
        <v>6000000</v>
      </c>
      <c r="H30" s="147">
        <v>3034461</v>
      </c>
      <c r="I30" s="147"/>
      <c r="J30" s="147"/>
      <c r="K30" s="147"/>
      <c r="L30" s="147"/>
      <c r="M30" s="147"/>
      <c r="N30" s="147"/>
      <c r="O30" s="147"/>
      <c r="P30" s="147"/>
      <c r="Q30" s="147"/>
      <c r="R30" s="551">
        <f t="shared" si="7"/>
        <v>33184657</v>
      </c>
      <c r="S30" s="147">
        <v>33184657</v>
      </c>
      <c r="T30" s="147"/>
      <c r="U30" s="143"/>
    </row>
    <row r="31" spans="1:21" s="144" customFormat="1">
      <c r="A31" s="145" t="s">
        <v>609</v>
      </c>
      <c r="B31" s="146">
        <f t="shared" si="6"/>
        <v>2831381</v>
      </c>
      <c r="C31" s="147">
        <v>2831381</v>
      </c>
      <c r="D31" s="147"/>
      <c r="E31" s="147">
        <v>2831381</v>
      </c>
      <c r="F31" s="147"/>
      <c r="G31" s="147"/>
      <c r="H31" s="147"/>
      <c r="I31" s="147"/>
      <c r="J31" s="147"/>
      <c r="K31" s="147"/>
      <c r="L31" s="147"/>
      <c r="M31" s="147"/>
      <c r="N31" s="147"/>
      <c r="O31" s="147"/>
      <c r="P31" s="147"/>
      <c r="Q31" s="147"/>
      <c r="R31" s="551">
        <f t="shared" si="7"/>
        <v>2831381</v>
      </c>
      <c r="S31" s="147">
        <v>2831381</v>
      </c>
      <c r="T31" s="147"/>
      <c r="U31" s="143"/>
    </row>
    <row r="32" spans="1:21" s="144" customFormat="1">
      <c r="A32" s="145" t="s">
        <v>138</v>
      </c>
      <c r="B32" s="146">
        <f t="shared" si="6"/>
        <v>3775174</v>
      </c>
      <c r="C32" s="147">
        <v>3775174</v>
      </c>
      <c r="D32" s="147"/>
      <c r="E32" s="147">
        <v>3775174</v>
      </c>
      <c r="F32" s="147"/>
      <c r="G32" s="147"/>
      <c r="H32" s="147"/>
      <c r="I32" s="147"/>
      <c r="J32" s="147"/>
      <c r="K32" s="147"/>
      <c r="L32" s="147"/>
      <c r="M32" s="147"/>
      <c r="N32" s="147"/>
      <c r="O32" s="147"/>
      <c r="P32" s="147"/>
      <c r="Q32" s="147"/>
      <c r="R32" s="551">
        <f t="shared" si="7"/>
        <v>3775174</v>
      </c>
      <c r="S32" s="147">
        <v>3775174</v>
      </c>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42700</v>
      </c>
      <c r="C34" s="147">
        <v>42700</v>
      </c>
      <c r="D34" s="147"/>
      <c r="E34" s="147">
        <v>42700</v>
      </c>
      <c r="F34" s="147"/>
      <c r="G34" s="147"/>
      <c r="H34" s="147"/>
      <c r="I34" s="147"/>
      <c r="J34" s="147"/>
      <c r="K34" s="147"/>
      <c r="L34" s="147"/>
      <c r="M34" s="147"/>
      <c r="N34" s="147"/>
      <c r="O34" s="147"/>
      <c r="P34" s="147"/>
      <c r="Q34" s="147"/>
      <c r="R34" s="551">
        <f t="shared" si="7"/>
        <v>42700</v>
      </c>
      <c r="S34" s="147">
        <v>42700</v>
      </c>
      <c r="T34" s="147"/>
      <c r="U34" s="143"/>
    </row>
    <row r="35" spans="1:21" s="144" customFormat="1">
      <c r="A35" s="145" t="s">
        <v>141</v>
      </c>
      <c r="B35" s="146">
        <f t="shared" si="6"/>
        <v>537962</v>
      </c>
      <c r="C35" s="147">
        <v>537962</v>
      </c>
      <c r="D35" s="147"/>
      <c r="E35" s="147">
        <v>537962</v>
      </c>
      <c r="F35" s="147"/>
      <c r="G35" s="147"/>
      <c r="H35" s="147"/>
      <c r="I35" s="147"/>
      <c r="J35" s="147"/>
      <c r="K35" s="147"/>
      <c r="L35" s="147"/>
      <c r="M35" s="147"/>
      <c r="N35" s="147"/>
      <c r="O35" s="147"/>
      <c r="P35" s="147"/>
      <c r="Q35" s="147"/>
      <c r="R35" s="551">
        <f t="shared" si="7"/>
        <v>537962</v>
      </c>
      <c r="S35" s="147">
        <v>537962</v>
      </c>
      <c r="T35" s="147"/>
      <c r="U35" s="143"/>
    </row>
    <row r="36" spans="1:21" s="144" customFormat="1">
      <c r="A36" s="304" t="s">
        <v>1822</v>
      </c>
      <c r="B36" s="146">
        <f t="shared" si="6"/>
        <v>475000</v>
      </c>
      <c r="C36" s="147">
        <v>475000</v>
      </c>
      <c r="D36" s="147"/>
      <c r="E36" s="147">
        <v>475000</v>
      </c>
      <c r="F36" s="147"/>
      <c r="G36" s="147"/>
      <c r="H36" s="147"/>
      <c r="I36" s="147"/>
      <c r="J36" s="147"/>
      <c r="K36" s="147"/>
      <c r="L36" s="147"/>
      <c r="M36" s="147"/>
      <c r="N36" s="147"/>
      <c r="O36" s="147"/>
      <c r="P36" s="147"/>
      <c r="Q36" s="147"/>
      <c r="R36" s="551">
        <f t="shared" si="7"/>
        <v>475000</v>
      </c>
      <c r="S36" s="147">
        <v>475000</v>
      </c>
      <c r="T36" s="147"/>
      <c r="U36" s="143"/>
    </row>
    <row r="37" spans="1:21" s="144" customFormat="1">
      <c r="A37" s="1202" t="s">
        <v>2722</v>
      </c>
      <c r="B37" s="146">
        <f t="shared" si="6"/>
        <v>1372877</v>
      </c>
      <c r="C37" s="147">
        <v>1372877</v>
      </c>
      <c r="D37" s="147"/>
      <c r="E37" s="147">
        <v>1372877</v>
      </c>
      <c r="F37" s="147"/>
      <c r="G37" s="147"/>
      <c r="H37" s="147"/>
      <c r="I37" s="147"/>
      <c r="J37" s="147"/>
      <c r="K37" s="147"/>
      <c r="L37" s="147"/>
      <c r="M37" s="147"/>
      <c r="N37" s="147"/>
      <c r="O37" s="147"/>
      <c r="P37" s="147"/>
      <c r="Q37" s="147"/>
      <c r="R37" s="551">
        <f t="shared" si="7"/>
        <v>1372877</v>
      </c>
      <c r="S37" s="147">
        <v>1372877</v>
      </c>
      <c r="T37" s="147"/>
      <c r="U37" s="143"/>
    </row>
    <row r="38" spans="1:21" s="144" customFormat="1">
      <c r="A38" s="149" t="s">
        <v>144</v>
      </c>
      <c r="B38" s="146">
        <f t="shared" si="6"/>
        <v>51173179</v>
      </c>
      <c r="C38" s="146">
        <f>SUM(C29:C37)</f>
        <v>51173179</v>
      </c>
      <c r="D38" s="146">
        <f t="shared" ref="D38:Q38" si="8">SUM(D29:D37)</f>
        <v>0</v>
      </c>
      <c r="E38" s="146">
        <f t="shared" si="8"/>
        <v>32694764</v>
      </c>
      <c r="F38" s="146">
        <f t="shared" si="8"/>
        <v>9443954</v>
      </c>
      <c r="G38" s="146">
        <f t="shared" si="8"/>
        <v>6000000</v>
      </c>
      <c r="H38" s="146">
        <f t="shared" si="8"/>
        <v>3034461</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51173179</v>
      </c>
      <c r="S38" s="150">
        <f>SUM(S29:S37)</f>
        <v>51173179</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1100000</v>
      </c>
      <c r="C40" s="147">
        <v>1100000</v>
      </c>
      <c r="D40" s="147"/>
      <c r="E40" s="147">
        <v>1100000</v>
      </c>
      <c r="F40" s="147"/>
      <c r="G40" s="147"/>
      <c r="H40" s="147"/>
      <c r="I40" s="147"/>
      <c r="J40" s="147"/>
      <c r="K40" s="147"/>
      <c r="L40" s="147"/>
      <c r="M40" s="147"/>
      <c r="N40" s="147"/>
      <c r="O40" s="147"/>
      <c r="P40" s="147"/>
      <c r="Q40" s="147"/>
      <c r="R40" s="551">
        <f>SUM(E40:Q40)</f>
        <v>1100000</v>
      </c>
      <c r="S40" s="147">
        <v>1100000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1100000</v>
      </c>
      <c r="C42" s="146">
        <f>SUM(C39:C41)</f>
        <v>1100000</v>
      </c>
      <c r="D42" s="146">
        <f>SUM(D39:D41)</f>
        <v>0</v>
      </c>
      <c r="E42" s="146">
        <f t="shared" ref="E42:T42" si="9">SUM(E40:E41)</f>
        <v>1100000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1100000</v>
      </c>
      <c r="S42" s="150">
        <f t="shared" si="9"/>
        <v>1100000</v>
      </c>
      <c r="T42" s="150">
        <f t="shared" si="9"/>
        <v>0</v>
      </c>
      <c r="U42" s="143"/>
    </row>
    <row r="43" spans="1:21" s="144" customFormat="1">
      <c r="A43" s="149" t="s">
        <v>149</v>
      </c>
      <c r="B43" s="146">
        <f>SUM(C43:D43)</f>
        <v>0</v>
      </c>
      <c r="C43" s="147"/>
      <c r="D43" s="147"/>
      <c r="E43" s="147"/>
      <c r="F43" s="147"/>
      <c r="G43" s="147"/>
      <c r="H43" s="147"/>
      <c r="I43" s="147"/>
      <c r="J43" s="147"/>
      <c r="K43" s="147"/>
      <c r="L43" s="147"/>
      <c r="M43" s="147"/>
      <c r="N43" s="147"/>
      <c r="O43" s="147"/>
      <c r="P43" s="147"/>
      <c r="Q43" s="147"/>
      <c r="R43" s="551">
        <f>SUM(E43:Q43)</f>
        <v>0</v>
      </c>
      <c r="S43" s="147"/>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2990909</v>
      </c>
      <c r="C45" s="147">
        <v>2990909</v>
      </c>
      <c r="D45" s="147"/>
      <c r="E45" s="147">
        <v>2990909</v>
      </c>
      <c r="F45" s="147"/>
      <c r="G45" s="147"/>
      <c r="H45" s="147"/>
      <c r="I45" s="147"/>
      <c r="J45" s="147"/>
      <c r="K45" s="147"/>
      <c r="L45" s="147"/>
      <c r="M45" s="147"/>
      <c r="N45" s="147"/>
      <c r="O45" s="147"/>
      <c r="P45" s="147"/>
      <c r="Q45" s="147"/>
      <c r="R45" s="551">
        <f t="shared" ref="R45:R53" si="11">SUM(E45:Q45)</f>
        <v>2990909</v>
      </c>
      <c r="S45" s="147">
        <v>2295000</v>
      </c>
      <c r="T45" s="147"/>
      <c r="U45" s="143"/>
    </row>
    <row r="46" spans="1:21" s="144" customFormat="1">
      <c r="A46" s="145" t="s">
        <v>152</v>
      </c>
      <c r="B46" s="146">
        <f t="shared" si="10"/>
        <v>503341</v>
      </c>
      <c r="C46" s="147">
        <v>503341</v>
      </c>
      <c r="D46" s="147"/>
      <c r="E46" s="147">
        <v>503341</v>
      </c>
      <c r="F46" s="147"/>
      <c r="G46" s="147"/>
      <c r="H46" s="147"/>
      <c r="I46" s="147"/>
      <c r="J46" s="147"/>
      <c r="K46" s="147"/>
      <c r="L46" s="147"/>
      <c r="M46" s="147"/>
      <c r="N46" s="147"/>
      <c r="O46" s="147"/>
      <c r="P46" s="147"/>
      <c r="Q46" s="147"/>
      <c r="R46" s="551">
        <f t="shared" si="11"/>
        <v>503341</v>
      </c>
      <c r="S46" s="147">
        <v>352000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1">
        <f t="shared" si="11"/>
        <v>0</v>
      </c>
      <c r="S49" s="147"/>
      <c r="T49" s="147"/>
      <c r="U49" s="143"/>
    </row>
    <row r="50" spans="1:21" s="144" customFormat="1">
      <c r="A50" s="145" t="s">
        <v>157</v>
      </c>
      <c r="B50" s="146">
        <f t="shared" si="10"/>
        <v>60000</v>
      </c>
      <c r="C50" s="147">
        <v>60000</v>
      </c>
      <c r="D50" s="147"/>
      <c r="E50" s="147">
        <v>60000</v>
      </c>
      <c r="F50" s="147"/>
      <c r="G50" s="147"/>
      <c r="H50" s="147"/>
      <c r="I50" s="147"/>
      <c r="J50" s="147"/>
      <c r="K50" s="147"/>
      <c r="L50" s="147"/>
      <c r="M50" s="147"/>
      <c r="N50" s="147"/>
      <c r="O50" s="147"/>
      <c r="P50" s="147"/>
      <c r="Q50" s="147"/>
      <c r="R50" s="551">
        <f t="shared" si="11"/>
        <v>60000</v>
      </c>
      <c r="S50" s="147">
        <v>40000</v>
      </c>
      <c r="T50" s="147"/>
      <c r="U50" s="143"/>
    </row>
    <row r="51" spans="1:21" s="144" customFormat="1">
      <c r="A51" s="304" t="s">
        <v>155</v>
      </c>
      <c r="B51" s="146">
        <f t="shared" si="10"/>
        <v>0</v>
      </c>
      <c r="C51" s="147"/>
      <c r="D51" s="147"/>
      <c r="E51" s="147"/>
      <c r="F51" s="147"/>
      <c r="G51" s="147"/>
      <c r="H51" s="147"/>
      <c r="I51" s="147"/>
      <c r="J51" s="147"/>
      <c r="K51" s="147"/>
      <c r="L51" s="147"/>
      <c r="M51" s="147"/>
      <c r="N51" s="147"/>
      <c r="O51" s="147"/>
      <c r="P51" s="147"/>
      <c r="Q51" s="147"/>
      <c r="R51" s="551">
        <f t="shared" si="11"/>
        <v>0</v>
      </c>
      <c r="S51" s="147"/>
      <c r="T51" s="147"/>
      <c r="U51" s="143"/>
    </row>
    <row r="52" spans="1:21" s="144" customFormat="1">
      <c r="A52" s="145" t="s">
        <v>156</v>
      </c>
      <c r="B52" s="146">
        <f t="shared" si="10"/>
        <v>0</v>
      </c>
      <c r="C52" s="147"/>
      <c r="D52" s="147"/>
      <c r="E52" s="147">
        <f>B52</f>
        <v>0</v>
      </c>
      <c r="F52" s="147"/>
      <c r="G52" s="147"/>
      <c r="H52" s="147"/>
      <c r="I52" s="147"/>
      <c r="J52" s="147"/>
      <c r="K52" s="147"/>
      <c r="L52" s="147"/>
      <c r="M52" s="147"/>
      <c r="N52" s="147"/>
      <c r="O52" s="147"/>
      <c r="P52" s="147"/>
      <c r="Q52" s="147"/>
      <c r="R52" s="551">
        <f t="shared" si="11"/>
        <v>0</v>
      </c>
      <c r="S52" s="147">
        <f>C52</f>
        <v>0</v>
      </c>
      <c r="T52" s="147"/>
      <c r="U52" s="143"/>
    </row>
    <row r="53" spans="1:21" s="144" customFormat="1" ht="24">
      <c r="A53" s="1202" t="s">
        <v>2723</v>
      </c>
      <c r="B53" s="146">
        <f t="shared" si="10"/>
        <v>240000</v>
      </c>
      <c r="C53" s="147">
        <f>175000+65000</f>
        <v>240000</v>
      </c>
      <c r="D53" s="147"/>
      <c r="E53" s="147">
        <f>175000+65000</f>
        <v>240000</v>
      </c>
      <c r="F53" s="147"/>
      <c r="G53" s="147"/>
      <c r="H53" s="147"/>
      <c r="I53" s="147"/>
      <c r="J53" s="147"/>
      <c r="K53" s="147"/>
      <c r="L53" s="147"/>
      <c r="M53" s="147"/>
      <c r="N53" s="147"/>
      <c r="O53" s="147"/>
      <c r="P53" s="147"/>
      <c r="Q53" s="147"/>
      <c r="R53" s="551">
        <f t="shared" si="11"/>
        <v>240000</v>
      </c>
      <c r="S53" s="147">
        <v>100000</v>
      </c>
      <c r="T53" s="147"/>
      <c r="U53" s="143"/>
    </row>
    <row r="54" spans="1:21" s="153" customFormat="1">
      <c r="A54" s="149" t="s">
        <v>158</v>
      </c>
      <c r="B54" s="150">
        <f>SUM(C54:D54)</f>
        <v>3794250</v>
      </c>
      <c r="C54" s="150">
        <f t="shared" ref="C54:T54" si="12">SUM(C45:C53)</f>
        <v>3794250</v>
      </c>
      <c r="D54" s="150">
        <f t="shared" si="12"/>
        <v>0</v>
      </c>
      <c r="E54" s="150">
        <f t="shared" si="12"/>
        <v>3794250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3794250</v>
      </c>
      <c r="S54" s="150">
        <f t="shared" si="12"/>
        <v>2787000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51764</v>
      </c>
      <c r="C56" s="147">
        <v>51764</v>
      </c>
      <c r="D56" s="147"/>
      <c r="E56" s="147">
        <v>51764</v>
      </c>
      <c r="F56" s="147"/>
      <c r="G56" s="147"/>
      <c r="H56" s="147"/>
      <c r="I56" s="147"/>
      <c r="J56" s="147"/>
      <c r="K56" s="147"/>
      <c r="L56" s="147"/>
      <c r="M56" s="147"/>
      <c r="N56" s="147"/>
      <c r="O56" s="147"/>
      <c r="P56" s="147"/>
      <c r="Q56" s="147"/>
      <c r="R56" s="551">
        <f t="shared" ref="R56:R61" si="14">SUM(E56:Q56)</f>
        <v>51764</v>
      </c>
      <c r="S56" s="148"/>
      <c r="T56" s="148"/>
      <c r="U56" s="143"/>
    </row>
    <row r="57" spans="1:21" s="204" customFormat="1">
      <c r="A57" s="198" t="s">
        <v>153</v>
      </c>
      <c r="B57" s="205">
        <f t="shared" si="13"/>
        <v>0</v>
      </c>
      <c r="C57" s="202"/>
      <c r="D57" s="202"/>
      <c r="E57" s="202"/>
      <c r="F57" s="202"/>
      <c r="G57" s="202"/>
      <c r="H57" s="202"/>
      <c r="I57" s="202"/>
      <c r="J57" s="202"/>
      <c r="K57" s="202"/>
      <c r="L57" s="202"/>
      <c r="M57" s="202"/>
      <c r="N57" s="202"/>
      <c r="O57" s="202"/>
      <c r="P57" s="202"/>
      <c r="Q57" s="202"/>
      <c r="R57" s="551">
        <f t="shared" si="14"/>
        <v>0</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2724</v>
      </c>
      <c r="B61" s="146">
        <f t="shared" si="13"/>
        <v>230867</v>
      </c>
      <c r="C61" s="147">
        <f>115867+115000</f>
        <v>230867</v>
      </c>
      <c r="D61" s="147"/>
      <c r="E61" s="147">
        <f>115867+115000</f>
        <v>230867</v>
      </c>
      <c r="F61" s="147"/>
      <c r="G61" s="147"/>
      <c r="H61" s="147"/>
      <c r="I61" s="147"/>
      <c r="J61" s="147"/>
      <c r="K61" s="147"/>
      <c r="L61" s="147"/>
      <c r="M61" s="147"/>
      <c r="N61" s="147"/>
      <c r="O61" s="147"/>
      <c r="P61" s="147"/>
      <c r="Q61" s="147"/>
      <c r="R61" s="551">
        <f t="shared" si="14"/>
        <v>230867</v>
      </c>
      <c r="S61" s="148"/>
      <c r="T61" s="148"/>
      <c r="U61" s="143"/>
    </row>
    <row r="62" spans="1:21" s="144" customFormat="1" ht="13.7" customHeight="1">
      <c r="A62" s="149" t="s">
        <v>302</v>
      </c>
      <c r="B62" s="146">
        <f>SUM(C62:D62)</f>
        <v>282631</v>
      </c>
      <c r="C62" s="146">
        <f t="shared" ref="C62:R62" si="15">SUM(C56:C61)</f>
        <v>282631</v>
      </c>
      <c r="D62" s="146">
        <f t="shared" si="15"/>
        <v>0</v>
      </c>
      <c r="E62" s="146">
        <f t="shared" si="15"/>
        <v>282631</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282631</v>
      </c>
      <c r="S62" s="148"/>
      <c r="T62" s="148"/>
      <c r="U62" s="143"/>
    </row>
    <row r="63" spans="1:21" s="144" customFormat="1">
      <c r="A63" s="154" t="s">
        <v>303</v>
      </c>
      <c r="B63" s="146">
        <f t="shared" ref="B63:R63" si="16">SUM(B8+B11+B13+B14+B15+B26+B27+B38+B42+B43+B54+B62)</f>
        <v>62802294</v>
      </c>
      <c r="C63" s="146">
        <f t="shared" si="16"/>
        <v>62802294</v>
      </c>
      <c r="D63" s="146">
        <f t="shared" si="16"/>
        <v>0</v>
      </c>
      <c r="E63" s="146">
        <f t="shared" si="16"/>
        <v>42358340</v>
      </c>
      <c r="F63" s="146">
        <f t="shared" si="16"/>
        <v>9443954</v>
      </c>
      <c r="G63" s="146">
        <f t="shared" si="16"/>
        <v>6000000</v>
      </c>
      <c r="H63" s="146">
        <f t="shared" si="16"/>
        <v>5000000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62802294</v>
      </c>
      <c r="S63" s="146">
        <f>SUM(S10+S13+S14+S15+S26+S27+S38+S42+S43+S54)</f>
        <v>59546874</v>
      </c>
      <c r="T63" s="146">
        <f>SUM(T11+T13+T14+T15+T26+T27+T38+T42+T43+T54)</f>
        <v>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70000</v>
      </c>
      <c r="C65" s="147">
        <v>70000</v>
      </c>
      <c r="D65" s="147"/>
      <c r="E65" s="147">
        <v>70000</v>
      </c>
      <c r="F65" s="147"/>
      <c r="G65" s="147"/>
      <c r="H65" s="147"/>
      <c r="I65" s="147"/>
      <c r="J65" s="147"/>
      <c r="K65" s="147"/>
      <c r="L65" s="147"/>
      <c r="M65" s="147"/>
      <c r="N65" s="147"/>
      <c r="O65" s="147"/>
      <c r="P65" s="147"/>
      <c r="Q65" s="147"/>
      <c r="R65" s="551">
        <f>SUM(E65:Q65)</f>
        <v>70000</v>
      </c>
      <c r="S65" s="147">
        <v>70000</v>
      </c>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2725</v>
      </c>
      <c r="B69" s="146">
        <f>SUM(C69+D69)</f>
        <v>120000</v>
      </c>
      <c r="C69" s="147">
        <v>120000</v>
      </c>
      <c r="D69" s="147"/>
      <c r="E69" s="147">
        <v>120000</v>
      </c>
      <c r="F69" s="147"/>
      <c r="G69" s="147"/>
      <c r="H69" s="147"/>
      <c r="I69" s="147"/>
      <c r="J69" s="147"/>
      <c r="K69" s="147"/>
      <c r="L69" s="147"/>
      <c r="M69" s="147"/>
      <c r="N69" s="147"/>
      <c r="O69" s="147"/>
      <c r="P69" s="147"/>
      <c r="Q69" s="147"/>
      <c r="R69" s="551">
        <f>SUM(E69:Q69)</f>
        <v>120000</v>
      </c>
      <c r="S69" s="147">
        <v>90000</v>
      </c>
      <c r="T69" s="147"/>
      <c r="U69" s="143"/>
    </row>
    <row r="70" spans="1:21" s="144" customFormat="1">
      <c r="A70" s="149" t="s">
        <v>1827</v>
      </c>
      <c r="B70" s="146">
        <f>SUM(C70:D70)</f>
        <v>190000</v>
      </c>
      <c r="C70" s="146">
        <f>SUM(C65:C69)</f>
        <v>190000</v>
      </c>
      <c r="D70" s="146">
        <f>SUM(D65:D69)</f>
        <v>0</v>
      </c>
      <c r="E70" s="146">
        <f t="shared" ref="E70:T70" si="17">SUM(E65:E69)</f>
        <v>190000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190000</v>
      </c>
      <c r="S70" s="150">
        <f t="shared" si="17"/>
        <v>160000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391291</v>
      </c>
      <c r="C75" s="147">
        <v>391291</v>
      </c>
      <c r="D75" s="147"/>
      <c r="E75" s="147">
        <v>391291</v>
      </c>
      <c r="F75" s="147"/>
      <c r="G75" s="147"/>
      <c r="H75" s="147"/>
      <c r="I75" s="147"/>
      <c r="J75" s="147"/>
      <c r="K75" s="147"/>
      <c r="L75" s="147"/>
      <c r="M75" s="147"/>
      <c r="N75" s="147"/>
      <c r="O75" s="147"/>
      <c r="P75" s="147"/>
      <c r="Q75" s="147"/>
      <c r="R75" s="551">
        <f>SUM(E75:Q75)</f>
        <v>391291</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391291</v>
      </c>
      <c r="C77" s="146">
        <f>SUM(C72:C76)</f>
        <v>391291</v>
      </c>
      <c r="D77" s="146">
        <f>SUM(D72:D76)</f>
        <v>0</v>
      </c>
      <c r="E77" s="146">
        <f t="shared" ref="E77:Q77" si="18">SUM(E72:E76)</f>
        <v>391291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391291</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2716711</v>
      </c>
      <c r="C79" s="147">
        <v>2716711</v>
      </c>
      <c r="D79" s="147"/>
      <c r="E79" s="147">
        <v>2716711</v>
      </c>
      <c r="F79" s="147"/>
      <c r="G79" s="147"/>
      <c r="H79" s="147"/>
      <c r="I79" s="147"/>
      <c r="J79" s="147"/>
      <c r="K79" s="147"/>
      <c r="L79" s="147"/>
      <c r="M79" s="147"/>
      <c r="N79" s="147"/>
      <c r="O79" s="147"/>
      <c r="P79" s="147"/>
      <c r="Q79" s="147"/>
      <c r="R79" s="551">
        <f>SUM(E79:Q79)</f>
        <v>2716711</v>
      </c>
      <c r="S79" s="147">
        <v>2716711</v>
      </c>
      <c r="T79" s="147"/>
      <c r="U79" s="143"/>
    </row>
    <row r="80" spans="1:21" s="144" customFormat="1">
      <c r="A80" s="304" t="s">
        <v>58</v>
      </c>
      <c r="B80" s="146">
        <f>SUM(C80:D80)</f>
        <v>406940</v>
      </c>
      <c r="C80" s="147">
        <v>406940</v>
      </c>
      <c r="D80" s="147"/>
      <c r="E80" s="147">
        <v>406940</v>
      </c>
      <c r="F80" s="147"/>
      <c r="G80" s="147"/>
      <c r="H80" s="147"/>
      <c r="I80" s="147"/>
      <c r="J80" s="147"/>
      <c r="K80" s="147"/>
      <c r="L80" s="147"/>
      <c r="M80" s="147"/>
      <c r="N80" s="147"/>
      <c r="O80" s="147"/>
      <c r="P80" s="147"/>
      <c r="Q80" s="147"/>
      <c r="R80" s="551">
        <f>SUM(E80:Q80)</f>
        <v>406940</v>
      </c>
      <c r="S80" s="147">
        <v>206940</v>
      </c>
      <c r="T80" s="147"/>
      <c r="U80" s="143"/>
    </row>
    <row r="81" spans="1:21" s="144" customFormat="1">
      <c r="A81" s="149" t="s">
        <v>1352</v>
      </c>
      <c r="B81" s="146">
        <f>SUM(C81:D81)</f>
        <v>3123651</v>
      </c>
      <c r="C81" s="544">
        <f>SUM(C79:C80)</f>
        <v>3123651</v>
      </c>
      <c r="D81" s="544">
        <f t="shared" ref="D81:T81" si="19">SUM(D79:D80)</f>
        <v>0</v>
      </c>
      <c r="E81" s="544">
        <f t="shared" si="19"/>
        <v>3123651</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3123651</v>
      </c>
      <c r="S81" s="544">
        <f t="shared" si="19"/>
        <v>2923651</v>
      </c>
      <c r="T81" s="544">
        <f t="shared" si="19"/>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2520</v>
      </c>
      <c r="B83" s="146">
        <f t="shared" ref="B83:B95" si="20">SUM(C83+D83)</f>
        <v>88225</v>
      </c>
      <c r="C83" s="147">
        <v>88225</v>
      </c>
      <c r="D83" s="147"/>
      <c r="E83" s="147">
        <v>88225</v>
      </c>
      <c r="F83" s="147"/>
      <c r="G83" s="147"/>
      <c r="H83" s="147"/>
      <c r="I83" s="147"/>
      <c r="J83" s="147"/>
      <c r="K83" s="147"/>
      <c r="L83" s="147"/>
      <c r="M83" s="147"/>
      <c r="N83" s="147"/>
      <c r="O83" s="147"/>
      <c r="P83" s="147"/>
      <c r="Q83" s="147"/>
      <c r="R83" s="551">
        <f t="shared" ref="R83:R95" si="21">SUM(E83:Q83)</f>
        <v>88225</v>
      </c>
      <c r="S83" s="148"/>
      <c r="T83" s="148"/>
      <c r="U83" s="143"/>
    </row>
    <row r="84" spans="1:21" s="144" customFormat="1">
      <c r="A84" s="145" t="s">
        <v>791</v>
      </c>
      <c r="B84" s="146">
        <f t="shared" si="20"/>
        <v>0</v>
      </c>
      <c r="C84" s="147"/>
      <c r="D84" s="147"/>
      <c r="E84" s="147"/>
      <c r="F84" s="147"/>
      <c r="G84" s="147"/>
      <c r="H84" s="147"/>
      <c r="I84" s="147"/>
      <c r="J84" s="147"/>
      <c r="K84" s="147"/>
      <c r="L84" s="147"/>
      <c r="M84" s="147"/>
      <c r="N84" s="147"/>
      <c r="O84" s="147"/>
      <c r="P84" s="147"/>
      <c r="Q84" s="147"/>
      <c r="R84" s="551">
        <f t="shared" si="21"/>
        <v>0</v>
      </c>
      <c r="S84" s="147"/>
      <c r="T84" s="147"/>
      <c r="U84" s="143"/>
    </row>
    <row r="85" spans="1:21" s="144" customFormat="1">
      <c r="A85" s="145" t="s">
        <v>792</v>
      </c>
      <c r="B85" s="146">
        <f t="shared" si="20"/>
        <v>2127315</v>
      </c>
      <c r="C85" s="147">
        <v>2127315</v>
      </c>
      <c r="D85" s="147"/>
      <c r="E85" s="147"/>
      <c r="F85" s="147">
        <v>2127315</v>
      </c>
      <c r="G85" s="147"/>
      <c r="H85" s="147"/>
      <c r="I85" s="147"/>
      <c r="J85" s="147"/>
      <c r="K85" s="147"/>
      <c r="L85" s="147"/>
      <c r="M85" s="147"/>
      <c r="N85" s="147"/>
      <c r="O85" s="147"/>
      <c r="P85" s="147"/>
      <c r="Q85" s="147"/>
      <c r="R85" s="551">
        <f t="shared" si="21"/>
        <v>2127315</v>
      </c>
      <c r="S85" s="147">
        <v>2127315</v>
      </c>
      <c r="T85" s="147"/>
      <c r="U85" s="143"/>
    </row>
    <row r="86" spans="1:21" s="144" customFormat="1">
      <c r="A86" s="145" t="s">
        <v>793</v>
      </c>
      <c r="B86" s="146">
        <f t="shared" si="20"/>
        <v>513000</v>
      </c>
      <c r="C86" s="147">
        <v>513000</v>
      </c>
      <c r="D86" s="147"/>
      <c r="E86" s="147">
        <v>513000</v>
      </c>
      <c r="F86" s="147"/>
      <c r="G86" s="147"/>
      <c r="H86" s="147"/>
      <c r="I86" s="147"/>
      <c r="J86" s="147"/>
      <c r="K86" s="147"/>
      <c r="L86" s="147"/>
      <c r="M86" s="147"/>
      <c r="N86" s="147"/>
      <c r="O86" s="147"/>
      <c r="P86" s="147"/>
      <c r="Q86" s="147"/>
      <c r="R86" s="551">
        <f t="shared" si="21"/>
        <v>513000</v>
      </c>
      <c r="S86" s="147">
        <v>513000</v>
      </c>
      <c r="T86" s="147"/>
      <c r="U86" s="143"/>
    </row>
    <row r="87" spans="1:21" s="144" customFormat="1">
      <c r="A87" s="145" t="s">
        <v>794</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795</v>
      </c>
      <c r="B88" s="146">
        <f t="shared" si="20"/>
        <v>125000</v>
      </c>
      <c r="C88" s="147">
        <v>125000</v>
      </c>
      <c r="D88" s="147"/>
      <c r="E88" s="147">
        <v>125000</v>
      </c>
      <c r="F88" s="147"/>
      <c r="G88" s="147"/>
      <c r="H88" s="147"/>
      <c r="I88" s="147"/>
      <c r="J88" s="147"/>
      <c r="K88" s="147"/>
      <c r="L88" s="147"/>
      <c r="M88" s="147"/>
      <c r="N88" s="147"/>
      <c r="O88" s="147"/>
      <c r="P88" s="147"/>
      <c r="Q88" s="147"/>
      <c r="R88" s="551">
        <f t="shared" si="21"/>
        <v>125000</v>
      </c>
      <c r="S88" s="148"/>
      <c r="T88" s="148"/>
      <c r="U88" s="143"/>
    </row>
    <row r="89" spans="1:21" s="144" customFormat="1">
      <c r="A89" s="145" t="s">
        <v>796</v>
      </c>
      <c r="B89" s="146">
        <f>SUM(C89+D89)</f>
        <v>70000</v>
      </c>
      <c r="C89" s="147">
        <v>70000</v>
      </c>
      <c r="D89" s="147"/>
      <c r="E89" s="147">
        <v>70000</v>
      </c>
      <c r="F89" s="147"/>
      <c r="G89" s="147"/>
      <c r="H89" s="147"/>
      <c r="I89" s="147"/>
      <c r="J89" s="147"/>
      <c r="K89" s="147"/>
      <c r="L89" s="147"/>
      <c r="M89" s="147"/>
      <c r="N89" s="147"/>
      <c r="O89" s="147"/>
      <c r="P89" s="147"/>
      <c r="Q89" s="147"/>
      <c r="R89" s="551">
        <f t="shared" si="21"/>
        <v>70000</v>
      </c>
      <c r="S89" s="147">
        <v>70000</v>
      </c>
      <c r="T89" s="147"/>
      <c r="U89" s="143"/>
    </row>
    <row r="90" spans="1:21" s="144" customFormat="1">
      <c r="A90" s="145" t="s">
        <v>797</v>
      </c>
      <c r="B90" s="146">
        <f>SUM(C90+D90)</f>
        <v>15000</v>
      </c>
      <c r="C90" s="147">
        <v>15000</v>
      </c>
      <c r="D90" s="147"/>
      <c r="E90" s="147">
        <v>15000</v>
      </c>
      <c r="F90" s="147"/>
      <c r="G90" s="147"/>
      <c r="H90" s="147"/>
      <c r="I90" s="147"/>
      <c r="J90" s="147"/>
      <c r="K90" s="147"/>
      <c r="L90" s="147"/>
      <c r="M90" s="147"/>
      <c r="N90" s="147"/>
      <c r="O90" s="147"/>
      <c r="P90" s="147"/>
      <c r="Q90" s="147"/>
      <c r="R90" s="551">
        <f t="shared" si="21"/>
        <v>15000</v>
      </c>
      <c r="S90" s="147">
        <v>15000</v>
      </c>
      <c r="T90" s="147"/>
      <c r="U90" s="143"/>
    </row>
    <row r="91" spans="1:21" s="144" customFormat="1">
      <c r="A91" s="145" t="s">
        <v>373</v>
      </c>
      <c r="B91" s="146">
        <f t="shared" si="20"/>
        <v>80000</v>
      </c>
      <c r="C91" s="147">
        <v>80000</v>
      </c>
      <c r="D91" s="147"/>
      <c r="E91" s="147">
        <v>80000</v>
      </c>
      <c r="F91" s="147"/>
      <c r="G91" s="147"/>
      <c r="H91" s="147"/>
      <c r="I91" s="147"/>
      <c r="J91" s="147"/>
      <c r="K91" s="147"/>
      <c r="L91" s="147"/>
      <c r="M91" s="147"/>
      <c r="N91" s="147"/>
      <c r="O91" s="147"/>
      <c r="P91" s="147"/>
      <c r="Q91" s="147"/>
      <c r="R91" s="551">
        <f t="shared" si="21"/>
        <v>80000</v>
      </c>
      <c r="S91" s="147">
        <v>80000</v>
      </c>
      <c r="T91" s="147"/>
      <c r="U91" s="143"/>
    </row>
    <row r="92" spans="1:21" s="144" customFormat="1">
      <c r="A92" s="304" t="s">
        <v>1354</v>
      </c>
      <c r="B92" s="146">
        <f t="shared" si="20"/>
        <v>5000</v>
      </c>
      <c r="C92" s="147">
        <v>5000</v>
      </c>
      <c r="D92" s="147"/>
      <c r="E92" s="147">
        <v>5000</v>
      </c>
      <c r="F92" s="147"/>
      <c r="G92" s="147"/>
      <c r="H92" s="147"/>
      <c r="I92" s="147"/>
      <c r="J92" s="147"/>
      <c r="K92" s="147"/>
      <c r="L92" s="147"/>
      <c r="M92" s="147"/>
      <c r="N92" s="147"/>
      <c r="O92" s="147"/>
      <c r="P92" s="147"/>
      <c r="Q92" s="147"/>
      <c r="R92" s="551">
        <f t="shared" si="21"/>
        <v>5000</v>
      </c>
      <c r="S92" s="147">
        <v>5000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798</v>
      </c>
      <c r="B96" s="146">
        <f>SUM(C96:D96)</f>
        <v>3023540</v>
      </c>
      <c r="C96" s="146">
        <f t="shared" ref="C96:R96" si="22">SUM(C83:C95)</f>
        <v>3023540</v>
      </c>
      <c r="D96" s="146">
        <f t="shared" si="22"/>
        <v>0</v>
      </c>
      <c r="E96" s="146">
        <f t="shared" si="22"/>
        <v>896225</v>
      </c>
      <c r="F96" s="146">
        <f t="shared" si="22"/>
        <v>2127315</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3023540</v>
      </c>
      <c r="S96" s="150">
        <f>SUM(S84:S87,S89:S95)</f>
        <v>2810315</v>
      </c>
      <c r="T96" s="146">
        <f>SUM(T84:T87,T89:T95)</f>
        <v>0</v>
      </c>
      <c r="U96" s="143"/>
    </row>
    <row r="97" spans="1:21" s="144" customFormat="1">
      <c r="A97" s="149" t="s">
        <v>799</v>
      </c>
      <c r="B97" s="146">
        <f>SUM(C97:D97)</f>
        <v>69530776</v>
      </c>
      <c r="C97" s="146">
        <f t="shared" ref="C97:R97" si="23">SUM(C63+C70+C77+C81+C96)</f>
        <v>69530776</v>
      </c>
      <c r="D97" s="146">
        <f t="shared" si="23"/>
        <v>0</v>
      </c>
      <c r="E97" s="146">
        <f t="shared" si="23"/>
        <v>46959507</v>
      </c>
      <c r="F97" s="146">
        <f t="shared" si="23"/>
        <v>11571269</v>
      </c>
      <c r="G97" s="146">
        <f t="shared" si="23"/>
        <v>6000000</v>
      </c>
      <c r="H97" s="146">
        <f t="shared" si="23"/>
        <v>5000000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69530776</v>
      </c>
      <c r="S97" s="146">
        <f>SUM(S63+S70+S81+S96)</f>
        <v>65440840</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4869523</v>
      </c>
      <c r="C99" s="1016">
        <v>4869523</v>
      </c>
      <c r="D99" s="1016"/>
      <c r="E99" s="1016">
        <f>2754157</f>
        <v>2754157</v>
      </c>
      <c r="F99" s="147"/>
      <c r="G99" s="147"/>
      <c r="H99" s="147"/>
      <c r="I99" s="147">
        <f>2115366</f>
        <v>2115366</v>
      </c>
      <c r="J99" s="147"/>
      <c r="K99" s="147"/>
      <c r="L99" s="147"/>
      <c r="M99" s="147"/>
      <c r="N99" s="147"/>
      <c r="O99" s="147"/>
      <c r="P99" s="147"/>
      <c r="Q99" s="147"/>
      <c r="R99" s="551">
        <f>SUM(E99:Q99)</f>
        <v>4869523</v>
      </c>
      <c r="S99" s="147">
        <v>4869523</v>
      </c>
      <c r="T99" s="147"/>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4869523</v>
      </c>
      <c r="C104" s="146">
        <f>SUM(C99:C103)</f>
        <v>4869523</v>
      </c>
      <c r="D104" s="146">
        <f t="shared" ref="D104:T104" si="24">SUM(D99:D103)</f>
        <v>0</v>
      </c>
      <c r="E104" s="146">
        <f t="shared" si="24"/>
        <v>2754157</v>
      </c>
      <c r="F104" s="146">
        <f t="shared" si="24"/>
        <v>0</v>
      </c>
      <c r="G104" s="146">
        <f t="shared" si="24"/>
        <v>0</v>
      </c>
      <c r="H104" s="146">
        <f t="shared" si="24"/>
        <v>0</v>
      </c>
      <c r="I104" s="146">
        <f t="shared" si="24"/>
        <v>2115366</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4869523</v>
      </c>
      <c r="S104" s="150">
        <f t="shared" si="24"/>
        <v>4869523</v>
      </c>
      <c r="T104" s="150">
        <f t="shared" si="24"/>
        <v>0</v>
      </c>
      <c r="U104" s="143"/>
    </row>
    <row r="105" spans="1:21" s="144" customFormat="1">
      <c r="A105" s="149" t="s">
        <v>804</v>
      </c>
      <c r="B105" s="150">
        <f>SUM(C105:D105)</f>
        <v>74400299</v>
      </c>
      <c r="C105" s="150">
        <f t="shared" ref="C105:R105" si="25">SUM(C97+C104)</f>
        <v>74400299</v>
      </c>
      <c r="D105" s="150">
        <f t="shared" si="25"/>
        <v>0</v>
      </c>
      <c r="E105" s="150">
        <f t="shared" si="25"/>
        <v>49713664</v>
      </c>
      <c r="F105" s="150">
        <f t="shared" si="25"/>
        <v>11571269</v>
      </c>
      <c r="G105" s="150">
        <f t="shared" si="25"/>
        <v>6000000</v>
      </c>
      <c r="H105" s="150">
        <f t="shared" si="25"/>
        <v>5000000</v>
      </c>
      <c r="I105" s="150">
        <f t="shared" si="25"/>
        <v>2115366</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74400299</v>
      </c>
      <c r="S105" s="150">
        <f>S97+S104</f>
        <v>70310363</v>
      </c>
      <c r="T105" s="150">
        <f>T97+T104</f>
        <v>0</v>
      </c>
      <c r="U105" s="143"/>
    </row>
    <row r="106" spans="1:21">
      <c r="A106" s="549" t="s">
        <v>1081</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70310363</v>
      </c>
      <c r="T107" s="150">
        <f>T105+T106</f>
        <v>0</v>
      </c>
    </row>
    <row r="108" spans="1:21" s="201" customFormat="1">
      <c r="A108" s="162" t="s">
        <v>908</v>
      </c>
      <c r="B108" s="157"/>
      <c r="C108" s="157"/>
      <c r="D108" s="157"/>
      <c r="E108" s="323">
        <f>Application!AO636</f>
        <v>49713664</v>
      </c>
      <c r="F108" s="323">
        <f>Application!AO623</f>
        <v>11571269</v>
      </c>
      <c r="G108" s="323">
        <f>Application!AO624</f>
        <v>6000000</v>
      </c>
      <c r="H108" s="323">
        <f>Application!AO625</f>
        <v>5000000</v>
      </c>
      <c r="I108" s="323">
        <f>Application!AO626</f>
        <v>2115366</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2521</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68" t="s">
        <v>1047</v>
      </c>
      <c r="E122" s="1868"/>
      <c r="F122" s="1868"/>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70" t="s">
        <v>1372</v>
      </c>
      <c r="E123" s="1871"/>
      <c r="F123" s="1871"/>
      <c r="G123" s="1871"/>
      <c r="H123" s="1871"/>
      <c r="I123" s="1871"/>
      <c r="J123" s="1871"/>
      <c r="K123" s="1871"/>
      <c r="L123" s="1871"/>
      <c r="M123" s="1871"/>
      <c r="N123" s="1871"/>
      <c r="O123" s="1871"/>
      <c r="P123" s="1871"/>
      <c r="Q123" s="1871"/>
      <c r="R123" s="1871"/>
      <c r="S123" s="1871"/>
      <c r="T123" s="353"/>
      <c r="U123" s="355"/>
    </row>
    <row r="124" spans="1:21" ht="12.75">
      <c r="A124" s="117" t="s">
        <v>1049</v>
      </c>
      <c r="B124" s="362"/>
      <c r="C124" s="117"/>
      <c r="D124" s="1871"/>
      <c r="E124" s="1871"/>
      <c r="F124" s="1871"/>
      <c r="G124" s="1871"/>
      <c r="H124" s="1871"/>
      <c r="I124" s="1871"/>
      <c r="J124" s="1871"/>
      <c r="K124" s="1871"/>
      <c r="L124" s="1871"/>
      <c r="M124" s="1871"/>
      <c r="N124" s="1871"/>
      <c r="O124" s="1871"/>
      <c r="P124" s="1871"/>
      <c r="Q124" s="1871"/>
      <c r="R124" s="1871"/>
      <c r="S124" s="1871"/>
      <c r="T124" s="353"/>
      <c r="U124" s="355"/>
    </row>
    <row r="125" spans="1:21" ht="12.75">
      <c r="A125" s="117" t="s">
        <v>1050</v>
      </c>
      <c r="B125" s="362"/>
      <c r="C125" s="117"/>
      <c r="D125" s="1871"/>
      <c r="E125" s="1871"/>
      <c r="F125" s="1871"/>
      <c r="G125" s="1871"/>
      <c r="H125" s="1871"/>
      <c r="I125" s="1871"/>
      <c r="J125" s="1871"/>
      <c r="K125" s="1871"/>
      <c r="L125" s="1871"/>
      <c r="M125" s="1871"/>
      <c r="N125" s="1871"/>
      <c r="O125" s="1871"/>
      <c r="P125" s="1871"/>
      <c r="Q125" s="1871"/>
      <c r="R125" s="1871"/>
      <c r="S125" s="1871"/>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65"/>
      <c r="E128" s="1865"/>
      <c r="F128" s="1865"/>
      <c r="G128" s="1865"/>
      <c r="H128" s="1865"/>
      <c r="I128" s="117"/>
      <c r="J128" s="1866"/>
      <c r="K128" s="1866"/>
      <c r="L128" s="117"/>
      <c r="M128" s="117"/>
      <c r="N128" s="117"/>
      <c r="O128" s="117"/>
      <c r="P128" s="117"/>
      <c r="Q128" s="117"/>
      <c r="R128" s="117"/>
      <c r="S128" s="117"/>
      <c r="T128" s="353"/>
      <c r="U128" s="355"/>
    </row>
    <row r="129" spans="1:21" ht="12.75">
      <c r="A129" s="117" t="s">
        <v>301</v>
      </c>
      <c r="B129" s="362"/>
      <c r="C129" s="117"/>
      <c r="D129" s="1867" t="s">
        <v>1054</v>
      </c>
      <c r="E129" s="1867"/>
      <c r="F129" s="1867"/>
      <c r="G129" s="1867"/>
      <c r="H129" s="1867"/>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840"/>
      <c r="E131" s="1840"/>
      <c r="F131" s="1840"/>
      <c r="G131" s="1840"/>
      <c r="H131" s="1840"/>
      <c r="I131" s="117"/>
      <c r="J131" s="1840"/>
      <c r="K131" s="1840"/>
      <c r="L131" s="1840"/>
      <c r="M131" s="1840"/>
      <c r="N131" s="117"/>
      <c r="O131" s="117"/>
      <c r="P131" s="117"/>
      <c r="Q131" s="117"/>
      <c r="R131" s="117"/>
      <c r="S131" s="117"/>
      <c r="T131" s="353"/>
      <c r="U131" s="355"/>
    </row>
    <row r="132" spans="1:21" ht="12" customHeight="1">
      <c r="A132" s="365"/>
      <c r="B132" s="117"/>
      <c r="C132" s="117"/>
      <c r="D132" s="1872" t="s">
        <v>1057</v>
      </c>
      <c r="E132" s="1872"/>
      <c r="F132" s="1872"/>
      <c r="G132" s="1872"/>
      <c r="H132" s="1872"/>
      <c r="I132" s="117"/>
      <c r="J132" s="1872" t="s">
        <v>1058</v>
      </c>
      <c r="K132" s="1872"/>
      <c r="L132" s="1872"/>
      <c r="M132" s="187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3"/>
      <c r="B138" s="1865"/>
      <c r="C138" s="1865"/>
      <c r="D138" s="357"/>
      <c r="E138" s="1866"/>
      <c r="F138" s="1866"/>
      <c r="G138" s="117"/>
      <c r="H138" s="117"/>
      <c r="I138" s="117"/>
      <c r="J138" s="117"/>
      <c r="K138" s="117"/>
      <c r="L138" s="117"/>
      <c r="M138" s="117"/>
      <c r="N138" s="117"/>
      <c r="O138" s="117"/>
      <c r="P138" s="117"/>
      <c r="Q138" s="117"/>
      <c r="R138" s="117"/>
      <c r="S138" s="117"/>
      <c r="T138" s="359"/>
      <c r="U138" s="360"/>
    </row>
    <row r="139" spans="1:21" ht="12.75">
      <c r="A139" s="1869" t="s">
        <v>1061</v>
      </c>
      <c r="B139" s="1869"/>
      <c r="C139" s="1869"/>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6" t="s">
        <v>1375</v>
      </c>
      <c r="B1" s="1877"/>
      <c r="C1" s="1877"/>
      <c r="D1" s="1877"/>
      <c r="E1" s="1877"/>
      <c r="F1" s="1877"/>
      <c r="G1" s="1877"/>
      <c r="H1" s="1877"/>
      <c r="I1" s="1877"/>
      <c r="J1" s="1878"/>
      <c r="K1" s="387"/>
    </row>
    <row r="2" spans="1:11" s="433" customFormat="1" ht="72">
      <c r="A2" s="430"/>
      <c r="B2" s="431" t="s">
        <v>1088</v>
      </c>
      <c r="C2" s="431" t="s">
        <v>1377</v>
      </c>
      <c r="D2" s="431" t="s">
        <v>1378</v>
      </c>
      <c r="E2" s="431" t="s">
        <v>1299</v>
      </c>
      <c r="F2" s="431" t="s">
        <v>1379</v>
      </c>
      <c r="G2" s="431" t="s">
        <v>1380</v>
      </c>
      <c r="H2" s="431" t="s">
        <v>1089</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1965539</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1965539</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4486695</v>
      </c>
      <c r="C10" s="394"/>
      <c r="D10" s="394"/>
      <c r="E10" s="393">
        <f>'Sources and Uses Budget'!S10</f>
        <v>4486695</v>
      </c>
      <c r="F10" s="394"/>
      <c r="G10" s="394"/>
      <c r="H10" s="393">
        <f>'Sources and Uses Budget'!T10</f>
        <v>0</v>
      </c>
      <c r="I10" s="394"/>
      <c r="J10" s="394"/>
      <c r="K10" s="391"/>
    </row>
    <row r="11" spans="1:11" s="392" customFormat="1">
      <c r="A11" s="397" t="s">
        <v>605</v>
      </c>
      <c r="B11" s="393">
        <f>'Sources and Uses Budget'!C11</f>
        <v>4486695</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6452234</v>
      </c>
      <c r="C12" s="393">
        <f>SUM(C8+C11)</f>
        <v>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Solar &amp; Performance Bond</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8953428</v>
      </c>
      <c r="C29" s="394"/>
      <c r="D29" s="394"/>
      <c r="E29" s="393">
        <f>'Sources and Uses Budget'!S29</f>
        <v>8953428</v>
      </c>
      <c r="F29" s="394"/>
      <c r="G29" s="394"/>
      <c r="H29" s="393">
        <f>'Sources and Uses Budget'!T29</f>
        <v>0</v>
      </c>
      <c r="I29" s="394"/>
      <c r="J29" s="394"/>
      <c r="K29" s="391"/>
    </row>
    <row r="30" spans="1:11" s="392" customFormat="1">
      <c r="A30" s="145" t="s">
        <v>608</v>
      </c>
      <c r="B30" s="393">
        <f>'Sources and Uses Budget'!C30</f>
        <v>33184657</v>
      </c>
      <c r="C30" s="394"/>
      <c r="D30" s="394"/>
      <c r="E30" s="393">
        <f>'Sources and Uses Budget'!S30</f>
        <v>33184657</v>
      </c>
      <c r="F30" s="394"/>
      <c r="G30" s="394"/>
      <c r="H30" s="393">
        <f>'Sources and Uses Budget'!T30</f>
        <v>0</v>
      </c>
      <c r="I30" s="394"/>
      <c r="J30" s="394"/>
      <c r="K30" s="391"/>
    </row>
    <row r="31" spans="1:11" s="392" customFormat="1">
      <c r="A31" s="145" t="s">
        <v>609</v>
      </c>
      <c r="B31" s="393">
        <f>'Sources and Uses Budget'!C31</f>
        <v>2831381</v>
      </c>
      <c r="C31" s="394"/>
      <c r="D31" s="394"/>
      <c r="E31" s="393">
        <f>'Sources and Uses Budget'!S31</f>
        <v>2831381</v>
      </c>
      <c r="F31" s="394"/>
      <c r="G31" s="394"/>
      <c r="H31" s="393">
        <f>'Sources and Uses Budget'!T31</f>
        <v>0</v>
      </c>
      <c r="I31" s="394"/>
      <c r="J31" s="394"/>
      <c r="K31" s="391"/>
    </row>
    <row r="32" spans="1:11" s="392" customFormat="1">
      <c r="A32" s="145" t="s">
        <v>138</v>
      </c>
      <c r="B32" s="393">
        <f>'Sources and Uses Budget'!C32</f>
        <v>3775174</v>
      </c>
      <c r="C32" s="394"/>
      <c r="D32" s="394"/>
      <c r="E32" s="393">
        <f>'Sources and Uses Budget'!S32</f>
        <v>3775174</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42700</v>
      </c>
      <c r="C34" s="394"/>
      <c r="D34" s="394"/>
      <c r="E34" s="393">
        <f>'Sources and Uses Budget'!S34</f>
        <v>42700</v>
      </c>
      <c r="F34" s="394"/>
      <c r="G34" s="394"/>
      <c r="H34" s="393">
        <f>'Sources and Uses Budget'!T34</f>
        <v>0</v>
      </c>
      <c r="I34" s="394"/>
      <c r="J34" s="394"/>
      <c r="K34" s="391"/>
    </row>
    <row r="35" spans="1:11" s="392" customFormat="1">
      <c r="A35" s="145" t="s">
        <v>141</v>
      </c>
      <c r="B35" s="393">
        <f>'Sources and Uses Budget'!C35</f>
        <v>537962</v>
      </c>
      <c r="C35" s="394"/>
      <c r="D35" s="394"/>
      <c r="E35" s="393">
        <f>'Sources and Uses Budget'!S35</f>
        <v>537962</v>
      </c>
      <c r="F35" s="394"/>
      <c r="G35" s="394"/>
      <c r="H35" s="393">
        <f>'Sources and Uses Budget'!T35</f>
        <v>0</v>
      </c>
      <c r="I35" s="394"/>
      <c r="J35" s="394"/>
      <c r="K35" s="391"/>
    </row>
    <row r="36" spans="1:11" s="392" customFormat="1">
      <c r="A36" s="543" t="s">
        <v>1822</v>
      </c>
      <c r="B36" s="393">
        <f>'Sources and Uses Budget'!C36</f>
        <v>475000</v>
      </c>
      <c r="C36" s="394"/>
      <c r="D36" s="394"/>
      <c r="E36" s="393">
        <f>'Sources and Uses Budget'!S36</f>
        <v>475000</v>
      </c>
      <c r="F36" s="394"/>
      <c r="G36" s="394"/>
      <c r="H36" s="393">
        <f>'Sources and Uses Budget'!T36</f>
        <v>0</v>
      </c>
      <c r="I36" s="394"/>
      <c r="J36" s="394"/>
      <c r="K36" s="391"/>
    </row>
    <row r="37" spans="1:11" s="392" customFormat="1">
      <c r="A37" s="396" t="str">
        <f>'Sources and Uses Budget'!$A37</f>
        <v>Solar &amp; Performance Bond</v>
      </c>
      <c r="B37" s="393">
        <f>'Sources and Uses Budget'!C37</f>
        <v>1372877</v>
      </c>
      <c r="C37" s="394"/>
      <c r="D37" s="394"/>
      <c r="E37" s="393">
        <f>'Sources and Uses Budget'!S37</f>
        <v>1372877</v>
      </c>
      <c r="F37" s="394"/>
      <c r="G37" s="394"/>
      <c r="H37" s="393">
        <f>'Sources and Uses Budget'!T37</f>
        <v>0</v>
      </c>
      <c r="I37" s="394"/>
      <c r="J37" s="394"/>
      <c r="K37" s="391"/>
    </row>
    <row r="38" spans="1:11" s="392" customFormat="1">
      <c r="A38" s="397" t="s">
        <v>144</v>
      </c>
      <c r="B38" s="393">
        <f>'Sources and Uses Budget'!C38</f>
        <v>51173179</v>
      </c>
      <c r="C38" s="393">
        <f>SUM(C29:C37)</f>
        <v>0</v>
      </c>
      <c r="D38" s="393">
        <f>SUM(D29:D37)</f>
        <v>0</v>
      </c>
      <c r="E38" s="393">
        <f>'Sources and Uses Budget'!S38</f>
        <v>51173179</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1100000</v>
      </c>
      <c r="C40" s="394"/>
      <c r="D40" s="394"/>
      <c r="E40" s="393">
        <f>'Sources and Uses Budget'!S40</f>
        <v>1100000</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1100000</v>
      </c>
      <c r="C42" s="393">
        <f>SUM(C39:C41)</f>
        <v>0</v>
      </c>
      <c r="D42" s="393">
        <f>SUM(D39:D41)</f>
        <v>0</v>
      </c>
      <c r="E42" s="393">
        <f>'Sources and Uses Budget'!S42</f>
        <v>1100000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0</v>
      </c>
      <c r="C43" s="394"/>
      <c r="D43" s="394"/>
      <c r="E43" s="393">
        <f>'Sources and Uses Budget'!S43</f>
        <v>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2990909</v>
      </c>
      <c r="C45" s="394"/>
      <c r="D45" s="394"/>
      <c r="E45" s="393">
        <f>'Sources and Uses Budget'!S45</f>
        <v>2295000</v>
      </c>
      <c r="F45" s="394"/>
      <c r="G45" s="394"/>
      <c r="H45" s="393">
        <f>'Sources and Uses Budget'!T45</f>
        <v>0</v>
      </c>
      <c r="I45" s="394"/>
      <c r="J45" s="394"/>
      <c r="K45" s="391"/>
    </row>
    <row r="46" spans="1:11" s="392" customFormat="1">
      <c r="A46" s="396" t="s">
        <v>152</v>
      </c>
      <c r="B46" s="393">
        <f>'Sources and Uses Budget'!C46</f>
        <v>503341</v>
      </c>
      <c r="C46" s="394"/>
      <c r="D46" s="394"/>
      <c r="E46" s="393">
        <f>'Sources and Uses Budget'!S46</f>
        <v>352000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60000</v>
      </c>
      <c r="C50" s="394"/>
      <c r="D50" s="394"/>
      <c r="E50" s="393">
        <f>'Sources and Uses Budget'!S50</f>
        <v>40000</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ht="24">
      <c r="A53" s="396" t="str">
        <f>'Sources and Uses Budget'!$A53</f>
        <v>Capitalized SLP Fee, Due Diligence Fee &amp; MGP Due Diligence Fee</v>
      </c>
      <c r="B53" s="393">
        <f>'Sources and Uses Budget'!C53</f>
        <v>240000</v>
      </c>
      <c r="C53" s="394"/>
      <c r="D53" s="394"/>
      <c r="E53" s="393">
        <f>'Sources and Uses Budget'!S53</f>
        <v>100000</v>
      </c>
      <c r="F53" s="394"/>
      <c r="G53" s="394"/>
      <c r="H53" s="393">
        <f>'Sources and Uses Budget'!T53</f>
        <v>0</v>
      </c>
      <c r="I53" s="394"/>
      <c r="J53" s="394"/>
      <c r="K53" s="391"/>
    </row>
    <row r="54" spans="1:11" s="401" customFormat="1">
      <c r="A54" s="397" t="s">
        <v>158</v>
      </c>
      <c r="B54" s="393">
        <f>'Sources and Uses Budget'!C54</f>
        <v>3794250</v>
      </c>
      <c r="C54" s="399">
        <f>SUM(C45:C53)</f>
        <v>0</v>
      </c>
      <c r="D54" s="399">
        <f>SUM(D45:D53)</f>
        <v>0</v>
      </c>
      <c r="E54" s="393">
        <f>'Sources and Uses Budget'!S54</f>
        <v>2787000</v>
      </c>
      <c r="F54" s="399">
        <f>SUM(F45:F53)</f>
        <v>0</v>
      </c>
      <c r="G54" s="399">
        <f>SUM(G45:G53)</f>
        <v>0</v>
      </c>
      <c r="H54" s="393">
        <f>'Sources and Uses Budget'!T54</f>
        <v>0</v>
      </c>
      <c r="I54" s="399">
        <f>SUM(I45:I53)</f>
        <v>0</v>
      </c>
      <c r="J54" s="399">
        <f>SUM(J45:J53)</f>
        <v>0</v>
      </c>
      <c r="K54" s="400"/>
    </row>
    <row r="55" spans="1:11" s="392" customFormat="1">
      <c r="A55" s="389" t="s">
        <v>419</v>
      </c>
      <c r="B55" s="390"/>
      <c r="C55" s="390"/>
      <c r="D55" s="390"/>
      <c r="E55" s="390"/>
      <c r="F55" s="390"/>
      <c r="G55" s="390"/>
      <c r="H55" s="390"/>
      <c r="I55" s="390"/>
      <c r="J55" s="390"/>
      <c r="K55" s="391"/>
    </row>
    <row r="56" spans="1:11" s="392" customFormat="1">
      <c r="A56" s="396" t="s">
        <v>159</v>
      </c>
      <c r="B56" s="393">
        <f>'Sources and Uses Budget'!C56</f>
        <v>51764</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CDLAC Fees + Bond Issuance</v>
      </c>
      <c r="B61" s="393">
        <f>'Sources and Uses Budget'!C61</f>
        <v>230867</v>
      </c>
      <c r="C61" s="394"/>
      <c r="D61" s="394"/>
      <c r="E61" s="395"/>
      <c r="F61" s="395"/>
      <c r="G61" s="395"/>
      <c r="H61" s="395"/>
      <c r="I61" s="395"/>
      <c r="J61" s="395"/>
      <c r="K61" s="391"/>
    </row>
    <row r="62" spans="1:11" s="392" customFormat="1" ht="13.7" customHeight="1">
      <c r="A62" s="397" t="s">
        <v>302</v>
      </c>
      <c r="B62" s="393">
        <f>'Sources and Uses Budget'!C62</f>
        <v>282631</v>
      </c>
      <c r="C62" s="393">
        <f>SUM(C56:C61)</f>
        <v>0</v>
      </c>
      <c r="D62" s="393">
        <f>SUM(D56:D61)</f>
        <v>0</v>
      </c>
      <c r="E62" s="395"/>
      <c r="F62" s="395"/>
      <c r="G62" s="395"/>
      <c r="H62" s="395"/>
      <c r="I62" s="395"/>
      <c r="J62" s="395"/>
      <c r="K62" s="391"/>
    </row>
    <row r="63" spans="1:11" s="392" customFormat="1">
      <c r="A63" s="402" t="s">
        <v>303</v>
      </c>
      <c r="B63" s="393">
        <f>'Sources and Uses Budget'!C63</f>
        <v>62802294</v>
      </c>
      <c r="C63" s="393">
        <f>SUM(C8+C11+C13+C14+C15+C26+C27+C38+C42+C43+C54+C62)</f>
        <v>0</v>
      </c>
      <c r="D63" s="393">
        <f>SUM(D8+D11+D13+D14+D15+D26+D27+D38+D42+D43+D54+D62)</f>
        <v>0</v>
      </c>
      <c r="E63" s="393">
        <f>'Sources and Uses Budget'!S63</f>
        <v>59546874</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171</v>
      </c>
      <c r="B65" s="393">
        <f>'Sources and Uses Budget'!C65</f>
        <v>70000</v>
      </c>
      <c r="C65" s="394"/>
      <c r="D65" s="394"/>
      <c r="E65" s="393">
        <f>'Sources and Uses Budget'!S65</f>
        <v>70000</v>
      </c>
      <c r="F65" s="394"/>
      <c r="G65" s="394"/>
      <c r="H65" s="393">
        <f>'Sources and Uses Budget'!T65</f>
        <v>0</v>
      </c>
      <c r="I65" s="394"/>
      <c r="J65" s="394"/>
      <c r="K65" s="391"/>
    </row>
    <row r="66" spans="1:11" s="392" customFormat="1" ht="24">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Borrower Attorney</v>
      </c>
      <c r="B69" s="393">
        <f>'Sources and Uses Budget'!C69</f>
        <v>120000</v>
      </c>
      <c r="C69" s="394"/>
      <c r="D69" s="394"/>
      <c r="E69" s="393">
        <f>'Sources and Uses Budget'!S69</f>
        <v>90000</v>
      </c>
      <c r="F69" s="394"/>
      <c r="G69" s="394"/>
      <c r="H69" s="393">
        <f>'Sources and Uses Budget'!T69</f>
        <v>0</v>
      </c>
      <c r="I69" s="394"/>
      <c r="J69" s="394"/>
      <c r="K69" s="391"/>
    </row>
    <row r="70" spans="1:11" s="392" customFormat="1">
      <c r="A70" s="397" t="s">
        <v>610</v>
      </c>
      <c r="B70" s="393">
        <f>'Sources and Uses Budget'!C70</f>
        <v>190000</v>
      </c>
      <c r="C70" s="393">
        <f>SUM(C64:C69)</f>
        <v>0</v>
      </c>
      <c r="D70" s="393">
        <f>SUM(D64:D69)</f>
        <v>0</v>
      </c>
      <c r="E70" s="393">
        <f>'Sources and Uses Budget'!S70</f>
        <v>160000</v>
      </c>
      <c r="F70" s="399">
        <f>SUM(F65:F69)</f>
        <v>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391291</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391291</v>
      </c>
      <c r="C77" s="393">
        <f>SUM(C72:C76)</f>
        <v>0</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2716711</v>
      </c>
      <c r="C79" s="394"/>
      <c r="D79" s="394"/>
      <c r="E79" s="393">
        <f>'Sources and Uses Budget'!S79</f>
        <v>2716711</v>
      </c>
      <c r="F79" s="394"/>
      <c r="G79" s="394"/>
      <c r="H79" s="393">
        <f>'Sources and Uses Budget'!T79</f>
        <v>0</v>
      </c>
      <c r="I79" s="394"/>
      <c r="J79" s="394"/>
      <c r="K79" s="391"/>
    </row>
    <row r="80" spans="1:11" s="392" customFormat="1">
      <c r="A80" s="396" t="s">
        <v>58</v>
      </c>
      <c r="B80" s="393">
        <f>'Sources and Uses Budget'!C80</f>
        <v>406940</v>
      </c>
      <c r="C80" s="394"/>
      <c r="D80" s="394"/>
      <c r="E80" s="393">
        <f>'Sources and Uses Budget'!S80</f>
        <v>206940</v>
      </c>
      <c r="F80" s="394"/>
      <c r="G80" s="394"/>
      <c r="H80" s="393">
        <f>'Sources and Uses Budget'!T80</f>
        <v>0</v>
      </c>
      <c r="I80" s="394"/>
      <c r="J80" s="394"/>
      <c r="K80" s="391"/>
    </row>
    <row r="81" spans="1:11" s="392" customFormat="1">
      <c r="A81" s="397" t="s">
        <v>1352</v>
      </c>
      <c r="B81" s="393">
        <f>'Sources and Uses Budget'!C81</f>
        <v>3123651</v>
      </c>
      <c r="C81" s="393">
        <f>SUM(C79:C80)</f>
        <v>0</v>
      </c>
      <c r="D81" s="393">
        <f>SUM(D79:D80)</f>
        <v>0</v>
      </c>
      <c r="E81" s="393">
        <f>'Sources and Uses Budget'!S81</f>
        <v>2923651</v>
      </c>
      <c r="F81" s="393">
        <f>SUM(F79:F80)</f>
        <v>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2520</v>
      </c>
      <c r="B83" s="393">
        <f>'Sources and Uses Budget'!C83</f>
        <v>88225</v>
      </c>
      <c r="C83" s="394"/>
      <c r="D83" s="394"/>
      <c r="E83" s="395"/>
      <c r="F83" s="395"/>
      <c r="G83" s="395"/>
      <c r="H83" s="395"/>
      <c r="I83" s="395"/>
      <c r="J83" s="395"/>
      <c r="K83" s="391"/>
    </row>
    <row r="84" spans="1:11" s="392" customFormat="1">
      <c r="A84" s="145" t="s">
        <v>791</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792</v>
      </c>
      <c r="B85" s="393">
        <f>'Sources and Uses Budget'!C85</f>
        <v>2127315</v>
      </c>
      <c r="C85" s="394"/>
      <c r="D85" s="394"/>
      <c r="E85" s="393">
        <f>'Sources and Uses Budget'!S85</f>
        <v>2127315</v>
      </c>
      <c r="F85" s="394"/>
      <c r="G85" s="394"/>
      <c r="H85" s="393">
        <f>'Sources and Uses Budget'!T85</f>
        <v>0</v>
      </c>
      <c r="I85" s="394"/>
      <c r="J85" s="394"/>
      <c r="K85" s="391"/>
    </row>
    <row r="86" spans="1:11" s="392" customFormat="1">
      <c r="A86" s="145" t="s">
        <v>793</v>
      </c>
      <c r="B86" s="393">
        <f>'Sources and Uses Budget'!C86</f>
        <v>513000</v>
      </c>
      <c r="C86" s="394"/>
      <c r="D86" s="394"/>
      <c r="E86" s="393">
        <f>'Sources and Uses Budget'!S86</f>
        <v>513000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125000</v>
      </c>
      <c r="C88" s="394"/>
      <c r="D88" s="394"/>
      <c r="E88" s="395"/>
      <c r="F88" s="395"/>
      <c r="G88" s="395"/>
      <c r="H88" s="395"/>
      <c r="I88" s="395"/>
      <c r="J88" s="395"/>
      <c r="K88" s="391"/>
    </row>
    <row r="89" spans="1:11" s="392" customFormat="1">
      <c r="A89" s="145" t="s">
        <v>796</v>
      </c>
      <c r="B89" s="393">
        <f>'Sources and Uses Budget'!C89</f>
        <v>70000</v>
      </c>
      <c r="C89" s="394"/>
      <c r="D89" s="394"/>
      <c r="E89" s="393">
        <f>'Sources and Uses Budget'!S89</f>
        <v>70000</v>
      </c>
      <c r="F89" s="394"/>
      <c r="G89" s="394"/>
      <c r="H89" s="393">
        <f>'Sources and Uses Budget'!T89</f>
        <v>0</v>
      </c>
      <c r="I89" s="394"/>
      <c r="J89" s="394"/>
      <c r="K89" s="391"/>
    </row>
    <row r="90" spans="1:11" s="392" customFormat="1">
      <c r="A90" s="145" t="s">
        <v>797</v>
      </c>
      <c r="B90" s="393">
        <f>'Sources and Uses Budget'!C90</f>
        <v>15000</v>
      </c>
      <c r="C90" s="394"/>
      <c r="D90" s="394"/>
      <c r="E90" s="393">
        <f>'Sources and Uses Budget'!S90</f>
        <v>15000</v>
      </c>
      <c r="F90" s="394"/>
      <c r="G90" s="394"/>
      <c r="H90" s="393">
        <f>'Sources and Uses Budget'!T90</f>
        <v>0</v>
      </c>
      <c r="I90" s="394"/>
      <c r="J90" s="394"/>
      <c r="K90" s="391"/>
    </row>
    <row r="91" spans="1:11" s="392" customFormat="1">
      <c r="A91" s="155" t="s">
        <v>373</v>
      </c>
      <c r="B91" s="393">
        <f>'Sources and Uses Budget'!C91</f>
        <v>80000</v>
      </c>
      <c r="C91" s="394"/>
      <c r="D91" s="394"/>
      <c r="E91" s="393">
        <f>'Sources and Uses Budget'!S91</f>
        <v>80000</v>
      </c>
      <c r="F91" s="394"/>
      <c r="G91" s="394"/>
      <c r="H91" s="393">
        <f>'Sources and Uses Budget'!T91</f>
        <v>0</v>
      </c>
      <c r="I91" s="394"/>
      <c r="J91" s="394"/>
      <c r="K91" s="391"/>
    </row>
    <row r="92" spans="1:11" s="392" customFormat="1">
      <c r="A92" s="543" t="s">
        <v>1354</v>
      </c>
      <c r="B92" s="393">
        <f>'Sources and Uses Budget'!C92</f>
        <v>5000</v>
      </c>
      <c r="C92" s="394"/>
      <c r="D92" s="394"/>
      <c r="E92" s="393">
        <f>'Sources and Uses Budget'!S92</f>
        <v>5000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3023540</v>
      </c>
      <c r="C96" s="393">
        <f>SUM(C83:C95)</f>
        <v>0</v>
      </c>
      <c r="D96" s="393">
        <f>SUM(D83:D95)</f>
        <v>0</v>
      </c>
      <c r="E96" s="393">
        <f>'Sources and Uses Budget'!S96</f>
        <v>2810315</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69530776</v>
      </c>
      <c r="C97" s="393">
        <f>SUM(C63+C70+C77+C81+C96)</f>
        <v>0</v>
      </c>
      <c r="D97" s="393">
        <f>SUM(D63+D70+D77+D81+D96)</f>
        <v>0</v>
      </c>
      <c r="E97" s="393">
        <f>'Sources and Uses Budget'!S97</f>
        <v>65440840</v>
      </c>
      <c r="F97" s="399">
        <f>SUM(+F63+F70+F81+F96)</f>
        <v>0</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4869523</v>
      </c>
      <c r="C99" s="394"/>
      <c r="D99" s="394"/>
      <c r="E99" s="393">
        <f>'Sources and Uses Budget'!S99</f>
        <v>4869523</v>
      </c>
      <c r="F99" s="394"/>
      <c r="G99" s="394"/>
      <c r="H99" s="393">
        <f>'Sources and Uses Budget'!T99</f>
        <v>0</v>
      </c>
      <c r="I99" s="394"/>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4869523</v>
      </c>
      <c r="C104" s="393">
        <f>SUM(C99:C103)</f>
        <v>0</v>
      </c>
      <c r="D104" s="393">
        <f>SUM(D99:D103)</f>
        <v>0</v>
      </c>
      <c r="E104" s="393">
        <f>'Sources and Uses Budget'!S104</f>
        <v>4869523</v>
      </c>
      <c r="F104" s="399">
        <f>SUM(F99:F103)</f>
        <v>0</v>
      </c>
      <c r="G104" s="399">
        <f>SUM(G99:G103)</f>
        <v>0</v>
      </c>
      <c r="H104" s="393">
        <f>'Sources and Uses Budget'!T104</f>
        <v>0</v>
      </c>
      <c r="I104" s="399">
        <f>SUM(I99:I103)</f>
        <v>0</v>
      </c>
      <c r="J104" s="399">
        <f>SUM(J99:J103)</f>
        <v>0</v>
      </c>
      <c r="K104" s="391"/>
    </row>
    <row r="105" spans="1:11" s="392" customFormat="1">
      <c r="A105" s="397" t="s">
        <v>1091</v>
      </c>
      <c r="B105" s="393">
        <f>'Sources and Uses Budget'!C105</f>
        <v>74400299</v>
      </c>
      <c r="C105" s="399">
        <f>SUM(C97+C104)</f>
        <v>0</v>
      </c>
      <c r="D105" s="399">
        <f>SUM(D97+D104)</f>
        <v>0</v>
      </c>
      <c r="E105" s="393">
        <f>'Sources and Uses Budget'!S105</f>
        <v>70310363</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70310363</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4"/>
      <c r="E124" s="1333"/>
      <c r="F124" s="1333"/>
      <c r="G124" s="1333"/>
      <c r="H124" s="1333"/>
      <c r="I124" s="1333"/>
      <c r="J124" s="408"/>
      <c r="K124" s="391"/>
    </row>
    <row r="125" spans="1:11" s="392" customFormat="1" ht="12.75">
      <c r="A125" s="417"/>
      <c r="B125" s="416"/>
      <c r="C125" s="417"/>
      <c r="D125" s="1333"/>
      <c r="E125" s="1333"/>
      <c r="F125" s="1333"/>
      <c r="G125" s="1333"/>
      <c r="H125" s="1333"/>
      <c r="I125" s="1333"/>
      <c r="J125" s="408"/>
      <c r="K125" s="391"/>
    </row>
    <row r="126" spans="1:11" s="392" customFormat="1" ht="12.75">
      <c r="A126" s="417"/>
      <c r="B126" s="416"/>
      <c r="C126" s="417"/>
      <c r="D126" s="1333"/>
      <c r="E126" s="1333"/>
      <c r="F126" s="1333"/>
      <c r="G126" s="1333"/>
      <c r="H126" s="1333"/>
      <c r="I126" s="1333"/>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5"/>
      <c r="B139" s="1333"/>
      <c r="C139" s="1333"/>
      <c r="D139" s="388"/>
      <c r="E139" s="417"/>
      <c r="F139" s="417"/>
      <c r="G139" s="417"/>
    </row>
    <row r="140" spans="1:11" ht="12" customHeight="1">
      <c r="A140" s="1291"/>
      <c r="B140" s="1291"/>
      <c r="C140" s="1291"/>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563" zoomScaleNormal="100" zoomScaleSheetLayoutView="100" workbookViewId="0">
      <selection activeCell="W593" sqref="W59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1" t="s">
        <v>1474</v>
      </c>
      <c r="B1" s="1911"/>
      <c r="C1" s="1911"/>
      <c r="D1" s="1911"/>
      <c r="E1" s="1911"/>
      <c r="F1" s="1911"/>
      <c r="G1" s="1911"/>
      <c r="H1" s="1911"/>
      <c r="I1" s="1911"/>
      <c r="J1" s="1911"/>
      <c r="K1" s="1911"/>
      <c r="L1" s="1911"/>
      <c r="M1" s="1911"/>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c r="AL1" s="1911"/>
      <c r="AM1" s="1911"/>
    </row>
    <row r="2" spans="1:42" s="571" customFormat="1" ht="12.75" customHeight="1" thickBot="1">
      <c r="A2" s="1912"/>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5" t="s">
        <v>1479</v>
      </c>
      <c r="AF7" s="1895"/>
      <c r="AG7" s="1895"/>
      <c r="AH7" s="1895"/>
      <c r="AI7" s="1895"/>
      <c r="AJ7" s="1895"/>
      <c r="AK7" s="1895"/>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5" t="s">
        <v>600</v>
      </c>
      <c r="C13" s="1885"/>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3"/>
      <c r="AH13" s="1913"/>
      <c r="AI13" s="1913"/>
      <c r="AJ13" s="191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5" t="s">
        <v>600</v>
      </c>
      <c r="C16" s="1885"/>
      <c r="D16" s="582"/>
      <c r="E16" s="1896" t="s">
        <v>1481</v>
      </c>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8"/>
      <c r="AK16" s="575"/>
      <c r="AL16" s="575"/>
      <c r="AM16" s="575"/>
      <c r="AN16" s="570"/>
      <c r="AO16" s="585">
        <f>IF($B25="yes",20,0)</f>
        <v>0</v>
      </c>
      <c r="AP16" s="14"/>
    </row>
    <row r="17" spans="1:42" s="571" customFormat="1" ht="12.75" customHeight="1">
      <c r="A17" s="575"/>
      <c r="B17" s="575"/>
      <c r="C17" s="575"/>
      <c r="D17" s="586"/>
      <c r="E17" s="1899"/>
      <c r="F17" s="1900"/>
      <c r="G17" s="1900"/>
      <c r="H17" s="1900"/>
      <c r="I17" s="1900"/>
      <c r="J17" s="1900"/>
      <c r="K17" s="1900"/>
      <c r="L17" s="1900"/>
      <c r="M17" s="1900"/>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1"/>
      <c r="AK17" s="575"/>
      <c r="AL17" s="575"/>
      <c r="AM17" s="575"/>
      <c r="AN17" s="570"/>
      <c r="AO17" s="571">
        <f>IF(SUM(AO13:AO16)&gt;20,20,(SUM(AO13:AO16)))</f>
        <v>0</v>
      </c>
      <c r="AP17" s="571" t="s">
        <v>1482</v>
      </c>
    </row>
    <row r="18" spans="1:42" s="571" customFormat="1" ht="12.75" customHeight="1">
      <c r="A18" s="575"/>
      <c r="B18" s="575"/>
      <c r="C18" s="575"/>
      <c r="D18" s="586"/>
      <c r="E18" s="1899"/>
      <c r="F18" s="1900"/>
      <c r="G18" s="1900"/>
      <c r="H18" s="1900"/>
      <c r="I18" s="1900"/>
      <c r="J18" s="1900"/>
      <c r="K18" s="1900"/>
      <c r="L18" s="1900"/>
      <c r="M18" s="1900"/>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1"/>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4"/>
      <c r="F20" s="1925"/>
      <c r="G20" s="1925"/>
      <c r="H20" s="1925"/>
      <c r="I20" s="1925"/>
      <c r="J20" s="1925"/>
      <c r="K20" s="1925"/>
      <c r="L20" s="1925"/>
      <c r="M20" s="1925"/>
      <c r="N20" s="1925"/>
      <c r="O20" s="1925"/>
      <c r="P20" s="1925"/>
      <c r="Q20" s="1925"/>
      <c r="R20" s="1925"/>
      <c r="S20" s="1925"/>
      <c r="T20" s="1925"/>
      <c r="U20" s="1925"/>
      <c r="V20" s="1925"/>
      <c r="W20" s="1925"/>
      <c r="X20" s="1925"/>
      <c r="Y20" s="1925"/>
      <c r="Z20" s="1925"/>
      <c r="AA20" s="1925"/>
      <c r="AB20" s="1925"/>
      <c r="AC20" s="1925"/>
      <c r="AD20" s="1925"/>
      <c r="AE20" s="1925"/>
      <c r="AF20" s="1925"/>
      <c r="AG20" s="1925"/>
      <c r="AH20" s="1925"/>
      <c r="AI20" s="1925"/>
      <c r="AJ20" s="192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5" t="s">
        <v>600</v>
      </c>
      <c r="C22" s="1885"/>
      <c r="D22" s="582"/>
      <c r="E22" s="1918" t="s">
        <v>1484</v>
      </c>
      <c r="F22" s="1919"/>
      <c r="G22" s="1919"/>
      <c r="H22" s="1919"/>
      <c r="I22" s="1919"/>
      <c r="J22" s="1919"/>
      <c r="K22" s="1919"/>
      <c r="L22" s="1919"/>
      <c r="M22" s="1919"/>
      <c r="N22" s="1919"/>
      <c r="O22" s="1919"/>
      <c r="P22" s="1919"/>
      <c r="Q22" s="1919"/>
      <c r="R22" s="1919"/>
      <c r="S22" s="1919"/>
      <c r="T22" s="1919"/>
      <c r="U22" s="1919"/>
      <c r="V22" s="1919"/>
      <c r="W22" s="1919"/>
      <c r="X22" s="1919"/>
      <c r="Y22" s="1919"/>
      <c r="Z22" s="1919"/>
      <c r="AA22" s="1919"/>
      <c r="AB22" s="1919"/>
      <c r="AC22" s="1919"/>
      <c r="AD22" s="1919"/>
      <c r="AE22" s="1919"/>
      <c r="AF22" s="1919"/>
      <c r="AG22" s="1919"/>
      <c r="AH22" s="1919"/>
      <c r="AI22" s="1919"/>
      <c r="AJ22" s="1920"/>
      <c r="AK22" s="575"/>
      <c r="AL22" s="575"/>
      <c r="AM22" s="575"/>
      <c r="AN22" s="570"/>
      <c r="AO22" s="571">
        <f>IF(SUM(AO20:AO21)&gt;14,14,SUM(AO20:AO21))</f>
        <v>0</v>
      </c>
      <c r="AP22" s="571" t="s">
        <v>1482</v>
      </c>
    </row>
    <row r="23" spans="1:42" s="571" customFormat="1" ht="12.75" customHeight="1">
      <c r="A23" s="575"/>
      <c r="B23" s="575"/>
      <c r="C23" s="575"/>
      <c r="D23" s="585"/>
      <c r="E23" s="1921"/>
      <c r="F23" s="1922"/>
      <c r="G23" s="1922"/>
      <c r="H23" s="1922"/>
      <c r="I23" s="1922"/>
      <c r="J23" s="1922"/>
      <c r="K23" s="1922"/>
      <c r="L23" s="1922"/>
      <c r="M23" s="1922"/>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5" t="s">
        <v>600</v>
      </c>
      <c r="C25" s="1885"/>
      <c r="D25" s="582"/>
      <c r="E25" s="1886" t="s">
        <v>2433</v>
      </c>
      <c r="F25" s="1887"/>
      <c r="G25" s="1887"/>
      <c r="H25" s="1887"/>
      <c r="I25" s="1887"/>
      <c r="J25" s="1887"/>
      <c r="K25" s="1887"/>
      <c r="L25" s="1887"/>
      <c r="M25" s="1887"/>
      <c r="N25" s="1887"/>
      <c r="O25" s="1887"/>
      <c r="P25" s="1887"/>
      <c r="Q25" s="1887"/>
      <c r="R25" s="1887"/>
      <c r="S25" s="1887"/>
      <c r="T25" s="1887"/>
      <c r="U25" s="1887"/>
      <c r="V25" s="1887"/>
      <c r="W25" s="1887"/>
      <c r="X25" s="1887"/>
      <c r="Y25" s="1887"/>
      <c r="Z25" s="1887"/>
      <c r="AA25" s="1887"/>
      <c r="AB25" s="1887"/>
      <c r="AC25" s="1887"/>
      <c r="AD25" s="1887"/>
      <c r="AE25" s="1887"/>
      <c r="AF25" s="1887"/>
      <c r="AG25" s="1887"/>
      <c r="AH25" s="1887"/>
      <c r="AI25" s="1887"/>
      <c r="AJ25" s="1888"/>
      <c r="AK25" s="575"/>
      <c r="AL25" s="575"/>
      <c r="AM25" s="575"/>
      <c r="AN25" s="570"/>
      <c r="AO25" s="571">
        <f>IF(AO24&gt;6,6,AO24)</f>
        <v>0</v>
      </c>
      <c r="AP25" s="571" t="s">
        <v>1482</v>
      </c>
    </row>
    <row r="26" spans="1:42" s="571" customFormat="1" ht="12.75" customHeight="1">
      <c r="A26" s="575"/>
      <c r="B26" s="575"/>
      <c r="C26" s="575"/>
      <c r="D26" s="585"/>
      <c r="E26" s="1889"/>
      <c r="F26" s="1890"/>
      <c r="G26" s="1890"/>
      <c r="H26" s="1890"/>
      <c r="I26" s="1890"/>
      <c r="J26" s="1890"/>
      <c r="K26" s="1890"/>
      <c r="L26" s="1890"/>
      <c r="M26" s="1890"/>
      <c r="N26" s="1890"/>
      <c r="O26" s="1890"/>
      <c r="P26" s="1890"/>
      <c r="Q26" s="1890"/>
      <c r="R26" s="1890"/>
      <c r="S26" s="1890"/>
      <c r="T26" s="1890"/>
      <c r="U26" s="1890"/>
      <c r="V26" s="1890"/>
      <c r="W26" s="1890"/>
      <c r="X26" s="1890"/>
      <c r="Y26" s="1890"/>
      <c r="Z26" s="1890"/>
      <c r="AA26" s="1890"/>
      <c r="AB26" s="1890"/>
      <c r="AC26" s="1890"/>
      <c r="AD26" s="1890"/>
      <c r="AE26" s="1890"/>
      <c r="AF26" s="1890"/>
      <c r="AG26" s="1890"/>
      <c r="AH26" s="1890"/>
      <c r="AI26" s="1890"/>
      <c r="AJ26" s="189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1885" t="s">
        <v>600</v>
      </c>
      <c r="C30" s="1885"/>
      <c r="D30" s="582"/>
      <c r="E30" s="1918" t="s">
        <v>2405</v>
      </c>
      <c r="F30" s="1919"/>
      <c r="G30" s="1919"/>
      <c r="H30" s="1919"/>
      <c r="I30" s="1919"/>
      <c r="J30" s="1919"/>
      <c r="K30" s="1919"/>
      <c r="L30" s="1919"/>
      <c r="M30" s="1919"/>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20"/>
      <c r="AK30" s="575"/>
      <c r="AL30" s="575"/>
      <c r="AM30" s="575"/>
      <c r="AN30" s="570"/>
      <c r="AO30" s="585"/>
    </row>
    <row r="31" spans="1:42" s="571" customFormat="1" ht="12.75" customHeight="1">
      <c r="A31" s="575"/>
      <c r="B31" s="575"/>
      <c r="C31" s="575"/>
      <c r="E31" s="1921"/>
      <c r="F31" s="1922"/>
      <c r="G31" s="1922"/>
      <c r="H31" s="1922"/>
      <c r="I31" s="1922"/>
      <c r="J31" s="1922"/>
      <c r="K31" s="1922"/>
      <c r="L31" s="1922"/>
      <c r="M31" s="1922"/>
      <c r="N31" s="1922"/>
      <c r="O31" s="1922"/>
      <c r="P31" s="1922"/>
      <c r="Q31" s="1922"/>
      <c r="R31" s="1922"/>
      <c r="S31" s="1922"/>
      <c r="T31" s="1922"/>
      <c r="U31" s="1922"/>
      <c r="V31" s="1922"/>
      <c r="W31" s="1922"/>
      <c r="X31" s="1922"/>
      <c r="Y31" s="1922"/>
      <c r="Z31" s="1922"/>
      <c r="AA31" s="1922"/>
      <c r="AB31" s="1922"/>
      <c r="AC31" s="1922"/>
      <c r="AD31" s="1922"/>
      <c r="AE31" s="1922"/>
      <c r="AF31" s="1922"/>
      <c r="AG31" s="1922"/>
      <c r="AH31" s="1922"/>
      <c r="AI31" s="1922"/>
      <c r="AJ31" s="192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5" t="s">
        <v>600</v>
      </c>
      <c r="C33" s="1885"/>
      <c r="D33" s="582"/>
      <c r="E33" s="1886" t="s">
        <v>2406</v>
      </c>
      <c r="F33" s="1887"/>
      <c r="G33" s="1887"/>
      <c r="H33" s="1887"/>
      <c r="I33" s="1887"/>
      <c r="J33" s="1887"/>
      <c r="K33" s="1887"/>
      <c r="L33" s="1887"/>
      <c r="M33" s="1887"/>
      <c r="N33" s="1887"/>
      <c r="O33" s="1887"/>
      <c r="P33" s="1887"/>
      <c r="Q33" s="1887"/>
      <c r="R33" s="1887"/>
      <c r="S33" s="1887"/>
      <c r="T33" s="1887"/>
      <c r="U33" s="1887"/>
      <c r="V33" s="1887"/>
      <c r="W33" s="1887"/>
      <c r="X33" s="1887"/>
      <c r="Y33" s="1887"/>
      <c r="Z33" s="1887"/>
      <c r="AA33" s="1887"/>
      <c r="AB33" s="1887"/>
      <c r="AC33" s="1887"/>
      <c r="AD33" s="1887"/>
      <c r="AE33" s="1887"/>
      <c r="AF33" s="1887"/>
      <c r="AG33" s="1887"/>
      <c r="AH33" s="1887"/>
      <c r="AI33" s="1887"/>
      <c r="AJ33" s="1888"/>
      <c r="AK33" s="575"/>
      <c r="AL33" s="575"/>
      <c r="AM33" s="575"/>
      <c r="AN33" s="570"/>
    </row>
    <row r="34" spans="1:41" s="571" customFormat="1" ht="12.75" customHeight="1">
      <c r="A34" s="575"/>
      <c r="B34" s="575"/>
      <c r="C34" s="575"/>
      <c r="E34" s="1892"/>
      <c r="F34" s="1893"/>
      <c r="G34" s="1893"/>
      <c r="H34" s="1893"/>
      <c r="I34" s="1893"/>
      <c r="J34" s="1893"/>
      <c r="K34" s="1893"/>
      <c r="L34" s="1893"/>
      <c r="M34" s="1893"/>
      <c r="N34" s="1893"/>
      <c r="O34" s="1893"/>
      <c r="P34" s="1893"/>
      <c r="Q34" s="1893"/>
      <c r="R34" s="1893"/>
      <c r="S34" s="1893"/>
      <c r="T34" s="1893"/>
      <c r="U34" s="1893"/>
      <c r="V34" s="1893"/>
      <c r="W34" s="1893"/>
      <c r="X34" s="1893"/>
      <c r="Y34" s="1893"/>
      <c r="Z34" s="1893"/>
      <c r="AA34" s="1893"/>
      <c r="AB34" s="1893"/>
      <c r="AC34" s="1893"/>
      <c r="AD34" s="1893"/>
      <c r="AE34" s="1893"/>
      <c r="AF34" s="1893"/>
      <c r="AG34" s="1893"/>
      <c r="AH34" s="1893"/>
      <c r="AI34" s="1893"/>
      <c r="AJ34" s="1894"/>
      <c r="AK34" s="575"/>
      <c r="AL34" s="575"/>
      <c r="AM34" s="575"/>
      <c r="AN34" s="570"/>
    </row>
    <row r="35" spans="1:41" s="571" customFormat="1" ht="12.75" customHeight="1">
      <c r="A35" s="575"/>
      <c r="B35" s="575"/>
      <c r="C35" s="575"/>
      <c r="E35" s="1889"/>
      <c r="F35" s="1890"/>
      <c r="G35" s="1890"/>
      <c r="H35" s="1890"/>
      <c r="I35" s="1890"/>
      <c r="J35" s="1890"/>
      <c r="K35" s="1890"/>
      <c r="L35" s="1890"/>
      <c r="M35" s="1890"/>
      <c r="N35" s="1890"/>
      <c r="O35" s="1890"/>
      <c r="P35" s="1890"/>
      <c r="Q35" s="1890"/>
      <c r="R35" s="1890"/>
      <c r="S35" s="1890"/>
      <c r="T35" s="1890"/>
      <c r="U35" s="1890"/>
      <c r="V35" s="1890"/>
      <c r="W35" s="1890"/>
      <c r="X35" s="1890"/>
      <c r="Y35" s="1890"/>
      <c r="Z35" s="1890"/>
      <c r="AA35" s="1890"/>
      <c r="AB35" s="1890"/>
      <c r="AC35" s="1890"/>
      <c r="AD35" s="1890"/>
      <c r="AE35" s="1890"/>
      <c r="AF35" s="1890"/>
      <c r="AG35" s="1890"/>
      <c r="AH35" s="1890"/>
      <c r="AI35" s="1890"/>
      <c r="AJ35" s="189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5" t="s">
        <v>600</v>
      </c>
      <c r="C39" s="1885"/>
      <c r="D39" s="1195"/>
      <c r="E39" s="1886" t="s">
        <v>2407</v>
      </c>
      <c r="F39" s="1887"/>
      <c r="G39" s="1887"/>
      <c r="H39" s="1887"/>
      <c r="I39" s="1887"/>
      <c r="J39" s="1887"/>
      <c r="K39" s="1887"/>
      <c r="L39" s="1887"/>
      <c r="M39" s="1887"/>
      <c r="N39" s="1887"/>
      <c r="O39" s="1887"/>
      <c r="P39" s="1887"/>
      <c r="Q39" s="1887"/>
      <c r="R39" s="1887"/>
      <c r="S39" s="1887"/>
      <c r="T39" s="1887"/>
      <c r="U39" s="1887"/>
      <c r="V39" s="1887"/>
      <c r="W39" s="1887"/>
      <c r="X39" s="1887"/>
      <c r="Y39" s="1887"/>
      <c r="Z39" s="1887"/>
      <c r="AA39" s="1887"/>
      <c r="AB39" s="1887"/>
      <c r="AC39" s="1887"/>
      <c r="AD39" s="1887"/>
      <c r="AE39" s="1887"/>
      <c r="AF39" s="1887"/>
      <c r="AG39" s="1887"/>
      <c r="AH39" s="1887"/>
      <c r="AI39" s="1887"/>
      <c r="AJ39" s="1888"/>
      <c r="AK39" s="1195"/>
      <c r="AL39" s="575"/>
      <c r="AM39" s="575"/>
      <c r="AN39" s="570"/>
    </row>
    <row r="40" spans="1:41" s="571" customFormat="1" ht="12.75" customHeight="1">
      <c r="A40" s="575"/>
      <c r="B40" s="575"/>
      <c r="C40" s="575"/>
      <c r="E40" s="1892"/>
      <c r="F40" s="1893"/>
      <c r="G40" s="1893"/>
      <c r="H40" s="1893"/>
      <c r="I40" s="1893"/>
      <c r="J40" s="1893"/>
      <c r="K40" s="1893"/>
      <c r="L40" s="1893"/>
      <c r="M40" s="1893"/>
      <c r="N40" s="1893"/>
      <c r="O40" s="1893"/>
      <c r="P40" s="1893"/>
      <c r="Q40" s="1893"/>
      <c r="R40" s="1893"/>
      <c r="S40" s="1893"/>
      <c r="T40" s="1893"/>
      <c r="U40" s="1893"/>
      <c r="V40" s="1893"/>
      <c r="W40" s="1893"/>
      <c r="X40" s="1893"/>
      <c r="Y40" s="1893"/>
      <c r="Z40" s="1893"/>
      <c r="AA40" s="1893"/>
      <c r="AB40" s="1893"/>
      <c r="AC40" s="1893"/>
      <c r="AD40" s="1893"/>
      <c r="AE40" s="1893"/>
      <c r="AF40" s="1893"/>
      <c r="AG40" s="1893"/>
      <c r="AH40" s="1893"/>
      <c r="AI40" s="1893"/>
      <c r="AJ40" s="1894"/>
      <c r="AK40" s="575"/>
      <c r="AL40" s="575"/>
      <c r="AM40" s="575"/>
      <c r="AN40" s="570"/>
    </row>
    <row r="41" spans="1:41" s="571" customFormat="1" ht="12.75" customHeight="1">
      <c r="A41" s="575"/>
      <c r="D41" s="582"/>
      <c r="E41" s="1889"/>
      <c r="F41" s="1890"/>
      <c r="G41" s="1890"/>
      <c r="H41" s="1890"/>
      <c r="I41" s="1890"/>
      <c r="J41" s="1890"/>
      <c r="K41" s="1890"/>
      <c r="L41" s="1890"/>
      <c r="M41" s="1890"/>
      <c r="N41" s="1890"/>
      <c r="O41" s="1890"/>
      <c r="P41" s="1890"/>
      <c r="Q41" s="1890"/>
      <c r="R41" s="1890"/>
      <c r="S41" s="1890"/>
      <c r="T41" s="1890"/>
      <c r="U41" s="1890"/>
      <c r="V41" s="1890"/>
      <c r="W41" s="1890"/>
      <c r="X41" s="1890"/>
      <c r="Y41" s="1890"/>
      <c r="Z41" s="1890"/>
      <c r="AA41" s="1890"/>
      <c r="AB41" s="1890"/>
      <c r="AC41" s="1890"/>
      <c r="AD41" s="1890"/>
      <c r="AE41" s="1890"/>
      <c r="AF41" s="1890"/>
      <c r="AG41" s="1890"/>
      <c r="AH41" s="1890"/>
      <c r="AI41" s="1890"/>
      <c r="AJ41" s="189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5" t="s">
        <v>600</v>
      </c>
      <c r="C46" s="1885"/>
      <c r="D46" s="575"/>
      <c r="E46" s="1886" t="s">
        <v>2412</v>
      </c>
      <c r="F46" s="1887"/>
      <c r="G46" s="1887"/>
      <c r="H46" s="1887"/>
      <c r="I46" s="1887"/>
      <c r="J46" s="1887"/>
      <c r="K46" s="1887"/>
      <c r="L46" s="1887"/>
      <c r="M46" s="1887"/>
      <c r="N46" s="1887"/>
      <c r="O46" s="1887"/>
      <c r="P46" s="1887"/>
      <c r="Q46" s="1887"/>
      <c r="R46" s="1887"/>
      <c r="S46" s="1887"/>
      <c r="T46" s="1887"/>
      <c r="U46" s="1887"/>
      <c r="V46" s="1887"/>
      <c r="W46" s="1887"/>
      <c r="X46" s="1887"/>
      <c r="Y46" s="1887"/>
      <c r="Z46" s="1887"/>
      <c r="AA46" s="1887"/>
      <c r="AB46" s="1887"/>
      <c r="AC46" s="1887"/>
      <c r="AD46" s="1887"/>
      <c r="AE46" s="1887"/>
      <c r="AF46" s="1887"/>
      <c r="AG46" s="1887"/>
      <c r="AH46" s="1887"/>
      <c r="AI46" s="1887"/>
      <c r="AJ46" s="1888"/>
      <c r="AK46" s="575"/>
      <c r="AL46" s="575"/>
      <c r="AM46" s="575"/>
      <c r="AN46" s="570"/>
      <c r="AO46" s="594"/>
    </row>
    <row r="47" spans="1:41" s="571" customFormat="1" ht="12.75" customHeight="1">
      <c r="A47" s="575"/>
      <c r="D47" s="582"/>
      <c r="E47" s="1892"/>
      <c r="F47" s="1893"/>
      <c r="G47" s="1893"/>
      <c r="H47" s="1893"/>
      <c r="I47" s="1893"/>
      <c r="J47" s="1893"/>
      <c r="K47" s="1893"/>
      <c r="L47" s="1893"/>
      <c r="M47" s="1893"/>
      <c r="N47" s="1893"/>
      <c r="O47" s="1893"/>
      <c r="P47" s="1893"/>
      <c r="Q47" s="1893"/>
      <c r="R47" s="1893"/>
      <c r="S47" s="1893"/>
      <c r="T47" s="1893"/>
      <c r="U47" s="1893"/>
      <c r="V47" s="1893"/>
      <c r="W47" s="1893"/>
      <c r="X47" s="1893"/>
      <c r="Y47" s="1893"/>
      <c r="Z47" s="1893"/>
      <c r="AA47" s="1893"/>
      <c r="AB47" s="1893"/>
      <c r="AC47" s="1893"/>
      <c r="AD47" s="1893"/>
      <c r="AE47" s="1893"/>
      <c r="AF47" s="1893"/>
      <c r="AG47" s="1893"/>
      <c r="AH47" s="1893"/>
      <c r="AI47" s="1893"/>
      <c r="AJ47" s="1894"/>
      <c r="AK47" s="575"/>
      <c r="AL47" s="575"/>
      <c r="AM47" s="575"/>
      <c r="AN47" s="570"/>
      <c r="AO47" s="594"/>
    </row>
    <row r="48" spans="1:41" s="571" customFormat="1" ht="12.75" customHeight="1">
      <c r="A48" s="575"/>
      <c r="D48" s="575"/>
      <c r="E48" s="1889"/>
      <c r="F48" s="1890"/>
      <c r="G48" s="1890"/>
      <c r="H48" s="1890"/>
      <c r="I48" s="1890"/>
      <c r="J48" s="1890"/>
      <c r="K48" s="1890"/>
      <c r="L48" s="1890"/>
      <c r="M48" s="1890"/>
      <c r="N48" s="1890"/>
      <c r="O48" s="1890"/>
      <c r="P48" s="1890"/>
      <c r="Q48" s="1890"/>
      <c r="R48" s="1890"/>
      <c r="S48" s="1890"/>
      <c r="T48" s="1890"/>
      <c r="U48" s="1890"/>
      <c r="V48" s="1890"/>
      <c r="W48" s="1890"/>
      <c r="X48" s="1890"/>
      <c r="Y48" s="1890"/>
      <c r="Z48" s="1890"/>
      <c r="AA48" s="1890"/>
      <c r="AB48" s="1890"/>
      <c r="AC48" s="1890"/>
      <c r="AD48" s="1890"/>
      <c r="AE48" s="1890"/>
      <c r="AF48" s="1890"/>
      <c r="AG48" s="1890"/>
      <c r="AH48" s="1890"/>
      <c r="AI48" s="1890"/>
      <c r="AJ48" s="189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5" t="s">
        <v>600</v>
      </c>
      <c r="C50" s="1885"/>
      <c r="D50" s="575"/>
      <c r="E50" s="1906" t="s">
        <v>2413</v>
      </c>
      <c r="F50" s="1907"/>
      <c r="G50" s="1907"/>
      <c r="H50" s="1907"/>
      <c r="I50" s="1907"/>
      <c r="J50" s="1907"/>
      <c r="K50" s="1907"/>
      <c r="L50" s="1907"/>
      <c r="M50" s="1907"/>
      <c r="N50" s="1907"/>
      <c r="O50" s="1907"/>
      <c r="P50" s="1907"/>
      <c r="Q50" s="1907"/>
      <c r="R50" s="1907"/>
      <c r="S50" s="1907"/>
      <c r="T50" s="1907"/>
      <c r="U50" s="1907"/>
      <c r="V50" s="1907"/>
      <c r="W50" s="1907"/>
      <c r="X50" s="1907"/>
      <c r="Y50" s="1907"/>
      <c r="Z50" s="1907"/>
      <c r="AA50" s="1907"/>
      <c r="AB50" s="1907"/>
      <c r="AC50" s="1907"/>
      <c r="AD50" s="1907"/>
      <c r="AE50" s="1907"/>
      <c r="AF50" s="1907"/>
      <c r="AG50" s="1907"/>
      <c r="AH50" s="1907"/>
      <c r="AI50" s="1907"/>
      <c r="AJ50" s="190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5" t="s">
        <v>600</v>
      </c>
      <c r="C52" s="1885"/>
      <c r="D52" s="575"/>
      <c r="E52" s="1886" t="s">
        <v>2414</v>
      </c>
      <c r="F52" s="1887"/>
      <c r="G52" s="1887"/>
      <c r="H52" s="1887"/>
      <c r="I52" s="1887"/>
      <c r="J52" s="1887"/>
      <c r="K52" s="1887"/>
      <c r="L52" s="1887"/>
      <c r="M52" s="1887"/>
      <c r="N52" s="1887"/>
      <c r="O52" s="1887"/>
      <c r="P52" s="1887"/>
      <c r="Q52" s="1887"/>
      <c r="R52" s="1887"/>
      <c r="S52" s="1887"/>
      <c r="T52" s="1887"/>
      <c r="U52" s="1887"/>
      <c r="V52" s="1887"/>
      <c r="W52" s="1887"/>
      <c r="X52" s="1887"/>
      <c r="Y52" s="1887"/>
      <c r="Z52" s="1887"/>
      <c r="AA52" s="1887"/>
      <c r="AB52" s="1887"/>
      <c r="AC52" s="1887"/>
      <c r="AD52" s="1887"/>
      <c r="AE52" s="1887"/>
      <c r="AF52" s="1887"/>
      <c r="AG52" s="1887"/>
      <c r="AH52" s="1887"/>
      <c r="AI52" s="1887"/>
      <c r="AJ52" s="1888"/>
      <c r="AK52" s="575"/>
      <c r="AL52" s="575"/>
      <c r="AM52" s="575"/>
      <c r="AN52" s="570"/>
    </row>
    <row r="53" spans="1:50" s="571" customFormat="1" ht="12.75" customHeight="1">
      <c r="A53" s="575"/>
      <c r="B53" s="582"/>
      <c r="C53" s="582"/>
      <c r="D53" s="582"/>
      <c r="E53" s="1889"/>
      <c r="F53" s="1890"/>
      <c r="G53" s="1890"/>
      <c r="H53" s="1890"/>
      <c r="I53" s="1890"/>
      <c r="J53" s="1890"/>
      <c r="K53" s="1890"/>
      <c r="L53" s="1890"/>
      <c r="M53" s="1890"/>
      <c r="N53" s="1890"/>
      <c r="O53" s="1890"/>
      <c r="P53" s="1890"/>
      <c r="Q53" s="1890"/>
      <c r="R53" s="1890"/>
      <c r="S53" s="1890"/>
      <c r="T53" s="1890"/>
      <c r="U53" s="1890"/>
      <c r="V53" s="1890"/>
      <c r="W53" s="1890"/>
      <c r="X53" s="1890"/>
      <c r="Y53" s="1890"/>
      <c r="Z53" s="1890"/>
      <c r="AA53" s="1890"/>
      <c r="AB53" s="1890"/>
      <c r="AC53" s="1890"/>
      <c r="AD53" s="1890"/>
      <c r="AE53" s="1890"/>
      <c r="AF53" s="1890"/>
      <c r="AG53" s="1890"/>
      <c r="AH53" s="1890"/>
      <c r="AI53" s="1890"/>
      <c r="AJ53" s="189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15">
        <f>AO36</f>
        <v>0</v>
      </c>
      <c r="AL56" s="1916"/>
      <c r="AM56" s="191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5" t="s">
        <v>1488</v>
      </c>
      <c r="AF59" s="1895"/>
      <c r="AG59" s="1895"/>
      <c r="AH59" s="1895"/>
      <c r="AI59" s="1895"/>
      <c r="AJ59" s="1895"/>
      <c r="AK59" s="1895"/>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5" t="s">
        <v>554</v>
      </c>
      <c r="C62" s="1885"/>
      <c r="D62" s="582" t="s">
        <v>1489</v>
      </c>
      <c r="E62" s="1896" t="s">
        <v>2415</v>
      </c>
      <c r="F62" s="1897"/>
      <c r="G62" s="1897"/>
      <c r="H62" s="1897"/>
      <c r="I62" s="1897"/>
      <c r="J62" s="1897"/>
      <c r="K62" s="1897"/>
      <c r="L62" s="1897"/>
      <c r="M62" s="1897"/>
      <c r="N62" s="1897"/>
      <c r="O62" s="1897"/>
      <c r="P62" s="1897"/>
      <c r="Q62" s="1897"/>
      <c r="R62" s="1897"/>
      <c r="S62" s="1897"/>
      <c r="T62" s="1897"/>
      <c r="U62" s="1897"/>
      <c r="V62" s="1897"/>
      <c r="W62" s="1897"/>
      <c r="X62" s="1897"/>
      <c r="Y62" s="1897"/>
      <c r="Z62" s="1897"/>
      <c r="AA62" s="1897"/>
      <c r="AB62" s="1897"/>
      <c r="AC62" s="1897"/>
      <c r="AD62" s="1897"/>
      <c r="AE62" s="1897"/>
      <c r="AF62" s="1897"/>
      <c r="AG62" s="1897"/>
      <c r="AH62" s="1897"/>
      <c r="AI62" s="1897"/>
      <c r="AJ62" s="1898"/>
      <c r="AK62" s="578"/>
      <c r="AL62" s="575"/>
      <c r="AM62" s="575"/>
      <c r="AN62" s="570"/>
      <c r="AO62" s="585">
        <f>IF($B62="yes",10,0)</f>
        <v>10</v>
      </c>
    </row>
    <row r="63" spans="1:50" s="571" customFormat="1" ht="12.75" customHeight="1">
      <c r="A63" s="573"/>
      <c r="B63" s="575"/>
      <c r="C63" s="575"/>
      <c r="D63" s="586"/>
      <c r="E63" s="1899"/>
      <c r="F63" s="1900"/>
      <c r="G63" s="1900"/>
      <c r="H63" s="1900"/>
      <c r="I63" s="1900"/>
      <c r="J63" s="1900"/>
      <c r="K63" s="1900"/>
      <c r="L63" s="1900"/>
      <c r="M63" s="1900"/>
      <c r="N63" s="1900"/>
      <c r="O63" s="1900"/>
      <c r="P63" s="1900"/>
      <c r="Q63" s="1900"/>
      <c r="R63" s="1900"/>
      <c r="S63" s="1900"/>
      <c r="T63" s="1900"/>
      <c r="U63" s="1900"/>
      <c r="V63" s="1900"/>
      <c r="W63" s="1900"/>
      <c r="X63" s="1900"/>
      <c r="Y63" s="1900"/>
      <c r="Z63" s="1900"/>
      <c r="AA63" s="1900"/>
      <c r="AB63" s="1900"/>
      <c r="AC63" s="1900"/>
      <c r="AD63" s="1900"/>
      <c r="AE63" s="1900"/>
      <c r="AF63" s="1900"/>
      <c r="AG63" s="1900"/>
      <c r="AH63" s="1900"/>
      <c r="AI63" s="1900"/>
      <c r="AJ63" s="1901"/>
      <c r="AK63" s="578"/>
      <c r="AL63" s="575"/>
      <c r="AM63" s="575"/>
      <c r="AN63" s="570"/>
      <c r="AO63" s="585">
        <f>IF($B68="yes",10,0)</f>
        <v>0</v>
      </c>
    </row>
    <row r="64" spans="1:50" s="571" customFormat="1" ht="12.75" customHeight="1">
      <c r="A64" s="573"/>
      <c r="B64" s="575"/>
      <c r="C64" s="575"/>
      <c r="D64" s="586"/>
      <c r="E64" s="1899"/>
      <c r="F64" s="1900"/>
      <c r="G64" s="1900"/>
      <c r="H64" s="1900"/>
      <c r="I64" s="1900"/>
      <c r="J64" s="1900"/>
      <c r="K64" s="1900"/>
      <c r="L64" s="1900"/>
      <c r="M64" s="1900"/>
      <c r="N64" s="1900"/>
      <c r="O64" s="1900"/>
      <c r="P64" s="1900"/>
      <c r="Q64" s="1900"/>
      <c r="R64" s="1900"/>
      <c r="S64" s="1900"/>
      <c r="T64" s="1900"/>
      <c r="U64" s="1900"/>
      <c r="V64" s="1900"/>
      <c r="W64" s="1900"/>
      <c r="X64" s="1900"/>
      <c r="Y64" s="1900"/>
      <c r="Z64" s="1900"/>
      <c r="AA64" s="1900"/>
      <c r="AB64" s="1900"/>
      <c r="AC64" s="1900"/>
      <c r="AD64" s="1900"/>
      <c r="AE64" s="1900"/>
      <c r="AF64" s="1900"/>
      <c r="AG64" s="1900"/>
      <c r="AH64" s="1900"/>
      <c r="AI64" s="1900"/>
      <c r="AJ64" s="1901"/>
      <c r="AK64" s="578"/>
      <c r="AL64" s="575"/>
      <c r="AM64" s="575"/>
      <c r="AN64" s="570"/>
      <c r="AO64" s="585">
        <f>IF($B75="yes",10,0)</f>
        <v>0</v>
      </c>
    </row>
    <row r="65" spans="1:42" s="571" customFormat="1" ht="12.75" customHeight="1">
      <c r="A65" s="573"/>
      <c r="B65" s="575"/>
      <c r="C65" s="575"/>
      <c r="D65" s="586"/>
      <c r="E65" s="1899"/>
      <c r="F65" s="1900"/>
      <c r="G65" s="1900"/>
      <c r="H65" s="1900"/>
      <c r="I65" s="1900"/>
      <c r="J65" s="1900"/>
      <c r="K65" s="1900"/>
      <c r="L65" s="1900"/>
      <c r="M65" s="1900"/>
      <c r="N65" s="1900"/>
      <c r="O65" s="1900"/>
      <c r="P65" s="1900"/>
      <c r="Q65" s="1900"/>
      <c r="R65" s="1900"/>
      <c r="S65" s="1900"/>
      <c r="T65" s="1900"/>
      <c r="U65" s="1900"/>
      <c r="V65" s="1900"/>
      <c r="W65" s="1900"/>
      <c r="X65" s="1900"/>
      <c r="Y65" s="1900"/>
      <c r="Z65" s="1900"/>
      <c r="AA65" s="1900"/>
      <c r="AB65" s="1900"/>
      <c r="AC65" s="1900"/>
      <c r="AD65" s="1900"/>
      <c r="AE65" s="1900"/>
      <c r="AF65" s="1900"/>
      <c r="AG65" s="1900"/>
      <c r="AH65" s="1900"/>
      <c r="AI65" s="1900"/>
      <c r="AJ65" s="1901"/>
      <c r="AK65" s="578"/>
      <c r="AL65" s="575"/>
      <c r="AM65" s="575"/>
      <c r="AN65" s="570"/>
      <c r="AO65" s="571">
        <f>IF(SUM(AO62:AO64)&gt;10,10,(SUM(AO62:AO64)))</f>
        <v>10</v>
      </c>
      <c r="AP65" s="609" t="s">
        <v>1490</v>
      </c>
    </row>
    <row r="66" spans="1:42" s="571" customFormat="1" ht="12.75" customHeight="1">
      <c r="A66" s="573"/>
      <c r="B66" s="575"/>
      <c r="C66" s="575"/>
      <c r="D66" s="586"/>
      <c r="E66" s="1902"/>
      <c r="F66" s="1903"/>
      <c r="G66" s="1903"/>
      <c r="H66" s="1903"/>
      <c r="I66" s="1903"/>
      <c r="J66" s="1903"/>
      <c r="K66" s="1903"/>
      <c r="L66" s="1903"/>
      <c r="M66" s="1903"/>
      <c r="N66" s="1903"/>
      <c r="O66" s="1903"/>
      <c r="P66" s="1903"/>
      <c r="Q66" s="1903"/>
      <c r="R66" s="1903"/>
      <c r="S66" s="1903"/>
      <c r="T66" s="1903"/>
      <c r="U66" s="1903"/>
      <c r="V66" s="1903"/>
      <c r="W66" s="1903"/>
      <c r="X66" s="1903"/>
      <c r="Y66" s="1903"/>
      <c r="Z66" s="1903"/>
      <c r="AA66" s="1903"/>
      <c r="AB66" s="1903"/>
      <c r="AC66" s="1903"/>
      <c r="AD66" s="1903"/>
      <c r="AE66" s="1903"/>
      <c r="AF66" s="1903"/>
      <c r="AG66" s="1903"/>
      <c r="AH66" s="1903"/>
      <c r="AI66" s="1903"/>
      <c r="AJ66" s="190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5" t="s">
        <v>600</v>
      </c>
      <c r="C68" s="1885"/>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5" t="s">
        <v>600</v>
      </c>
      <c r="F69" s="1885"/>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83" t="s">
        <v>600</v>
      </c>
      <c r="F70" s="1884"/>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83" t="s">
        <v>600</v>
      </c>
      <c r="F71" s="1884"/>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5" t="s">
        <v>600</v>
      </c>
      <c r="F73" s="1885"/>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5" t="s">
        <v>600</v>
      </c>
      <c r="C75" s="1885"/>
      <c r="D75" s="582" t="s">
        <v>1494</v>
      </c>
      <c r="E75" s="1886" t="s">
        <v>2002</v>
      </c>
      <c r="F75" s="1887"/>
      <c r="G75" s="1887"/>
      <c r="H75" s="1887"/>
      <c r="I75" s="1887"/>
      <c r="J75" s="1887"/>
      <c r="K75" s="1887"/>
      <c r="L75" s="1887"/>
      <c r="M75" s="1887"/>
      <c r="N75" s="1887"/>
      <c r="O75" s="1887"/>
      <c r="P75" s="1887"/>
      <c r="Q75" s="1887"/>
      <c r="R75" s="1887"/>
      <c r="S75" s="1887"/>
      <c r="T75" s="1887"/>
      <c r="U75" s="1887"/>
      <c r="V75" s="1887"/>
      <c r="W75" s="1887"/>
      <c r="X75" s="1887"/>
      <c r="Y75" s="1887"/>
      <c r="Z75" s="1887"/>
      <c r="AA75" s="1887"/>
      <c r="AB75" s="1887"/>
      <c r="AC75" s="1887"/>
      <c r="AD75" s="1887"/>
      <c r="AE75" s="1887"/>
      <c r="AF75" s="1887"/>
      <c r="AG75" s="1887"/>
      <c r="AH75" s="1887"/>
      <c r="AI75" s="1887"/>
      <c r="AJ75" s="1888"/>
      <c r="AK75" s="578"/>
      <c r="AL75" s="575"/>
      <c r="AM75" s="575"/>
      <c r="AN75" s="570"/>
    </row>
    <row r="76" spans="1:42" s="571" customFormat="1" ht="12.75" customHeight="1">
      <c r="A76" s="573"/>
      <c r="B76" s="575"/>
      <c r="C76" s="575"/>
      <c r="D76" s="585"/>
      <c r="E76" s="1889"/>
      <c r="F76" s="1890"/>
      <c r="G76" s="1890"/>
      <c r="H76" s="1890"/>
      <c r="I76" s="1890"/>
      <c r="J76" s="1890"/>
      <c r="K76" s="1890"/>
      <c r="L76" s="1890"/>
      <c r="M76" s="1890"/>
      <c r="N76" s="1890"/>
      <c r="O76" s="1890"/>
      <c r="P76" s="1890"/>
      <c r="Q76" s="1890"/>
      <c r="R76" s="1890"/>
      <c r="S76" s="1890"/>
      <c r="T76" s="1890"/>
      <c r="U76" s="1890"/>
      <c r="V76" s="1890"/>
      <c r="W76" s="1890"/>
      <c r="X76" s="1890"/>
      <c r="Y76" s="1890"/>
      <c r="Z76" s="1890"/>
      <c r="AA76" s="1890"/>
      <c r="AB76" s="1890"/>
      <c r="AC76" s="1890"/>
      <c r="AD76" s="1890"/>
      <c r="AE76" s="1890"/>
      <c r="AF76" s="1890"/>
      <c r="AG76" s="1890"/>
      <c r="AH76" s="1890"/>
      <c r="AI76" s="1890"/>
      <c r="AJ76" s="189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15">
        <f>IF(AK56&gt;0,0,AO65)</f>
        <v>10</v>
      </c>
      <c r="AL78" s="1916"/>
      <c r="AM78" s="191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5" t="s">
        <v>1479</v>
      </c>
      <c r="AF81" s="1895"/>
      <c r="AG81" s="1895"/>
      <c r="AH81" s="1895"/>
      <c r="AI81" s="1895"/>
      <c r="AJ81" s="1895"/>
      <c r="AK81" s="1895"/>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5" t="s">
        <v>554</v>
      </c>
      <c r="C84" s="1885"/>
      <c r="D84" s="582" t="s">
        <v>1489</v>
      </c>
      <c r="E84" s="1896" t="s">
        <v>1499</v>
      </c>
      <c r="F84" s="1897"/>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8"/>
      <c r="AK84" s="578"/>
      <c r="AL84" s="575"/>
      <c r="AM84" s="575"/>
      <c r="AN84" s="570"/>
    </row>
    <row r="85" spans="1:43" s="571" customFormat="1" ht="12.75" customHeight="1">
      <c r="A85" s="573"/>
      <c r="B85" s="574"/>
      <c r="C85" s="574"/>
      <c r="D85" s="574"/>
      <c r="E85" s="1899"/>
      <c r="F85" s="1900"/>
      <c r="G85" s="1900"/>
      <c r="H85" s="1900"/>
      <c r="I85" s="1900"/>
      <c r="J85" s="1900"/>
      <c r="K85" s="1900"/>
      <c r="L85" s="1900"/>
      <c r="M85" s="1900"/>
      <c r="N85" s="1900"/>
      <c r="O85" s="1900"/>
      <c r="P85" s="1900"/>
      <c r="Q85" s="1900"/>
      <c r="R85" s="1900"/>
      <c r="S85" s="1900"/>
      <c r="T85" s="1900"/>
      <c r="U85" s="1900"/>
      <c r="V85" s="1900"/>
      <c r="W85" s="1900"/>
      <c r="X85" s="1900"/>
      <c r="Y85" s="1900"/>
      <c r="Z85" s="1900"/>
      <c r="AA85" s="1900"/>
      <c r="AB85" s="1900"/>
      <c r="AC85" s="1900"/>
      <c r="AD85" s="1900"/>
      <c r="AE85" s="1900"/>
      <c r="AF85" s="1900"/>
      <c r="AG85" s="1900"/>
      <c r="AH85" s="1900"/>
      <c r="AI85" s="1900"/>
      <c r="AJ85" s="190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9">
        <f>Application!AC739</f>
        <v>0.48749999999999999</v>
      </c>
      <c r="F87" s="1880"/>
      <c r="G87" s="1880"/>
      <c r="H87" s="1880"/>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81">
        <f>0.6-ROUNDUP(E87,2)</f>
        <v>0.10999999999999999</v>
      </c>
      <c r="F88" s="1882"/>
      <c r="G88" s="1882"/>
      <c r="H88" s="1882"/>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9">
        <f>IF(E88*200&gt;20,20,E88*200)</f>
        <v>20</v>
      </c>
      <c r="F89" s="1910"/>
      <c r="G89" s="1910"/>
      <c r="H89" s="1910"/>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5" t="s">
        <v>600</v>
      </c>
      <c r="C92" s="1885"/>
      <c r="D92" s="582" t="s">
        <v>1491</v>
      </c>
      <c r="E92" s="1896" t="s">
        <v>1987</v>
      </c>
      <c r="F92" s="1897"/>
      <c r="G92" s="1897"/>
      <c r="H92" s="1897"/>
      <c r="I92" s="1897"/>
      <c r="J92" s="1897"/>
      <c r="K92" s="1897"/>
      <c r="L92" s="1897"/>
      <c r="M92" s="1897"/>
      <c r="N92" s="1897"/>
      <c r="O92" s="1897"/>
      <c r="P92" s="1897"/>
      <c r="Q92" s="1897"/>
      <c r="R92" s="1897"/>
      <c r="S92" s="1897"/>
      <c r="T92" s="1897"/>
      <c r="U92" s="1897"/>
      <c r="V92" s="1897"/>
      <c r="W92" s="1897"/>
      <c r="X92" s="1897"/>
      <c r="Y92" s="1897"/>
      <c r="Z92" s="1897"/>
      <c r="AA92" s="1897"/>
      <c r="AB92" s="1897"/>
      <c r="AC92" s="1897"/>
      <c r="AD92" s="1897"/>
      <c r="AE92" s="1897"/>
      <c r="AF92" s="1897"/>
      <c r="AG92" s="1897"/>
      <c r="AH92" s="1897"/>
      <c r="AI92" s="1897"/>
      <c r="AJ92" s="1898"/>
      <c r="AK92" s="578"/>
      <c r="AL92" s="575"/>
      <c r="AM92" s="575"/>
      <c r="AN92" s="570"/>
    </row>
    <row r="93" spans="1:43" s="571" customFormat="1" ht="12.75" customHeight="1">
      <c r="A93" s="573"/>
      <c r="B93" s="574"/>
      <c r="C93" s="574"/>
      <c r="D93" s="574"/>
      <c r="E93" s="1899"/>
      <c r="F93" s="1900"/>
      <c r="G93" s="1900"/>
      <c r="H93" s="1900"/>
      <c r="I93" s="1900"/>
      <c r="J93" s="1900"/>
      <c r="K93" s="1900"/>
      <c r="L93" s="1900"/>
      <c r="M93" s="1900"/>
      <c r="N93" s="1900"/>
      <c r="O93" s="1900"/>
      <c r="P93" s="1900"/>
      <c r="Q93" s="1900"/>
      <c r="R93" s="1900"/>
      <c r="S93" s="1900"/>
      <c r="T93" s="1900"/>
      <c r="U93" s="1900"/>
      <c r="V93" s="1900"/>
      <c r="W93" s="1900"/>
      <c r="X93" s="1900"/>
      <c r="Y93" s="1900"/>
      <c r="Z93" s="1900"/>
      <c r="AA93" s="1900"/>
      <c r="AB93" s="1900"/>
      <c r="AC93" s="1900"/>
      <c r="AD93" s="1900"/>
      <c r="AE93" s="1900"/>
      <c r="AF93" s="1900"/>
      <c r="AG93" s="1900"/>
      <c r="AH93" s="1900"/>
      <c r="AI93" s="1900"/>
      <c r="AJ93" s="1901"/>
      <c r="AK93" s="578"/>
      <c r="AL93" s="575"/>
      <c r="AM93" s="575"/>
      <c r="AN93" s="570"/>
    </row>
    <row r="94" spans="1:43" s="571" customFormat="1" ht="12.75" customHeight="1">
      <c r="A94" s="573"/>
      <c r="B94" s="574"/>
      <c r="C94" s="574"/>
      <c r="D94" s="574"/>
      <c r="E94" s="1899"/>
      <c r="F94" s="1900"/>
      <c r="G94" s="1900"/>
      <c r="H94" s="1900"/>
      <c r="I94" s="1900"/>
      <c r="J94" s="1900"/>
      <c r="K94" s="1900"/>
      <c r="L94" s="1900"/>
      <c r="M94" s="1900"/>
      <c r="N94" s="1900"/>
      <c r="O94" s="1900"/>
      <c r="P94" s="1900"/>
      <c r="Q94" s="1900"/>
      <c r="R94" s="1900"/>
      <c r="S94" s="1900"/>
      <c r="T94" s="1900"/>
      <c r="U94" s="1900"/>
      <c r="V94" s="1900"/>
      <c r="W94" s="1900"/>
      <c r="X94" s="1900"/>
      <c r="Y94" s="1900"/>
      <c r="Z94" s="1900"/>
      <c r="AA94" s="1900"/>
      <c r="AB94" s="1900"/>
      <c r="AC94" s="1900"/>
      <c r="AD94" s="1900"/>
      <c r="AE94" s="1900"/>
      <c r="AF94" s="1900"/>
      <c r="AG94" s="1900"/>
      <c r="AH94" s="1900"/>
      <c r="AI94" s="1900"/>
      <c r="AJ94" s="1901"/>
      <c r="AK94" s="578"/>
      <c r="AL94" s="575"/>
      <c r="AM94" s="575"/>
      <c r="AN94" s="570"/>
    </row>
    <row r="95" spans="1:43" s="571" customFormat="1" ht="12.75" customHeight="1">
      <c r="A95" s="573"/>
      <c r="B95" s="574"/>
      <c r="C95" s="574"/>
      <c r="D95" s="574"/>
      <c r="E95" s="1899"/>
      <c r="F95" s="1900"/>
      <c r="G95" s="1900"/>
      <c r="H95" s="1900"/>
      <c r="I95" s="1900"/>
      <c r="J95" s="1900"/>
      <c r="K95" s="1900"/>
      <c r="L95" s="1900"/>
      <c r="M95" s="1900"/>
      <c r="N95" s="1900"/>
      <c r="O95" s="1900"/>
      <c r="P95" s="1900"/>
      <c r="Q95" s="1900"/>
      <c r="R95" s="1900"/>
      <c r="S95" s="1900"/>
      <c r="T95" s="1900"/>
      <c r="U95" s="1900"/>
      <c r="V95" s="1900"/>
      <c r="W95" s="1900"/>
      <c r="X95" s="1900"/>
      <c r="Y95" s="1900"/>
      <c r="Z95" s="1900"/>
      <c r="AA95" s="1900"/>
      <c r="AB95" s="1900"/>
      <c r="AC95" s="1900"/>
      <c r="AD95" s="1900"/>
      <c r="AE95" s="1900"/>
      <c r="AF95" s="1900"/>
      <c r="AG95" s="1900"/>
      <c r="AH95" s="1900"/>
      <c r="AI95" s="1900"/>
      <c r="AJ95" s="190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9">
        <f>Application!AC739</f>
        <v>0.48749999999999999</v>
      </c>
      <c r="F97" s="1880"/>
      <c r="G97" s="1880"/>
      <c r="H97" s="1880"/>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9">
        <f ca="1">SUMIF(Application!AC714:AG738,0.2,Application!G714:J738)/Application!G739+SUMIF(Application!AC714:AG738,0.25,Application!G714:J738)/Application!G739+SUMIF(Application!AC714:AG738,0.3,Application!G714:J738)/Application!G739</f>
        <v>0.375</v>
      </c>
      <c r="F98" s="1880"/>
      <c r="G98" s="1880"/>
      <c r="H98" s="1880"/>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9">
        <f ca="1">SUMIF(Application!AC714:AG738,0.35,Application!G714:J738)/Application!G739+SUMIF(Application!AC714:AG738,0.4,Application!G714:J738)/Application!G739+SUMIF(Application!AC714:AG738,0.45,Application!G714:J738)/Application!G739+SUMIF(Application!AC714:AG738,0.5,Application!G714:J738)/Application!G739</f>
        <v>0</v>
      </c>
      <c r="F99" s="1880"/>
      <c r="G99" s="1880"/>
      <c r="H99" s="1880"/>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4">
        <f ca="1">IF(AND(E97&lt;=0.6,E98&gt;=0.1,OR(E99&gt;=0.1,E98&gt;=0.2)),20,0)</f>
        <v>20</v>
      </c>
      <c r="F100" s="1935"/>
      <c r="G100" s="1935"/>
      <c r="H100" s="1935"/>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15">
        <f>MAX(AP89,AP100)</f>
        <v>20</v>
      </c>
      <c r="AL103" s="1916"/>
      <c r="AM103" s="191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5" t="s">
        <v>1488</v>
      </c>
      <c r="AF106" s="1895"/>
      <c r="AG106" s="1895"/>
      <c r="AH106" s="1895"/>
      <c r="AI106" s="1895"/>
      <c r="AJ106" s="1895"/>
      <c r="AK106" s="1895"/>
      <c r="AL106" s="575"/>
      <c r="AM106" s="575"/>
      <c r="AN106" s="570"/>
      <c r="AO106" s="571" t="str">
        <f>Application!B714</f>
        <v>1 Bedroom</v>
      </c>
      <c r="AQ106" s="571">
        <f>Application!O714</f>
        <v>416</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416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488</v>
      </c>
    </row>
    <row r="109" spans="1:49" s="571" customFormat="1" ht="12.75" customHeight="1">
      <c r="A109" s="575"/>
      <c r="B109" s="1885" t="s">
        <v>554</v>
      </c>
      <c r="C109" s="1885"/>
      <c r="D109" s="582" t="s">
        <v>1489</v>
      </c>
      <c r="E109" s="1896" t="s">
        <v>2122</v>
      </c>
      <c r="F109" s="1897"/>
      <c r="G109" s="1897"/>
      <c r="H109" s="1897"/>
      <c r="I109" s="1897"/>
      <c r="J109" s="1897"/>
      <c r="K109" s="1897"/>
      <c r="L109" s="1897"/>
      <c r="M109" s="1897"/>
      <c r="N109" s="1897"/>
      <c r="O109" s="1897"/>
      <c r="P109" s="1897"/>
      <c r="Q109" s="1897"/>
      <c r="R109" s="1897"/>
      <c r="S109" s="1897"/>
      <c r="T109" s="1897"/>
      <c r="U109" s="1897"/>
      <c r="V109" s="1897"/>
      <c r="W109" s="1897"/>
      <c r="X109" s="1897"/>
      <c r="Y109" s="1897"/>
      <c r="Z109" s="1897"/>
      <c r="AA109" s="1897"/>
      <c r="AB109" s="1897"/>
      <c r="AC109" s="1897"/>
      <c r="AD109" s="1897"/>
      <c r="AE109" s="1897"/>
      <c r="AF109" s="1897"/>
      <c r="AG109" s="1897"/>
      <c r="AH109" s="1897"/>
      <c r="AI109" s="1897"/>
      <c r="AJ109" s="1898"/>
      <c r="AK109" s="575"/>
      <c r="AL109" s="575"/>
      <c r="AM109" s="575"/>
      <c r="AN109" s="570"/>
      <c r="AO109" s="571" t="str">
        <f>Application!B717</f>
        <v>2 Bedrooms</v>
      </c>
      <c r="AQ109" s="571">
        <f>Application!O717</f>
        <v>1058</v>
      </c>
      <c r="AU109" s="571" t="s">
        <v>2104</v>
      </c>
      <c r="AV109" s="630" t="s">
        <v>2105</v>
      </c>
      <c r="AW109" s="571" t="s">
        <v>2106</v>
      </c>
    </row>
    <row r="110" spans="1:49" s="571" customFormat="1" ht="12.75" customHeight="1">
      <c r="A110" s="575"/>
      <c r="B110" s="574"/>
      <c r="C110" s="574"/>
      <c r="D110" s="574"/>
      <c r="E110" s="1899"/>
      <c r="F110" s="1900"/>
      <c r="G110" s="1900"/>
      <c r="H110" s="1900"/>
      <c r="I110" s="1900"/>
      <c r="J110" s="1900"/>
      <c r="K110" s="1900"/>
      <c r="L110" s="1900"/>
      <c r="M110" s="1900"/>
      <c r="N110" s="1900"/>
      <c r="O110" s="1900"/>
      <c r="P110" s="1900"/>
      <c r="Q110" s="1900"/>
      <c r="R110" s="1900"/>
      <c r="S110" s="1900"/>
      <c r="T110" s="1900"/>
      <c r="U110" s="1900"/>
      <c r="V110" s="1900"/>
      <c r="W110" s="1900"/>
      <c r="X110" s="1900"/>
      <c r="Y110" s="1900"/>
      <c r="Z110" s="1900"/>
      <c r="AA110" s="1900"/>
      <c r="AB110" s="1900"/>
      <c r="AC110" s="1900"/>
      <c r="AD110" s="1900"/>
      <c r="AE110" s="1900"/>
      <c r="AF110" s="1900"/>
      <c r="AG110" s="1900"/>
      <c r="AH110" s="1900"/>
      <c r="AI110" s="1900"/>
      <c r="AJ110" s="1901"/>
      <c r="AK110" s="575"/>
      <c r="AL110" s="575"/>
      <c r="AM110" s="575"/>
      <c r="AN110" s="570"/>
      <c r="AO110" s="571" t="str">
        <f>Application!B718</f>
        <v>3 Bedrooms</v>
      </c>
      <c r="AQ110" s="571">
        <f>Application!O718</f>
        <v>556</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99"/>
      <c r="F111" s="1900"/>
      <c r="G111" s="1900"/>
      <c r="H111" s="1900"/>
      <c r="I111" s="1900"/>
      <c r="J111" s="1900"/>
      <c r="K111" s="1900"/>
      <c r="L111" s="1900"/>
      <c r="M111" s="1900"/>
      <c r="N111" s="1900"/>
      <c r="O111" s="1900"/>
      <c r="P111" s="1900"/>
      <c r="Q111" s="1900"/>
      <c r="R111" s="1900"/>
      <c r="S111" s="1900"/>
      <c r="T111" s="1900"/>
      <c r="U111" s="1900"/>
      <c r="V111" s="1900"/>
      <c r="W111" s="1900"/>
      <c r="X111" s="1900"/>
      <c r="Y111" s="1900"/>
      <c r="Z111" s="1900"/>
      <c r="AA111" s="1900"/>
      <c r="AB111" s="1900"/>
      <c r="AC111" s="1900"/>
      <c r="AD111" s="1900"/>
      <c r="AE111" s="1900"/>
      <c r="AF111" s="1900"/>
      <c r="AG111" s="1900"/>
      <c r="AH111" s="1900"/>
      <c r="AI111" s="1900"/>
      <c r="AJ111" s="1901"/>
      <c r="AK111" s="575"/>
      <c r="AL111" s="575"/>
      <c r="AM111" s="575"/>
      <c r="AN111" s="570"/>
      <c r="AO111" s="571" t="str">
        <f>Application!B719</f>
        <v>3 Bedrooms</v>
      </c>
      <c r="AQ111" s="571">
        <f>Application!O719</f>
        <v>1234</v>
      </c>
      <c r="AU111" s="892" t="str">
        <f>J118</f>
        <v>1-bedroom</v>
      </c>
      <c r="AV111" s="571">
        <f t="array" ref="AV111">SUM(IF(Application!B714:F738="1 Bedroom",Application!G714:J738))</f>
        <v>15</v>
      </c>
      <c r="AW111" s="1048">
        <f>AV111/AV116</f>
        <v>0.125</v>
      </c>
    </row>
    <row r="112" spans="1:49" s="571" customFormat="1" ht="12.75" customHeight="1">
      <c r="A112" s="575"/>
      <c r="B112" s="574"/>
      <c r="C112" s="574"/>
      <c r="D112" s="574"/>
      <c r="E112" s="1899"/>
      <c r="F112" s="1900"/>
      <c r="G112" s="1900"/>
      <c r="H112" s="1900"/>
      <c r="I112" s="1900"/>
      <c r="J112" s="1900"/>
      <c r="K112" s="1900"/>
      <c r="L112" s="1900"/>
      <c r="M112" s="1900"/>
      <c r="N112" s="1900"/>
      <c r="O112" s="1900"/>
      <c r="P112" s="1900"/>
      <c r="Q112" s="1900"/>
      <c r="R112" s="1900"/>
      <c r="S112" s="1900"/>
      <c r="T112" s="1900"/>
      <c r="U112" s="1900"/>
      <c r="V112" s="1900"/>
      <c r="W112" s="1900"/>
      <c r="X112" s="1900"/>
      <c r="Y112" s="1900"/>
      <c r="Z112" s="1900"/>
      <c r="AA112" s="1900"/>
      <c r="AB112" s="1900"/>
      <c r="AC112" s="1900"/>
      <c r="AD112" s="1900"/>
      <c r="AE112" s="1900"/>
      <c r="AF112" s="1900"/>
      <c r="AG112" s="1900"/>
      <c r="AH112" s="1900"/>
      <c r="AI112" s="1900"/>
      <c r="AJ112" s="1901"/>
      <c r="AK112" s="575"/>
      <c r="AL112" s="575"/>
      <c r="AM112" s="575"/>
      <c r="AN112" s="570"/>
      <c r="AO112" s="571" t="str">
        <f>Application!B720</f>
        <v>3 Bedrooms</v>
      </c>
      <c r="AQ112" s="571">
        <f>Application!O720</f>
        <v>556</v>
      </c>
      <c r="AU112" s="892" t="str">
        <f>O118</f>
        <v>2-bedroom</v>
      </c>
      <c r="AV112" s="571">
        <f t="array" ref="AV112">SUM(IF(Application!B714:F738="2 Bedrooms",Application!G714:J738))</f>
        <v>75</v>
      </c>
      <c r="AW112" s="1048">
        <f>AV112/AV116</f>
        <v>0.625</v>
      </c>
    </row>
    <row r="113" spans="1:52" s="571" customFormat="1" ht="12.75" customHeight="1">
      <c r="A113" s="575"/>
      <c r="B113" s="574"/>
      <c r="C113" s="574"/>
      <c r="D113" s="574"/>
      <c r="E113" s="1899"/>
      <c r="F113" s="1900"/>
      <c r="G113" s="1900"/>
      <c r="H113" s="1900"/>
      <c r="I113" s="1900"/>
      <c r="J113" s="1900"/>
      <c r="K113" s="1900"/>
      <c r="L113" s="1900"/>
      <c r="M113" s="1900"/>
      <c r="N113" s="1900"/>
      <c r="O113" s="1900"/>
      <c r="P113" s="1900"/>
      <c r="Q113" s="1900"/>
      <c r="R113" s="1900"/>
      <c r="S113" s="1900"/>
      <c r="T113" s="1900"/>
      <c r="U113" s="1900"/>
      <c r="V113" s="1900"/>
      <c r="W113" s="1900"/>
      <c r="X113" s="1900"/>
      <c r="Y113" s="1900"/>
      <c r="Z113" s="1900"/>
      <c r="AA113" s="1900"/>
      <c r="AB113" s="1900"/>
      <c r="AC113" s="1900"/>
      <c r="AD113" s="1900"/>
      <c r="AE113" s="1900"/>
      <c r="AF113" s="1900"/>
      <c r="AG113" s="1900"/>
      <c r="AH113" s="1900"/>
      <c r="AI113" s="1900"/>
      <c r="AJ113" s="1901"/>
      <c r="AK113" s="575"/>
      <c r="AL113" s="575"/>
      <c r="AM113" s="575"/>
      <c r="AN113" s="570"/>
      <c r="AO113" s="571">
        <f>Application!B721</f>
        <v>0</v>
      </c>
      <c r="AQ113" s="571">
        <f>Application!O721</f>
        <v>0</v>
      </c>
      <c r="AU113" s="892" t="str">
        <f>T118</f>
        <v>3-bedroom</v>
      </c>
      <c r="AV113" s="571">
        <f t="array" ref="AV113">SUM(IF(Application!B714:F738="3 Bedrooms",Application!G714:J738))</f>
        <v>30</v>
      </c>
      <c r="AW113" s="1048">
        <f>AV113/AV116</f>
        <v>0.25</v>
      </c>
    </row>
    <row r="114" spans="1:52" s="571" customFormat="1" ht="12.75" customHeight="1">
      <c r="A114" s="575"/>
      <c r="B114" s="574"/>
      <c r="C114" s="574"/>
      <c r="D114" s="574"/>
      <c r="E114" s="1899"/>
      <c r="F114" s="1900"/>
      <c r="G114" s="1900"/>
      <c r="H114" s="1900"/>
      <c r="I114" s="1900"/>
      <c r="J114" s="1900"/>
      <c r="K114" s="1900"/>
      <c r="L114" s="1900"/>
      <c r="M114" s="1900"/>
      <c r="N114" s="1900"/>
      <c r="O114" s="1900"/>
      <c r="P114" s="1900"/>
      <c r="Q114" s="1900"/>
      <c r="R114" s="1900"/>
      <c r="S114" s="1900"/>
      <c r="T114" s="1900"/>
      <c r="U114" s="1900"/>
      <c r="V114" s="1900"/>
      <c r="W114" s="1900"/>
      <c r="X114" s="1900"/>
      <c r="Y114" s="1900"/>
      <c r="Z114" s="1900"/>
      <c r="AA114" s="1900"/>
      <c r="AB114" s="1900"/>
      <c r="AC114" s="1900"/>
      <c r="AD114" s="1900"/>
      <c r="AE114" s="1900"/>
      <c r="AF114" s="1900"/>
      <c r="AG114" s="1900"/>
      <c r="AH114" s="1900"/>
      <c r="AI114" s="1900"/>
      <c r="AJ114" s="1901"/>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9"/>
      <c r="F115" s="1900"/>
      <c r="G115" s="1900"/>
      <c r="H115" s="1900"/>
      <c r="I115" s="1900"/>
      <c r="J115" s="1900"/>
      <c r="K115" s="1900"/>
      <c r="L115" s="1900"/>
      <c r="M115" s="1900"/>
      <c r="N115" s="1900"/>
      <c r="O115" s="1900"/>
      <c r="P115" s="1900"/>
      <c r="Q115" s="1900"/>
      <c r="R115" s="1900"/>
      <c r="S115" s="1900"/>
      <c r="T115" s="1900"/>
      <c r="U115" s="1900"/>
      <c r="V115" s="1900"/>
      <c r="W115" s="1900"/>
      <c r="X115" s="1900"/>
      <c r="Y115" s="1900"/>
      <c r="Z115" s="1900"/>
      <c r="AA115" s="1900"/>
      <c r="AB115" s="1900"/>
      <c r="AC115" s="1900"/>
      <c r="AD115" s="1900"/>
      <c r="AE115" s="1900"/>
      <c r="AF115" s="1900"/>
      <c r="AG115" s="1900"/>
      <c r="AH115" s="1900"/>
      <c r="AI115" s="1900"/>
      <c r="AJ115" s="1901"/>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9"/>
      <c r="F116" s="1900"/>
      <c r="G116" s="1900"/>
      <c r="H116" s="1900"/>
      <c r="I116" s="1900"/>
      <c r="J116" s="1900"/>
      <c r="K116" s="1900"/>
      <c r="L116" s="1900"/>
      <c r="M116" s="1900"/>
      <c r="N116" s="1900"/>
      <c r="O116" s="1900"/>
      <c r="P116" s="1900"/>
      <c r="Q116" s="1900"/>
      <c r="R116" s="1900"/>
      <c r="S116" s="1900"/>
      <c r="T116" s="1900"/>
      <c r="U116" s="1900"/>
      <c r="V116" s="1900"/>
      <c r="W116" s="1900"/>
      <c r="X116" s="1900"/>
      <c r="Y116" s="1900"/>
      <c r="Z116" s="1900"/>
      <c r="AA116" s="1900"/>
      <c r="AB116" s="1900"/>
      <c r="AC116" s="1900"/>
      <c r="AD116" s="1900"/>
      <c r="AE116" s="1900"/>
      <c r="AF116" s="1900"/>
      <c r="AG116" s="1900"/>
      <c r="AH116" s="1900"/>
      <c r="AI116" s="1900"/>
      <c r="AJ116" s="1901"/>
      <c r="AK116" s="575"/>
      <c r="AL116" s="575"/>
      <c r="AM116" s="575"/>
      <c r="AN116" s="570"/>
      <c r="AO116" s="571">
        <f>Application!B724</f>
        <v>0</v>
      </c>
      <c r="AQ116" s="571">
        <f>Application!O724</f>
        <v>0</v>
      </c>
      <c r="AV116" s="571">
        <f>SUM(AV110:AV115)</f>
        <v>120</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9" t="s">
        <v>1767</v>
      </c>
      <c r="F118" s="1880"/>
      <c r="G118" s="1880"/>
      <c r="H118" s="1880"/>
      <c r="I118" s="612"/>
      <c r="J118" s="1880" t="s">
        <v>1812</v>
      </c>
      <c r="K118" s="1880"/>
      <c r="L118" s="1880"/>
      <c r="M118" s="1880"/>
      <c r="N118" s="612"/>
      <c r="O118" s="1880" t="s">
        <v>1813</v>
      </c>
      <c r="P118" s="1880"/>
      <c r="Q118" s="1880"/>
      <c r="R118" s="1880"/>
      <c r="S118" s="612"/>
      <c r="T118" s="1880" t="s">
        <v>1508</v>
      </c>
      <c r="U118" s="1880"/>
      <c r="V118" s="1880"/>
      <c r="W118" s="1880"/>
      <c r="X118" s="612"/>
      <c r="Y118" s="1880" t="s">
        <v>1814</v>
      </c>
      <c r="Z118" s="1880"/>
      <c r="AA118" s="1880"/>
      <c r="AB118" s="1880"/>
      <c r="AC118" s="612"/>
      <c r="AD118" s="1880" t="s">
        <v>1815</v>
      </c>
      <c r="AE118" s="1880"/>
      <c r="AF118" s="1880"/>
      <c r="AG118" s="1880"/>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6"/>
      <c r="F121" s="1937"/>
      <c r="G121" s="1937"/>
      <c r="H121" s="1937"/>
      <c r="I121" s="900"/>
      <c r="J121" s="1937">
        <v>1864</v>
      </c>
      <c r="K121" s="1937"/>
      <c r="L121" s="1937"/>
      <c r="M121" s="1937"/>
      <c r="N121" s="900"/>
      <c r="O121" s="1937">
        <v>1996</v>
      </c>
      <c r="P121" s="1937"/>
      <c r="Q121" s="1937"/>
      <c r="R121" s="1937"/>
      <c r="S121" s="900"/>
      <c r="T121" s="1937">
        <v>2501</v>
      </c>
      <c r="U121" s="1937"/>
      <c r="V121" s="1937"/>
      <c r="W121" s="1937"/>
      <c r="X121" s="900"/>
      <c r="Y121" s="1937"/>
      <c r="Z121" s="1937"/>
      <c r="AA121" s="1937"/>
      <c r="AB121" s="1937"/>
      <c r="AC121" s="900"/>
      <c r="AD121" s="1937"/>
      <c r="AE121" s="1937"/>
      <c r="AF121" s="1937"/>
      <c r="AG121" s="1937"/>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9">
        <f>Application!DX649</f>
        <v>0</v>
      </c>
      <c r="F124" s="1930"/>
      <c r="G124" s="1930"/>
      <c r="H124" s="1930"/>
      <c r="I124" s="900"/>
      <c r="J124" s="1930">
        <f>Application!EC649</f>
        <v>416</v>
      </c>
      <c r="K124" s="1930"/>
      <c r="L124" s="1930"/>
      <c r="M124" s="1930"/>
      <c r="N124" s="900"/>
      <c r="O124" s="1930">
        <f>Application!EH649</f>
        <v>898.4</v>
      </c>
      <c r="P124" s="1930"/>
      <c r="Q124" s="1930"/>
      <c r="R124" s="1930"/>
      <c r="S124" s="904"/>
      <c r="T124" s="1930">
        <f>Application!EM649</f>
        <v>1030.5999999999999</v>
      </c>
      <c r="U124" s="1930"/>
      <c r="V124" s="1930"/>
      <c r="W124" s="1930"/>
      <c r="X124" s="904"/>
      <c r="Y124" s="1930">
        <f>Application!ER649</f>
        <v>0</v>
      </c>
      <c r="Z124" s="1930"/>
      <c r="AA124" s="1930"/>
      <c r="AB124" s="1930"/>
      <c r="AC124" s="904"/>
      <c r="AD124" s="1930">
        <f>Application!EW649</f>
        <v>0</v>
      </c>
      <c r="AE124" s="1930"/>
      <c r="AF124" s="1930"/>
      <c r="AG124" s="193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22" t="e">
        <f>(E121-E124)/E121</f>
        <v>#DIV/0!</v>
      </c>
      <c r="F127" s="1882"/>
      <c r="G127" s="1882"/>
      <c r="H127" s="2123"/>
      <c r="I127" s="612"/>
      <c r="J127" s="2122">
        <f>(J121-J124)/J121</f>
        <v>0.77682403433476399</v>
      </c>
      <c r="K127" s="1882"/>
      <c r="L127" s="1882"/>
      <c r="M127" s="2123"/>
      <c r="N127" s="612"/>
      <c r="O127" s="2122">
        <f>(O121-O124)/O121</f>
        <v>0.54989979959919832</v>
      </c>
      <c r="P127" s="1882"/>
      <c r="Q127" s="1882"/>
      <c r="R127" s="2123"/>
      <c r="S127" s="612"/>
      <c r="T127" s="2122">
        <f>(T121-T124)/T121</f>
        <v>0.5879248300679728</v>
      </c>
      <c r="U127" s="1882"/>
      <c r="V127" s="1882"/>
      <c r="W127" s="2123"/>
      <c r="X127" s="612"/>
      <c r="Y127" s="2122" t="e">
        <f>(Y121-Y124)/Y121</f>
        <v>#DIV/0!</v>
      </c>
      <c r="Z127" s="1882"/>
      <c r="AA127" s="1882"/>
      <c r="AB127" s="2123"/>
      <c r="AC127" s="612"/>
      <c r="AD127" s="2122" t="e">
        <f>(AD121-AD124)/AD121</f>
        <v>#DIV/0!</v>
      </c>
      <c r="AE127" s="1882"/>
      <c r="AF127" s="1882"/>
      <c r="AG127" s="2123"/>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31" t="e">
        <f>IF(((E127-0.1)*AW110)&gt;0,((E127-0.1)*AW110),0)</f>
        <v>#DIV/0!</v>
      </c>
      <c r="F130" s="1932"/>
      <c r="G130" s="1932"/>
      <c r="H130" s="1933"/>
      <c r="I130" s="612"/>
      <c r="J130" s="1931">
        <f>IF(((J127-0.1)*AW111)&gt;0,((J127-0.1)*AW111),0)</f>
        <v>8.4603004291845502E-2</v>
      </c>
      <c r="K130" s="1932"/>
      <c r="L130" s="1932"/>
      <c r="M130" s="1933"/>
      <c r="N130" s="612"/>
      <c r="O130" s="1931">
        <f>IF(((O127-0.1)*AW112)&gt;0,((O127-0.1)*AW112),0)</f>
        <v>0.28118737474949895</v>
      </c>
      <c r="P130" s="1932"/>
      <c r="Q130" s="1932"/>
      <c r="R130" s="1933"/>
      <c r="S130" s="612"/>
      <c r="T130" s="1931">
        <f>IF(((T127-0.1)*AW113)&gt;0,((T127-0.1)*AW113),0)</f>
        <v>0.12198120751699321</v>
      </c>
      <c r="U130" s="1932"/>
      <c r="V130" s="1932"/>
      <c r="W130" s="1933"/>
      <c r="X130" s="612"/>
      <c r="Y130" s="1931" t="e">
        <f>IF(((Y127-0.1)*AW114)&gt;0,((Y127-0.1)*AW114),0)</f>
        <v>#DIV/0!</v>
      </c>
      <c r="Z130" s="1932"/>
      <c r="AA130" s="1932"/>
      <c r="AB130" s="1933"/>
      <c r="AC130" s="612"/>
      <c r="AD130" s="1931" t="e">
        <f>IF(((AD127-0.1)*AW115)&gt;0,((AD127-0.1)*AW115),0)</f>
        <v>#DIV/0!</v>
      </c>
      <c r="AE130" s="1932"/>
      <c r="AF130" s="1932"/>
      <c r="AG130" s="193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22">
        <f>ROUNDDOWN(SUMIF(E130:AG130,"&gt;0"),2)</f>
        <v>0.48</v>
      </c>
      <c r="F132" s="1882"/>
      <c r="G132" s="1882"/>
      <c r="H132" s="2123"/>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5">
        <f>IF((E132*100)&gt;10,10,E132*100)</f>
        <v>10</v>
      </c>
      <c r="F133" s="1916"/>
      <c r="G133" s="1916"/>
      <c r="H133" s="1917"/>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15">
        <f>E133</f>
        <v>10</v>
      </c>
      <c r="AL137" s="1916"/>
      <c r="AM137" s="191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895" t="s">
        <v>1488</v>
      </c>
      <c r="AF140" s="1895"/>
      <c r="AG140" s="1895"/>
      <c r="AH140" s="1895"/>
      <c r="AI140" s="1895"/>
      <c r="AJ140" s="1895"/>
      <c r="AK140" s="1895"/>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7" t="s">
        <v>1512</v>
      </c>
      <c r="AG142" s="1927"/>
      <c r="AH142" s="1927"/>
      <c r="AI142" s="1927"/>
      <c r="AJ142" s="1927"/>
      <c r="AK142" s="1927"/>
      <c r="AL142" s="1927"/>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8" t="s">
        <v>2637</v>
      </c>
      <c r="C144" s="1928"/>
      <c r="D144" s="1928"/>
      <c r="E144" s="1928"/>
      <c r="F144" s="1928"/>
      <c r="G144" s="1928"/>
      <c r="H144" s="1928"/>
      <c r="I144" s="1928"/>
      <c r="J144" s="1928"/>
      <c r="K144" s="1928"/>
      <c r="L144" s="1928"/>
      <c r="M144" s="1928"/>
      <c r="N144" s="1928"/>
      <c r="O144" s="1928"/>
      <c r="P144" s="1928"/>
      <c r="Q144" s="1928"/>
      <c r="R144" s="1928"/>
      <c r="S144" s="1928"/>
      <c r="T144" s="1928"/>
      <c r="U144" s="1928"/>
      <c r="V144" s="1928"/>
      <c r="W144" s="1928"/>
      <c r="X144" s="1928"/>
      <c r="Y144" s="1928"/>
      <c r="Z144" s="1928"/>
      <c r="AA144" s="1928"/>
      <c r="AB144" s="1928"/>
      <c r="AC144" s="192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53" t="s">
        <v>1515</v>
      </c>
      <c r="C147" s="1953"/>
      <c r="D147" s="1953"/>
      <c r="E147" s="1953"/>
      <c r="F147" s="1953"/>
      <c r="G147" s="1953"/>
      <c r="H147" s="1953"/>
      <c r="I147" s="1953"/>
      <c r="J147" s="1953"/>
      <c r="K147" s="1953"/>
      <c r="L147" s="1953"/>
      <c r="M147" s="1953"/>
      <c r="N147" s="1953"/>
      <c r="O147" s="1953"/>
      <c r="P147" s="1953"/>
      <c r="Q147" s="1953"/>
      <c r="R147" s="1953"/>
      <c r="S147" s="1953"/>
      <c r="T147" s="1953"/>
      <c r="U147" s="1953"/>
      <c r="V147" s="1953"/>
      <c r="W147" s="1953"/>
      <c r="X147" s="1953"/>
      <c r="Y147" s="1953"/>
      <c r="Z147" s="1953"/>
      <c r="AA147" s="1953"/>
      <c r="AB147" s="1953"/>
      <c r="AC147" s="1953"/>
      <c r="AD147" s="1953"/>
      <c r="AE147" s="1953"/>
      <c r="AF147" s="1953"/>
      <c r="AG147" s="1953"/>
      <c r="AH147" s="1953"/>
      <c r="AI147" s="1953"/>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1954" t="s">
        <v>600</v>
      </c>
      <c r="AC149" s="195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53" t="s">
        <v>1517</v>
      </c>
      <c r="C152" s="1953"/>
      <c r="D152" s="1953"/>
      <c r="E152" s="1953"/>
      <c r="F152" s="1953"/>
      <c r="G152" s="1953"/>
      <c r="H152" s="1953"/>
      <c r="I152" s="1953"/>
      <c r="J152" s="1953"/>
      <c r="K152" s="1953"/>
      <c r="L152" s="1953"/>
      <c r="M152" s="1953"/>
      <c r="N152" s="1953"/>
      <c r="O152" s="1953"/>
      <c r="P152" s="1953"/>
      <c r="Q152" s="1953"/>
      <c r="R152" s="1953"/>
      <c r="S152" s="1953"/>
      <c r="T152" s="1953"/>
      <c r="U152" s="1953"/>
      <c r="V152" s="1953"/>
      <c r="W152" s="1953"/>
      <c r="X152" s="1953"/>
      <c r="Y152" s="1953"/>
      <c r="Z152" s="1953"/>
      <c r="AA152" s="1953"/>
      <c r="AB152" s="1953"/>
      <c r="AC152" s="1953"/>
      <c r="AD152" s="1953"/>
      <c r="AE152" s="1953"/>
      <c r="AF152" s="1953"/>
      <c r="AG152" s="1953"/>
      <c r="AH152" s="1953"/>
      <c r="AI152" s="1953"/>
      <c r="AJ152" s="1953"/>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56">
        <f>IF($AB$149="N/A",VLOOKUP($B$147,$AO$145:$AP$148,2,FALSE),VLOOKUP($B$152,$AO$150:$AP$153,2,FALSE))</f>
        <v>7</v>
      </c>
      <c r="AK155" s="195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7" t="s">
        <v>1526</v>
      </c>
      <c r="AG157" s="1927"/>
      <c r="AH157" s="1927"/>
      <c r="AI157" s="1927"/>
      <c r="AJ157" s="1927"/>
      <c r="AK157" s="1927"/>
      <c r="AL157" s="1927"/>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3" t="s">
        <v>1524</v>
      </c>
      <c r="D159" s="1953"/>
      <c r="E159" s="1953"/>
      <c r="F159" s="1953"/>
      <c r="G159" s="1953"/>
      <c r="H159" s="1953"/>
      <c r="I159" s="1953"/>
      <c r="J159" s="1953"/>
      <c r="K159" s="1953"/>
      <c r="L159" s="1953"/>
      <c r="M159" s="1953"/>
      <c r="N159" s="1953"/>
      <c r="O159" s="1953"/>
      <c r="P159" s="1953"/>
      <c r="Q159" s="1953"/>
      <c r="R159" s="1953"/>
      <c r="S159" s="1953"/>
      <c r="T159" s="1953"/>
      <c r="U159" s="1953"/>
      <c r="V159" s="1953"/>
      <c r="W159" s="1953"/>
      <c r="X159" s="1953"/>
      <c r="Y159" s="1953"/>
      <c r="Z159" s="1953"/>
      <c r="AA159" s="1953"/>
      <c r="AB159" s="1953"/>
      <c r="AC159" s="1953"/>
      <c r="AD159" s="1953"/>
      <c r="AE159" s="1953"/>
      <c r="AF159" s="1953"/>
      <c r="AG159" s="1953"/>
      <c r="AH159" s="1953"/>
      <c r="AI159" s="1953"/>
      <c r="AJ159" s="571"/>
      <c r="AK159" s="571"/>
      <c r="AL159" s="571"/>
      <c r="AM159" s="638"/>
      <c r="AN159" s="632"/>
      <c r="AO159" s="511" t="s">
        <v>308</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4" t="s">
        <v>600</v>
      </c>
      <c r="AD161" s="1954"/>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53" t="s">
        <v>1517</v>
      </c>
      <c r="D163" s="1953"/>
      <c r="E163" s="1953"/>
      <c r="F163" s="1953"/>
      <c r="G163" s="1953"/>
      <c r="H163" s="1953"/>
      <c r="I163" s="1953"/>
      <c r="J163" s="1953"/>
      <c r="K163" s="1953"/>
      <c r="L163" s="1953"/>
      <c r="M163" s="1953"/>
      <c r="N163" s="1953"/>
      <c r="O163" s="1953"/>
      <c r="P163" s="1953"/>
      <c r="Q163" s="1953"/>
      <c r="R163" s="1953"/>
      <c r="S163" s="1953"/>
      <c r="T163" s="1953"/>
      <c r="U163" s="1953"/>
      <c r="V163" s="1953"/>
      <c r="W163" s="1953"/>
      <c r="X163" s="1953"/>
      <c r="Y163" s="1953"/>
      <c r="Z163" s="1953"/>
      <c r="AA163" s="1953"/>
      <c r="AB163" s="1953"/>
      <c r="AC163" s="1953"/>
      <c r="AD163" s="1953"/>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28" t="s">
        <v>2726</v>
      </c>
      <c r="D167" s="1928"/>
      <c r="E167" s="1928"/>
      <c r="F167" s="1928"/>
      <c r="G167" s="1928"/>
      <c r="H167" s="1928"/>
      <c r="I167" s="1928"/>
      <c r="J167" s="1928"/>
      <c r="K167" s="1928"/>
      <c r="L167" s="1928"/>
      <c r="M167" s="1928"/>
      <c r="N167" s="1928"/>
      <c r="O167" s="1928"/>
      <c r="P167" s="1928"/>
      <c r="Q167" s="1928"/>
      <c r="R167" s="1928"/>
      <c r="S167" s="1928"/>
      <c r="T167" s="1928"/>
      <c r="U167" s="1928"/>
      <c r="V167" s="1928"/>
      <c r="W167" s="1928"/>
      <c r="X167" s="1928"/>
      <c r="Y167" s="1928"/>
      <c r="Z167" s="1928"/>
      <c r="AA167" s="1928"/>
      <c r="AB167" s="1928"/>
      <c r="AC167" s="1928"/>
      <c r="AD167" s="1928"/>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55">
        <f>IF($AC$161="N/A",VLOOKUP($C$159,$AO$159:$AP$162,2,FALSE),VLOOKUP($C$163,$AO$166:$AP$168,2,FALSE))</f>
        <v>3</v>
      </c>
      <c r="AK169" s="195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15">
        <f>$AJ$155+$AJ$169</f>
        <v>10</v>
      </c>
      <c r="AL172" s="1916"/>
      <c r="AM172" s="191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5" t="s">
        <v>1488</v>
      </c>
      <c r="AF175" s="1895"/>
      <c r="AG175" s="1895"/>
      <c r="AH175" s="1895"/>
      <c r="AI175" s="1895"/>
      <c r="AJ175" s="1895"/>
      <c r="AK175" s="1895"/>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51" t="s">
        <v>1102</v>
      </c>
      <c r="C177" s="1951"/>
      <c r="D177" s="1951"/>
      <c r="E177" s="1951"/>
      <c r="F177" s="1951"/>
      <c r="G177" s="1951"/>
      <c r="H177" s="1951"/>
      <c r="I177" s="1951"/>
      <c r="J177" s="1951"/>
      <c r="K177" s="1951"/>
      <c r="L177" s="1951"/>
      <c r="M177" s="1951"/>
      <c r="N177" s="1951"/>
      <c r="O177" s="1951"/>
      <c r="P177" s="1951"/>
      <c r="Q177" s="1951"/>
      <c r="R177" s="1951"/>
      <c r="S177" s="1951"/>
      <c r="T177" s="1951"/>
      <c r="U177" s="1951"/>
      <c r="V177" s="1951"/>
      <c r="W177" s="1951"/>
      <c r="X177" s="1951"/>
      <c r="Y177" s="1951"/>
      <c r="Z177" s="1951"/>
      <c r="AA177" s="1951"/>
      <c r="AB177" s="1951"/>
      <c r="AC177" s="1951"/>
      <c r="AD177" s="571"/>
      <c r="AE177" s="571"/>
      <c r="AF177" s="1927" t="s">
        <v>1537</v>
      </c>
      <c r="AG177" s="1927"/>
      <c r="AH177" s="1927"/>
      <c r="AI177" s="1927"/>
      <c r="AJ177" s="1927"/>
      <c r="AK177" s="1927"/>
      <c r="AL177" s="1927"/>
      <c r="AN177" s="632"/>
      <c r="AP177" s="585" t="s">
        <v>1104</v>
      </c>
      <c r="AQ177" s="585">
        <v>10</v>
      </c>
    </row>
    <row r="178" spans="1:45" s="585" customFormat="1" ht="12.75" customHeight="1">
      <c r="A178" s="571"/>
      <c r="B178" s="1952" t="s">
        <v>1988</v>
      </c>
      <c r="C178" s="1952"/>
      <c r="D178" s="1952"/>
      <c r="E178" s="1952"/>
      <c r="F178" s="1952"/>
      <c r="G178" s="1952"/>
      <c r="H178" s="1952"/>
      <c r="I178" s="1952"/>
      <c r="J178" s="1952"/>
      <c r="K178" s="1952"/>
      <c r="L178" s="1952"/>
      <c r="M178" s="1952"/>
      <c r="N178" s="1952"/>
      <c r="O178" s="1952"/>
      <c r="P178" s="1952"/>
      <c r="Q178" s="1952"/>
      <c r="R178" s="1952"/>
      <c r="S178" s="1952"/>
      <c r="T178" s="1928" t="s">
        <v>600</v>
      </c>
      <c r="U178" s="1928"/>
      <c r="V178" s="1928"/>
      <c r="W178" s="1928"/>
      <c r="X178" s="1928"/>
      <c r="Y178" s="1928"/>
      <c r="Z178" s="1928"/>
      <c r="AA178" s="1928"/>
      <c r="AB178" s="1928"/>
      <c r="AC178" s="1928"/>
      <c r="AD178" s="571"/>
      <c r="AE178" s="571"/>
      <c r="AF178" s="571"/>
      <c r="AG178" s="571"/>
      <c r="AH178" s="571"/>
      <c r="AI178" s="571"/>
      <c r="AJ178" s="578"/>
      <c r="AK178" s="630"/>
      <c r="AL178" s="630"/>
      <c r="AM178" s="630"/>
      <c r="AN178" s="632"/>
      <c r="AP178" s="585" t="s">
        <v>1538</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60">
        <f>IF(AK78&gt;0,VLOOKUP($B$177,AP174:AQ180,2,FALSE),0)</f>
        <v>10</v>
      </c>
      <c r="AL180" s="1961"/>
      <c r="AM180" s="1962"/>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5" t="s">
        <v>1546</v>
      </c>
      <c r="AF183" s="1895"/>
      <c r="AG183" s="1895"/>
      <c r="AH183" s="1895"/>
      <c r="AI183" s="1895"/>
      <c r="AJ183" s="1895"/>
      <c r="AK183" s="1895"/>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9" t="str">
        <f>Application!C624</f>
        <v>Palm Desert Housing Authority Loan</v>
      </c>
      <c r="C188" s="1939"/>
      <c r="D188" s="1939"/>
      <c r="E188" s="1939"/>
      <c r="F188" s="1939"/>
      <c r="G188" s="1939"/>
      <c r="H188" s="1939"/>
      <c r="I188" s="1939"/>
      <c r="J188" s="1939"/>
      <c r="K188" s="1939"/>
      <c r="L188" s="1939"/>
      <c r="M188" s="1939"/>
      <c r="N188" s="1939"/>
      <c r="O188" s="1939"/>
      <c r="P188" s="1939"/>
      <c r="Q188" s="1939"/>
      <c r="R188" s="1939"/>
      <c r="S188" s="1939"/>
      <c r="T188" s="1939"/>
      <c r="U188" s="1939"/>
      <c r="V188" s="1939"/>
      <c r="W188" s="1939"/>
      <c r="X188" s="1939"/>
      <c r="Y188" s="1939"/>
      <c r="Z188" s="1939"/>
      <c r="AA188" s="1939"/>
      <c r="AB188" s="1939"/>
      <c r="AC188" s="882"/>
      <c r="AD188" s="1940">
        <f>Application!AO624</f>
        <v>6000000</v>
      </c>
      <c r="AE188" s="1940"/>
      <c r="AF188" s="1940"/>
      <c r="AG188" s="1940"/>
      <c r="AH188" s="1940"/>
      <c r="AI188" s="1940"/>
      <c r="AJ188" s="1940"/>
      <c r="AK188" s="645"/>
    </row>
    <row r="189" spans="1:45">
      <c r="A189" s="640"/>
      <c r="B189" s="1939" t="str">
        <f>Application!C625</f>
        <v>Riverside County Loan</v>
      </c>
      <c r="C189" s="1939"/>
      <c r="D189" s="1939"/>
      <c r="E189" s="1939"/>
      <c r="F189" s="1939"/>
      <c r="G189" s="1939"/>
      <c r="H189" s="1939"/>
      <c r="I189" s="1939"/>
      <c r="J189" s="1939"/>
      <c r="K189" s="1939"/>
      <c r="L189" s="1939"/>
      <c r="M189" s="1939"/>
      <c r="N189" s="1939"/>
      <c r="O189" s="1939"/>
      <c r="P189" s="1939"/>
      <c r="Q189" s="1939"/>
      <c r="R189" s="1939"/>
      <c r="S189" s="1939"/>
      <c r="T189" s="1939"/>
      <c r="U189" s="1939"/>
      <c r="V189" s="1939"/>
      <c r="W189" s="1939"/>
      <c r="X189" s="1939"/>
      <c r="Y189" s="1939"/>
      <c r="Z189" s="1939"/>
      <c r="AA189" s="1939"/>
      <c r="AB189" s="1939"/>
      <c r="AC189" s="882"/>
      <c r="AD189" s="1940">
        <f>Application!AO625</f>
        <v>5000000</v>
      </c>
      <c r="AE189" s="1940"/>
      <c r="AF189" s="1940"/>
      <c r="AG189" s="1940"/>
      <c r="AH189" s="1940"/>
      <c r="AI189" s="1940"/>
      <c r="AJ189" s="1940"/>
      <c r="AK189" s="645"/>
    </row>
    <row r="190" spans="1:45">
      <c r="A190" s="640"/>
      <c r="B190" s="1939"/>
      <c r="C190" s="1939"/>
      <c r="D190" s="1939"/>
      <c r="E190" s="1939"/>
      <c r="F190" s="1939"/>
      <c r="G190" s="1939"/>
      <c r="H190" s="1939"/>
      <c r="I190" s="1939"/>
      <c r="J190" s="1939"/>
      <c r="K190" s="1939"/>
      <c r="L190" s="1939"/>
      <c r="M190" s="1939"/>
      <c r="N190" s="1939"/>
      <c r="O190" s="1939"/>
      <c r="P190" s="1939"/>
      <c r="Q190" s="1939"/>
      <c r="R190" s="1939"/>
      <c r="S190" s="1939"/>
      <c r="T190" s="1939"/>
      <c r="U190" s="1939"/>
      <c r="V190" s="1939"/>
      <c r="W190" s="1939"/>
      <c r="X190" s="1939"/>
      <c r="Y190" s="1939"/>
      <c r="Z190" s="1939"/>
      <c r="AA190" s="1939"/>
      <c r="AB190" s="1939"/>
      <c r="AC190" s="882"/>
      <c r="AD190" s="1940"/>
      <c r="AE190" s="1940"/>
      <c r="AF190" s="1940"/>
      <c r="AG190" s="1940"/>
      <c r="AH190" s="1940"/>
      <c r="AI190" s="1940"/>
      <c r="AJ190" s="1940"/>
      <c r="AK190" s="645"/>
    </row>
    <row r="191" spans="1:45">
      <c r="A191" s="640"/>
      <c r="B191" s="1939"/>
      <c r="C191" s="1939"/>
      <c r="D191" s="1939"/>
      <c r="E191" s="1939"/>
      <c r="F191" s="1939"/>
      <c r="G191" s="1939"/>
      <c r="H191" s="1939"/>
      <c r="I191" s="1939"/>
      <c r="J191" s="1939"/>
      <c r="K191" s="1939"/>
      <c r="L191" s="1939"/>
      <c r="M191" s="1939"/>
      <c r="N191" s="1939"/>
      <c r="O191" s="1939"/>
      <c r="P191" s="1939"/>
      <c r="Q191" s="1939"/>
      <c r="R191" s="1939"/>
      <c r="S191" s="1939"/>
      <c r="T191" s="1939"/>
      <c r="U191" s="1939"/>
      <c r="V191" s="1939"/>
      <c r="W191" s="1939"/>
      <c r="X191" s="1939"/>
      <c r="Y191" s="1939"/>
      <c r="Z191" s="1939"/>
      <c r="AA191" s="1939"/>
      <c r="AB191" s="1939"/>
      <c r="AC191" s="882"/>
      <c r="AD191" s="1940"/>
      <c r="AE191" s="1940"/>
      <c r="AF191" s="1940"/>
      <c r="AG191" s="1940"/>
      <c r="AH191" s="1940"/>
      <c r="AI191" s="1940"/>
      <c r="AJ191" s="1940"/>
      <c r="AK191" s="645"/>
    </row>
    <row r="192" spans="1:45">
      <c r="A192" s="640"/>
      <c r="B192" s="1939"/>
      <c r="C192" s="1939"/>
      <c r="D192" s="1939"/>
      <c r="E192" s="1939"/>
      <c r="F192" s="1939"/>
      <c r="G192" s="1939"/>
      <c r="H192" s="1939"/>
      <c r="I192" s="1939"/>
      <c r="J192" s="1939"/>
      <c r="K192" s="1939"/>
      <c r="L192" s="1939"/>
      <c r="M192" s="1939"/>
      <c r="N192" s="1939"/>
      <c r="O192" s="1939"/>
      <c r="P192" s="1939"/>
      <c r="Q192" s="1939"/>
      <c r="R192" s="1939"/>
      <c r="S192" s="1939"/>
      <c r="T192" s="1939"/>
      <c r="U192" s="1939"/>
      <c r="V192" s="1939"/>
      <c r="W192" s="1939"/>
      <c r="X192" s="1939"/>
      <c r="Y192" s="1939"/>
      <c r="Z192" s="1939"/>
      <c r="AA192" s="1939"/>
      <c r="AB192" s="1939"/>
      <c r="AC192" s="882"/>
      <c r="AD192" s="1940"/>
      <c r="AE192" s="1940"/>
      <c r="AF192" s="1940"/>
      <c r="AG192" s="1940"/>
      <c r="AH192" s="1940"/>
      <c r="AI192" s="1940"/>
      <c r="AJ192" s="1940"/>
      <c r="AK192" s="645"/>
    </row>
    <row r="193" spans="1:37">
      <c r="A193" s="640"/>
      <c r="B193" s="1939"/>
      <c r="C193" s="1939"/>
      <c r="D193" s="1939"/>
      <c r="E193" s="1939"/>
      <c r="F193" s="1939"/>
      <c r="G193" s="1939"/>
      <c r="H193" s="1939"/>
      <c r="I193" s="1939"/>
      <c r="J193" s="1939"/>
      <c r="K193" s="1939"/>
      <c r="L193" s="1939"/>
      <c r="M193" s="1939"/>
      <c r="N193" s="1939"/>
      <c r="O193" s="1939"/>
      <c r="P193" s="1939"/>
      <c r="Q193" s="1939"/>
      <c r="R193" s="1939"/>
      <c r="S193" s="1939"/>
      <c r="T193" s="1939"/>
      <c r="U193" s="1939"/>
      <c r="V193" s="1939"/>
      <c r="W193" s="1939"/>
      <c r="X193" s="1939"/>
      <c r="Y193" s="1939"/>
      <c r="Z193" s="1939"/>
      <c r="AA193" s="1939"/>
      <c r="AB193" s="1939"/>
      <c r="AC193" s="882"/>
      <c r="AD193" s="1940"/>
      <c r="AE193" s="1940"/>
      <c r="AF193" s="1940"/>
      <c r="AG193" s="1940"/>
      <c r="AH193" s="1940"/>
      <c r="AI193" s="1940"/>
      <c r="AJ193" s="1940"/>
      <c r="AK193" s="645"/>
    </row>
    <row r="194" spans="1:37">
      <c r="A194" s="640"/>
      <c r="B194" s="1939"/>
      <c r="C194" s="1939"/>
      <c r="D194" s="1939"/>
      <c r="E194" s="1939"/>
      <c r="F194" s="1939"/>
      <c r="G194" s="1939"/>
      <c r="H194" s="1939"/>
      <c r="I194" s="1939"/>
      <c r="J194" s="1939"/>
      <c r="K194" s="1939"/>
      <c r="L194" s="1939"/>
      <c r="M194" s="1939"/>
      <c r="N194" s="1939"/>
      <c r="O194" s="1939"/>
      <c r="P194" s="1939"/>
      <c r="Q194" s="1939"/>
      <c r="R194" s="1939"/>
      <c r="S194" s="1939"/>
      <c r="T194" s="1939"/>
      <c r="U194" s="1939"/>
      <c r="V194" s="1939"/>
      <c r="W194" s="1939"/>
      <c r="X194" s="1939"/>
      <c r="Y194" s="1939"/>
      <c r="Z194" s="1939"/>
      <c r="AA194" s="1939"/>
      <c r="AB194" s="1939"/>
      <c r="AC194" s="882"/>
      <c r="AD194" s="1940"/>
      <c r="AE194" s="1940"/>
      <c r="AF194" s="1940"/>
      <c r="AG194" s="1940"/>
      <c r="AH194" s="1940"/>
      <c r="AI194" s="1940"/>
      <c r="AJ194" s="1940"/>
      <c r="AK194" s="645"/>
    </row>
    <row r="195" spans="1:37">
      <c r="A195" s="640"/>
      <c r="B195" s="1939"/>
      <c r="C195" s="1939"/>
      <c r="D195" s="1939"/>
      <c r="E195" s="1939"/>
      <c r="F195" s="1939"/>
      <c r="G195" s="1939"/>
      <c r="H195" s="1939"/>
      <c r="I195" s="1939"/>
      <c r="J195" s="1939"/>
      <c r="K195" s="1939"/>
      <c r="L195" s="1939"/>
      <c r="M195" s="1939"/>
      <c r="N195" s="1939"/>
      <c r="O195" s="1939"/>
      <c r="P195" s="1939"/>
      <c r="Q195" s="1939"/>
      <c r="R195" s="1939"/>
      <c r="S195" s="1939"/>
      <c r="T195" s="1939"/>
      <c r="U195" s="1939"/>
      <c r="V195" s="1939"/>
      <c r="W195" s="1939"/>
      <c r="X195" s="1939"/>
      <c r="Y195" s="1939"/>
      <c r="Z195" s="1939"/>
      <c r="AA195" s="1939"/>
      <c r="AB195" s="1939"/>
      <c r="AC195" s="882"/>
      <c r="AD195" s="1940"/>
      <c r="AE195" s="1940"/>
      <c r="AF195" s="1940"/>
      <c r="AG195" s="1940"/>
      <c r="AH195" s="1940"/>
      <c r="AI195" s="1940"/>
      <c r="AJ195" s="1940"/>
      <c r="AK195" s="645"/>
    </row>
    <row r="196" spans="1:37">
      <c r="A196" s="640"/>
      <c r="B196" s="1939"/>
      <c r="C196" s="1939"/>
      <c r="D196" s="1939"/>
      <c r="E196" s="1939"/>
      <c r="F196" s="1939"/>
      <c r="G196" s="1939"/>
      <c r="H196" s="1939"/>
      <c r="I196" s="1939"/>
      <c r="J196" s="1939"/>
      <c r="K196" s="1939"/>
      <c r="L196" s="1939"/>
      <c r="M196" s="1939"/>
      <c r="N196" s="1939"/>
      <c r="O196" s="1939"/>
      <c r="P196" s="1939"/>
      <c r="Q196" s="1939"/>
      <c r="R196" s="1939"/>
      <c r="S196" s="1939"/>
      <c r="T196" s="1939"/>
      <c r="U196" s="1939"/>
      <c r="V196" s="1939"/>
      <c r="W196" s="1939"/>
      <c r="X196" s="1939"/>
      <c r="Y196" s="1939"/>
      <c r="Z196" s="1939"/>
      <c r="AA196" s="1939"/>
      <c r="AB196" s="1939"/>
      <c r="AC196" s="882"/>
      <c r="AD196" s="1940"/>
      <c r="AE196" s="1940"/>
      <c r="AF196" s="1940"/>
      <c r="AG196" s="1940"/>
      <c r="AH196" s="1940"/>
      <c r="AI196" s="1940"/>
      <c r="AJ196" s="1940"/>
      <c r="AK196" s="645"/>
    </row>
    <row r="197" spans="1:37">
      <c r="A197" s="640"/>
      <c r="B197" s="1939"/>
      <c r="C197" s="1939"/>
      <c r="D197" s="1939"/>
      <c r="E197" s="1939"/>
      <c r="F197" s="1939"/>
      <c r="G197" s="1939"/>
      <c r="H197" s="1939"/>
      <c r="I197" s="1939"/>
      <c r="J197" s="1939"/>
      <c r="K197" s="1939"/>
      <c r="L197" s="1939"/>
      <c r="M197" s="1939"/>
      <c r="N197" s="1939"/>
      <c r="O197" s="1939"/>
      <c r="P197" s="1939"/>
      <c r="Q197" s="1939"/>
      <c r="R197" s="1939"/>
      <c r="S197" s="1939"/>
      <c r="T197" s="1939"/>
      <c r="U197" s="1939"/>
      <c r="V197" s="1939"/>
      <c r="W197" s="1939"/>
      <c r="X197" s="1939"/>
      <c r="Y197" s="1939"/>
      <c r="Z197" s="1939"/>
      <c r="AA197" s="1939"/>
      <c r="AB197" s="1939"/>
      <c r="AC197" s="882"/>
      <c r="AD197" s="1940"/>
      <c r="AE197" s="1940"/>
      <c r="AF197" s="1940"/>
      <c r="AG197" s="1940"/>
      <c r="AH197" s="1940"/>
      <c r="AI197" s="1940"/>
      <c r="AJ197" s="1940"/>
      <c r="AK197" s="645"/>
    </row>
    <row r="198" spans="1:37">
      <c r="A198" s="640"/>
      <c r="B198" s="2099" t="s">
        <v>1806</v>
      </c>
      <c r="C198" s="2099"/>
      <c r="D198" s="2099"/>
      <c r="E198" s="2099"/>
      <c r="F198" s="2099"/>
      <c r="G198" s="2099"/>
      <c r="H198" s="2099"/>
      <c r="I198" s="2099"/>
      <c r="J198" s="2099"/>
      <c r="K198" s="2099"/>
      <c r="L198" s="2099"/>
      <c r="M198" s="2099"/>
      <c r="N198" s="2099"/>
      <c r="O198" s="2099"/>
      <c r="P198" s="2099"/>
      <c r="Q198" s="2099"/>
      <c r="R198" s="2099"/>
      <c r="S198" s="2099"/>
      <c r="T198" s="2099"/>
      <c r="U198" s="2099"/>
      <c r="V198" s="2099"/>
      <c r="W198" s="2099"/>
      <c r="X198" s="2099"/>
      <c r="Y198" s="2099"/>
      <c r="Z198" s="2099"/>
      <c r="AA198" s="2099"/>
      <c r="AB198" s="2099"/>
      <c r="AC198" s="571"/>
      <c r="AD198" s="1967">
        <f>AB249</f>
        <v>3361805.5269369716</v>
      </c>
      <c r="AE198" s="1967"/>
      <c r="AF198" s="1967"/>
      <c r="AG198" s="1967"/>
      <c r="AH198" s="1967"/>
      <c r="AI198" s="1967"/>
      <c r="AJ198" s="1967"/>
      <c r="AK198" s="645"/>
    </row>
    <row r="199" spans="1:37">
      <c r="A199" s="640"/>
      <c r="B199" s="2097" t="s">
        <v>1769</v>
      </c>
      <c r="C199" s="2097"/>
      <c r="D199" s="2097"/>
      <c r="E199" s="2097"/>
      <c r="F199" s="2097"/>
      <c r="G199" s="2097"/>
      <c r="H199" s="2097"/>
      <c r="I199" s="2097"/>
      <c r="J199" s="2097"/>
      <c r="K199" s="2097"/>
      <c r="L199" s="2097"/>
      <c r="M199" s="2097"/>
      <c r="N199" s="2097"/>
      <c r="O199" s="2097"/>
      <c r="P199" s="2097"/>
      <c r="Q199" s="2097"/>
      <c r="R199" s="2097"/>
      <c r="S199" s="2097"/>
      <c r="T199" s="2097"/>
      <c r="U199" s="2097"/>
      <c r="V199" s="2097"/>
      <c r="W199" s="2097"/>
      <c r="X199" s="2097"/>
      <c r="Y199" s="2097"/>
      <c r="Z199" s="2097"/>
      <c r="AA199" s="2097"/>
      <c r="AB199" s="2097"/>
      <c r="AC199" s="882"/>
      <c r="AD199" s="1968">
        <f>'Sources and Uses Budget'!B15</f>
        <v>0</v>
      </c>
      <c r="AE199" s="1968"/>
      <c r="AF199" s="1968"/>
      <c r="AG199" s="1968"/>
      <c r="AH199" s="1968"/>
      <c r="AI199" s="1968"/>
      <c r="AJ199" s="1968"/>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72">
        <f>SUM(AD188:AJ198)-AD199</f>
        <v>14361805.526936971</v>
      </c>
      <c r="AE200" s="1972"/>
      <c r="AF200" s="1972"/>
      <c r="AG200" s="1972"/>
      <c r="AH200" s="1972"/>
      <c r="AI200" s="1972"/>
      <c r="AJ200" s="197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3" t="s">
        <v>1786</v>
      </c>
      <c r="J211" s="1943"/>
      <c r="K211" s="1943"/>
      <c r="L211" s="571"/>
      <c r="M211" s="571"/>
      <c r="N211" s="571"/>
      <c r="O211" s="571"/>
      <c r="P211" s="571"/>
      <c r="Q211" s="571"/>
      <c r="R211" s="571"/>
      <c r="S211" s="571"/>
      <c r="T211" s="2125" t="s">
        <v>1780</v>
      </c>
      <c r="U211" s="2125"/>
      <c r="V211" s="2125"/>
      <c r="W211" s="2125"/>
      <c r="X211" s="2125"/>
      <c r="Y211" s="2125"/>
      <c r="Z211" s="885"/>
      <c r="AA211" s="524"/>
      <c r="AB211" s="1938" t="s">
        <v>1781</v>
      </c>
      <c r="AC211" s="1938"/>
      <c r="AD211" s="1938"/>
      <c r="AE211" s="1938"/>
      <c r="AF211" s="1938"/>
      <c r="AG211" s="1938"/>
      <c r="AH211" s="863"/>
      <c r="AI211" s="863"/>
      <c r="AJ211" s="863"/>
      <c r="AK211" s="645"/>
    </row>
    <row r="212" spans="1:37">
      <c r="A212" s="640"/>
      <c r="B212" s="1941" t="s">
        <v>1766</v>
      </c>
      <c r="C212" s="1941"/>
      <c r="D212" s="1941"/>
      <c r="E212" s="1941"/>
      <c r="F212" s="1941"/>
      <c r="G212" s="1941"/>
      <c r="I212" s="1942" t="s">
        <v>1787</v>
      </c>
      <c r="J212" s="1942"/>
      <c r="K212" s="1942"/>
      <c r="L212" s="1045"/>
      <c r="N212" s="1948" t="s">
        <v>1782</v>
      </c>
      <c r="O212" s="1948"/>
      <c r="P212" s="1948"/>
      <c r="Q212" s="1948"/>
      <c r="R212" s="1948"/>
      <c r="T212" s="1948" t="s">
        <v>1783</v>
      </c>
      <c r="U212" s="1948"/>
      <c r="V212" s="1948"/>
      <c r="W212" s="1948"/>
      <c r="X212" s="1948"/>
      <c r="Y212" s="1948"/>
      <c r="Z212" s="886"/>
      <c r="AA212" s="524"/>
      <c r="AB212" s="2100" t="s">
        <v>1784</v>
      </c>
      <c r="AC212" s="2100"/>
      <c r="AD212" s="2100"/>
      <c r="AE212" s="2100"/>
      <c r="AF212" s="2100"/>
      <c r="AG212" s="2100"/>
      <c r="AH212" s="863"/>
      <c r="AI212" s="863"/>
      <c r="AJ212" s="863"/>
      <c r="AK212" s="645"/>
    </row>
    <row r="213" spans="1:37">
      <c r="A213" s="640"/>
      <c r="B213" s="1945" t="s">
        <v>2727</v>
      </c>
      <c r="C213" s="1945"/>
      <c r="D213" s="1945"/>
      <c r="E213" s="1945"/>
      <c r="F213" s="1945"/>
      <c r="G213" s="1945"/>
      <c r="H213" s="888"/>
      <c r="I213" s="1944">
        <v>13</v>
      </c>
      <c r="J213" s="1944"/>
      <c r="K213" s="1944"/>
      <c r="L213" s="1045"/>
      <c r="N213" s="1949">
        <v>660</v>
      </c>
      <c r="O213" s="1949"/>
      <c r="P213" s="1949"/>
      <c r="Q213" s="1949"/>
      <c r="R213" s="1949"/>
      <c r="T213" s="2098">
        <v>1140</v>
      </c>
      <c r="U213" s="2098"/>
      <c r="V213" s="2098"/>
      <c r="W213" s="2098"/>
      <c r="X213" s="2098"/>
      <c r="Y213" s="2098"/>
      <c r="Z213" s="887"/>
      <c r="AA213" s="887"/>
      <c r="AB213" s="1946">
        <f t="shared" ref="AB213:AB222" si="0">MAX(($T213-$N213)*$I213*12,0)</f>
        <v>74880</v>
      </c>
      <c r="AC213" s="1946"/>
      <c r="AD213" s="1946"/>
      <c r="AE213" s="1946"/>
      <c r="AF213" s="1946"/>
      <c r="AG213" s="1946"/>
      <c r="AH213" s="863"/>
      <c r="AI213" s="863"/>
      <c r="AJ213" s="863"/>
      <c r="AK213" s="645"/>
    </row>
    <row r="214" spans="1:37">
      <c r="A214" s="640"/>
      <c r="B214" s="1945" t="s">
        <v>2727</v>
      </c>
      <c r="C214" s="1945"/>
      <c r="D214" s="1945"/>
      <c r="E214" s="1945"/>
      <c r="F214" s="1945"/>
      <c r="G214" s="1945"/>
      <c r="I214" s="1944">
        <v>2</v>
      </c>
      <c r="J214" s="1944"/>
      <c r="K214" s="1944"/>
      <c r="L214" s="1045"/>
      <c r="N214" s="1949">
        <v>660</v>
      </c>
      <c r="O214" s="1949"/>
      <c r="P214" s="1949"/>
      <c r="Q214" s="1949"/>
      <c r="R214" s="1949"/>
      <c r="T214" s="2098">
        <v>1140</v>
      </c>
      <c r="U214" s="2098"/>
      <c r="V214" s="2098"/>
      <c r="W214" s="2098"/>
      <c r="X214" s="2098"/>
      <c r="Y214" s="2098"/>
      <c r="Z214" s="887"/>
      <c r="AA214" s="887"/>
      <c r="AB214" s="1946">
        <f t="shared" si="0"/>
        <v>11520</v>
      </c>
      <c r="AC214" s="1946"/>
      <c r="AD214" s="1946"/>
      <c r="AE214" s="1946"/>
      <c r="AF214" s="1946"/>
      <c r="AG214" s="1946"/>
      <c r="AH214" s="863"/>
      <c r="AI214" s="863"/>
      <c r="AJ214" s="863"/>
      <c r="AK214" s="645"/>
    </row>
    <row r="215" spans="1:37">
      <c r="A215" s="640"/>
      <c r="B215" s="1945" t="s">
        <v>2728</v>
      </c>
      <c r="C215" s="1945"/>
      <c r="D215" s="1945"/>
      <c r="E215" s="1945"/>
      <c r="F215" s="1945"/>
      <c r="G215" s="1945"/>
      <c r="I215" s="1944">
        <v>21</v>
      </c>
      <c r="J215" s="1944"/>
      <c r="K215" s="1944"/>
      <c r="L215" s="1045"/>
      <c r="N215" s="1949">
        <v>792</v>
      </c>
      <c r="O215" s="1949"/>
      <c r="P215" s="1949"/>
      <c r="Q215" s="1949"/>
      <c r="R215" s="1949"/>
      <c r="T215" s="2098">
        <v>1427</v>
      </c>
      <c r="U215" s="2098"/>
      <c r="V215" s="2098"/>
      <c r="W215" s="2098"/>
      <c r="X215" s="2098"/>
      <c r="Y215" s="2098"/>
      <c r="Z215" s="887"/>
      <c r="AA215" s="887"/>
      <c r="AB215" s="1946">
        <f t="shared" si="0"/>
        <v>160020</v>
      </c>
      <c r="AC215" s="1946"/>
      <c r="AD215" s="1946"/>
      <c r="AE215" s="1946"/>
      <c r="AF215" s="1946"/>
      <c r="AG215" s="1946"/>
      <c r="AH215" s="863"/>
      <c r="AI215" s="863"/>
      <c r="AJ215" s="863"/>
      <c r="AK215" s="645"/>
    </row>
    <row r="216" spans="1:37">
      <c r="A216" s="640"/>
      <c r="B216" s="1945" t="s">
        <v>2729</v>
      </c>
      <c r="C216" s="1945"/>
      <c r="D216" s="1945"/>
      <c r="E216" s="1945"/>
      <c r="F216" s="1945"/>
      <c r="G216" s="1945"/>
      <c r="I216" s="1944">
        <v>7</v>
      </c>
      <c r="J216" s="1944"/>
      <c r="K216" s="1944"/>
      <c r="L216" s="1045"/>
      <c r="N216" s="1949">
        <v>915</v>
      </c>
      <c r="O216" s="1949"/>
      <c r="P216" s="1949"/>
      <c r="Q216" s="1949"/>
      <c r="R216" s="1949"/>
      <c r="T216" s="2098">
        <v>1978</v>
      </c>
      <c r="U216" s="2098"/>
      <c r="V216" s="2098"/>
      <c r="W216" s="2098"/>
      <c r="X216" s="2098"/>
      <c r="Y216" s="2098"/>
      <c r="Z216" s="887"/>
      <c r="AA216" s="887"/>
      <c r="AB216" s="1946">
        <f t="shared" si="0"/>
        <v>89292</v>
      </c>
      <c r="AC216" s="1946"/>
      <c r="AD216" s="1946"/>
      <c r="AE216" s="1946"/>
      <c r="AF216" s="1946"/>
      <c r="AG216" s="1946"/>
      <c r="AH216" s="863"/>
      <c r="AI216" s="863"/>
      <c r="AJ216" s="863"/>
      <c r="AK216" s="645"/>
    </row>
    <row r="217" spans="1:37">
      <c r="A217" s="640"/>
      <c r="B217" s="1945" t="s">
        <v>2729</v>
      </c>
      <c r="C217" s="1945"/>
      <c r="D217" s="1945"/>
      <c r="E217" s="1945"/>
      <c r="F217" s="1945"/>
      <c r="G217" s="1945"/>
      <c r="I217" s="1944">
        <v>2</v>
      </c>
      <c r="J217" s="1944"/>
      <c r="K217" s="1944"/>
      <c r="L217" s="1052"/>
      <c r="N217" s="1949">
        <v>915</v>
      </c>
      <c r="O217" s="1949"/>
      <c r="P217" s="1949"/>
      <c r="Q217" s="1949"/>
      <c r="R217" s="1949"/>
      <c r="T217" s="2098">
        <v>1978</v>
      </c>
      <c r="U217" s="2098"/>
      <c r="V217" s="2098"/>
      <c r="W217" s="2098"/>
      <c r="X217" s="2098"/>
      <c r="Y217" s="2098"/>
      <c r="Z217" s="887"/>
      <c r="AA217" s="887"/>
      <c r="AB217" s="1946">
        <f t="shared" si="0"/>
        <v>25512</v>
      </c>
      <c r="AC217" s="1946"/>
      <c r="AD217" s="1946"/>
      <c r="AE217" s="1946"/>
      <c r="AF217" s="1946"/>
      <c r="AG217" s="1946"/>
      <c r="AH217" s="863"/>
      <c r="AI217" s="863"/>
      <c r="AJ217" s="863"/>
      <c r="AK217" s="645"/>
    </row>
    <row r="218" spans="1:37">
      <c r="A218" s="640"/>
      <c r="B218" s="1945" t="s">
        <v>1327</v>
      </c>
      <c r="C218" s="1945"/>
      <c r="D218" s="1945"/>
      <c r="E218" s="1945"/>
      <c r="F218" s="1945"/>
      <c r="G218" s="1945"/>
      <c r="I218" s="1944"/>
      <c r="J218" s="1944"/>
      <c r="K218" s="1944"/>
      <c r="L218" s="1052"/>
      <c r="N218" s="1949"/>
      <c r="O218" s="1949"/>
      <c r="P218" s="1949"/>
      <c r="Q218" s="1949"/>
      <c r="R218" s="1949"/>
      <c r="T218" s="2098"/>
      <c r="U218" s="2098"/>
      <c r="V218" s="2098"/>
      <c r="W218" s="2098"/>
      <c r="X218" s="2098"/>
      <c r="Y218" s="2098"/>
      <c r="Z218" s="887"/>
      <c r="AA218" s="887"/>
      <c r="AB218" s="1946">
        <f t="shared" si="0"/>
        <v>0</v>
      </c>
      <c r="AC218" s="1946"/>
      <c r="AD218" s="1946"/>
      <c r="AE218" s="1946"/>
      <c r="AF218" s="1946"/>
      <c r="AG218" s="1946"/>
      <c r="AH218" s="863"/>
      <c r="AI218" s="863"/>
      <c r="AJ218" s="863"/>
      <c r="AK218" s="645"/>
    </row>
    <row r="219" spans="1:37">
      <c r="A219" s="640"/>
      <c r="B219" s="1945" t="s">
        <v>1327</v>
      </c>
      <c r="C219" s="1945"/>
      <c r="D219" s="1945"/>
      <c r="E219" s="1945"/>
      <c r="F219" s="1945"/>
      <c r="G219" s="1945"/>
      <c r="I219" s="1944"/>
      <c r="J219" s="1944"/>
      <c r="K219" s="1944"/>
      <c r="L219" s="1052"/>
      <c r="N219" s="1949"/>
      <c r="O219" s="1949"/>
      <c r="P219" s="1949"/>
      <c r="Q219" s="1949"/>
      <c r="R219" s="1949"/>
      <c r="T219" s="2098"/>
      <c r="U219" s="2098"/>
      <c r="V219" s="2098"/>
      <c r="W219" s="2098"/>
      <c r="X219" s="2098"/>
      <c r="Y219" s="2098"/>
      <c r="Z219" s="887"/>
      <c r="AA219" s="887"/>
      <c r="AB219" s="1946">
        <f t="shared" si="0"/>
        <v>0</v>
      </c>
      <c r="AC219" s="1946"/>
      <c r="AD219" s="1946"/>
      <c r="AE219" s="1946"/>
      <c r="AF219" s="1946"/>
      <c r="AG219" s="1946"/>
      <c r="AH219" s="863"/>
      <c r="AI219" s="863"/>
      <c r="AJ219" s="863"/>
      <c r="AK219" s="645"/>
    </row>
    <row r="220" spans="1:37">
      <c r="A220" s="640"/>
      <c r="B220" s="1945" t="s">
        <v>1327</v>
      </c>
      <c r="C220" s="1945"/>
      <c r="D220" s="1945"/>
      <c r="E220" s="1945"/>
      <c r="F220" s="1945"/>
      <c r="G220" s="1945"/>
      <c r="I220" s="1944"/>
      <c r="J220" s="1944"/>
      <c r="K220" s="1944"/>
      <c r="L220" s="1052"/>
      <c r="N220" s="1949"/>
      <c r="O220" s="1949"/>
      <c r="P220" s="1949"/>
      <c r="Q220" s="1949"/>
      <c r="R220" s="1949"/>
      <c r="T220" s="2098"/>
      <c r="U220" s="2098"/>
      <c r="V220" s="2098"/>
      <c r="W220" s="2098"/>
      <c r="X220" s="2098"/>
      <c r="Y220" s="2098"/>
      <c r="Z220" s="887"/>
      <c r="AA220" s="887"/>
      <c r="AB220" s="1946">
        <f t="shared" si="0"/>
        <v>0</v>
      </c>
      <c r="AC220" s="1946"/>
      <c r="AD220" s="1946"/>
      <c r="AE220" s="1946"/>
      <c r="AF220" s="1946"/>
      <c r="AG220" s="1946"/>
      <c r="AH220" s="863"/>
      <c r="AI220" s="863"/>
      <c r="AJ220" s="863"/>
      <c r="AK220" s="645"/>
    </row>
    <row r="221" spans="1:37">
      <c r="A221" s="640"/>
      <c r="B221" s="1945" t="s">
        <v>1327</v>
      </c>
      <c r="C221" s="1945"/>
      <c r="D221" s="1945"/>
      <c r="E221" s="1945"/>
      <c r="F221" s="1945"/>
      <c r="G221" s="1945"/>
      <c r="I221" s="1944"/>
      <c r="J221" s="1944"/>
      <c r="K221" s="1944"/>
      <c r="L221" s="1052"/>
      <c r="N221" s="1949"/>
      <c r="O221" s="1949"/>
      <c r="P221" s="1949"/>
      <c r="Q221" s="1949"/>
      <c r="R221" s="1949"/>
      <c r="T221" s="2098"/>
      <c r="U221" s="2098"/>
      <c r="V221" s="2098"/>
      <c r="W221" s="2098"/>
      <c r="X221" s="2098"/>
      <c r="Y221" s="2098"/>
      <c r="Z221" s="887"/>
      <c r="AA221" s="887"/>
      <c r="AB221" s="1946">
        <f t="shared" si="0"/>
        <v>0</v>
      </c>
      <c r="AC221" s="1946"/>
      <c r="AD221" s="1946"/>
      <c r="AE221" s="1946"/>
      <c r="AF221" s="1946"/>
      <c r="AG221" s="1946"/>
      <c r="AH221" s="863"/>
      <c r="AI221" s="863"/>
      <c r="AJ221" s="863"/>
      <c r="AK221" s="645"/>
    </row>
    <row r="222" spans="1:37">
      <c r="A222" s="640"/>
      <c r="B222" s="1945" t="s">
        <v>1327</v>
      </c>
      <c r="C222" s="1945"/>
      <c r="D222" s="1945"/>
      <c r="E222" s="1945"/>
      <c r="F222" s="1945"/>
      <c r="G222" s="1945"/>
      <c r="I222" s="1947"/>
      <c r="J222" s="1947"/>
      <c r="K222" s="1947"/>
      <c r="L222" s="1052"/>
      <c r="N222" s="1949"/>
      <c r="O222" s="1949"/>
      <c r="P222" s="1949"/>
      <c r="Q222" s="1949"/>
      <c r="R222" s="1949"/>
      <c r="T222" s="2098"/>
      <c r="U222" s="2098"/>
      <c r="V222" s="2098"/>
      <c r="W222" s="2098"/>
      <c r="X222" s="2098"/>
      <c r="Y222" s="2098"/>
      <c r="Z222" s="887"/>
      <c r="AA222" s="887"/>
      <c r="AB222" s="2096">
        <f t="shared" si="0"/>
        <v>0</v>
      </c>
      <c r="AC222" s="2096"/>
      <c r="AD222" s="2096"/>
      <c r="AE222" s="2096"/>
      <c r="AF222" s="2096"/>
      <c r="AG222" s="209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46">
        <f>SUM(AB213:AB222)</f>
        <v>361224</v>
      </c>
      <c r="AC223" s="1946"/>
      <c r="AD223" s="1946"/>
      <c r="AE223" s="1946"/>
      <c r="AF223" s="1946"/>
      <c r="AG223" s="194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01"/>
      <c r="AC229" s="2101"/>
      <c r="AD229" s="2101"/>
      <c r="AE229" s="2101"/>
      <c r="AF229" s="2101"/>
      <c r="AG229" s="2101"/>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01"/>
      <c r="AC232" s="2101"/>
      <c r="AD232" s="2101"/>
      <c r="AE232" s="2101"/>
      <c r="AF232" s="2101"/>
      <c r="AG232" s="2101"/>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4"/>
      <c r="AC233" s="2124"/>
      <c r="AD233" s="2124"/>
      <c r="AE233" s="2124"/>
      <c r="AF233" s="2124"/>
      <c r="AG233" s="2124"/>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7">
        <f>IFERROR(AB232/AB233,0)</f>
        <v>0</v>
      </c>
      <c r="AC234" s="2107"/>
      <c r="AD234" s="2107"/>
      <c r="AE234" s="2107"/>
      <c r="AF234" s="2107"/>
      <c r="AG234" s="210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6">
        <f>MAX(AB229,AB234)</f>
        <v>0</v>
      </c>
      <c r="AC236" s="2096"/>
      <c r="AD236" s="2096"/>
      <c r="AE236" s="2096"/>
      <c r="AF236" s="2096"/>
      <c r="AG236" s="209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6">
        <f>AB223+AB236</f>
        <v>361224</v>
      </c>
      <c r="AC239" s="1946"/>
      <c r="AD239" s="1946"/>
      <c r="AE239" s="1946"/>
      <c r="AF239" s="1946"/>
      <c r="AG239" s="1946"/>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6">
        <v>0.05</v>
      </c>
      <c r="AC240" s="1976"/>
      <c r="AD240" s="1976"/>
      <c r="AE240" s="1976"/>
      <c r="AF240" s="1976"/>
      <c r="AG240" s="1976"/>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7">
        <f>AB239-(AB239*AB240)</f>
        <v>343162.8</v>
      </c>
      <c r="AC241" s="1977"/>
      <c r="AD241" s="1977"/>
      <c r="AE241" s="1977"/>
      <c r="AF241" s="1977"/>
      <c r="AG241" s="1977"/>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6">
        <f>AB241/AB247</f>
        <v>298402.4347826087</v>
      </c>
      <c r="AC243" s="1946"/>
      <c r="AD243" s="1946"/>
      <c r="AE243" s="1946"/>
      <c r="AF243" s="1946"/>
      <c r="AG243" s="194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8">
        <v>15</v>
      </c>
      <c r="AC245" s="1938"/>
      <c r="AD245" s="1938"/>
      <c r="AE245" s="1938"/>
      <c r="AF245" s="1938"/>
      <c r="AG245" s="1938"/>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8">
        <v>0.04</v>
      </c>
      <c r="AC246" s="1978"/>
      <c r="AD246" s="1978"/>
      <c r="AE246" s="1978"/>
      <c r="AF246" s="1978"/>
      <c r="AG246" s="1978"/>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50">
        <v>1.1499999999999999</v>
      </c>
      <c r="AC247" s="1950"/>
      <c r="AD247" s="1950"/>
      <c r="AE247" s="1950"/>
      <c r="AF247" s="1950"/>
      <c r="AG247" s="195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9">
        <f>PV(AB246/12,AB245*12,-AB243/12, ,0)</f>
        <v>3361805.5269369716</v>
      </c>
      <c r="AC249" s="1970"/>
      <c r="AD249" s="1970"/>
      <c r="AE249" s="1970"/>
      <c r="AF249" s="1970"/>
      <c r="AG249" s="1971"/>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3">
        <f>IFERROR(('Sources and Uses Budget'!D105/'Sources and Uses Budget'!B105),0)</f>
        <v>0</v>
      </c>
      <c r="AC255" s="1974"/>
      <c r="AD255" s="1974"/>
      <c r="AE255" s="1974"/>
      <c r="AF255" s="1974"/>
      <c r="AG255" s="197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3">
        <f>AD200*(1-AB255)</f>
        <v>14361805.526936971</v>
      </c>
      <c r="AH257" s="1963"/>
      <c r="AI257" s="1963"/>
      <c r="AJ257" s="1963"/>
      <c r="AK257" s="1963"/>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3">
        <f>'Sources and Uses Budget'!C105</f>
        <v>74400299</v>
      </c>
      <c r="AH258" s="1963"/>
      <c r="AI258" s="1963"/>
      <c r="AJ258" s="1963"/>
      <c r="AK258" s="196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4">
        <f>ROUNDDOWN(IF(AND(C281="Yes",AK78=10),((AG257*2)/AG258),AG257/AG258),2)</f>
        <v>0.38</v>
      </c>
      <c r="AH259" s="1964"/>
      <c r="AI259" s="1964"/>
      <c r="AJ259" s="1964"/>
      <c r="AK259" s="1964"/>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65">
        <f>IFERROR(IF(AG259=0,0,IF((AG259*100)&gt;8,8,(AG259*100))),0)</f>
        <v>8</v>
      </c>
      <c r="AL262" s="1965"/>
      <c r="AM262" s="1966"/>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57" t="s">
        <v>554</v>
      </c>
      <c r="D267" s="1957"/>
      <c r="E267" s="582"/>
      <c r="F267" s="2110" t="s">
        <v>2424</v>
      </c>
      <c r="G267" s="2111"/>
      <c r="H267" s="2111"/>
      <c r="I267" s="2111"/>
      <c r="J267" s="2111"/>
      <c r="K267" s="2111"/>
      <c r="L267" s="2111"/>
      <c r="M267" s="2111"/>
      <c r="N267" s="2111"/>
      <c r="O267" s="2111"/>
      <c r="P267" s="2111"/>
      <c r="Q267" s="2111"/>
      <c r="R267" s="2111"/>
      <c r="S267" s="2111"/>
      <c r="T267" s="2111"/>
      <c r="U267" s="2111"/>
      <c r="V267" s="2111"/>
      <c r="W267" s="2111"/>
      <c r="X267" s="2111"/>
      <c r="Y267" s="2111"/>
      <c r="Z267" s="2111"/>
      <c r="AA267" s="2111"/>
      <c r="AB267" s="2111"/>
      <c r="AC267" s="2111"/>
      <c r="AD267" s="2112"/>
      <c r="AE267" s="585"/>
      <c r="AF267" s="670"/>
      <c r="AG267" s="1958" t="s">
        <v>1537</v>
      </c>
      <c r="AH267" s="1958"/>
      <c r="AI267" s="1958"/>
      <c r="AJ267" s="1958"/>
      <c r="AK267" s="585"/>
      <c r="AL267" s="585"/>
      <c r="AM267" s="585"/>
      <c r="AO267" s="585"/>
    </row>
    <row r="268" spans="1:52" ht="13.7" customHeight="1">
      <c r="A268" s="585"/>
      <c r="B268" s="631"/>
      <c r="C268" s="671"/>
      <c r="D268" s="585"/>
      <c r="E268" s="582"/>
      <c r="F268" s="2113"/>
      <c r="G268" s="2114"/>
      <c r="H268" s="2114"/>
      <c r="I268" s="2114"/>
      <c r="J268" s="2114"/>
      <c r="K268" s="2114"/>
      <c r="L268" s="2114"/>
      <c r="M268" s="2114"/>
      <c r="N268" s="2114"/>
      <c r="O268" s="2114"/>
      <c r="P268" s="2114"/>
      <c r="Q268" s="2114"/>
      <c r="R268" s="2114"/>
      <c r="S268" s="2114"/>
      <c r="T268" s="2114"/>
      <c r="U268" s="2114"/>
      <c r="V268" s="2114"/>
      <c r="W268" s="2114"/>
      <c r="X268" s="2114"/>
      <c r="Y268" s="2114"/>
      <c r="Z268" s="2114"/>
      <c r="AA268" s="2114"/>
      <c r="AB268" s="2114"/>
      <c r="AC268" s="2114"/>
      <c r="AD268" s="2115"/>
      <c r="AE268" s="585"/>
      <c r="AF268" s="670"/>
      <c r="AG268" s="670"/>
      <c r="AH268" s="670"/>
      <c r="AI268" s="670"/>
      <c r="AJ268" s="585"/>
      <c r="AK268" s="585"/>
      <c r="AL268" s="585"/>
      <c r="AM268" s="585"/>
      <c r="AO268" s="585"/>
    </row>
    <row r="269" spans="1:52">
      <c r="A269" s="585"/>
      <c r="B269" s="631"/>
      <c r="C269" s="671"/>
      <c r="D269" s="585"/>
      <c r="E269" s="582"/>
      <c r="F269" s="2113"/>
      <c r="G269" s="2114"/>
      <c r="H269" s="2114"/>
      <c r="I269" s="2114"/>
      <c r="J269" s="2114"/>
      <c r="K269" s="2114"/>
      <c r="L269" s="2114"/>
      <c r="M269" s="2114"/>
      <c r="N269" s="2114"/>
      <c r="O269" s="2114"/>
      <c r="P269" s="2114"/>
      <c r="Q269" s="2114"/>
      <c r="R269" s="2114"/>
      <c r="S269" s="2114"/>
      <c r="T269" s="2114"/>
      <c r="U269" s="2114"/>
      <c r="V269" s="2114"/>
      <c r="W269" s="2114"/>
      <c r="X269" s="2114"/>
      <c r="Y269" s="2114"/>
      <c r="Z269" s="2114"/>
      <c r="AA269" s="2114"/>
      <c r="AB269" s="2114"/>
      <c r="AC269" s="2114"/>
      <c r="AD269" s="2115"/>
      <c r="AE269" s="585"/>
      <c r="AF269" s="670"/>
      <c r="AG269" s="670"/>
      <c r="AH269" s="670"/>
      <c r="AI269" s="670"/>
      <c r="AJ269" s="585"/>
      <c r="AK269" s="585"/>
      <c r="AL269" s="585"/>
      <c r="AM269" s="585"/>
      <c r="AO269" s="585"/>
      <c r="AP269" s="672"/>
    </row>
    <row r="270" spans="1:52">
      <c r="A270" s="585"/>
      <c r="B270" s="631"/>
      <c r="C270" s="671"/>
      <c r="D270" s="585"/>
      <c r="E270" s="582"/>
      <c r="F270" s="2113"/>
      <c r="G270" s="2114"/>
      <c r="H270" s="2114"/>
      <c r="I270" s="2114"/>
      <c r="J270" s="2114"/>
      <c r="K270" s="2114"/>
      <c r="L270" s="2114"/>
      <c r="M270" s="2114"/>
      <c r="N270" s="2114"/>
      <c r="O270" s="2114"/>
      <c r="P270" s="2114"/>
      <c r="Q270" s="2114"/>
      <c r="R270" s="2114"/>
      <c r="S270" s="2114"/>
      <c r="T270" s="2114"/>
      <c r="U270" s="2114"/>
      <c r="V270" s="2114"/>
      <c r="W270" s="2114"/>
      <c r="X270" s="2114"/>
      <c r="Y270" s="2114"/>
      <c r="Z270" s="2114"/>
      <c r="AA270" s="2114"/>
      <c r="AB270" s="2114"/>
      <c r="AC270" s="2114"/>
      <c r="AD270" s="2115"/>
      <c r="AE270" s="585"/>
      <c r="AF270" s="670"/>
      <c r="AG270" s="670"/>
      <c r="AH270" s="670"/>
      <c r="AI270" s="670"/>
      <c r="AJ270" s="585"/>
      <c r="AK270" s="585"/>
      <c r="AL270" s="585"/>
      <c r="AM270" s="585"/>
      <c r="AO270" s="585"/>
      <c r="AP270" s="672"/>
    </row>
    <row r="271" spans="1:52" ht="13.7" customHeight="1">
      <c r="A271" s="585"/>
      <c r="B271" s="631"/>
      <c r="C271" s="1959"/>
      <c r="D271" s="1959"/>
      <c r="E271" s="582"/>
      <c r="F271" s="2116"/>
      <c r="G271" s="2117"/>
      <c r="H271" s="2117"/>
      <c r="I271" s="2117"/>
      <c r="J271" s="2117"/>
      <c r="K271" s="2117"/>
      <c r="L271" s="2117"/>
      <c r="M271" s="2117"/>
      <c r="N271" s="2117"/>
      <c r="O271" s="2117"/>
      <c r="P271" s="2117"/>
      <c r="Q271" s="2117"/>
      <c r="R271" s="2117"/>
      <c r="S271" s="2117"/>
      <c r="T271" s="2117"/>
      <c r="U271" s="2117"/>
      <c r="V271" s="2117"/>
      <c r="W271" s="2117"/>
      <c r="X271" s="2117"/>
      <c r="Y271" s="2117"/>
      <c r="Z271" s="2117"/>
      <c r="AA271" s="2117"/>
      <c r="AB271" s="2117"/>
      <c r="AC271" s="2117"/>
      <c r="AD271" s="2118"/>
      <c r="AE271" s="585"/>
      <c r="AF271" s="670"/>
      <c r="AG271" s="1958"/>
      <c r="AH271" s="1958"/>
      <c r="AI271" s="1958"/>
      <c r="AJ271" s="1958"/>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65">
        <f>IF($C$267="yes",10,0)</f>
        <v>10</v>
      </c>
      <c r="AL274" s="1965"/>
      <c r="AM274" s="1966"/>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53" t="s">
        <v>1556</v>
      </c>
      <c r="B281" s="1653"/>
      <c r="C281" s="1954" t="s">
        <v>554</v>
      </c>
      <c r="D281" s="1957"/>
      <c r="E281" s="582"/>
      <c r="F281" s="1985" t="s">
        <v>1557</v>
      </c>
      <c r="G281" s="1986"/>
      <c r="H281" s="1986"/>
      <c r="I281" s="1986"/>
      <c r="J281" s="1986"/>
      <c r="K281" s="1986"/>
      <c r="L281" s="1986"/>
      <c r="M281" s="1986"/>
      <c r="N281" s="1986"/>
      <c r="O281" s="1986"/>
      <c r="P281" s="1986"/>
      <c r="Q281" s="1986"/>
      <c r="R281" s="1986"/>
      <c r="S281" s="1986"/>
      <c r="T281" s="1986"/>
      <c r="U281" s="1986"/>
      <c r="V281" s="1986"/>
      <c r="W281" s="1986"/>
      <c r="X281" s="1986"/>
      <c r="Y281" s="1986"/>
      <c r="Z281" s="1986"/>
      <c r="AA281" s="1986"/>
      <c r="AB281" s="1986"/>
      <c r="AC281" s="1986"/>
      <c r="AD281" s="1987"/>
      <c r="AE281" s="677"/>
      <c r="AF281" s="585"/>
      <c r="AG281" s="1988" t="s">
        <v>2417</v>
      </c>
      <c r="AH281" s="1988"/>
      <c r="AI281" s="1988"/>
      <c r="AJ281" s="1988"/>
      <c r="AK281" s="1988"/>
      <c r="AL281" s="585"/>
      <c r="AM281" s="585"/>
      <c r="AN281" s="73"/>
      <c r="AO281" s="14"/>
      <c r="AP281" s="30"/>
      <c r="AS281" s="605"/>
      <c r="AT281" s="605"/>
      <c r="AU281" s="605"/>
      <c r="AV281" s="32"/>
      <c r="AW281" s="32"/>
    </row>
    <row r="282" spans="1:49">
      <c r="A282" s="675"/>
      <c r="B282" s="631"/>
      <c r="F282" s="1979"/>
      <c r="G282" s="1980"/>
      <c r="H282" s="1980"/>
      <c r="I282" s="1980"/>
      <c r="J282" s="1980"/>
      <c r="K282" s="1980"/>
      <c r="L282" s="1980"/>
      <c r="M282" s="1980"/>
      <c r="N282" s="1980"/>
      <c r="O282" s="1980"/>
      <c r="P282" s="1980"/>
      <c r="Q282" s="1980"/>
      <c r="R282" s="1980"/>
      <c r="S282" s="1980"/>
      <c r="T282" s="1980"/>
      <c r="U282" s="1980"/>
      <c r="V282" s="1980"/>
      <c r="W282" s="1980"/>
      <c r="X282" s="1980"/>
      <c r="Y282" s="1980"/>
      <c r="Z282" s="1980"/>
      <c r="AA282" s="1980"/>
      <c r="AB282" s="1980"/>
      <c r="AC282" s="1980"/>
      <c r="AD282" s="1981"/>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79"/>
      <c r="G283" s="1980"/>
      <c r="H283" s="1980"/>
      <c r="I283" s="1980"/>
      <c r="J283" s="1980"/>
      <c r="K283" s="1980"/>
      <c r="L283" s="1980"/>
      <c r="M283" s="1980"/>
      <c r="N283" s="1980"/>
      <c r="O283" s="1980"/>
      <c r="P283" s="1980"/>
      <c r="Q283" s="1980"/>
      <c r="R283" s="1980"/>
      <c r="S283" s="1980"/>
      <c r="T283" s="1980"/>
      <c r="U283" s="1980"/>
      <c r="V283" s="1980"/>
      <c r="W283" s="1980"/>
      <c r="X283" s="1980"/>
      <c r="Y283" s="1980"/>
      <c r="Z283" s="1980"/>
      <c r="AA283" s="1980"/>
      <c r="AB283" s="1980"/>
      <c r="AC283" s="1980"/>
      <c r="AD283" s="1981"/>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9" t="s">
        <v>2425</v>
      </c>
      <c r="G284" s="1980"/>
      <c r="H284" s="1980"/>
      <c r="I284" s="1980"/>
      <c r="J284" s="1980"/>
      <c r="K284" s="1980"/>
      <c r="L284" s="1980"/>
      <c r="M284" s="1980"/>
      <c r="N284" s="1980"/>
      <c r="O284" s="1980"/>
      <c r="P284" s="1980"/>
      <c r="Q284" s="1980"/>
      <c r="R284" s="1980"/>
      <c r="S284" s="1980"/>
      <c r="T284" s="1980"/>
      <c r="U284" s="1980"/>
      <c r="V284" s="1980"/>
      <c r="W284" s="1980"/>
      <c r="X284" s="1980"/>
      <c r="Y284" s="1980"/>
      <c r="Z284" s="1980"/>
      <c r="AA284" s="1980"/>
      <c r="AB284" s="1980"/>
      <c r="AC284" s="1980"/>
      <c r="AD284" s="1981"/>
      <c r="AE284" s="677"/>
      <c r="AF284" s="586"/>
      <c r="AH284" s="586"/>
      <c r="AI284" s="586"/>
      <c r="AJ284" s="585"/>
      <c r="AK284" s="585"/>
      <c r="AL284" s="585"/>
      <c r="AM284" s="585"/>
      <c r="AN284" s="73"/>
      <c r="AO284" s="14"/>
      <c r="AP284" s="646">
        <f>MAX(AP282,AP283)</f>
        <v>10</v>
      </c>
      <c r="AQ284" s="609" t="s">
        <v>1490</v>
      </c>
      <c r="AS284" s="605"/>
      <c r="AT284" s="605"/>
      <c r="AU284" s="605"/>
      <c r="AV284" s="32"/>
      <c r="AW284" s="32"/>
    </row>
    <row r="285" spans="1:49">
      <c r="A285" s="675"/>
      <c r="B285" s="631"/>
      <c r="F285" s="1979"/>
      <c r="G285" s="1980"/>
      <c r="H285" s="1980"/>
      <c r="I285" s="1980"/>
      <c r="J285" s="1980"/>
      <c r="K285" s="1980"/>
      <c r="L285" s="1980"/>
      <c r="M285" s="1980"/>
      <c r="N285" s="1980"/>
      <c r="O285" s="1980"/>
      <c r="P285" s="1980"/>
      <c r="Q285" s="1980"/>
      <c r="R285" s="1980"/>
      <c r="S285" s="1980"/>
      <c r="T285" s="1980"/>
      <c r="U285" s="1980"/>
      <c r="V285" s="1980"/>
      <c r="W285" s="1980"/>
      <c r="X285" s="1980"/>
      <c r="Y285" s="1980"/>
      <c r="Z285" s="1980"/>
      <c r="AA285" s="1980"/>
      <c r="AB285" s="1980"/>
      <c r="AC285" s="1980"/>
      <c r="AD285" s="1981"/>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9" t="s">
        <v>1558</v>
      </c>
      <c r="G286" s="1980"/>
      <c r="H286" s="1980"/>
      <c r="I286" s="1980"/>
      <c r="J286" s="1980"/>
      <c r="K286" s="1980"/>
      <c r="L286" s="1980"/>
      <c r="M286" s="1980"/>
      <c r="N286" s="1980"/>
      <c r="O286" s="1980"/>
      <c r="P286" s="1980"/>
      <c r="Q286" s="1980"/>
      <c r="R286" s="1980"/>
      <c r="S286" s="1980"/>
      <c r="T286" s="1980"/>
      <c r="U286" s="1980"/>
      <c r="V286" s="1980"/>
      <c r="W286" s="1980"/>
      <c r="X286" s="1980"/>
      <c r="Y286" s="1980"/>
      <c r="Z286" s="1980"/>
      <c r="AA286" s="1980"/>
      <c r="AB286" s="1980"/>
      <c r="AC286" s="1980"/>
      <c r="AD286" s="1981"/>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9"/>
      <c r="G287" s="1980"/>
      <c r="H287" s="1980"/>
      <c r="I287" s="1980"/>
      <c r="J287" s="1980"/>
      <c r="K287" s="1980"/>
      <c r="L287" s="1980"/>
      <c r="M287" s="1980"/>
      <c r="N287" s="1980"/>
      <c r="O287" s="1980"/>
      <c r="P287" s="1980"/>
      <c r="Q287" s="1980"/>
      <c r="R287" s="1980"/>
      <c r="S287" s="1980"/>
      <c r="T287" s="1980"/>
      <c r="U287" s="1980"/>
      <c r="V287" s="1980"/>
      <c r="W287" s="1980"/>
      <c r="X287" s="1980"/>
      <c r="Y287" s="1980"/>
      <c r="Z287" s="1980"/>
      <c r="AA287" s="1980"/>
      <c r="AB287" s="1980"/>
      <c r="AC287" s="1980"/>
      <c r="AD287" s="1981"/>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9" t="s">
        <v>1559</v>
      </c>
      <c r="G288" s="1980"/>
      <c r="H288" s="1980"/>
      <c r="I288" s="1980"/>
      <c r="J288" s="1980"/>
      <c r="K288" s="1980"/>
      <c r="L288" s="1980"/>
      <c r="M288" s="1980"/>
      <c r="N288" s="1980"/>
      <c r="O288" s="1980"/>
      <c r="P288" s="1980"/>
      <c r="Q288" s="1980"/>
      <c r="R288" s="1980"/>
      <c r="S288" s="1980"/>
      <c r="T288" s="1980"/>
      <c r="U288" s="1980"/>
      <c r="V288" s="1980"/>
      <c r="W288" s="1980"/>
      <c r="X288" s="1980"/>
      <c r="Y288" s="1980"/>
      <c r="Z288" s="1980"/>
      <c r="AA288" s="1980"/>
      <c r="AB288" s="1980"/>
      <c r="AC288" s="1980"/>
      <c r="AD288" s="1981"/>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82"/>
      <c r="G289" s="1983"/>
      <c r="H289" s="1983"/>
      <c r="I289" s="1983"/>
      <c r="J289" s="1983"/>
      <c r="K289" s="1983"/>
      <c r="L289" s="1983"/>
      <c r="M289" s="1983"/>
      <c r="N289" s="1983"/>
      <c r="O289" s="1983"/>
      <c r="P289" s="1983"/>
      <c r="Q289" s="1983"/>
      <c r="R289" s="1983"/>
      <c r="S289" s="1983"/>
      <c r="T289" s="1983"/>
      <c r="U289" s="1983"/>
      <c r="V289" s="1983"/>
      <c r="W289" s="1983"/>
      <c r="X289" s="1983"/>
      <c r="Y289" s="1983"/>
      <c r="Z289" s="1983"/>
      <c r="AA289" s="1983"/>
      <c r="AB289" s="1983"/>
      <c r="AC289" s="1983"/>
      <c r="AD289" s="1984"/>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53" t="s">
        <v>1560</v>
      </c>
      <c r="B291" s="1653"/>
      <c r="C291" s="1957" t="s">
        <v>600</v>
      </c>
      <c r="D291" s="1957"/>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892" t="s">
        <v>2419</v>
      </c>
      <c r="G292" s="1893"/>
      <c r="H292" s="1893"/>
      <c r="I292" s="1893"/>
      <c r="J292" s="1893"/>
      <c r="K292" s="1893"/>
      <c r="L292" s="1893"/>
      <c r="M292" s="1893"/>
      <c r="N292" s="1893"/>
      <c r="O292" s="1893"/>
      <c r="P292" s="1893"/>
      <c r="Q292" s="1893"/>
      <c r="R292" s="1893"/>
      <c r="S292" s="1893"/>
      <c r="T292" s="1893"/>
      <c r="U292" s="1893"/>
      <c r="V292" s="1893"/>
      <c r="W292" s="1893"/>
      <c r="X292" s="1893"/>
      <c r="Y292" s="1893"/>
      <c r="Z292" s="1893"/>
      <c r="AA292" s="1893"/>
      <c r="AB292" s="1893"/>
      <c r="AC292" s="1893"/>
      <c r="AD292" s="1894"/>
      <c r="AE292" s="586"/>
      <c r="AF292" s="586"/>
      <c r="AG292" s="586"/>
      <c r="AH292" s="586"/>
      <c r="AI292" s="586"/>
      <c r="AJ292" s="585"/>
      <c r="AK292" s="585"/>
      <c r="AL292" s="585"/>
      <c r="AM292" s="585"/>
      <c r="AR292" s="683"/>
    </row>
    <row r="293" spans="1:49" ht="15" customHeight="1">
      <c r="A293" s="585"/>
      <c r="B293" s="586"/>
      <c r="C293" s="585"/>
      <c r="D293" s="586"/>
      <c r="E293" s="585"/>
      <c r="F293" s="1892"/>
      <c r="G293" s="1893"/>
      <c r="H293" s="1893"/>
      <c r="I293" s="1893"/>
      <c r="J293" s="1893"/>
      <c r="K293" s="1893"/>
      <c r="L293" s="1893"/>
      <c r="M293" s="1893"/>
      <c r="N293" s="1893"/>
      <c r="O293" s="1893"/>
      <c r="P293" s="1893"/>
      <c r="Q293" s="1893"/>
      <c r="R293" s="1893"/>
      <c r="S293" s="1893"/>
      <c r="T293" s="1893"/>
      <c r="U293" s="1893"/>
      <c r="V293" s="1893"/>
      <c r="W293" s="1893"/>
      <c r="X293" s="1893"/>
      <c r="Y293" s="1893"/>
      <c r="Z293" s="1893"/>
      <c r="AA293" s="1893"/>
      <c r="AB293" s="1893"/>
      <c r="AC293" s="1893"/>
      <c r="AD293" s="1894"/>
      <c r="AE293" s="586"/>
      <c r="AF293" s="586"/>
      <c r="AG293" s="586"/>
      <c r="AH293" s="586"/>
      <c r="AI293" s="586"/>
      <c r="AJ293" s="585"/>
      <c r="AK293" s="585"/>
      <c r="AL293" s="585"/>
      <c r="AM293" s="585"/>
      <c r="AR293" s="683"/>
    </row>
    <row r="294" spans="1:49">
      <c r="A294" s="585"/>
      <c r="B294" s="586"/>
      <c r="C294" s="585"/>
      <c r="D294" s="586"/>
      <c r="E294" s="585"/>
      <c r="F294" s="1892"/>
      <c r="G294" s="1893"/>
      <c r="H294" s="1893"/>
      <c r="I294" s="1893"/>
      <c r="J294" s="1893"/>
      <c r="K294" s="1893"/>
      <c r="L294" s="1893"/>
      <c r="M294" s="1893"/>
      <c r="N294" s="1893"/>
      <c r="O294" s="1893"/>
      <c r="P294" s="1893"/>
      <c r="Q294" s="1893"/>
      <c r="R294" s="1893"/>
      <c r="S294" s="1893"/>
      <c r="T294" s="1893"/>
      <c r="U294" s="1893"/>
      <c r="V294" s="1893"/>
      <c r="W294" s="1893"/>
      <c r="X294" s="1893"/>
      <c r="Y294" s="1893"/>
      <c r="Z294" s="1893"/>
      <c r="AA294" s="1893"/>
      <c r="AB294" s="1893"/>
      <c r="AC294" s="1893"/>
      <c r="AD294" s="189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9"/>
      <c r="G295" s="1890"/>
      <c r="H295" s="1890"/>
      <c r="I295" s="1890"/>
      <c r="J295" s="1890"/>
      <c r="K295" s="1890"/>
      <c r="L295" s="1890"/>
      <c r="M295" s="1890"/>
      <c r="N295" s="1890"/>
      <c r="O295" s="1890"/>
      <c r="P295" s="1890"/>
      <c r="Q295" s="1890"/>
      <c r="R295" s="1890"/>
      <c r="S295" s="1890"/>
      <c r="T295" s="1890"/>
      <c r="U295" s="1890"/>
      <c r="V295" s="1890"/>
      <c r="W295" s="1890"/>
      <c r="X295" s="1890"/>
      <c r="Y295" s="1890"/>
      <c r="Z295" s="1890"/>
      <c r="AA295" s="1890"/>
      <c r="AB295" s="1890"/>
      <c r="AC295" s="1890"/>
      <c r="AD295" s="189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53" t="s">
        <v>1563</v>
      </c>
      <c r="B299" s="1653"/>
      <c r="C299" s="1957" t="s">
        <v>600</v>
      </c>
      <c r="D299" s="1957"/>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79" t="s">
        <v>2426</v>
      </c>
      <c r="G300" s="1980"/>
      <c r="H300" s="1980"/>
      <c r="I300" s="1980"/>
      <c r="J300" s="1980"/>
      <c r="K300" s="1980"/>
      <c r="L300" s="1980"/>
      <c r="M300" s="1980"/>
      <c r="N300" s="1980"/>
      <c r="O300" s="1980"/>
      <c r="P300" s="1980"/>
      <c r="Q300" s="1980"/>
      <c r="R300" s="1980"/>
      <c r="S300" s="1980"/>
      <c r="T300" s="1980"/>
      <c r="U300" s="1980"/>
      <c r="V300" s="1980"/>
      <c r="W300" s="1980"/>
      <c r="X300" s="1980"/>
      <c r="Y300" s="1980"/>
      <c r="Z300" s="1980"/>
      <c r="AA300" s="1980"/>
      <c r="AB300" s="1980"/>
      <c r="AC300" s="1980"/>
      <c r="AD300" s="1981"/>
      <c r="AE300" s="586"/>
      <c r="AF300" s="586"/>
      <c r="AG300" s="574"/>
      <c r="AH300" s="586"/>
      <c r="AI300" s="586"/>
      <c r="AJ300" s="585"/>
      <c r="AK300" s="585"/>
      <c r="AL300" s="585"/>
      <c r="AM300" s="585"/>
      <c r="AN300" s="73"/>
      <c r="AO300" s="14"/>
      <c r="AP300" s="592" t="s">
        <v>1327</v>
      </c>
    </row>
    <row r="301" spans="1:49" hidden="1">
      <c r="F301" s="1979"/>
      <c r="G301" s="1980"/>
      <c r="H301" s="1980"/>
      <c r="I301" s="1980"/>
      <c r="J301" s="1980"/>
      <c r="K301" s="1980"/>
      <c r="L301" s="1980"/>
      <c r="M301" s="1980"/>
      <c r="N301" s="1980"/>
      <c r="O301" s="1980"/>
      <c r="P301" s="1980"/>
      <c r="Q301" s="1980"/>
      <c r="R301" s="1980"/>
      <c r="S301" s="1980"/>
      <c r="T301" s="1980"/>
      <c r="U301" s="1980"/>
      <c r="V301" s="1980"/>
      <c r="W301" s="1980"/>
      <c r="X301" s="1980"/>
      <c r="Y301" s="1980"/>
      <c r="Z301" s="1980"/>
      <c r="AA301" s="1980"/>
      <c r="AB301" s="1980"/>
      <c r="AC301" s="1980"/>
      <c r="AD301" s="1981"/>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9" t="s">
        <v>1327</v>
      </c>
      <c r="G305" s="1990"/>
      <c r="H305" s="1990"/>
      <c r="I305" s="1990"/>
      <c r="J305" s="1990"/>
      <c r="K305" s="1990"/>
      <c r="L305" s="1990"/>
      <c r="M305" s="1990"/>
      <c r="N305" s="1990"/>
      <c r="O305" s="1990"/>
      <c r="P305" s="1990"/>
      <c r="Q305" s="1990"/>
      <c r="R305" s="1990"/>
      <c r="S305" s="1990"/>
      <c r="T305" s="1990"/>
      <c r="U305" s="1990"/>
      <c r="V305" s="1990"/>
      <c r="W305" s="1990"/>
      <c r="X305" s="1990"/>
      <c r="Y305" s="1990"/>
      <c r="Z305" s="1990"/>
      <c r="AA305" s="1990"/>
      <c r="AB305" s="1990"/>
      <c r="AC305" s="1990"/>
      <c r="AD305" s="1991"/>
      <c r="AE305" s="677"/>
      <c r="AF305" s="677"/>
      <c r="AG305" s="677"/>
      <c r="AH305" s="677"/>
      <c r="AI305" s="677"/>
      <c r="AJ305" s="677"/>
      <c r="AK305" s="677"/>
      <c r="AL305" s="585"/>
      <c r="AM305" s="585"/>
      <c r="AN305" s="73"/>
      <c r="AO305" s="14"/>
      <c r="AP305" s="30"/>
    </row>
    <row r="306" spans="1:42" hidden="1">
      <c r="A306" s="585"/>
      <c r="B306" s="586"/>
      <c r="C306" s="765"/>
      <c r="D306" s="765"/>
      <c r="E306" s="582"/>
      <c r="F306" s="1989"/>
      <c r="G306" s="1990"/>
      <c r="H306" s="1990"/>
      <c r="I306" s="1990"/>
      <c r="J306" s="1990"/>
      <c r="K306" s="1990"/>
      <c r="L306" s="1990"/>
      <c r="M306" s="1990"/>
      <c r="N306" s="1990"/>
      <c r="O306" s="1990"/>
      <c r="P306" s="1990"/>
      <c r="Q306" s="1990"/>
      <c r="R306" s="1990"/>
      <c r="S306" s="1990"/>
      <c r="T306" s="1990"/>
      <c r="U306" s="1990"/>
      <c r="V306" s="1990"/>
      <c r="W306" s="1990"/>
      <c r="X306" s="1990"/>
      <c r="Y306" s="1990"/>
      <c r="Z306" s="1990"/>
      <c r="AA306" s="1990"/>
      <c r="AB306" s="1990"/>
      <c r="AC306" s="1990"/>
      <c r="AD306" s="1991"/>
      <c r="AE306" s="586"/>
      <c r="AF306" s="586"/>
      <c r="AG306" s="574"/>
      <c r="AH306" s="586"/>
      <c r="AI306" s="586"/>
      <c r="AJ306" s="585"/>
      <c r="AK306" s="585"/>
      <c r="AL306" s="585"/>
      <c r="AM306" s="585"/>
      <c r="AN306" s="73"/>
      <c r="AO306" s="14"/>
      <c r="AP306" s="30"/>
    </row>
    <row r="307" spans="1:42" hidden="1">
      <c r="A307" s="585"/>
      <c r="B307" s="586"/>
      <c r="C307" s="765"/>
      <c r="D307" s="765"/>
      <c r="E307" s="582"/>
      <c r="F307" s="1989"/>
      <c r="G307" s="1990"/>
      <c r="H307" s="1990"/>
      <c r="I307" s="1990"/>
      <c r="J307" s="1990"/>
      <c r="K307" s="1990"/>
      <c r="L307" s="1990"/>
      <c r="M307" s="1990"/>
      <c r="N307" s="1990"/>
      <c r="O307" s="1990"/>
      <c r="P307" s="1990"/>
      <c r="Q307" s="1990"/>
      <c r="R307" s="1990"/>
      <c r="S307" s="1990"/>
      <c r="T307" s="1990"/>
      <c r="U307" s="1990"/>
      <c r="V307" s="1990"/>
      <c r="W307" s="1990"/>
      <c r="X307" s="1990"/>
      <c r="Y307" s="1990"/>
      <c r="Z307" s="1990"/>
      <c r="AA307" s="1990"/>
      <c r="AB307" s="1990"/>
      <c r="AC307" s="1990"/>
      <c r="AD307" s="1991"/>
      <c r="AE307" s="586"/>
      <c r="AF307" s="586"/>
      <c r="AG307" s="574"/>
      <c r="AH307" s="586"/>
      <c r="AI307" s="586"/>
      <c r="AJ307" s="585"/>
      <c r="AK307" s="585"/>
      <c r="AL307" s="585"/>
      <c r="AM307" s="585"/>
      <c r="AN307" s="73"/>
      <c r="AO307" s="14"/>
      <c r="AP307" s="30"/>
    </row>
    <row r="308" spans="1:42" hidden="1">
      <c r="A308" s="585"/>
      <c r="B308" s="586"/>
      <c r="C308" s="765"/>
      <c r="D308" s="765"/>
      <c r="E308" s="582"/>
      <c r="F308" s="1989"/>
      <c r="G308" s="1990"/>
      <c r="H308" s="1990"/>
      <c r="I308" s="1990"/>
      <c r="J308" s="1990"/>
      <c r="K308" s="1990"/>
      <c r="L308" s="1990"/>
      <c r="M308" s="1990"/>
      <c r="N308" s="1990"/>
      <c r="O308" s="1990"/>
      <c r="P308" s="1990"/>
      <c r="Q308" s="1990"/>
      <c r="R308" s="1990"/>
      <c r="S308" s="1990"/>
      <c r="T308" s="1990"/>
      <c r="U308" s="1990"/>
      <c r="V308" s="1990"/>
      <c r="W308" s="1990"/>
      <c r="X308" s="1990"/>
      <c r="Y308" s="1990"/>
      <c r="Z308" s="1990"/>
      <c r="AA308" s="1990"/>
      <c r="AB308" s="1990"/>
      <c r="AC308" s="1990"/>
      <c r="AD308" s="1991"/>
      <c r="AE308" s="586"/>
      <c r="AF308" s="586"/>
      <c r="AG308" s="574"/>
      <c r="AH308" s="586"/>
      <c r="AI308" s="586"/>
      <c r="AJ308" s="585"/>
      <c r="AK308" s="585"/>
      <c r="AL308" s="585"/>
      <c r="AM308" s="585"/>
      <c r="AN308" s="73"/>
      <c r="AO308" s="14"/>
      <c r="AP308" s="30"/>
    </row>
    <row r="309" spans="1:42" hidden="1">
      <c r="A309" s="585"/>
      <c r="B309" s="586"/>
      <c r="C309" s="765"/>
      <c r="D309" s="765"/>
      <c r="E309" s="582"/>
      <c r="F309" s="1992"/>
      <c r="G309" s="1993"/>
      <c r="H309" s="1993"/>
      <c r="I309" s="1993"/>
      <c r="J309" s="1993"/>
      <c r="K309" s="1993"/>
      <c r="L309" s="1993"/>
      <c r="M309" s="1993"/>
      <c r="N309" s="1993"/>
      <c r="O309" s="1993"/>
      <c r="P309" s="1993"/>
      <c r="Q309" s="1993"/>
      <c r="R309" s="1993"/>
      <c r="S309" s="1993"/>
      <c r="T309" s="1993"/>
      <c r="U309" s="1993"/>
      <c r="V309" s="1993"/>
      <c r="W309" s="1993"/>
      <c r="X309" s="1993"/>
      <c r="Y309" s="1993"/>
      <c r="Z309" s="1993"/>
      <c r="AA309" s="1993"/>
      <c r="AB309" s="1993"/>
      <c r="AC309" s="1993"/>
      <c r="AD309" s="1994"/>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1995" t="s">
        <v>1327</v>
      </c>
      <c r="J313" s="1995"/>
      <c r="K313" s="1995"/>
      <c r="L313" s="1995"/>
      <c r="M313" s="1995"/>
      <c r="N313" s="1995"/>
      <c r="O313" s="1995"/>
      <c r="P313" s="1995"/>
      <c r="Q313" s="1995"/>
      <c r="R313" s="1995"/>
      <c r="S313" s="1995"/>
      <c r="T313" s="1995"/>
      <c r="U313" s="1995"/>
      <c r="V313" s="1995"/>
      <c r="W313" s="1995"/>
      <c r="X313" s="1995"/>
      <c r="Y313" s="1995"/>
      <c r="Z313" s="1995"/>
      <c r="AA313" s="1995"/>
      <c r="AB313" s="1995"/>
      <c r="AC313" s="1995"/>
      <c r="AD313" s="1996"/>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1995"/>
      <c r="J314" s="1995"/>
      <c r="K314" s="1995"/>
      <c r="L314" s="1995"/>
      <c r="M314" s="1995"/>
      <c r="N314" s="1995"/>
      <c r="O314" s="1995"/>
      <c r="P314" s="1995"/>
      <c r="Q314" s="1995"/>
      <c r="R314" s="1995"/>
      <c r="S314" s="1995"/>
      <c r="T314" s="1995"/>
      <c r="U314" s="1995"/>
      <c r="V314" s="1995"/>
      <c r="W314" s="1995"/>
      <c r="X314" s="1995"/>
      <c r="Y314" s="1995"/>
      <c r="Z314" s="1995"/>
      <c r="AA314" s="1995"/>
      <c r="AB314" s="1995"/>
      <c r="AC314" s="1995"/>
      <c r="AD314" s="1996"/>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1995"/>
      <c r="J315" s="1995"/>
      <c r="K315" s="1995"/>
      <c r="L315" s="1995"/>
      <c r="M315" s="1995"/>
      <c r="N315" s="1995"/>
      <c r="O315" s="1995"/>
      <c r="P315" s="1995"/>
      <c r="Q315" s="1995"/>
      <c r="R315" s="1995"/>
      <c r="S315" s="1995"/>
      <c r="T315" s="1995"/>
      <c r="U315" s="1995"/>
      <c r="V315" s="1995"/>
      <c r="W315" s="1995"/>
      <c r="X315" s="1995"/>
      <c r="Y315" s="1995"/>
      <c r="Z315" s="1995"/>
      <c r="AA315" s="1995"/>
      <c r="AB315" s="1995"/>
      <c r="AC315" s="1995"/>
      <c r="AD315" s="1996"/>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1997"/>
      <c r="J316" s="1997"/>
      <c r="K316" s="1997"/>
      <c r="L316" s="1997"/>
      <c r="M316" s="1997"/>
      <c r="N316" s="1997"/>
      <c r="O316" s="1997"/>
      <c r="P316" s="1997"/>
      <c r="Q316" s="1997"/>
      <c r="R316" s="1997"/>
      <c r="S316" s="1997"/>
      <c r="T316" s="1997"/>
      <c r="U316" s="1997"/>
      <c r="V316" s="1997"/>
      <c r="W316" s="1997"/>
      <c r="X316" s="1997"/>
      <c r="Y316" s="1997"/>
      <c r="Z316" s="1997"/>
      <c r="AA316" s="1997"/>
      <c r="AB316" s="1997"/>
      <c r="AC316" s="1997"/>
      <c r="AD316" s="1998"/>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1995" t="s">
        <v>1327</v>
      </c>
      <c r="J318" s="1995"/>
      <c r="K318" s="1995"/>
      <c r="L318" s="1995"/>
      <c r="M318" s="1995"/>
      <c r="N318" s="1995"/>
      <c r="O318" s="1995"/>
      <c r="P318" s="1995"/>
      <c r="Q318" s="1995"/>
      <c r="R318" s="1995"/>
      <c r="S318" s="1995"/>
      <c r="T318" s="1995"/>
      <c r="U318" s="1995"/>
      <c r="V318" s="1995"/>
      <c r="W318" s="1995"/>
      <c r="X318" s="1995"/>
      <c r="Y318" s="1995"/>
      <c r="Z318" s="1995"/>
      <c r="AA318" s="1995"/>
      <c r="AB318" s="1995"/>
      <c r="AC318" s="1995"/>
      <c r="AD318" s="1996"/>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95"/>
      <c r="J319" s="1995"/>
      <c r="K319" s="1995"/>
      <c r="L319" s="1995"/>
      <c r="M319" s="1995"/>
      <c r="N319" s="1995"/>
      <c r="O319" s="1995"/>
      <c r="P319" s="1995"/>
      <c r="Q319" s="1995"/>
      <c r="R319" s="1995"/>
      <c r="S319" s="1995"/>
      <c r="T319" s="1995"/>
      <c r="U319" s="1995"/>
      <c r="V319" s="1995"/>
      <c r="W319" s="1995"/>
      <c r="X319" s="1995"/>
      <c r="Y319" s="1995"/>
      <c r="Z319" s="1995"/>
      <c r="AA319" s="1995"/>
      <c r="AB319" s="1995"/>
      <c r="AC319" s="1995"/>
      <c r="AD319" s="1996"/>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1997"/>
      <c r="J320" s="1997"/>
      <c r="K320" s="1997"/>
      <c r="L320" s="1997"/>
      <c r="M320" s="1997"/>
      <c r="N320" s="1997"/>
      <c r="O320" s="1997"/>
      <c r="P320" s="1997"/>
      <c r="Q320" s="1997"/>
      <c r="R320" s="1997"/>
      <c r="S320" s="1997"/>
      <c r="T320" s="1997"/>
      <c r="U320" s="1997"/>
      <c r="V320" s="1997"/>
      <c r="W320" s="1997"/>
      <c r="X320" s="1997"/>
      <c r="Y320" s="1997"/>
      <c r="Z320" s="1997"/>
      <c r="AA320" s="1997"/>
      <c r="AB320" s="1997"/>
      <c r="AC320" s="1997"/>
      <c r="AD320" s="1998"/>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53" t="s">
        <v>1566</v>
      </c>
      <c r="B322" s="1653"/>
      <c r="C322" s="1957" t="s">
        <v>600</v>
      </c>
      <c r="D322" s="1957"/>
      <c r="E322" s="582"/>
      <c r="F322" s="1886" t="s">
        <v>2427</v>
      </c>
      <c r="G322" s="1887"/>
      <c r="H322" s="1887"/>
      <c r="I322" s="1887"/>
      <c r="J322" s="1887"/>
      <c r="K322" s="1887"/>
      <c r="L322" s="1887"/>
      <c r="M322" s="1887"/>
      <c r="N322" s="1887"/>
      <c r="O322" s="1887"/>
      <c r="P322" s="1887"/>
      <c r="Q322" s="1887"/>
      <c r="R322" s="1887"/>
      <c r="S322" s="1887"/>
      <c r="T322" s="1887"/>
      <c r="U322" s="1887"/>
      <c r="V322" s="1887"/>
      <c r="W322" s="1887"/>
      <c r="X322" s="1887"/>
      <c r="Y322" s="1887"/>
      <c r="Z322" s="1887"/>
      <c r="AA322" s="1887"/>
      <c r="AB322" s="1887"/>
      <c r="AC322" s="1887"/>
      <c r="AD322" s="1888"/>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892"/>
      <c r="G323" s="1893"/>
      <c r="H323" s="1893"/>
      <c r="I323" s="1893"/>
      <c r="J323" s="1893"/>
      <c r="K323" s="1893"/>
      <c r="L323" s="1893"/>
      <c r="M323" s="1893"/>
      <c r="N323" s="1893"/>
      <c r="O323" s="1893"/>
      <c r="P323" s="1893"/>
      <c r="Q323" s="1893"/>
      <c r="R323" s="1893"/>
      <c r="S323" s="1893"/>
      <c r="T323" s="1893"/>
      <c r="U323" s="1893"/>
      <c r="V323" s="1893"/>
      <c r="W323" s="1893"/>
      <c r="X323" s="1893"/>
      <c r="Y323" s="1893"/>
      <c r="Z323" s="1893"/>
      <c r="AA323" s="1893"/>
      <c r="AB323" s="1893"/>
      <c r="AC323" s="1893"/>
      <c r="AD323" s="1894"/>
      <c r="AE323" s="586"/>
      <c r="AF323" s="586"/>
      <c r="AG323" s="586"/>
      <c r="AH323" s="586"/>
      <c r="AI323" s="586"/>
      <c r="AJ323" s="585"/>
      <c r="AK323" s="585"/>
      <c r="AL323" s="585"/>
      <c r="AM323" s="585"/>
      <c r="AN323" s="73"/>
      <c r="AO323" s="14"/>
    </row>
    <row r="324" spans="1:44" ht="15" hidden="1" customHeight="1">
      <c r="A324" s="585"/>
      <c r="B324" s="586"/>
      <c r="C324" s="586"/>
      <c r="D324" s="586"/>
      <c r="E324" s="586"/>
      <c r="F324" s="1892"/>
      <c r="G324" s="1893"/>
      <c r="H324" s="1893"/>
      <c r="I324" s="1893"/>
      <c r="J324" s="1893"/>
      <c r="K324" s="1893"/>
      <c r="L324" s="1893"/>
      <c r="M324" s="1893"/>
      <c r="N324" s="1893"/>
      <c r="O324" s="1893"/>
      <c r="P324" s="1893"/>
      <c r="Q324" s="1893"/>
      <c r="R324" s="1893"/>
      <c r="S324" s="1893"/>
      <c r="T324" s="1893"/>
      <c r="U324" s="1893"/>
      <c r="V324" s="1893"/>
      <c r="W324" s="1893"/>
      <c r="X324" s="1893"/>
      <c r="Y324" s="1893"/>
      <c r="Z324" s="1893"/>
      <c r="AA324" s="1893"/>
      <c r="AB324" s="1893"/>
      <c r="AC324" s="1893"/>
      <c r="AD324" s="1894"/>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60">
        <f>IF(NOT(OR(Application!M354="Yes",Application!M355="Yes")),0,AP284)</f>
        <v>10</v>
      </c>
      <c r="AL327" s="1961"/>
      <c r="AM327" s="196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873</v>
      </c>
      <c r="C330" s="571"/>
      <c r="AC330" s="574"/>
      <c r="AE330" s="1895" t="s">
        <v>1488</v>
      </c>
      <c r="AF330" s="1895"/>
      <c r="AG330" s="1895"/>
      <c r="AH330" s="1895"/>
      <c r="AI330" s="1895"/>
      <c r="AJ330" s="1895"/>
      <c r="AK330" s="189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9" t="s">
        <v>1628</v>
      </c>
      <c r="D332" s="1999"/>
      <c r="E332" s="1999"/>
      <c r="F332" s="1999"/>
      <c r="G332" s="1999"/>
      <c r="H332" s="1999"/>
      <c r="I332" s="1999"/>
      <c r="J332" s="1999"/>
      <c r="K332" s="1999"/>
      <c r="L332" s="1999"/>
      <c r="M332" s="1999"/>
      <c r="N332" s="1999"/>
      <c r="O332" s="1999"/>
      <c r="P332" s="1999"/>
      <c r="Q332" s="1999"/>
      <c r="R332" s="1999"/>
      <c r="S332" s="1999"/>
      <c r="T332" s="1999"/>
      <c r="U332" s="1999"/>
      <c r="V332" s="1999"/>
      <c r="W332" s="1999"/>
      <c r="X332" s="1999"/>
      <c r="Y332" s="1999"/>
      <c r="Z332" s="1999"/>
      <c r="AA332" s="1999"/>
      <c r="AB332" s="1999"/>
      <c r="AC332" s="1999"/>
      <c r="AD332" s="1999"/>
      <c r="AE332" s="1999"/>
      <c r="AF332" s="1999"/>
      <c r="AG332" s="1999"/>
      <c r="AH332" s="1999"/>
      <c r="AI332" s="1999"/>
      <c r="AJ332" s="1999"/>
      <c r="AK332" s="638"/>
      <c r="AL332" s="638"/>
      <c r="AM332" s="638"/>
      <c r="AN332" s="632"/>
    </row>
    <row r="333" spans="1:44" s="585" customFormat="1" ht="12.75" customHeight="1">
      <c r="A333" s="638"/>
      <c r="B333" s="646"/>
      <c r="C333" s="1999"/>
      <c r="D333" s="1999"/>
      <c r="E333" s="1999"/>
      <c r="F333" s="1999"/>
      <c r="G333" s="1999"/>
      <c r="H333" s="1999"/>
      <c r="I333" s="1999"/>
      <c r="J333" s="1999"/>
      <c r="K333" s="1999"/>
      <c r="L333" s="1999"/>
      <c r="M333" s="1999"/>
      <c r="N333" s="1999"/>
      <c r="O333" s="1999"/>
      <c r="P333" s="1999"/>
      <c r="Q333" s="1999"/>
      <c r="R333" s="1999"/>
      <c r="S333" s="1999"/>
      <c r="T333" s="1999"/>
      <c r="U333" s="1999"/>
      <c r="V333" s="1999"/>
      <c r="W333" s="1999"/>
      <c r="X333" s="1999"/>
      <c r="Y333" s="1999"/>
      <c r="Z333" s="1999"/>
      <c r="AA333" s="1999"/>
      <c r="AB333" s="1999"/>
      <c r="AC333" s="1999"/>
      <c r="AD333" s="1999"/>
      <c r="AE333" s="1999"/>
      <c r="AF333" s="1999"/>
      <c r="AG333" s="1999"/>
      <c r="AH333" s="1999"/>
      <c r="AI333" s="1999"/>
      <c r="AJ333" s="1999"/>
      <c r="AK333" s="638"/>
      <c r="AL333" s="638"/>
      <c r="AM333" s="638"/>
      <c r="AN333" s="632"/>
    </row>
    <row r="334" spans="1:44" s="585" customFormat="1" ht="12.75" customHeight="1">
      <c r="A334" s="638"/>
      <c r="B334" s="646"/>
      <c r="C334" s="1999"/>
      <c r="D334" s="1999"/>
      <c r="E334" s="1999"/>
      <c r="F334" s="1999"/>
      <c r="G334" s="1999"/>
      <c r="H334" s="1999"/>
      <c r="I334" s="1999"/>
      <c r="J334" s="1999"/>
      <c r="K334" s="1999"/>
      <c r="L334" s="1999"/>
      <c r="M334" s="1999"/>
      <c r="N334" s="1999"/>
      <c r="O334" s="1999"/>
      <c r="P334" s="1999"/>
      <c r="Q334" s="1999"/>
      <c r="R334" s="1999"/>
      <c r="S334" s="1999"/>
      <c r="T334" s="1999"/>
      <c r="U334" s="1999"/>
      <c r="V334" s="1999"/>
      <c r="W334" s="1999"/>
      <c r="X334" s="1999"/>
      <c r="Y334" s="1999"/>
      <c r="Z334" s="1999"/>
      <c r="AA334" s="1999"/>
      <c r="AB334" s="1999"/>
      <c r="AC334" s="1999"/>
      <c r="AD334" s="1999"/>
      <c r="AE334" s="1999"/>
      <c r="AF334" s="1999"/>
      <c r="AG334" s="1999"/>
      <c r="AH334" s="1999"/>
      <c r="AI334" s="1999"/>
      <c r="AJ334" s="1999"/>
      <c r="AK334" s="638"/>
      <c r="AL334" s="638"/>
      <c r="AM334" s="638"/>
      <c r="AN334" s="632"/>
      <c r="AQ334" s="605"/>
    </row>
    <row r="335" spans="1:44" s="585" customFormat="1" ht="12.75" customHeight="1">
      <c r="A335" s="638"/>
      <c r="B335" s="646"/>
      <c r="C335" s="1999"/>
      <c r="D335" s="1999"/>
      <c r="E335" s="1999"/>
      <c r="F335" s="1999"/>
      <c r="G335" s="1999"/>
      <c r="H335" s="1999"/>
      <c r="I335" s="1999"/>
      <c r="J335" s="1999"/>
      <c r="K335" s="1999"/>
      <c r="L335" s="1999"/>
      <c r="M335" s="1999"/>
      <c r="N335" s="1999"/>
      <c r="O335" s="1999"/>
      <c r="P335" s="1999"/>
      <c r="Q335" s="1999"/>
      <c r="R335" s="1999"/>
      <c r="S335" s="1999"/>
      <c r="T335" s="1999"/>
      <c r="U335" s="1999"/>
      <c r="V335" s="1999"/>
      <c r="W335" s="1999"/>
      <c r="X335" s="1999"/>
      <c r="Y335" s="1999"/>
      <c r="Z335" s="1999"/>
      <c r="AA335" s="1999"/>
      <c r="AB335" s="1999"/>
      <c r="AC335" s="1999"/>
      <c r="AD335" s="1999"/>
      <c r="AE335" s="1999"/>
      <c r="AF335" s="1999"/>
      <c r="AG335" s="1999"/>
      <c r="AH335" s="1999"/>
      <c r="AI335" s="1999"/>
      <c r="AJ335" s="1999"/>
      <c r="AK335" s="638"/>
      <c r="AL335" s="638"/>
      <c r="AM335" s="638"/>
      <c r="AN335" s="632"/>
      <c r="AQ335" s="605"/>
    </row>
    <row r="336" spans="1:44" s="585" customFormat="1" ht="12.4" customHeight="1">
      <c r="A336" s="638"/>
      <c r="B336" s="646"/>
      <c r="C336" s="1999"/>
      <c r="D336" s="1999"/>
      <c r="E336" s="1999"/>
      <c r="F336" s="1999"/>
      <c r="G336" s="1999"/>
      <c r="H336" s="1999"/>
      <c r="I336" s="1999"/>
      <c r="J336" s="1999"/>
      <c r="K336" s="1999"/>
      <c r="L336" s="1999"/>
      <c r="M336" s="1999"/>
      <c r="N336" s="1999"/>
      <c r="O336" s="1999"/>
      <c r="P336" s="1999"/>
      <c r="Q336" s="1999"/>
      <c r="R336" s="1999"/>
      <c r="S336" s="1999"/>
      <c r="T336" s="1999"/>
      <c r="U336" s="1999"/>
      <c r="V336" s="1999"/>
      <c r="W336" s="1999"/>
      <c r="X336" s="1999"/>
      <c r="Y336" s="1999"/>
      <c r="Z336" s="1999"/>
      <c r="AA336" s="1999"/>
      <c r="AB336" s="1999"/>
      <c r="AC336" s="1999"/>
      <c r="AD336" s="1999"/>
      <c r="AE336" s="1999"/>
      <c r="AF336" s="1999"/>
      <c r="AG336" s="1999"/>
      <c r="AH336" s="1999"/>
      <c r="AI336" s="1999"/>
      <c r="AJ336" s="1999"/>
      <c r="AK336" s="638"/>
      <c r="AL336" s="638"/>
      <c r="AM336" s="638"/>
      <c r="AN336" s="632"/>
      <c r="AQ336" s="605"/>
      <c r="AR336" s="605"/>
    </row>
    <row r="337" spans="1:46" s="585" customFormat="1" ht="45.75" customHeight="1">
      <c r="A337" s="638"/>
      <c r="B337" s="646"/>
      <c r="C337" s="1999" t="s">
        <v>2518</v>
      </c>
      <c r="D337" s="1999"/>
      <c r="E337" s="1999"/>
      <c r="F337" s="1999"/>
      <c r="G337" s="1999"/>
      <c r="H337" s="1999"/>
      <c r="I337" s="1999"/>
      <c r="J337" s="1999"/>
      <c r="K337" s="1999"/>
      <c r="L337" s="1999"/>
      <c r="M337" s="1999"/>
      <c r="N337" s="1999"/>
      <c r="O337" s="1999"/>
      <c r="P337" s="1999"/>
      <c r="Q337" s="1999"/>
      <c r="R337" s="1999"/>
      <c r="S337" s="1999"/>
      <c r="T337" s="1999"/>
      <c r="U337" s="1999"/>
      <c r="V337" s="1999"/>
      <c r="W337" s="1999"/>
      <c r="X337" s="1999"/>
      <c r="Y337" s="1999"/>
      <c r="Z337" s="1999"/>
      <c r="AA337" s="1999"/>
      <c r="AB337" s="1999"/>
      <c r="AC337" s="1999"/>
      <c r="AD337" s="1999"/>
      <c r="AE337" s="1999"/>
      <c r="AF337" s="1999"/>
      <c r="AG337" s="1999"/>
      <c r="AH337" s="1999"/>
      <c r="AI337" s="1999"/>
      <c r="AJ337" s="1999"/>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9" t="s">
        <v>2129</v>
      </c>
      <c r="D339" s="1999"/>
      <c r="E339" s="1999"/>
      <c r="F339" s="1999"/>
      <c r="G339" s="1999"/>
      <c r="H339" s="1999"/>
      <c r="I339" s="1999"/>
      <c r="J339" s="1999"/>
      <c r="K339" s="1999"/>
      <c r="L339" s="1999"/>
      <c r="M339" s="1999"/>
      <c r="N339" s="1999"/>
      <c r="O339" s="1999"/>
      <c r="P339" s="1999"/>
      <c r="Q339" s="1999"/>
      <c r="R339" s="1999"/>
      <c r="S339" s="1999"/>
      <c r="T339" s="1999"/>
      <c r="U339" s="1999"/>
      <c r="V339" s="1999"/>
      <c r="W339" s="1999"/>
      <c r="X339" s="1999"/>
      <c r="Y339" s="1999"/>
      <c r="Z339" s="1999"/>
      <c r="AA339" s="1999"/>
      <c r="AB339" s="1999"/>
      <c r="AC339" s="1999"/>
      <c r="AD339" s="1999"/>
      <c r="AE339" s="1999"/>
      <c r="AF339" s="1999"/>
      <c r="AG339" s="1999"/>
      <c r="AH339" s="1999"/>
      <c r="AI339" s="1999"/>
      <c r="AJ339" s="1999"/>
      <c r="AK339" s="638"/>
      <c r="AL339" s="638"/>
      <c r="AM339" s="638"/>
      <c r="AN339" s="632"/>
      <c r="AQ339" s="605"/>
      <c r="AR339" s="605"/>
    </row>
    <row r="340" spans="1:46" s="585" customFormat="1" ht="30" customHeight="1">
      <c r="A340" s="638"/>
      <c r="B340" s="646"/>
      <c r="C340" s="1999"/>
      <c r="D340" s="1999"/>
      <c r="E340" s="1999"/>
      <c r="F340" s="1999"/>
      <c r="G340" s="1999"/>
      <c r="H340" s="1999"/>
      <c r="I340" s="1999"/>
      <c r="J340" s="1999"/>
      <c r="K340" s="1999"/>
      <c r="L340" s="1999"/>
      <c r="M340" s="1999"/>
      <c r="N340" s="1999"/>
      <c r="O340" s="1999"/>
      <c r="P340" s="1999"/>
      <c r="Q340" s="1999"/>
      <c r="R340" s="1999"/>
      <c r="S340" s="1999"/>
      <c r="T340" s="1999"/>
      <c r="U340" s="1999"/>
      <c r="V340" s="1999"/>
      <c r="W340" s="1999"/>
      <c r="X340" s="1999"/>
      <c r="Y340" s="1999"/>
      <c r="Z340" s="1999"/>
      <c r="AA340" s="1999"/>
      <c r="AB340" s="1999"/>
      <c r="AC340" s="1999"/>
      <c r="AD340" s="1999"/>
      <c r="AE340" s="1999"/>
      <c r="AF340" s="1999"/>
      <c r="AG340" s="1999"/>
      <c r="AH340" s="1999"/>
      <c r="AI340" s="1999"/>
      <c r="AJ340" s="1999"/>
      <c r="AK340" s="638"/>
      <c r="AL340" s="638"/>
      <c r="AM340" s="638"/>
      <c r="AN340" s="632"/>
      <c r="AR340" s="605"/>
    </row>
    <row r="341" spans="1:46" s="585" customFormat="1" ht="12.75" customHeight="1">
      <c r="A341" s="638"/>
      <c r="B341" s="646"/>
      <c r="C341" s="1999"/>
      <c r="D341" s="1999"/>
      <c r="E341" s="1999"/>
      <c r="F341" s="1999"/>
      <c r="G341" s="1999"/>
      <c r="H341" s="1999"/>
      <c r="I341" s="1999"/>
      <c r="J341" s="1999"/>
      <c r="K341" s="1999"/>
      <c r="L341" s="1999"/>
      <c r="M341" s="1999"/>
      <c r="N341" s="1999"/>
      <c r="O341" s="1999"/>
      <c r="P341" s="1999"/>
      <c r="Q341" s="1999"/>
      <c r="R341" s="1999"/>
      <c r="S341" s="1999"/>
      <c r="T341" s="1999"/>
      <c r="U341" s="1999"/>
      <c r="V341" s="1999"/>
      <c r="W341" s="1999"/>
      <c r="X341" s="1999"/>
      <c r="Y341" s="1999"/>
      <c r="Z341" s="1999"/>
      <c r="AA341" s="1999"/>
      <c r="AB341" s="1999"/>
      <c r="AC341" s="1999"/>
      <c r="AD341" s="1999"/>
      <c r="AE341" s="1999"/>
      <c r="AF341" s="1999"/>
      <c r="AG341" s="1999"/>
      <c r="AH341" s="1999"/>
      <c r="AI341" s="1999"/>
      <c r="AJ341" s="1999"/>
      <c r="AK341" s="638"/>
      <c r="AL341" s="638"/>
      <c r="AM341" s="638"/>
      <c r="AN341" s="632"/>
      <c r="AR341" s="605"/>
    </row>
    <row r="342" spans="1:46" s="585" customFormat="1" ht="12.75" customHeight="1">
      <c r="A342" s="638"/>
      <c r="B342" s="646"/>
      <c r="C342" s="1999" t="s">
        <v>1629</v>
      </c>
      <c r="D342" s="1999"/>
      <c r="E342" s="1999"/>
      <c r="F342" s="1999"/>
      <c r="G342" s="1999"/>
      <c r="H342" s="1999"/>
      <c r="I342" s="1999"/>
      <c r="J342" s="1999"/>
      <c r="K342" s="1999"/>
      <c r="L342" s="1999"/>
      <c r="M342" s="1999"/>
      <c r="N342" s="1999"/>
      <c r="O342" s="1999"/>
      <c r="P342" s="1999"/>
      <c r="Q342" s="1999"/>
      <c r="R342" s="1999"/>
      <c r="S342" s="1999"/>
      <c r="T342" s="1999"/>
      <c r="U342" s="1999"/>
      <c r="V342" s="1999"/>
      <c r="W342" s="1999"/>
      <c r="X342" s="1999"/>
      <c r="Y342" s="1999"/>
      <c r="Z342" s="1999"/>
      <c r="AA342" s="1999"/>
      <c r="AB342" s="1999"/>
      <c r="AC342" s="1999"/>
      <c r="AD342" s="1999"/>
      <c r="AE342" s="1999"/>
      <c r="AF342" s="1999"/>
      <c r="AG342" s="1999"/>
      <c r="AH342" s="1999"/>
      <c r="AI342" s="1999"/>
      <c r="AJ342" s="1999"/>
      <c r="AK342" s="638"/>
      <c r="AL342" s="638"/>
      <c r="AM342" s="638"/>
      <c r="AN342" s="632"/>
      <c r="AQ342" s="605"/>
      <c r="AR342" s="605"/>
    </row>
    <row r="343" spans="1:46" s="585" customFormat="1" ht="12.75" customHeight="1">
      <c r="A343" s="638"/>
      <c r="B343" s="646"/>
      <c r="C343" s="1999"/>
      <c r="D343" s="1999"/>
      <c r="E343" s="1999"/>
      <c r="F343" s="1999"/>
      <c r="G343" s="1999"/>
      <c r="H343" s="1999"/>
      <c r="I343" s="1999"/>
      <c r="J343" s="1999"/>
      <c r="K343" s="1999"/>
      <c r="L343" s="1999"/>
      <c r="M343" s="1999"/>
      <c r="N343" s="1999"/>
      <c r="O343" s="1999"/>
      <c r="P343" s="1999"/>
      <c r="Q343" s="1999"/>
      <c r="R343" s="1999"/>
      <c r="S343" s="1999"/>
      <c r="T343" s="1999"/>
      <c r="U343" s="1999"/>
      <c r="V343" s="1999"/>
      <c r="W343" s="1999"/>
      <c r="X343" s="1999"/>
      <c r="Y343" s="1999"/>
      <c r="Z343" s="1999"/>
      <c r="AA343" s="1999"/>
      <c r="AB343" s="1999"/>
      <c r="AC343" s="1999"/>
      <c r="AD343" s="1999"/>
      <c r="AE343" s="1999"/>
      <c r="AF343" s="1999"/>
      <c r="AG343" s="1999"/>
      <c r="AH343" s="1999"/>
      <c r="AI343" s="1999"/>
      <c r="AJ343" s="1999"/>
      <c r="AK343" s="638"/>
      <c r="AL343" s="638"/>
      <c r="AM343" s="638"/>
      <c r="AN343" s="632"/>
      <c r="AQ343" s="605"/>
      <c r="AR343" s="605"/>
    </row>
    <row r="344" spans="1:46" s="585" customFormat="1" ht="13.15" customHeight="1">
      <c r="A344" s="638"/>
      <c r="B344" s="646"/>
      <c r="C344" s="1999"/>
      <c r="D344" s="1999"/>
      <c r="E344" s="1999"/>
      <c r="F344" s="1999"/>
      <c r="G344" s="1999"/>
      <c r="H344" s="1999"/>
      <c r="I344" s="1999"/>
      <c r="J344" s="1999"/>
      <c r="K344" s="1999"/>
      <c r="L344" s="1999"/>
      <c r="M344" s="1999"/>
      <c r="N344" s="1999"/>
      <c r="O344" s="1999"/>
      <c r="P344" s="1999"/>
      <c r="Q344" s="1999"/>
      <c r="R344" s="1999"/>
      <c r="S344" s="1999"/>
      <c r="T344" s="1999"/>
      <c r="U344" s="1999"/>
      <c r="V344" s="1999"/>
      <c r="W344" s="1999"/>
      <c r="X344" s="1999"/>
      <c r="Y344" s="1999"/>
      <c r="Z344" s="1999"/>
      <c r="AA344" s="1999"/>
      <c r="AB344" s="1999"/>
      <c r="AC344" s="1999"/>
      <c r="AD344" s="1999"/>
      <c r="AE344" s="1999"/>
      <c r="AF344" s="1999"/>
      <c r="AG344" s="1999"/>
      <c r="AH344" s="1999"/>
      <c r="AI344" s="1999"/>
      <c r="AJ344" s="1999"/>
      <c r="AK344" s="638"/>
      <c r="AL344" s="638"/>
      <c r="AM344" s="638"/>
      <c r="AN344" s="632"/>
      <c r="AQ344" s="605"/>
      <c r="AR344" s="605"/>
    </row>
    <row r="345" spans="1:46" s="585" customFormat="1" ht="12.75" customHeight="1">
      <c r="A345" s="638"/>
      <c r="B345" s="646"/>
      <c r="C345" s="1999"/>
      <c r="D345" s="1999"/>
      <c r="E345" s="1999"/>
      <c r="F345" s="1999"/>
      <c r="G345" s="1999"/>
      <c r="H345" s="1999"/>
      <c r="I345" s="1999"/>
      <c r="J345" s="1999"/>
      <c r="K345" s="1999"/>
      <c r="L345" s="1999"/>
      <c r="M345" s="1999"/>
      <c r="N345" s="1999"/>
      <c r="O345" s="1999"/>
      <c r="P345" s="1999"/>
      <c r="Q345" s="1999"/>
      <c r="R345" s="1999"/>
      <c r="S345" s="1999"/>
      <c r="T345" s="1999"/>
      <c r="U345" s="1999"/>
      <c r="V345" s="1999"/>
      <c r="W345" s="1999"/>
      <c r="X345" s="1999"/>
      <c r="Y345" s="1999"/>
      <c r="Z345" s="1999"/>
      <c r="AA345" s="1999"/>
      <c r="AB345" s="1999"/>
      <c r="AC345" s="1999"/>
      <c r="AD345" s="1999"/>
      <c r="AE345" s="1999"/>
      <c r="AF345" s="1999"/>
      <c r="AG345" s="1999"/>
      <c r="AH345" s="1999"/>
      <c r="AI345" s="1999"/>
      <c r="AJ345" s="1999"/>
      <c r="AK345" s="638"/>
      <c r="AL345" s="638"/>
      <c r="AM345" s="638"/>
      <c r="AN345" s="632"/>
      <c r="AO345" s="729"/>
      <c r="AP345" s="729"/>
      <c r="AQ345" s="605"/>
    </row>
    <row r="346" spans="1:46" s="585" customFormat="1" ht="11.85" customHeight="1">
      <c r="A346" s="638"/>
      <c r="B346" s="646"/>
      <c r="C346" s="1999"/>
      <c r="D346" s="1999"/>
      <c r="E346" s="1999"/>
      <c r="F346" s="1999"/>
      <c r="G346" s="1999"/>
      <c r="H346" s="1999"/>
      <c r="I346" s="1999"/>
      <c r="J346" s="1999"/>
      <c r="K346" s="1999"/>
      <c r="L346" s="1999"/>
      <c r="M346" s="1999"/>
      <c r="N346" s="1999"/>
      <c r="O346" s="1999"/>
      <c r="P346" s="1999"/>
      <c r="Q346" s="1999"/>
      <c r="R346" s="1999"/>
      <c r="S346" s="1999"/>
      <c r="T346" s="1999"/>
      <c r="U346" s="1999"/>
      <c r="V346" s="1999"/>
      <c r="W346" s="1999"/>
      <c r="X346" s="1999"/>
      <c r="Y346" s="1999"/>
      <c r="Z346" s="1999"/>
      <c r="AA346" s="1999"/>
      <c r="AB346" s="1999"/>
      <c r="AC346" s="1999"/>
      <c r="AD346" s="1999"/>
      <c r="AE346" s="1999"/>
      <c r="AF346" s="1999"/>
      <c r="AG346" s="1999"/>
      <c r="AH346" s="1999"/>
      <c r="AI346" s="1999"/>
      <c r="AJ346" s="1999"/>
      <c r="AK346" s="638"/>
      <c r="AL346" s="638"/>
      <c r="AM346" s="638"/>
      <c r="AN346" s="632"/>
      <c r="AO346" s="730" t="s">
        <v>113</v>
      </c>
      <c r="AP346" s="731">
        <f>IF(C370="Yes",5,0)</f>
        <v>0</v>
      </c>
      <c r="AS346" s="574" t="s">
        <v>1630</v>
      </c>
    </row>
    <row r="347" spans="1:46" s="585" customFormat="1" ht="12.75" customHeight="1">
      <c r="A347" s="638"/>
      <c r="B347" s="646"/>
      <c r="C347" s="1999"/>
      <c r="D347" s="1999"/>
      <c r="E347" s="1999"/>
      <c r="F347" s="1999"/>
      <c r="G347" s="1999"/>
      <c r="H347" s="1999"/>
      <c r="I347" s="1999"/>
      <c r="J347" s="1999"/>
      <c r="K347" s="1999"/>
      <c r="L347" s="1999"/>
      <c r="M347" s="1999"/>
      <c r="N347" s="1999"/>
      <c r="O347" s="1999"/>
      <c r="P347" s="1999"/>
      <c r="Q347" s="1999"/>
      <c r="R347" s="1999"/>
      <c r="S347" s="1999"/>
      <c r="T347" s="1999"/>
      <c r="U347" s="1999"/>
      <c r="V347" s="1999"/>
      <c r="W347" s="1999"/>
      <c r="X347" s="1999"/>
      <c r="Y347" s="1999"/>
      <c r="Z347" s="1999"/>
      <c r="AA347" s="1999"/>
      <c r="AB347" s="1999"/>
      <c r="AC347" s="1999"/>
      <c r="AD347" s="1999"/>
      <c r="AE347" s="1999"/>
      <c r="AF347" s="1999"/>
      <c r="AG347" s="1999"/>
      <c r="AH347" s="1999"/>
      <c r="AI347" s="1999"/>
      <c r="AJ347" s="1999"/>
      <c r="AK347" s="638"/>
      <c r="AL347" s="638"/>
      <c r="AM347" s="638"/>
      <c r="AN347" s="632"/>
      <c r="AO347" s="730" t="s">
        <v>114</v>
      </c>
      <c r="AP347" s="731">
        <f>IF(C378="Yes",5,0)</f>
        <v>0</v>
      </c>
      <c r="AS347" s="2016">
        <f>IF(Application!D210="Non-Targeted",(SUM(AQ355+AQ364)),AS351)</f>
        <v>15</v>
      </c>
      <c r="AT347" s="2016"/>
    </row>
    <row r="348" spans="1:46" s="585" customFormat="1" ht="12.75" customHeight="1">
      <c r="A348" s="638"/>
      <c r="B348" s="646"/>
      <c r="C348" s="1999"/>
      <c r="D348" s="1999"/>
      <c r="E348" s="1999"/>
      <c r="F348" s="1999"/>
      <c r="G348" s="1999"/>
      <c r="H348" s="1999"/>
      <c r="I348" s="1999"/>
      <c r="J348" s="1999"/>
      <c r="K348" s="1999"/>
      <c r="L348" s="1999"/>
      <c r="M348" s="1999"/>
      <c r="N348" s="1999"/>
      <c r="O348" s="1999"/>
      <c r="P348" s="1999"/>
      <c r="Q348" s="1999"/>
      <c r="R348" s="1999"/>
      <c r="S348" s="1999"/>
      <c r="T348" s="1999"/>
      <c r="U348" s="1999"/>
      <c r="V348" s="1999"/>
      <c r="W348" s="1999"/>
      <c r="X348" s="1999"/>
      <c r="Y348" s="1999"/>
      <c r="Z348" s="1999"/>
      <c r="AA348" s="1999"/>
      <c r="AB348" s="1999"/>
      <c r="AC348" s="1999"/>
      <c r="AD348" s="1999"/>
      <c r="AE348" s="1999"/>
      <c r="AF348" s="1999"/>
      <c r="AG348" s="1999"/>
      <c r="AH348" s="1999"/>
      <c r="AI348" s="1999"/>
      <c r="AJ348" s="1999"/>
      <c r="AK348" s="638"/>
      <c r="AL348" s="638"/>
      <c r="AM348" s="638"/>
      <c r="AN348" s="632"/>
      <c r="AO348" s="730" t="s">
        <v>120</v>
      </c>
      <c r="AP348" s="731">
        <f>IF(C386="Yes",7,0)</f>
        <v>7</v>
      </c>
      <c r="AS348" s="574" t="s">
        <v>1631</v>
      </c>
    </row>
    <row r="349" spans="1:46" s="585" customFormat="1" ht="12.75" customHeight="1">
      <c r="A349" s="638"/>
      <c r="B349" s="646"/>
      <c r="C349" s="1999"/>
      <c r="D349" s="1999"/>
      <c r="E349" s="1999"/>
      <c r="F349" s="1999"/>
      <c r="G349" s="1999"/>
      <c r="H349" s="1999"/>
      <c r="I349" s="1999"/>
      <c r="J349" s="1999"/>
      <c r="K349" s="1999"/>
      <c r="L349" s="1999"/>
      <c r="M349" s="1999"/>
      <c r="N349" s="1999"/>
      <c r="O349" s="1999"/>
      <c r="P349" s="1999"/>
      <c r="Q349" s="1999"/>
      <c r="R349" s="1999"/>
      <c r="S349" s="1999"/>
      <c r="T349" s="1999"/>
      <c r="U349" s="1999"/>
      <c r="V349" s="1999"/>
      <c r="W349" s="1999"/>
      <c r="X349" s="1999"/>
      <c r="Y349" s="1999"/>
      <c r="Z349" s="1999"/>
      <c r="AA349" s="1999"/>
      <c r="AB349" s="1999"/>
      <c r="AC349" s="1999"/>
      <c r="AD349" s="1999"/>
      <c r="AE349" s="1999"/>
      <c r="AF349" s="1999"/>
      <c r="AG349" s="1999"/>
      <c r="AH349" s="1999"/>
      <c r="AI349" s="1999"/>
      <c r="AJ349" s="1999"/>
      <c r="AK349" s="638"/>
      <c r="AL349" s="638"/>
      <c r="AM349" s="638"/>
      <c r="AN349" s="632"/>
      <c r="AO349" s="632"/>
      <c r="AP349" s="731">
        <f>IF(C388="Yes",5,0)</f>
        <v>0</v>
      </c>
      <c r="AS349" s="2016">
        <f>IF(AND(AQ355&gt;0,AQ364&gt;0),(AQ355+AQ364)/2,0)</f>
        <v>0</v>
      </c>
      <c r="AT349" s="2016"/>
    </row>
    <row r="350" spans="1:46" s="585" customFormat="1" ht="12.75" customHeight="1">
      <c r="A350" s="638"/>
      <c r="B350" s="646"/>
      <c r="C350" s="1999"/>
      <c r="D350" s="1999"/>
      <c r="E350" s="1999"/>
      <c r="F350" s="1999"/>
      <c r="G350" s="1999"/>
      <c r="H350" s="1999"/>
      <c r="I350" s="1999"/>
      <c r="J350" s="1999"/>
      <c r="K350" s="1999"/>
      <c r="L350" s="1999"/>
      <c r="M350" s="1999"/>
      <c r="N350" s="1999"/>
      <c r="O350" s="1999"/>
      <c r="P350" s="1999"/>
      <c r="Q350" s="1999"/>
      <c r="R350" s="1999"/>
      <c r="S350" s="1999"/>
      <c r="T350" s="1999"/>
      <c r="U350" s="1999"/>
      <c r="V350" s="1999"/>
      <c r="W350" s="1999"/>
      <c r="X350" s="1999"/>
      <c r="Y350" s="1999"/>
      <c r="Z350" s="1999"/>
      <c r="AA350" s="1999"/>
      <c r="AB350" s="1999"/>
      <c r="AC350" s="1999"/>
      <c r="AD350" s="1999"/>
      <c r="AE350" s="1999"/>
      <c r="AF350" s="1999"/>
      <c r="AG350" s="1999"/>
      <c r="AH350" s="1999"/>
      <c r="AI350" s="1999"/>
      <c r="AJ350" s="1999"/>
      <c r="AK350" s="638"/>
      <c r="AL350" s="638"/>
      <c r="AM350" s="638"/>
      <c r="AN350" s="632"/>
      <c r="AO350" s="730" t="s">
        <v>590</v>
      </c>
      <c r="AP350" s="731">
        <f>IF(C396="Yes",5,0)</f>
        <v>5</v>
      </c>
      <c r="AS350" s="574" t="s">
        <v>2146</v>
      </c>
    </row>
    <row r="351" spans="1:46" s="585" customFormat="1" ht="12.75" customHeight="1">
      <c r="A351" s="638"/>
      <c r="B351" s="646"/>
      <c r="C351" s="2017" t="s">
        <v>1632</v>
      </c>
      <c r="D351" s="2017"/>
      <c r="E351" s="2017"/>
      <c r="F351" s="2017"/>
      <c r="G351" s="2017"/>
      <c r="H351" s="2017"/>
      <c r="I351" s="2017"/>
      <c r="J351" s="2017"/>
      <c r="K351" s="2017"/>
      <c r="L351" s="2017"/>
      <c r="M351" s="2017"/>
      <c r="N351" s="2017"/>
      <c r="O351" s="2017"/>
      <c r="P351" s="2017"/>
      <c r="Q351" s="2017"/>
      <c r="R351" s="2017"/>
      <c r="S351" s="2017"/>
      <c r="T351" s="2017"/>
      <c r="U351" s="2017"/>
      <c r="V351" s="2017"/>
      <c r="W351" s="2017"/>
      <c r="X351" s="2017"/>
      <c r="Y351" s="2017"/>
      <c r="Z351" s="2017"/>
      <c r="AA351" s="2017"/>
      <c r="AB351" s="2017"/>
      <c r="AC351" s="2017"/>
      <c r="AD351" s="2017"/>
      <c r="AE351" s="2017"/>
      <c r="AF351" s="2017"/>
      <c r="AG351" s="2017"/>
      <c r="AH351" s="2017"/>
      <c r="AI351" s="2017"/>
      <c r="AJ351" s="2017"/>
      <c r="AK351" s="638"/>
      <c r="AL351" s="638"/>
      <c r="AM351" s="638"/>
      <c r="AN351" s="632"/>
      <c r="AO351" s="632"/>
      <c r="AP351" s="731">
        <f>IF(C398="Yes",3,0)</f>
        <v>0</v>
      </c>
      <c r="AS351" s="2016">
        <f>IF(AQ355=0,AQ364,AQ355)</f>
        <v>15</v>
      </c>
      <c r="AT351" s="2016"/>
    </row>
    <row r="352" spans="1:46" s="585" customFormat="1" ht="12.75" customHeight="1">
      <c r="A352" s="638"/>
      <c r="B352" s="646"/>
      <c r="C352" s="2017"/>
      <c r="D352" s="2017"/>
      <c r="E352" s="2017"/>
      <c r="F352" s="2017"/>
      <c r="G352" s="2017"/>
      <c r="H352" s="2017"/>
      <c r="I352" s="2017"/>
      <c r="J352" s="2017"/>
      <c r="K352" s="2017"/>
      <c r="L352" s="2017"/>
      <c r="M352" s="2017"/>
      <c r="N352" s="2017"/>
      <c r="O352" s="2017"/>
      <c r="P352" s="2017"/>
      <c r="Q352" s="2017"/>
      <c r="R352" s="2017"/>
      <c r="S352" s="2017"/>
      <c r="T352" s="2017"/>
      <c r="U352" s="2017"/>
      <c r="V352" s="2017"/>
      <c r="W352" s="2017"/>
      <c r="X352" s="2017"/>
      <c r="Y352" s="2017"/>
      <c r="Z352" s="2017"/>
      <c r="AA352" s="2017"/>
      <c r="AB352" s="2017"/>
      <c r="AC352" s="2017"/>
      <c r="AD352" s="2017"/>
      <c r="AE352" s="2017"/>
      <c r="AF352" s="2017"/>
      <c r="AG352" s="2017"/>
      <c r="AH352" s="2017"/>
      <c r="AI352" s="2017"/>
      <c r="AJ352" s="2017"/>
      <c r="AK352" s="638"/>
      <c r="AL352" s="638"/>
      <c r="AM352" s="638"/>
      <c r="AN352" s="632"/>
      <c r="AO352" s="730" t="s">
        <v>787</v>
      </c>
      <c r="AP352" s="731">
        <f>IF(C401="Yes",5,0)</f>
        <v>0</v>
      </c>
    </row>
    <row r="353" spans="1:81" s="585" customFormat="1" ht="12.75" customHeight="1">
      <c r="A353" s="638"/>
      <c r="B353" s="646"/>
      <c r="C353" s="2017"/>
      <c r="D353" s="2017"/>
      <c r="E353" s="2017"/>
      <c r="F353" s="2017"/>
      <c r="G353" s="2017"/>
      <c r="H353" s="2017"/>
      <c r="I353" s="2017"/>
      <c r="J353" s="2017"/>
      <c r="K353" s="2017"/>
      <c r="L353" s="2017"/>
      <c r="M353" s="2017"/>
      <c r="N353" s="2017"/>
      <c r="O353" s="2017"/>
      <c r="P353" s="2017"/>
      <c r="Q353" s="2017"/>
      <c r="R353" s="2017"/>
      <c r="S353" s="2017"/>
      <c r="T353" s="2017"/>
      <c r="U353" s="2017"/>
      <c r="V353" s="2017"/>
      <c r="W353" s="2017"/>
      <c r="X353" s="2017"/>
      <c r="Y353" s="2017"/>
      <c r="Z353" s="2017"/>
      <c r="AA353" s="2017"/>
      <c r="AB353" s="2017"/>
      <c r="AC353" s="2017"/>
      <c r="AD353" s="2017"/>
      <c r="AE353" s="2017"/>
      <c r="AF353" s="2017"/>
      <c r="AG353" s="2017"/>
      <c r="AH353" s="2017"/>
      <c r="AI353" s="2017"/>
      <c r="AJ353" s="2017"/>
      <c r="AK353" s="638"/>
      <c r="AL353" s="638"/>
      <c r="AM353" s="638"/>
      <c r="AN353" s="632"/>
      <c r="AO353" s="730" t="s">
        <v>593</v>
      </c>
      <c r="AP353" s="731">
        <f>IF(C410="Yes",5,0)</f>
        <v>0</v>
      </c>
    </row>
    <row r="354" spans="1:81" s="585" customFormat="1" ht="11.85" customHeight="1">
      <c r="A354" s="638"/>
      <c r="B354" s="646"/>
      <c r="C354" s="2017"/>
      <c r="D354" s="2017"/>
      <c r="E354" s="2017"/>
      <c r="F354" s="2017"/>
      <c r="G354" s="2017"/>
      <c r="H354" s="2017"/>
      <c r="I354" s="2017"/>
      <c r="J354" s="2017"/>
      <c r="K354" s="2017"/>
      <c r="L354" s="2017"/>
      <c r="M354" s="2017"/>
      <c r="N354" s="2017"/>
      <c r="O354" s="2017"/>
      <c r="P354" s="2017"/>
      <c r="Q354" s="2017"/>
      <c r="R354" s="2017"/>
      <c r="S354" s="2017"/>
      <c r="T354" s="2017"/>
      <c r="U354" s="2017"/>
      <c r="V354" s="2017"/>
      <c r="W354" s="2017"/>
      <c r="X354" s="2017"/>
      <c r="Y354" s="2017"/>
      <c r="Z354" s="2017"/>
      <c r="AA354" s="2017"/>
      <c r="AB354" s="2017"/>
      <c r="AC354" s="2017"/>
      <c r="AD354" s="2017"/>
      <c r="AE354" s="2017"/>
      <c r="AF354" s="2017"/>
      <c r="AG354" s="2017"/>
      <c r="AH354" s="2017"/>
      <c r="AI354" s="2017"/>
      <c r="AJ354" s="2017"/>
      <c r="AK354" s="638"/>
      <c r="AL354" s="638"/>
      <c r="AM354" s="638"/>
      <c r="AN354" s="632"/>
      <c r="AO354" s="732"/>
      <c r="AP354" s="733">
        <f>IF(C412="Yes",3,0)</f>
        <v>3</v>
      </c>
    </row>
    <row r="355" spans="1:81" s="585" customFormat="1" ht="12.4" customHeight="1">
      <c r="A355" s="638"/>
      <c r="B355" s="646"/>
      <c r="C355" s="2017"/>
      <c r="D355" s="2017"/>
      <c r="E355" s="2017"/>
      <c r="F355" s="2017"/>
      <c r="G355" s="2017"/>
      <c r="H355" s="2017"/>
      <c r="I355" s="2017"/>
      <c r="J355" s="2017"/>
      <c r="K355" s="2017"/>
      <c r="L355" s="2017"/>
      <c r="M355" s="2017"/>
      <c r="N355" s="2017"/>
      <c r="O355" s="2017"/>
      <c r="P355" s="2017"/>
      <c r="Q355" s="2017"/>
      <c r="R355" s="2017"/>
      <c r="S355" s="2017"/>
      <c r="T355" s="2017"/>
      <c r="U355" s="2017"/>
      <c r="V355" s="2017"/>
      <c r="W355" s="2017"/>
      <c r="X355" s="2017"/>
      <c r="Y355" s="2017"/>
      <c r="Z355" s="2017"/>
      <c r="AA355" s="2017"/>
      <c r="AB355" s="2017"/>
      <c r="AC355" s="2017"/>
      <c r="AD355" s="2017"/>
      <c r="AE355" s="2017"/>
      <c r="AF355" s="2017"/>
      <c r="AG355" s="2017"/>
      <c r="AH355" s="2017"/>
      <c r="AI355" s="2017"/>
      <c r="AJ355" s="2017"/>
      <c r="AK355" s="638"/>
      <c r="AL355" s="638"/>
      <c r="AM355" s="638"/>
      <c r="AN355" s="632"/>
      <c r="AO355" s="734" t="s">
        <v>228</v>
      </c>
      <c r="AP355" s="735">
        <f>SUM(AP346:AP354)</f>
        <v>15</v>
      </c>
      <c r="AQ355" s="2018">
        <f>IF(AP355&gt;0,AP355,0)</f>
        <v>15</v>
      </c>
      <c r="AR355" s="2018"/>
    </row>
    <row r="356" spans="1:81" s="585" customFormat="1" ht="12.75" customHeight="1">
      <c r="A356" s="638"/>
      <c r="B356" s="646"/>
      <c r="C356" s="2017"/>
      <c r="D356" s="2017"/>
      <c r="E356" s="2017"/>
      <c r="F356" s="2017"/>
      <c r="G356" s="2017"/>
      <c r="H356" s="2017"/>
      <c r="I356" s="2017"/>
      <c r="J356" s="2017"/>
      <c r="K356" s="2017"/>
      <c r="L356" s="2017"/>
      <c r="M356" s="2017"/>
      <c r="N356" s="2017"/>
      <c r="O356" s="2017"/>
      <c r="P356" s="2017"/>
      <c r="Q356" s="2017"/>
      <c r="R356" s="2017"/>
      <c r="S356" s="2017"/>
      <c r="T356" s="2017"/>
      <c r="U356" s="2017"/>
      <c r="V356" s="2017"/>
      <c r="W356" s="2017"/>
      <c r="X356" s="2017"/>
      <c r="Y356" s="2017"/>
      <c r="Z356" s="2017"/>
      <c r="AA356" s="2017"/>
      <c r="AB356" s="2017"/>
      <c r="AC356" s="2017"/>
      <c r="AD356" s="2017"/>
      <c r="AE356" s="2017"/>
      <c r="AF356" s="2017"/>
      <c r="AG356" s="2017"/>
      <c r="AH356" s="2017"/>
      <c r="AI356" s="2017"/>
      <c r="AJ356" s="201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99" t="s">
        <v>1633</v>
      </c>
      <c r="D358" s="1999"/>
      <c r="E358" s="1999"/>
      <c r="F358" s="1999"/>
      <c r="G358" s="1999"/>
      <c r="H358" s="1999"/>
      <c r="I358" s="1999"/>
      <c r="J358" s="1999"/>
      <c r="K358" s="1999"/>
      <c r="L358" s="1999"/>
      <c r="M358" s="1999"/>
      <c r="N358" s="1999"/>
      <c r="O358" s="1999"/>
      <c r="P358" s="1999"/>
      <c r="Q358" s="1999"/>
      <c r="R358" s="1999"/>
      <c r="S358" s="1999"/>
      <c r="T358" s="1999"/>
      <c r="U358" s="1999"/>
      <c r="V358" s="1999"/>
      <c r="W358" s="1999"/>
      <c r="X358" s="1999"/>
      <c r="Y358" s="1999"/>
      <c r="Z358" s="1999"/>
      <c r="AA358" s="1999"/>
      <c r="AB358" s="1999"/>
      <c r="AC358" s="1999"/>
      <c r="AD358" s="1999"/>
      <c r="AE358" s="1999"/>
      <c r="AF358" s="1999"/>
      <c r="AG358" s="1999"/>
      <c r="AH358" s="1999"/>
      <c r="AI358" s="1999"/>
      <c r="AJ358" s="1999"/>
      <c r="AK358" s="638"/>
      <c r="AL358" s="638"/>
      <c r="AM358" s="638"/>
      <c r="AN358" s="632"/>
      <c r="AO358" s="730" t="s">
        <v>465</v>
      </c>
      <c r="AP358" s="731">
        <f>IF(C431="Yes",5,0)</f>
        <v>0</v>
      </c>
    </row>
    <row r="359" spans="1:81" s="585" customFormat="1" ht="12.75" customHeight="1">
      <c r="A359" s="638"/>
      <c r="B359" s="646"/>
      <c r="C359" s="1999"/>
      <c r="D359" s="1999"/>
      <c r="E359" s="1999"/>
      <c r="F359" s="1999"/>
      <c r="G359" s="1999"/>
      <c r="H359" s="1999"/>
      <c r="I359" s="1999"/>
      <c r="J359" s="1999"/>
      <c r="K359" s="1999"/>
      <c r="L359" s="1999"/>
      <c r="M359" s="1999"/>
      <c r="N359" s="1999"/>
      <c r="O359" s="1999"/>
      <c r="P359" s="1999"/>
      <c r="Q359" s="1999"/>
      <c r="R359" s="1999"/>
      <c r="S359" s="1999"/>
      <c r="T359" s="1999"/>
      <c r="U359" s="1999"/>
      <c r="V359" s="1999"/>
      <c r="W359" s="1999"/>
      <c r="X359" s="1999"/>
      <c r="Y359" s="1999"/>
      <c r="Z359" s="1999"/>
      <c r="AA359" s="1999"/>
      <c r="AB359" s="1999"/>
      <c r="AC359" s="1999"/>
      <c r="AD359" s="1999"/>
      <c r="AE359" s="1999"/>
      <c r="AF359" s="1999"/>
      <c r="AG359" s="1999"/>
      <c r="AH359" s="1999"/>
      <c r="AI359" s="1999"/>
      <c r="AJ359" s="1999"/>
      <c r="AK359" s="638"/>
      <c r="AL359" s="638"/>
      <c r="AM359" s="638"/>
      <c r="AN359" s="632"/>
      <c r="AO359" s="730" t="s">
        <v>470</v>
      </c>
      <c r="AP359" s="731">
        <f>IF(C438="Yes",5,0)</f>
        <v>0</v>
      </c>
    </row>
    <row r="360" spans="1:81" s="585" customFormat="1" ht="68.099999999999994" customHeight="1">
      <c r="A360" s="638"/>
      <c r="B360" s="646"/>
      <c r="C360" s="1999"/>
      <c r="D360" s="1999"/>
      <c r="E360" s="1999"/>
      <c r="F360" s="1999"/>
      <c r="G360" s="1999"/>
      <c r="H360" s="1999"/>
      <c r="I360" s="1999"/>
      <c r="J360" s="1999"/>
      <c r="K360" s="1999"/>
      <c r="L360" s="1999"/>
      <c r="M360" s="1999"/>
      <c r="N360" s="1999"/>
      <c r="O360" s="1999"/>
      <c r="P360" s="1999"/>
      <c r="Q360" s="1999"/>
      <c r="R360" s="1999"/>
      <c r="S360" s="1999"/>
      <c r="T360" s="1999"/>
      <c r="U360" s="1999"/>
      <c r="V360" s="1999"/>
      <c r="W360" s="1999"/>
      <c r="X360" s="1999"/>
      <c r="Y360" s="1999"/>
      <c r="Z360" s="1999"/>
      <c r="AA360" s="1999"/>
      <c r="AB360" s="1999"/>
      <c r="AC360" s="1999"/>
      <c r="AD360" s="1999"/>
      <c r="AE360" s="1999"/>
      <c r="AF360" s="1999"/>
      <c r="AG360" s="1999"/>
      <c r="AH360" s="1999"/>
      <c r="AI360" s="1999"/>
      <c r="AJ360" s="1999"/>
      <c r="AK360" s="638"/>
      <c r="AL360" s="638"/>
      <c r="AM360" s="638"/>
      <c r="AN360" s="632"/>
      <c r="AO360" s="730" t="s">
        <v>655</v>
      </c>
      <c r="AP360" s="736">
        <f>IF(C442="Yes",5,0)</f>
        <v>0</v>
      </c>
    </row>
    <row r="361" spans="1:81" s="585" customFormat="1" ht="12.4" customHeight="1">
      <c r="A361" s="638"/>
      <c r="B361" s="646"/>
      <c r="C361" s="585" t="s">
        <v>1634</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104">
        <f>Application!CS649-U363</f>
        <v>255</v>
      </c>
      <c r="V362" s="2104"/>
      <c r="W362" s="2104"/>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105">
        <f>Application!AG742</f>
        <v>0</v>
      </c>
      <c r="V363" s="2105"/>
      <c r="W363" s="210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2018">
        <f>IF(AP364&gt;0,AP364,0)</f>
        <v>0</v>
      </c>
      <c r="AR364" s="2018"/>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2003" t="s">
        <v>1638</v>
      </c>
      <c r="G366" s="2003"/>
      <c r="H366" s="2003"/>
      <c r="I366" s="2003"/>
      <c r="J366" s="2003"/>
      <c r="K366" s="2003"/>
      <c r="L366" s="2003"/>
      <c r="M366" s="2003"/>
      <c r="N366" s="2003"/>
      <c r="O366" s="2003"/>
      <c r="P366" s="2003"/>
      <c r="Q366" s="2003"/>
      <c r="R366" s="2003"/>
      <c r="S366" s="2003"/>
      <c r="T366" s="2003"/>
      <c r="U366" s="2003"/>
      <c r="V366" s="2003"/>
      <c r="W366" s="2003"/>
      <c r="X366" s="2003"/>
      <c r="Y366" s="2003"/>
      <c r="Z366" s="2003"/>
      <c r="AA366" s="2003"/>
      <c r="AB366" s="2003"/>
      <c r="AC366" s="2003"/>
      <c r="AD366" s="2003"/>
      <c r="AE366" s="2003"/>
      <c r="AF366" s="2003"/>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4"/>
      <c r="G367" s="2004"/>
      <c r="H367" s="2004"/>
      <c r="I367" s="2004"/>
      <c r="J367" s="2004"/>
      <c r="K367" s="2004"/>
      <c r="L367" s="2004"/>
      <c r="M367" s="2004"/>
      <c r="N367" s="2004"/>
      <c r="O367" s="2004"/>
      <c r="P367" s="2004"/>
      <c r="Q367" s="2004"/>
      <c r="R367" s="2004"/>
      <c r="S367" s="2004"/>
      <c r="T367" s="2004"/>
      <c r="U367" s="2004"/>
      <c r="V367" s="2004"/>
      <c r="W367" s="2004"/>
      <c r="X367" s="2004"/>
      <c r="Y367" s="2004"/>
      <c r="Z367" s="2004"/>
      <c r="AA367" s="2004"/>
      <c r="AB367" s="2004"/>
      <c r="AC367" s="2004"/>
      <c r="AD367" s="2004"/>
      <c r="AE367" s="2004"/>
      <c r="AF367" s="2004"/>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4"/>
      <c r="G368" s="2004"/>
      <c r="H368" s="2004"/>
      <c r="I368" s="2004"/>
      <c r="J368" s="2004"/>
      <c r="K368" s="2004"/>
      <c r="L368" s="2004"/>
      <c r="M368" s="2004"/>
      <c r="N368" s="2004"/>
      <c r="O368" s="2004"/>
      <c r="P368" s="2004"/>
      <c r="Q368" s="2004"/>
      <c r="R368" s="2004"/>
      <c r="S368" s="2004"/>
      <c r="T368" s="2004"/>
      <c r="U368" s="2004"/>
      <c r="V368" s="2004"/>
      <c r="W368" s="2004"/>
      <c r="X368" s="2004"/>
      <c r="Y368" s="2004"/>
      <c r="Z368" s="2004"/>
      <c r="AA368" s="2004"/>
      <c r="AB368" s="2004"/>
      <c r="AC368" s="2004"/>
      <c r="AD368" s="2004"/>
      <c r="AE368" s="2004"/>
      <c r="AF368" s="2004"/>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4"/>
      <c r="G369" s="2004"/>
      <c r="H369" s="2004"/>
      <c r="I369" s="2004"/>
      <c r="J369" s="2004"/>
      <c r="K369" s="2004"/>
      <c r="L369" s="2004"/>
      <c r="M369" s="2004"/>
      <c r="N369" s="2004"/>
      <c r="O369" s="2004"/>
      <c r="P369" s="2004"/>
      <c r="Q369" s="2004"/>
      <c r="R369" s="2004"/>
      <c r="S369" s="2004"/>
      <c r="T369" s="2004"/>
      <c r="U369" s="2004"/>
      <c r="V369" s="2004"/>
      <c r="W369" s="2004"/>
      <c r="X369" s="2004"/>
      <c r="Y369" s="2004"/>
      <c r="Z369" s="2004"/>
      <c r="AA369" s="2004"/>
      <c r="AB369" s="2004"/>
      <c r="AC369" s="2004"/>
      <c r="AD369" s="2004"/>
      <c r="AE369" s="2004"/>
      <c r="AF369" s="2004"/>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00" t="s">
        <v>600</v>
      </c>
      <c r="D370" s="1957"/>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01" t="s">
        <v>1640</v>
      </c>
      <c r="AG370" s="2001"/>
      <c r="AH370" s="2001"/>
      <c r="AI370" s="2001"/>
      <c r="AJ370" s="2001"/>
      <c r="AK370" s="2001"/>
      <c r="AL370" s="200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2003" t="s">
        <v>1641</v>
      </c>
      <c r="G373" s="2003"/>
      <c r="H373" s="2003"/>
      <c r="I373" s="2003"/>
      <c r="J373" s="2003"/>
      <c r="K373" s="2003"/>
      <c r="L373" s="2003"/>
      <c r="M373" s="2003"/>
      <c r="N373" s="2003"/>
      <c r="O373" s="2003"/>
      <c r="P373" s="2003"/>
      <c r="Q373" s="2003"/>
      <c r="R373" s="2003"/>
      <c r="S373" s="2003"/>
      <c r="T373" s="2003"/>
      <c r="U373" s="2003"/>
      <c r="V373" s="2003"/>
      <c r="W373" s="2003"/>
      <c r="X373" s="2003"/>
      <c r="Y373" s="2003"/>
      <c r="Z373" s="2003"/>
      <c r="AA373" s="2003"/>
      <c r="AB373" s="2003"/>
      <c r="AC373" s="2003"/>
      <c r="AD373" s="2003"/>
      <c r="AE373" s="2003"/>
      <c r="AF373" s="2003"/>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4"/>
      <c r="G374" s="2004"/>
      <c r="H374" s="2004"/>
      <c r="I374" s="2004"/>
      <c r="J374" s="2004"/>
      <c r="K374" s="2004"/>
      <c r="L374" s="2004"/>
      <c r="M374" s="2004"/>
      <c r="N374" s="2004"/>
      <c r="O374" s="2004"/>
      <c r="P374" s="2004"/>
      <c r="Q374" s="2004"/>
      <c r="R374" s="2004"/>
      <c r="S374" s="2004"/>
      <c r="T374" s="2004"/>
      <c r="U374" s="2004"/>
      <c r="V374" s="2004"/>
      <c r="W374" s="2004"/>
      <c r="X374" s="2004"/>
      <c r="Y374" s="2004"/>
      <c r="Z374" s="2004"/>
      <c r="AA374" s="2004"/>
      <c r="AB374" s="2004"/>
      <c r="AC374" s="2004"/>
      <c r="AD374" s="2004"/>
      <c r="AE374" s="2004"/>
      <c r="AF374" s="2004"/>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4"/>
      <c r="G375" s="2004"/>
      <c r="H375" s="2004"/>
      <c r="I375" s="2004"/>
      <c r="J375" s="2004"/>
      <c r="K375" s="2004"/>
      <c r="L375" s="2004"/>
      <c r="M375" s="2004"/>
      <c r="N375" s="2004"/>
      <c r="O375" s="2004"/>
      <c r="P375" s="2004"/>
      <c r="Q375" s="2004"/>
      <c r="R375" s="2004"/>
      <c r="S375" s="2004"/>
      <c r="T375" s="2004"/>
      <c r="U375" s="2004"/>
      <c r="V375" s="2004"/>
      <c r="W375" s="2004"/>
      <c r="X375" s="2004"/>
      <c r="Y375" s="2004"/>
      <c r="Z375" s="2004"/>
      <c r="AA375" s="2004"/>
      <c r="AB375" s="2004"/>
      <c r="AC375" s="2004"/>
      <c r="AD375" s="2004"/>
      <c r="AE375" s="2004"/>
      <c r="AF375" s="2004"/>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4"/>
      <c r="G376" s="2004"/>
      <c r="H376" s="2004"/>
      <c r="I376" s="2004"/>
      <c r="J376" s="2004"/>
      <c r="K376" s="2004"/>
      <c r="L376" s="2004"/>
      <c r="M376" s="2004"/>
      <c r="N376" s="2004"/>
      <c r="O376" s="2004"/>
      <c r="P376" s="2004"/>
      <c r="Q376" s="2004"/>
      <c r="R376" s="2004"/>
      <c r="S376" s="2004"/>
      <c r="T376" s="2004"/>
      <c r="U376" s="2004"/>
      <c r="V376" s="2004"/>
      <c r="W376" s="2004"/>
      <c r="X376" s="2004"/>
      <c r="Y376" s="2004"/>
      <c r="Z376" s="2004"/>
      <c r="AA376" s="2004"/>
      <c r="AB376" s="2004"/>
      <c r="AC376" s="2004"/>
      <c r="AD376" s="2004"/>
      <c r="AE376" s="2004"/>
      <c r="AF376" s="2004"/>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4"/>
      <c r="G377" s="2004"/>
      <c r="H377" s="2004"/>
      <c r="I377" s="2004"/>
      <c r="J377" s="2004"/>
      <c r="K377" s="2004"/>
      <c r="L377" s="2004"/>
      <c r="M377" s="2004"/>
      <c r="N377" s="2004"/>
      <c r="O377" s="2004"/>
      <c r="P377" s="2004"/>
      <c r="Q377" s="2004"/>
      <c r="R377" s="2004"/>
      <c r="S377" s="2004"/>
      <c r="T377" s="2004"/>
      <c r="U377" s="2004"/>
      <c r="V377" s="2004"/>
      <c r="W377" s="2004"/>
      <c r="X377" s="2004"/>
      <c r="Y377" s="2004"/>
      <c r="Z377" s="2004"/>
      <c r="AA377" s="2004"/>
      <c r="AB377" s="2004"/>
      <c r="AC377" s="2004"/>
      <c r="AD377" s="2004"/>
      <c r="AE377" s="2004"/>
      <c r="AF377" s="2004"/>
      <c r="AL377" s="767"/>
      <c r="AN377" s="632"/>
      <c r="BS377" s="30"/>
      <c r="BT377" s="30"/>
      <c r="BU377" s="14"/>
      <c r="BV377" s="14"/>
      <c r="BW377" s="14"/>
      <c r="BX377" s="14"/>
      <c r="BY377" s="14"/>
      <c r="BZ377" s="14"/>
      <c r="CA377" s="14"/>
      <c r="CB377" s="14"/>
      <c r="CC377" s="14"/>
    </row>
    <row r="378" spans="1:81" s="585" customFormat="1" ht="12.75" customHeight="1">
      <c r="A378" s="571"/>
      <c r="B378" s="14"/>
      <c r="C378" s="2000" t="s">
        <v>600</v>
      </c>
      <c r="D378" s="1957"/>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01" t="s">
        <v>1640</v>
      </c>
      <c r="AG378" s="2001"/>
      <c r="AH378" s="2001"/>
      <c r="AI378" s="2001"/>
      <c r="AJ378" s="2001"/>
      <c r="AK378" s="2001"/>
      <c r="AL378" s="200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2003" t="s">
        <v>1643</v>
      </c>
      <c r="G381" s="2003"/>
      <c r="H381" s="2003"/>
      <c r="I381" s="2003"/>
      <c r="J381" s="2003"/>
      <c r="K381" s="2003"/>
      <c r="L381" s="2003"/>
      <c r="M381" s="2003"/>
      <c r="N381" s="2003"/>
      <c r="O381" s="2003"/>
      <c r="P381" s="2003"/>
      <c r="Q381" s="2003"/>
      <c r="R381" s="2003"/>
      <c r="S381" s="2003"/>
      <c r="T381" s="2003"/>
      <c r="U381" s="2003"/>
      <c r="V381" s="2003"/>
      <c r="W381" s="2003"/>
      <c r="X381" s="2003"/>
      <c r="Y381" s="2003"/>
      <c r="Z381" s="2003"/>
      <c r="AA381" s="2003"/>
      <c r="AB381" s="2003"/>
      <c r="AC381" s="2003"/>
      <c r="AD381" s="2003"/>
      <c r="AE381" s="2003"/>
      <c r="AF381" s="2003"/>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4"/>
      <c r="G382" s="2004"/>
      <c r="H382" s="2004"/>
      <c r="I382" s="2004"/>
      <c r="J382" s="2004"/>
      <c r="K382" s="2004"/>
      <c r="L382" s="2004"/>
      <c r="M382" s="2004"/>
      <c r="N382" s="2004"/>
      <c r="O382" s="2004"/>
      <c r="P382" s="2004"/>
      <c r="Q382" s="2004"/>
      <c r="R382" s="2004"/>
      <c r="S382" s="2004"/>
      <c r="T382" s="2004"/>
      <c r="U382" s="2004"/>
      <c r="V382" s="2004"/>
      <c r="W382" s="2004"/>
      <c r="X382" s="2004"/>
      <c r="Y382" s="2004"/>
      <c r="Z382" s="2004"/>
      <c r="AA382" s="2004"/>
      <c r="AB382" s="2004"/>
      <c r="AC382" s="2004"/>
      <c r="AD382" s="2004"/>
      <c r="AE382" s="2004"/>
      <c r="AF382" s="2004"/>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4"/>
      <c r="G383" s="2004"/>
      <c r="H383" s="2004"/>
      <c r="I383" s="2004"/>
      <c r="J383" s="2004"/>
      <c r="K383" s="2004"/>
      <c r="L383" s="2004"/>
      <c r="M383" s="2004"/>
      <c r="N383" s="2004"/>
      <c r="O383" s="2004"/>
      <c r="P383" s="2004"/>
      <c r="Q383" s="2004"/>
      <c r="R383" s="2004"/>
      <c r="S383" s="2004"/>
      <c r="T383" s="2004"/>
      <c r="U383" s="2004"/>
      <c r="V383" s="2004"/>
      <c r="W383" s="2004"/>
      <c r="X383" s="2004"/>
      <c r="Y383" s="2004"/>
      <c r="Z383" s="2004"/>
      <c r="AA383" s="2004"/>
      <c r="AB383" s="2004"/>
      <c r="AC383" s="2004"/>
      <c r="AD383" s="2004"/>
      <c r="AE383" s="2004"/>
      <c r="AF383" s="2004"/>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4"/>
      <c r="G384" s="2004"/>
      <c r="H384" s="2004"/>
      <c r="I384" s="2004"/>
      <c r="J384" s="2004"/>
      <c r="K384" s="2004"/>
      <c r="L384" s="2004"/>
      <c r="M384" s="2004"/>
      <c r="N384" s="2004"/>
      <c r="O384" s="2004"/>
      <c r="P384" s="2004"/>
      <c r="Q384" s="2004"/>
      <c r="R384" s="2004"/>
      <c r="S384" s="2004"/>
      <c r="T384" s="2004"/>
      <c r="U384" s="2004"/>
      <c r="V384" s="2004"/>
      <c r="W384" s="2004"/>
      <c r="X384" s="2004"/>
      <c r="Y384" s="2004"/>
      <c r="Z384" s="2004"/>
      <c r="AA384" s="2004"/>
      <c r="AB384" s="2004"/>
      <c r="AC384" s="2004"/>
      <c r="AD384" s="2004"/>
      <c r="AE384" s="2004"/>
      <c r="AF384" s="2004"/>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4"/>
      <c r="G385" s="2004"/>
      <c r="H385" s="2004"/>
      <c r="I385" s="2004"/>
      <c r="J385" s="2004"/>
      <c r="K385" s="2004"/>
      <c r="L385" s="2004"/>
      <c r="M385" s="2004"/>
      <c r="N385" s="2004"/>
      <c r="O385" s="2004"/>
      <c r="P385" s="2004"/>
      <c r="Q385" s="2004"/>
      <c r="R385" s="2004"/>
      <c r="S385" s="2004"/>
      <c r="T385" s="2004"/>
      <c r="U385" s="2004"/>
      <c r="V385" s="2004"/>
      <c r="W385" s="2004"/>
      <c r="X385" s="2004"/>
      <c r="Y385" s="2004"/>
      <c r="Z385" s="2004"/>
      <c r="AA385" s="2004"/>
      <c r="AB385" s="2004"/>
      <c r="AC385" s="2004"/>
      <c r="AD385" s="2004"/>
      <c r="AE385" s="2004"/>
      <c r="AF385" s="2004"/>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00" t="s">
        <v>554</v>
      </c>
      <c r="D386" s="1957"/>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01" t="s">
        <v>1645</v>
      </c>
      <c r="AG386" s="2001"/>
      <c r="AH386" s="2001"/>
      <c r="AI386" s="2001"/>
      <c r="AJ386" s="2001"/>
      <c r="AK386" s="2001"/>
      <c r="AL386" s="200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00" t="s">
        <v>600</v>
      </c>
      <c r="D388" s="1957"/>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01" t="s">
        <v>1640</v>
      </c>
      <c r="AG388" s="2001"/>
      <c r="AH388" s="2001"/>
      <c r="AI388" s="2001"/>
      <c r="AJ388" s="2001"/>
      <c r="AK388" s="2001"/>
      <c r="AL388" s="200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2003" t="s">
        <v>1649</v>
      </c>
      <c r="G392" s="2003"/>
      <c r="H392" s="2003"/>
      <c r="I392" s="2003"/>
      <c r="J392" s="2003"/>
      <c r="K392" s="2003"/>
      <c r="L392" s="2003"/>
      <c r="M392" s="2003"/>
      <c r="N392" s="2003"/>
      <c r="O392" s="2003"/>
      <c r="P392" s="2003"/>
      <c r="Q392" s="2003"/>
      <c r="R392" s="2003"/>
      <c r="S392" s="2003"/>
      <c r="T392" s="2003"/>
      <c r="U392" s="2003"/>
      <c r="V392" s="2003"/>
      <c r="W392" s="2003"/>
      <c r="X392" s="2003"/>
      <c r="Y392" s="2003"/>
      <c r="Z392" s="2003"/>
      <c r="AA392" s="2003"/>
      <c r="AB392" s="2003"/>
      <c r="AC392" s="2003"/>
      <c r="AD392" s="2003"/>
      <c r="AE392" s="2003"/>
      <c r="AF392" s="2003"/>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4"/>
      <c r="G393" s="2004"/>
      <c r="H393" s="2004"/>
      <c r="I393" s="2004"/>
      <c r="J393" s="2004"/>
      <c r="K393" s="2004"/>
      <c r="L393" s="2004"/>
      <c r="M393" s="2004"/>
      <c r="N393" s="2004"/>
      <c r="O393" s="2004"/>
      <c r="P393" s="2004"/>
      <c r="Q393" s="2004"/>
      <c r="R393" s="2004"/>
      <c r="S393" s="2004"/>
      <c r="T393" s="2004"/>
      <c r="U393" s="2004"/>
      <c r="V393" s="2004"/>
      <c r="W393" s="2004"/>
      <c r="X393" s="2004"/>
      <c r="Y393" s="2004"/>
      <c r="Z393" s="2004"/>
      <c r="AA393" s="2004"/>
      <c r="AB393" s="2004"/>
      <c r="AC393" s="2004"/>
      <c r="AD393" s="2004"/>
      <c r="AE393" s="2004"/>
      <c r="AF393" s="2004"/>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04"/>
      <c r="G394" s="2004"/>
      <c r="H394" s="2004"/>
      <c r="I394" s="2004"/>
      <c r="J394" s="2004"/>
      <c r="K394" s="2004"/>
      <c r="L394" s="2004"/>
      <c r="M394" s="2004"/>
      <c r="N394" s="2004"/>
      <c r="O394" s="2004"/>
      <c r="P394" s="2004"/>
      <c r="Q394" s="2004"/>
      <c r="R394" s="2004"/>
      <c r="S394" s="2004"/>
      <c r="T394" s="2004"/>
      <c r="U394" s="2004"/>
      <c r="V394" s="2004"/>
      <c r="W394" s="2004"/>
      <c r="X394" s="2004"/>
      <c r="Y394" s="2004"/>
      <c r="Z394" s="2004"/>
      <c r="AA394" s="2004"/>
      <c r="AB394" s="2004"/>
      <c r="AC394" s="2004"/>
      <c r="AD394" s="2004"/>
      <c r="AE394" s="2004"/>
      <c r="AF394" s="2004"/>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4"/>
      <c r="G395" s="2004"/>
      <c r="H395" s="2004"/>
      <c r="I395" s="2004"/>
      <c r="J395" s="2004"/>
      <c r="K395" s="2004"/>
      <c r="L395" s="2004"/>
      <c r="M395" s="2004"/>
      <c r="N395" s="2004"/>
      <c r="O395" s="2004"/>
      <c r="P395" s="2004"/>
      <c r="Q395" s="2004"/>
      <c r="R395" s="2004"/>
      <c r="S395" s="2004"/>
      <c r="T395" s="2004"/>
      <c r="U395" s="2004"/>
      <c r="V395" s="2004"/>
      <c r="W395" s="2004"/>
      <c r="X395" s="2004"/>
      <c r="Y395" s="2004"/>
      <c r="Z395" s="2004"/>
      <c r="AA395" s="2004"/>
      <c r="AB395" s="2004"/>
      <c r="AC395" s="2004"/>
      <c r="AD395" s="2004"/>
      <c r="AE395" s="2004"/>
      <c r="AF395" s="2004"/>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00" t="s">
        <v>554</v>
      </c>
      <c r="D396" s="1957"/>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01" t="s">
        <v>1640</v>
      </c>
      <c r="AG396" s="2001"/>
      <c r="AH396" s="2001"/>
      <c r="AI396" s="2001"/>
      <c r="AJ396" s="2001"/>
      <c r="AK396" s="2001"/>
      <c r="AL396" s="200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00" t="s">
        <v>600</v>
      </c>
      <c r="D398" s="1957"/>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01" t="s">
        <v>1652</v>
      </c>
      <c r="AG398" s="2001"/>
      <c r="AH398" s="2001"/>
      <c r="AI398" s="2001"/>
      <c r="AJ398" s="2001"/>
      <c r="AK398" s="2001"/>
      <c r="AL398" s="200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00" t="s">
        <v>600</v>
      </c>
      <c r="D401" s="1957"/>
      <c r="E401" s="750" t="s">
        <v>1653</v>
      </c>
      <c r="F401" s="2003" t="s">
        <v>1654</v>
      </c>
      <c r="G401" s="2003"/>
      <c r="H401" s="2003"/>
      <c r="I401" s="2003"/>
      <c r="J401" s="2003"/>
      <c r="K401" s="2003"/>
      <c r="L401" s="2003"/>
      <c r="M401" s="2003"/>
      <c r="N401" s="2003"/>
      <c r="O401" s="2003"/>
      <c r="P401" s="2003"/>
      <c r="Q401" s="2003"/>
      <c r="R401" s="2003"/>
      <c r="S401" s="2003"/>
      <c r="T401" s="2003"/>
      <c r="U401" s="2003"/>
      <c r="V401" s="2003"/>
      <c r="W401" s="2003"/>
      <c r="X401" s="2003"/>
      <c r="Y401" s="2003"/>
      <c r="Z401" s="2003"/>
      <c r="AA401" s="2003"/>
      <c r="AB401" s="2003"/>
      <c r="AC401" s="2003"/>
      <c r="AD401" s="2003"/>
      <c r="AE401" s="2003"/>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4"/>
      <c r="G402" s="2004"/>
      <c r="H402" s="2004"/>
      <c r="I402" s="2004"/>
      <c r="J402" s="2004"/>
      <c r="K402" s="2004"/>
      <c r="L402" s="2004"/>
      <c r="M402" s="2004"/>
      <c r="N402" s="2004"/>
      <c r="O402" s="2004"/>
      <c r="P402" s="2004"/>
      <c r="Q402" s="2004"/>
      <c r="R402" s="2004"/>
      <c r="S402" s="2004"/>
      <c r="T402" s="2004"/>
      <c r="U402" s="2004"/>
      <c r="V402" s="2004"/>
      <c r="W402" s="2004"/>
      <c r="X402" s="2004"/>
      <c r="Y402" s="2004"/>
      <c r="Z402" s="2004"/>
      <c r="AA402" s="2004"/>
      <c r="AB402" s="2004"/>
      <c r="AC402" s="2004"/>
      <c r="AD402" s="2004"/>
      <c r="AE402" s="2004"/>
      <c r="AF402" s="1927" t="s">
        <v>1640</v>
      </c>
      <c r="AG402" s="1927"/>
      <c r="AH402" s="1927"/>
      <c r="AI402" s="1927"/>
      <c r="AJ402" s="1927"/>
      <c r="AK402" s="1927"/>
      <c r="AL402" s="2005"/>
      <c r="AM402" s="605"/>
      <c r="AN402" s="632"/>
      <c r="BS402" s="605"/>
      <c r="BT402" s="605"/>
      <c r="BY402" s="605"/>
      <c r="BZ402" s="605"/>
      <c r="CA402" s="605"/>
      <c r="CB402" s="605"/>
      <c r="CC402" s="605"/>
    </row>
    <row r="403" spans="1:81" s="585" customFormat="1" ht="12.75" customHeight="1">
      <c r="A403" s="571"/>
      <c r="B403" s="14"/>
      <c r="C403" s="766"/>
      <c r="D403" s="14"/>
      <c r="E403" s="726"/>
      <c r="F403" s="2004"/>
      <c r="G403" s="2004"/>
      <c r="H403" s="2004"/>
      <c r="I403" s="2004"/>
      <c r="J403" s="2004"/>
      <c r="K403" s="2004"/>
      <c r="L403" s="2004"/>
      <c r="M403" s="2004"/>
      <c r="N403" s="2004"/>
      <c r="O403" s="2004"/>
      <c r="P403" s="2004"/>
      <c r="Q403" s="2004"/>
      <c r="R403" s="2004"/>
      <c r="S403" s="2004"/>
      <c r="T403" s="2004"/>
      <c r="U403" s="2004"/>
      <c r="V403" s="2004"/>
      <c r="W403" s="2004"/>
      <c r="X403" s="2004"/>
      <c r="Y403" s="2004"/>
      <c r="Z403" s="2004"/>
      <c r="AA403" s="2004"/>
      <c r="AB403" s="2004"/>
      <c r="AC403" s="2004"/>
      <c r="AD403" s="2004"/>
      <c r="AE403" s="2004"/>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9"/>
      <c r="G404" s="2019"/>
      <c r="H404" s="2019"/>
      <c r="I404" s="2019"/>
      <c r="J404" s="2019"/>
      <c r="K404" s="2019"/>
      <c r="L404" s="2019"/>
      <c r="M404" s="2019"/>
      <c r="N404" s="2019"/>
      <c r="O404" s="2019"/>
      <c r="P404" s="2019"/>
      <c r="Q404" s="2019"/>
      <c r="R404" s="2019"/>
      <c r="S404" s="2019"/>
      <c r="T404" s="2019"/>
      <c r="U404" s="2019"/>
      <c r="V404" s="2019"/>
      <c r="W404" s="2019"/>
      <c r="X404" s="2019"/>
      <c r="Y404" s="2019"/>
      <c r="Z404" s="2019"/>
      <c r="AA404" s="2019"/>
      <c r="AB404" s="2019"/>
      <c r="AC404" s="2019"/>
      <c r="AD404" s="2019"/>
      <c r="AE404" s="2019"/>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2003" t="s">
        <v>1656</v>
      </c>
      <c r="G406" s="2003"/>
      <c r="H406" s="2003"/>
      <c r="I406" s="2003"/>
      <c r="J406" s="2003"/>
      <c r="K406" s="2003"/>
      <c r="L406" s="2003"/>
      <c r="M406" s="2003"/>
      <c r="N406" s="2003"/>
      <c r="O406" s="2003"/>
      <c r="P406" s="2003"/>
      <c r="Q406" s="2003"/>
      <c r="R406" s="2003"/>
      <c r="S406" s="2003"/>
      <c r="T406" s="2003"/>
      <c r="U406" s="2003"/>
      <c r="V406" s="2003"/>
      <c r="W406" s="2003"/>
      <c r="X406" s="2003"/>
      <c r="Y406" s="2003"/>
      <c r="Z406" s="2003"/>
      <c r="AA406" s="2003"/>
      <c r="AB406" s="2003"/>
      <c r="AC406" s="2003"/>
      <c r="AD406" s="2003"/>
      <c r="AE406" s="2003"/>
      <c r="AF406" s="782"/>
      <c r="AG406" s="782"/>
      <c r="AH406" s="782"/>
      <c r="AI406" s="782"/>
      <c r="AJ406" s="782"/>
      <c r="AK406" s="782"/>
      <c r="AL406" s="783"/>
      <c r="AM406" s="605"/>
    </row>
    <row r="407" spans="1:81">
      <c r="A407" s="571"/>
      <c r="C407" s="766"/>
      <c r="E407" s="726"/>
      <c r="F407" s="2004"/>
      <c r="G407" s="2004"/>
      <c r="H407" s="2004"/>
      <c r="I407" s="2004"/>
      <c r="J407" s="2004"/>
      <c r="K407" s="2004"/>
      <c r="L407" s="2004"/>
      <c r="M407" s="2004"/>
      <c r="N407" s="2004"/>
      <c r="O407" s="2004"/>
      <c r="P407" s="2004"/>
      <c r="Q407" s="2004"/>
      <c r="R407" s="2004"/>
      <c r="S407" s="2004"/>
      <c r="T407" s="2004"/>
      <c r="U407" s="2004"/>
      <c r="V407" s="2004"/>
      <c r="W407" s="2004"/>
      <c r="X407" s="2004"/>
      <c r="Y407" s="2004"/>
      <c r="Z407" s="2004"/>
      <c r="AA407" s="2004"/>
      <c r="AB407" s="2004"/>
      <c r="AC407" s="2004"/>
      <c r="AD407" s="2004"/>
      <c r="AE407" s="2004"/>
      <c r="AF407" s="574"/>
      <c r="AG407" s="571"/>
      <c r="AH407" s="585"/>
      <c r="AI407" s="585"/>
      <c r="AJ407" s="585"/>
      <c r="AK407" s="585"/>
      <c r="AL407" s="767"/>
      <c r="AM407" s="605"/>
    </row>
    <row r="408" spans="1:81" s="585" customFormat="1" ht="12.75" customHeight="1">
      <c r="A408" s="571"/>
      <c r="B408" s="14"/>
      <c r="C408" s="766"/>
      <c r="D408" s="14"/>
      <c r="E408" s="726"/>
      <c r="F408" s="2004"/>
      <c r="G408" s="2004"/>
      <c r="H408" s="2004"/>
      <c r="I408" s="2004"/>
      <c r="J408" s="2004"/>
      <c r="K408" s="2004"/>
      <c r="L408" s="2004"/>
      <c r="M408" s="2004"/>
      <c r="N408" s="2004"/>
      <c r="O408" s="2004"/>
      <c r="P408" s="2004"/>
      <c r="Q408" s="2004"/>
      <c r="R408" s="2004"/>
      <c r="S408" s="2004"/>
      <c r="T408" s="2004"/>
      <c r="U408" s="2004"/>
      <c r="V408" s="2004"/>
      <c r="W408" s="2004"/>
      <c r="X408" s="2004"/>
      <c r="Y408" s="2004"/>
      <c r="Z408" s="2004"/>
      <c r="AA408" s="2004"/>
      <c r="AB408" s="2004"/>
      <c r="AC408" s="2004"/>
      <c r="AD408" s="2004"/>
      <c r="AE408" s="2004"/>
      <c r="AL408" s="767"/>
      <c r="AM408" s="605"/>
      <c r="AN408" s="632"/>
    </row>
    <row r="409" spans="1:81" s="585" customFormat="1" ht="12.75" customHeight="1">
      <c r="A409" s="571"/>
      <c r="B409" s="14"/>
      <c r="C409" s="774"/>
      <c r="F409" s="2004"/>
      <c r="G409" s="2004"/>
      <c r="H409" s="2004"/>
      <c r="I409" s="2004"/>
      <c r="J409" s="2004"/>
      <c r="K409" s="2004"/>
      <c r="L409" s="2004"/>
      <c r="M409" s="2004"/>
      <c r="N409" s="2004"/>
      <c r="O409" s="2004"/>
      <c r="P409" s="2004"/>
      <c r="Q409" s="2004"/>
      <c r="R409" s="2004"/>
      <c r="S409" s="2004"/>
      <c r="T409" s="2004"/>
      <c r="U409" s="2004"/>
      <c r="V409" s="2004"/>
      <c r="W409" s="2004"/>
      <c r="X409" s="2004"/>
      <c r="Y409" s="2004"/>
      <c r="Z409" s="2004"/>
      <c r="AA409" s="2004"/>
      <c r="AB409" s="2004"/>
      <c r="AC409" s="2004"/>
      <c r="AD409" s="2004"/>
      <c r="AE409" s="2004"/>
      <c r="AL409" s="767"/>
      <c r="AM409" s="605"/>
      <c r="AN409" s="632"/>
    </row>
    <row r="410" spans="1:81" s="585" customFormat="1" ht="12.75" customHeight="1">
      <c r="A410" s="571"/>
      <c r="B410" s="14"/>
      <c r="C410" s="2000" t="s">
        <v>600</v>
      </c>
      <c r="D410" s="1957"/>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7" t="s">
        <v>1640</v>
      </c>
      <c r="AG410" s="1927"/>
      <c r="AH410" s="1927"/>
      <c r="AI410" s="1927"/>
      <c r="AJ410" s="1927"/>
      <c r="AK410" s="1927"/>
      <c r="AL410" s="2005"/>
      <c r="AM410" s="605"/>
      <c r="AN410" s="632"/>
    </row>
    <row r="411" spans="1:81" s="585" customFormat="1" ht="12.75" customHeight="1">
      <c r="A411" s="571"/>
      <c r="B411" s="14"/>
      <c r="C411" s="774"/>
      <c r="AL411" s="767"/>
      <c r="AM411" s="605"/>
      <c r="AN411" s="632"/>
    </row>
    <row r="412" spans="1:81" s="585" customFormat="1" ht="12.75" customHeight="1">
      <c r="A412" s="571"/>
      <c r="B412" s="14"/>
      <c r="C412" s="2000" t="s">
        <v>554</v>
      </c>
      <c r="D412" s="1957"/>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7" t="s">
        <v>1652</v>
      </c>
      <c r="AG412" s="1927"/>
      <c r="AH412" s="1927"/>
      <c r="AI412" s="1927"/>
      <c r="AJ412" s="1927"/>
      <c r="AK412" s="1927"/>
      <c r="AL412" s="200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2003" t="s">
        <v>1661</v>
      </c>
      <c r="G416" s="2003"/>
      <c r="H416" s="2003"/>
      <c r="I416" s="2003"/>
      <c r="J416" s="2003"/>
      <c r="K416" s="2003"/>
      <c r="L416" s="2003"/>
      <c r="M416" s="2003"/>
      <c r="N416" s="2003"/>
      <c r="O416" s="2003"/>
      <c r="P416" s="2003"/>
      <c r="Q416" s="2003"/>
      <c r="R416" s="2003"/>
      <c r="S416" s="2003"/>
      <c r="T416" s="2003"/>
      <c r="U416" s="2003"/>
      <c r="V416" s="2003"/>
      <c r="W416" s="2003"/>
      <c r="X416" s="2003"/>
      <c r="Y416" s="2003"/>
      <c r="Z416" s="2003"/>
      <c r="AA416" s="2003"/>
      <c r="AB416" s="2003"/>
      <c r="AC416" s="2003"/>
      <c r="AD416" s="2003"/>
      <c r="AE416" s="2003"/>
      <c r="AF416" s="749"/>
      <c r="AG416" s="749"/>
      <c r="AH416" s="749"/>
      <c r="AI416" s="749"/>
      <c r="AJ416" s="749"/>
      <c r="AK416" s="749"/>
      <c r="AL416" s="780"/>
      <c r="AM416" s="605"/>
      <c r="AN416" s="632"/>
    </row>
    <row r="417" spans="1:60" s="585" customFormat="1" ht="12.75" customHeight="1">
      <c r="A417" s="571"/>
      <c r="B417" s="14"/>
      <c r="C417" s="766"/>
      <c r="D417" s="14"/>
      <c r="E417" s="726"/>
      <c r="F417" s="2004"/>
      <c r="G417" s="2004"/>
      <c r="H417" s="2004"/>
      <c r="I417" s="2004"/>
      <c r="J417" s="2004"/>
      <c r="K417" s="2004"/>
      <c r="L417" s="2004"/>
      <c r="M417" s="2004"/>
      <c r="N417" s="2004"/>
      <c r="O417" s="2004"/>
      <c r="P417" s="2004"/>
      <c r="Q417" s="2004"/>
      <c r="R417" s="2004"/>
      <c r="S417" s="2004"/>
      <c r="T417" s="2004"/>
      <c r="U417" s="2004"/>
      <c r="V417" s="2004"/>
      <c r="W417" s="2004"/>
      <c r="X417" s="2004"/>
      <c r="Y417" s="2004"/>
      <c r="Z417" s="2004"/>
      <c r="AA417" s="2004"/>
      <c r="AB417" s="2004"/>
      <c r="AC417" s="2004"/>
      <c r="AD417" s="2004"/>
      <c r="AE417" s="2004"/>
      <c r="AF417" s="574"/>
      <c r="AG417" s="571"/>
      <c r="AL417" s="767"/>
      <c r="AM417" s="605"/>
      <c r="AN417" s="632"/>
    </row>
    <row r="418" spans="1:60" s="585" customFormat="1" ht="12.4" customHeight="1">
      <c r="A418" s="571"/>
      <c r="B418" s="14"/>
      <c r="C418" s="766"/>
      <c r="D418" s="14"/>
      <c r="E418" s="726"/>
      <c r="F418" s="2004"/>
      <c r="G418" s="2004"/>
      <c r="H418" s="2004"/>
      <c r="I418" s="2004"/>
      <c r="J418" s="2004"/>
      <c r="K418" s="2004"/>
      <c r="L418" s="2004"/>
      <c r="M418" s="2004"/>
      <c r="N418" s="2004"/>
      <c r="O418" s="2004"/>
      <c r="P418" s="2004"/>
      <c r="Q418" s="2004"/>
      <c r="R418" s="2004"/>
      <c r="S418" s="2004"/>
      <c r="T418" s="2004"/>
      <c r="U418" s="2004"/>
      <c r="V418" s="2004"/>
      <c r="W418" s="2004"/>
      <c r="X418" s="2004"/>
      <c r="Y418" s="2004"/>
      <c r="Z418" s="2004"/>
      <c r="AA418" s="2004"/>
      <c r="AB418" s="2004"/>
      <c r="AC418" s="2004"/>
      <c r="AD418" s="2004"/>
      <c r="AE418" s="2004"/>
      <c r="AL418" s="767"/>
      <c r="AM418" s="605"/>
      <c r="AN418" s="632"/>
    </row>
    <row r="419" spans="1:60" s="585" customFormat="1" ht="12.75" customHeight="1">
      <c r="A419" s="571"/>
      <c r="B419" s="14"/>
      <c r="C419" s="2000" t="s">
        <v>600</v>
      </c>
      <c r="D419" s="1957"/>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7" t="s">
        <v>1640</v>
      </c>
      <c r="AG419" s="1927"/>
      <c r="AH419" s="1927"/>
      <c r="AI419" s="1927"/>
      <c r="AJ419" s="1927"/>
      <c r="AK419" s="1927"/>
      <c r="AL419" s="200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1663</v>
      </c>
      <c r="F422" s="2003" t="s">
        <v>1664</v>
      </c>
      <c r="G422" s="2003"/>
      <c r="H422" s="2003"/>
      <c r="I422" s="2003"/>
      <c r="J422" s="2003"/>
      <c r="K422" s="2003"/>
      <c r="L422" s="2003"/>
      <c r="M422" s="2003"/>
      <c r="N422" s="2003"/>
      <c r="O422" s="2003"/>
      <c r="P422" s="2003"/>
      <c r="Q422" s="2003"/>
      <c r="R422" s="2003"/>
      <c r="S422" s="2003"/>
      <c r="T422" s="2003"/>
      <c r="U422" s="2003"/>
      <c r="V422" s="2003"/>
      <c r="W422" s="2003"/>
      <c r="X422" s="2003"/>
      <c r="Y422" s="2003"/>
      <c r="Z422" s="2003"/>
      <c r="AA422" s="2003"/>
      <c r="AB422" s="2003"/>
      <c r="AC422" s="2003"/>
      <c r="AD422" s="2003"/>
      <c r="AE422" s="2003"/>
      <c r="AF422" s="782"/>
      <c r="AG422" s="782"/>
      <c r="AH422" s="782"/>
      <c r="AI422" s="782"/>
      <c r="AJ422" s="782"/>
      <c r="AK422" s="782"/>
      <c r="AL422" s="783"/>
      <c r="AM422" s="605"/>
      <c r="AO422" s="585"/>
      <c r="AP422" s="585"/>
      <c r="BD422" s="14"/>
      <c r="BE422" s="14"/>
      <c r="BF422" s="14"/>
      <c r="BG422" s="14"/>
      <c r="BH422" s="14"/>
    </row>
    <row r="423" spans="1:60">
      <c r="A423" s="571"/>
      <c r="C423" s="766"/>
      <c r="E423" s="726"/>
      <c r="F423" s="2004"/>
      <c r="G423" s="2004"/>
      <c r="H423" s="2004"/>
      <c r="I423" s="2004"/>
      <c r="J423" s="2004"/>
      <c r="K423" s="2004"/>
      <c r="L423" s="2004"/>
      <c r="M423" s="2004"/>
      <c r="N423" s="2004"/>
      <c r="O423" s="2004"/>
      <c r="P423" s="2004"/>
      <c r="Q423" s="2004"/>
      <c r="R423" s="2004"/>
      <c r="S423" s="2004"/>
      <c r="T423" s="2004"/>
      <c r="U423" s="2004"/>
      <c r="V423" s="2004"/>
      <c r="W423" s="2004"/>
      <c r="X423" s="2004"/>
      <c r="Y423" s="2004"/>
      <c r="Z423" s="2004"/>
      <c r="AA423" s="2004"/>
      <c r="AB423" s="2004"/>
      <c r="AC423" s="2004"/>
      <c r="AD423" s="2004"/>
      <c r="AE423" s="2004"/>
      <c r="AF423" s="629"/>
      <c r="AG423" s="629"/>
      <c r="AH423" s="629"/>
      <c r="AI423" s="629"/>
      <c r="AJ423" s="629"/>
      <c r="AK423" s="629"/>
      <c r="AL423" s="786"/>
      <c r="AM423" s="605"/>
      <c r="AO423" s="585"/>
      <c r="AP423" s="585"/>
    </row>
    <row r="424" spans="1:60" s="585" customFormat="1" ht="12.75" customHeight="1">
      <c r="A424" s="571"/>
      <c r="B424" s="14"/>
      <c r="C424" s="766"/>
      <c r="D424" s="14"/>
      <c r="E424" s="726"/>
      <c r="F424" s="2004"/>
      <c r="G424" s="2004"/>
      <c r="H424" s="2004"/>
      <c r="I424" s="2004"/>
      <c r="J424" s="2004"/>
      <c r="K424" s="2004"/>
      <c r="L424" s="2004"/>
      <c r="M424" s="2004"/>
      <c r="N424" s="2004"/>
      <c r="O424" s="2004"/>
      <c r="P424" s="2004"/>
      <c r="Q424" s="2004"/>
      <c r="R424" s="2004"/>
      <c r="S424" s="2004"/>
      <c r="T424" s="2004"/>
      <c r="U424" s="2004"/>
      <c r="V424" s="2004"/>
      <c r="W424" s="2004"/>
      <c r="X424" s="2004"/>
      <c r="Y424" s="2004"/>
      <c r="Z424" s="2004"/>
      <c r="AA424" s="2004"/>
      <c r="AB424" s="2004"/>
      <c r="AC424" s="2004"/>
      <c r="AD424" s="2004"/>
      <c r="AE424" s="2004"/>
      <c r="AF424" s="629"/>
      <c r="AG424" s="629"/>
      <c r="AH424" s="629"/>
      <c r="AI424" s="629"/>
      <c r="AJ424" s="629"/>
      <c r="AK424" s="629"/>
      <c r="AL424" s="786"/>
      <c r="AM424" s="605"/>
      <c r="AN424" s="632"/>
    </row>
    <row r="425" spans="1:60" s="585" customFormat="1" ht="12.75" customHeight="1">
      <c r="A425" s="571"/>
      <c r="B425" s="14"/>
      <c r="C425" s="787"/>
      <c r="D425" s="765"/>
      <c r="E425" s="754"/>
      <c r="F425" s="2004"/>
      <c r="G425" s="2004"/>
      <c r="H425" s="2004"/>
      <c r="I425" s="2004"/>
      <c r="J425" s="2004"/>
      <c r="K425" s="2004"/>
      <c r="L425" s="2004"/>
      <c r="M425" s="2004"/>
      <c r="N425" s="2004"/>
      <c r="O425" s="2004"/>
      <c r="P425" s="2004"/>
      <c r="Q425" s="2004"/>
      <c r="R425" s="2004"/>
      <c r="S425" s="2004"/>
      <c r="T425" s="2004"/>
      <c r="U425" s="2004"/>
      <c r="V425" s="2004"/>
      <c r="W425" s="2004"/>
      <c r="X425" s="2004"/>
      <c r="Y425" s="2004"/>
      <c r="Z425" s="2004"/>
      <c r="AA425" s="2004"/>
      <c r="AB425" s="2004"/>
      <c r="AC425" s="2004"/>
      <c r="AD425" s="2004"/>
      <c r="AE425" s="2004"/>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4"/>
      <c r="G426" s="2004"/>
      <c r="H426" s="2004"/>
      <c r="I426" s="2004"/>
      <c r="J426" s="2004"/>
      <c r="K426" s="2004"/>
      <c r="L426" s="2004"/>
      <c r="M426" s="2004"/>
      <c r="N426" s="2004"/>
      <c r="O426" s="2004"/>
      <c r="P426" s="2004"/>
      <c r="Q426" s="2004"/>
      <c r="R426" s="2004"/>
      <c r="S426" s="2004"/>
      <c r="T426" s="2004"/>
      <c r="U426" s="2004"/>
      <c r="V426" s="2004"/>
      <c r="W426" s="2004"/>
      <c r="X426" s="2004"/>
      <c r="Y426" s="2004"/>
      <c r="Z426" s="2004"/>
      <c r="AA426" s="2004"/>
      <c r="AB426" s="2004"/>
      <c r="AC426" s="2004"/>
      <c r="AD426" s="2004"/>
      <c r="AE426" s="2004"/>
      <c r="AF426" s="629"/>
      <c r="AG426" s="629"/>
      <c r="AH426" s="629"/>
      <c r="AI426" s="629"/>
      <c r="AJ426" s="629"/>
      <c r="AK426" s="629"/>
      <c r="AL426" s="786"/>
      <c r="AM426" s="605"/>
      <c r="AN426" s="632"/>
    </row>
    <row r="427" spans="1:60" s="585" customFormat="1" ht="12.75" customHeight="1">
      <c r="A427" s="571"/>
      <c r="B427" s="14"/>
      <c r="C427" s="787"/>
      <c r="D427" s="765"/>
      <c r="E427" s="754"/>
      <c r="F427" s="2004"/>
      <c r="G427" s="2004"/>
      <c r="H427" s="2004"/>
      <c r="I427" s="2004"/>
      <c r="J427" s="2004"/>
      <c r="K427" s="2004"/>
      <c r="L427" s="2004"/>
      <c r="M427" s="2004"/>
      <c r="N427" s="2004"/>
      <c r="O427" s="2004"/>
      <c r="P427" s="2004"/>
      <c r="Q427" s="2004"/>
      <c r="R427" s="2004"/>
      <c r="S427" s="2004"/>
      <c r="T427" s="2004"/>
      <c r="U427" s="2004"/>
      <c r="V427" s="2004"/>
      <c r="W427" s="2004"/>
      <c r="X427" s="2004"/>
      <c r="Y427" s="2004"/>
      <c r="Z427" s="2004"/>
      <c r="AA427" s="2004"/>
      <c r="AB427" s="2004"/>
      <c r="AC427" s="2004"/>
      <c r="AD427" s="2004"/>
      <c r="AE427" s="2004"/>
      <c r="AF427" s="629"/>
      <c r="AG427" s="629"/>
      <c r="AH427" s="629"/>
      <c r="AI427" s="629"/>
      <c r="AJ427" s="629"/>
      <c r="AK427" s="629"/>
      <c r="AL427" s="786"/>
      <c r="AM427" s="605"/>
      <c r="AN427" s="632"/>
    </row>
    <row r="428" spans="1:60" s="585" customFormat="1" ht="12.75" customHeight="1">
      <c r="A428" s="571"/>
      <c r="B428" s="14"/>
      <c r="C428" s="787"/>
      <c r="D428" s="765"/>
      <c r="E428" s="754"/>
      <c r="F428" s="2004"/>
      <c r="G428" s="2004"/>
      <c r="H428" s="2004"/>
      <c r="I428" s="2004"/>
      <c r="J428" s="2004"/>
      <c r="K428" s="2004"/>
      <c r="L428" s="2004"/>
      <c r="M428" s="2004"/>
      <c r="N428" s="2004"/>
      <c r="O428" s="2004"/>
      <c r="P428" s="2004"/>
      <c r="Q428" s="2004"/>
      <c r="R428" s="2004"/>
      <c r="S428" s="2004"/>
      <c r="T428" s="2004"/>
      <c r="U428" s="2004"/>
      <c r="V428" s="2004"/>
      <c r="W428" s="2004"/>
      <c r="X428" s="2004"/>
      <c r="Y428" s="2004"/>
      <c r="Z428" s="2004"/>
      <c r="AA428" s="2004"/>
      <c r="AB428" s="2004"/>
      <c r="AC428" s="2004"/>
      <c r="AD428" s="2004"/>
      <c r="AE428" s="2004"/>
      <c r="AF428" s="629"/>
      <c r="AG428" s="629"/>
      <c r="AH428" s="629"/>
      <c r="AI428" s="629"/>
      <c r="AJ428" s="629"/>
      <c r="AK428" s="629"/>
      <c r="AL428" s="786"/>
      <c r="AM428" s="605"/>
      <c r="AN428" s="632"/>
    </row>
    <row r="429" spans="1:60" s="585" customFormat="1" ht="12.75" customHeight="1">
      <c r="A429" s="571"/>
      <c r="B429" s="14"/>
      <c r="C429" s="787"/>
      <c r="D429" s="765"/>
      <c r="E429" s="754"/>
      <c r="F429" s="2004"/>
      <c r="G429" s="2004"/>
      <c r="H429" s="2004"/>
      <c r="I429" s="2004"/>
      <c r="J429" s="2004"/>
      <c r="K429" s="2004"/>
      <c r="L429" s="2004"/>
      <c r="M429" s="2004"/>
      <c r="N429" s="2004"/>
      <c r="O429" s="2004"/>
      <c r="P429" s="2004"/>
      <c r="Q429" s="2004"/>
      <c r="R429" s="2004"/>
      <c r="S429" s="2004"/>
      <c r="T429" s="2004"/>
      <c r="U429" s="2004"/>
      <c r="V429" s="2004"/>
      <c r="W429" s="2004"/>
      <c r="X429" s="2004"/>
      <c r="Y429" s="2004"/>
      <c r="Z429" s="2004"/>
      <c r="AA429" s="2004"/>
      <c r="AB429" s="2004"/>
      <c r="AC429" s="2004"/>
      <c r="AD429" s="2004"/>
      <c r="AE429" s="2004"/>
      <c r="AF429" s="629"/>
      <c r="AG429" s="629"/>
      <c r="AH429" s="629"/>
      <c r="AI429" s="629"/>
      <c r="AJ429" s="629"/>
      <c r="AK429" s="629"/>
      <c r="AL429" s="786"/>
      <c r="AM429" s="605"/>
      <c r="AN429" s="632"/>
    </row>
    <row r="430" spans="1:60" s="585" customFormat="1" ht="17.25" customHeight="1">
      <c r="A430" s="571"/>
      <c r="B430" s="14"/>
      <c r="C430" s="787"/>
      <c r="D430" s="765"/>
      <c r="E430" s="754"/>
      <c r="F430" s="2004"/>
      <c r="G430" s="2004"/>
      <c r="H430" s="2004"/>
      <c r="I430" s="2004"/>
      <c r="J430" s="2004"/>
      <c r="K430" s="2004"/>
      <c r="L430" s="2004"/>
      <c r="M430" s="2004"/>
      <c r="N430" s="2004"/>
      <c r="O430" s="2004"/>
      <c r="P430" s="2004"/>
      <c r="Q430" s="2004"/>
      <c r="R430" s="2004"/>
      <c r="S430" s="2004"/>
      <c r="T430" s="2004"/>
      <c r="U430" s="2004"/>
      <c r="V430" s="2004"/>
      <c r="W430" s="2004"/>
      <c r="X430" s="2004"/>
      <c r="Y430" s="2004"/>
      <c r="Z430" s="2004"/>
      <c r="AA430" s="2004"/>
      <c r="AB430" s="2004"/>
      <c r="AC430" s="2004"/>
      <c r="AD430" s="2004"/>
      <c r="AE430" s="2004"/>
      <c r="AL430" s="767"/>
      <c r="AM430" s="605"/>
      <c r="AN430" s="632"/>
    </row>
    <row r="431" spans="1:60" s="585" customFormat="1" ht="12.75" customHeight="1">
      <c r="A431" s="571"/>
      <c r="B431" s="14"/>
      <c r="C431" s="2000" t="s">
        <v>600</v>
      </c>
      <c r="D431" s="1957"/>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7" t="s">
        <v>1640</v>
      </c>
      <c r="AG431" s="1927"/>
      <c r="AH431" s="1927"/>
      <c r="AI431" s="1927"/>
      <c r="AJ431" s="1927"/>
      <c r="AK431" s="1927"/>
      <c r="AL431" s="200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2003" t="s">
        <v>1667</v>
      </c>
      <c r="G434" s="2003"/>
      <c r="H434" s="2003"/>
      <c r="I434" s="2003"/>
      <c r="J434" s="2003"/>
      <c r="K434" s="2003"/>
      <c r="L434" s="2003"/>
      <c r="M434" s="2003"/>
      <c r="N434" s="2003"/>
      <c r="O434" s="2003"/>
      <c r="P434" s="2003"/>
      <c r="Q434" s="2003"/>
      <c r="R434" s="2003"/>
      <c r="S434" s="2003"/>
      <c r="T434" s="2003"/>
      <c r="U434" s="2003"/>
      <c r="V434" s="2003"/>
      <c r="W434" s="2003"/>
      <c r="X434" s="2003"/>
      <c r="Y434" s="2003"/>
      <c r="Z434" s="2003"/>
      <c r="AA434" s="2003"/>
      <c r="AB434" s="2003"/>
      <c r="AC434" s="2003"/>
      <c r="AD434" s="2003"/>
      <c r="AE434" s="2003"/>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2004"/>
      <c r="G435" s="2004"/>
      <c r="H435" s="2004"/>
      <c r="I435" s="2004"/>
      <c r="J435" s="2004"/>
      <c r="K435" s="2004"/>
      <c r="L435" s="2004"/>
      <c r="M435" s="2004"/>
      <c r="N435" s="2004"/>
      <c r="O435" s="2004"/>
      <c r="P435" s="2004"/>
      <c r="Q435" s="2004"/>
      <c r="R435" s="2004"/>
      <c r="S435" s="2004"/>
      <c r="T435" s="2004"/>
      <c r="U435" s="2004"/>
      <c r="V435" s="2004"/>
      <c r="W435" s="2004"/>
      <c r="X435" s="2004"/>
      <c r="Y435" s="2004"/>
      <c r="Z435" s="2004"/>
      <c r="AA435" s="2004"/>
      <c r="AB435" s="2004"/>
      <c r="AC435" s="2004"/>
      <c r="AD435" s="2004"/>
      <c r="AE435" s="2004"/>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2004"/>
      <c r="G436" s="2004"/>
      <c r="H436" s="2004"/>
      <c r="I436" s="2004"/>
      <c r="J436" s="2004"/>
      <c r="K436" s="2004"/>
      <c r="L436" s="2004"/>
      <c r="M436" s="2004"/>
      <c r="N436" s="2004"/>
      <c r="O436" s="2004"/>
      <c r="P436" s="2004"/>
      <c r="Q436" s="2004"/>
      <c r="R436" s="2004"/>
      <c r="S436" s="2004"/>
      <c r="T436" s="2004"/>
      <c r="U436" s="2004"/>
      <c r="V436" s="2004"/>
      <c r="W436" s="2004"/>
      <c r="X436" s="2004"/>
      <c r="Y436" s="2004"/>
      <c r="Z436" s="2004"/>
      <c r="AA436" s="2004"/>
      <c r="AB436" s="2004"/>
      <c r="AC436" s="2004"/>
      <c r="AD436" s="2004"/>
      <c r="AE436" s="2004"/>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2004"/>
      <c r="G437" s="2004"/>
      <c r="H437" s="2004"/>
      <c r="I437" s="2004"/>
      <c r="J437" s="2004"/>
      <c r="K437" s="2004"/>
      <c r="L437" s="2004"/>
      <c r="M437" s="2004"/>
      <c r="N437" s="2004"/>
      <c r="O437" s="2004"/>
      <c r="P437" s="2004"/>
      <c r="Q437" s="2004"/>
      <c r="R437" s="2004"/>
      <c r="S437" s="2004"/>
      <c r="T437" s="2004"/>
      <c r="U437" s="2004"/>
      <c r="V437" s="2004"/>
      <c r="W437" s="2004"/>
      <c r="X437" s="2004"/>
      <c r="Y437" s="2004"/>
      <c r="Z437" s="2004"/>
      <c r="AA437" s="2004"/>
      <c r="AB437" s="2004"/>
      <c r="AC437" s="2004"/>
      <c r="AD437" s="2004"/>
      <c r="AE437" s="2004"/>
      <c r="AL437" s="767"/>
      <c r="AM437" s="605"/>
      <c r="AN437" s="632"/>
      <c r="AO437" s="585" t="s">
        <v>1670</v>
      </c>
      <c r="AP437" s="585">
        <v>5</v>
      </c>
      <c r="AQ437" s="571"/>
    </row>
    <row r="438" spans="1:54" s="585" customFormat="1" ht="12.75" customHeight="1">
      <c r="A438" s="571"/>
      <c r="B438" s="14"/>
      <c r="C438" s="2000" t="s">
        <v>600</v>
      </c>
      <c r="D438" s="1957"/>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7" t="s">
        <v>1640</v>
      </c>
      <c r="AG438" s="1927"/>
      <c r="AH438" s="1927"/>
      <c r="AI438" s="1927"/>
      <c r="AJ438" s="1927"/>
      <c r="AK438" s="1927"/>
      <c r="AL438" s="2005"/>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06" t="s">
        <v>600</v>
      </c>
      <c r="D442" s="2007"/>
      <c r="E442" s="750" t="s">
        <v>1676</v>
      </c>
      <c r="F442" s="2003" t="s">
        <v>1677</v>
      </c>
      <c r="G442" s="2003"/>
      <c r="H442" s="2003"/>
      <c r="I442" s="2003"/>
      <c r="J442" s="2003"/>
      <c r="K442" s="2003"/>
      <c r="L442" s="2003"/>
      <c r="M442" s="2003"/>
      <c r="N442" s="2003"/>
      <c r="O442" s="2003"/>
      <c r="P442" s="2003"/>
      <c r="Q442" s="2003"/>
      <c r="R442" s="2003"/>
      <c r="S442" s="2003"/>
      <c r="T442" s="2003"/>
      <c r="U442" s="2003"/>
      <c r="V442" s="2003"/>
      <c r="W442" s="2003"/>
      <c r="X442" s="2003"/>
      <c r="Y442" s="2003"/>
      <c r="Z442" s="2003"/>
      <c r="AA442" s="2003"/>
      <c r="AB442" s="2003"/>
      <c r="AC442" s="2003"/>
      <c r="AD442" s="2003"/>
      <c r="AE442" s="2003"/>
      <c r="AF442" s="2020" t="s">
        <v>1640</v>
      </c>
      <c r="AG442" s="2020"/>
      <c r="AH442" s="2020"/>
      <c r="AI442" s="2020"/>
      <c r="AJ442" s="2020"/>
      <c r="AK442" s="2020"/>
      <c r="AL442" s="2021"/>
      <c r="AM442" s="605"/>
      <c r="AN442" s="789"/>
      <c r="AO442" s="585" t="s">
        <v>1678</v>
      </c>
      <c r="AP442" s="585">
        <v>1</v>
      </c>
    </row>
    <row r="443" spans="1:54" s="585" customFormat="1" ht="12.75" customHeight="1">
      <c r="A443" s="571"/>
      <c r="B443" s="14"/>
      <c r="C443" s="787"/>
      <c r="D443" s="765"/>
      <c r="E443" s="754"/>
      <c r="F443" s="2004"/>
      <c r="G443" s="2004"/>
      <c r="H443" s="2004"/>
      <c r="I443" s="2004"/>
      <c r="J443" s="2004"/>
      <c r="K443" s="2004"/>
      <c r="L443" s="2004"/>
      <c r="M443" s="2004"/>
      <c r="N443" s="2004"/>
      <c r="O443" s="2004"/>
      <c r="P443" s="2004"/>
      <c r="Q443" s="2004"/>
      <c r="R443" s="2004"/>
      <c r="S443" s="2004"/>
      <c r="T443" s="2004"/>
      <c r="U443" s="2004"/>
      <c r="V443" s="2004"/>
      <c r="W443" s="2004"/>
      <c r="X443" s="2004"/>
      <c r="Y443" s="2004"/>
      <c r="Z443" s="2004"/>
      <c r="AA443" s="2004"/>
      <c r="AB443" s="2004"/>
      <c r="AC443" s="2004"/>
      <c r="AD443" s="2004"/>
      <c r="AE443" s="2004"/>
      <c r="AF443" s="626"/>
      <c r="AG443" s="626"/>
      <c r="AH443" s="626"/>
      <c r="AI443" s="626"/>
      <c r="AJ443" s="626"/>
      <c r="AK443" s="626"/>
      <c r="AL443" s="755"/>
      <c r="AM443" s="605"/>
      <c r="AN443" s="790"/>
      <c r="AS443" s="791"/>
      <c r="AW443" s="791" t="s">
        <v>1679</v>
      </c>
      <c r="BA443" s="791" t="s">
        <v>1680</v>
      </c>
    </row>
    <row r="444" spans="1:54" s="585" customFormat="1" ht="17.649999999999999" customHeight="1">
      <c r="A444" s="571"/>
      <c r="B444" s="14"/>
      <c r="C444" s="792"/>
      <c r="D444" s="758"/>
      <c r="E444" s="759"/>
      <c r="F444" s="2019"/>
      <c r="G444" s="2019"/>
      <c r="H444" s="2019"/>
      <c r="I444" s="2019"/>
      <c r="J444" s="2019"/>
      <c r="K444" s="2019"/>
      <c r="L444" s="2019"/>
      <c r="M444" s="2019"/>
      <c r="N444" s="2019"/>
      <c r="O444" s="2019"/>
      <c r="P444" s="2019"/>
      <c r="Q444" s="2019"/>
      <c r="R444" s="2019"/>
      <c r="S444" s="2019"/>
      <c r="T444" s="2019"/>
      <c r="U444" s="2019"/>
      <c r="V444" s="2019"/>
      <c r="W444" s="2019"/>
      <c r="X444" s="2019"/>
      <c r="Y444" s="2019"/>
      <c r="Z444" s="2019"/>
      <c r="AA444" s="2019"/>
      <c r="AB444" s="2019"/>
      <c r="AC444" s="2019"/>
      <c r="AD444" s="2019"/>
      <c r="AE444" s="2019"/>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2000" t="s">
        <v>600</v>
      </c>
      <c r="D446" s="1957"/>
      <c r="E446" s="750" t="s">
        <v>1682</v>
      </c>
      <c r="F446" s="2003" t="s">
        <v>1683</v>
      </c>
      <c r="G446" s="2003"/>
      <c r="H446" s="2003"/>
      <c r="I446" s="2003"/>
      <c r="J446" s="2003"/>
      <c r="K446" s="2003"/>
      <c r="L446" s="2003"/>
      <c r="M446" s="2003"/>
      <c r="N446" s="2003"/>
      <c r="O446" s="2003"/>
      <c r="P446" s="2003"/>
      <c r="Q446" s="2003"/>
      <c r="R446" s="2003"/>
      <c r="S446" s="2003"/>
      <c r="T446" s="2003"/>
      <c r="U446" s="2003"/>
      <c r="V446" s="2003"/>
      <c r="W446" s="2003"/>
      <c r="X446" s="2003"/>
      <c r="Y446" s="2003"/>
      <c r="Z446" s="2003"/>
      <c r="AA446" s="2003"/>
      <c r="AB446" s="2003"/>
      <c r="AC446" s="2003"/>
      <c r="AD446" s="2003"/>
      <c r="AE446" s="2003"/>
      <c r="AF446" s="2020" t="s">
        <v>1640</v>
      </c>
      <c r="AG446" s="2020"/>
      <c r="AH446" s="2020"/>
      <c r="AI446" s="2020"/>
      <c r="AJ446" s="2020"/>
      <c r="AK446" s="2020"/>
      <c r="AL446" s="2021"/>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2004"/>
      <c r="G447" s="2004"/>
      <c r="H447" s="2004"/>
      <c r="I447" s="2004"/>
      <c r="J447" s="2004"/>
      <c r="K447" s="2004"/>
      <c r="L447" s="2004"/>
      <c r="M447" s="2004"/>
      <c r="N447" s="2004"/>
      <c r="O447" s="2004"/>
      <c r="P447" s="2004"/>
      <c r="Q447" s="2004"/>
      <c r="R447" s="2004"/>
      <c r="S447" s="2004"/>
      <c r="T447" s="2004"/>
      <c r="U447" s="2004"/>
      <c r="V447" s="2004"/>
      <c r="W447" s="2004"/>
      <c r="X447" s="2004"/>
      <c r="Y447" s="2004"/>
      <c r="Z447" s="2004"/>
      <c r="AA447" s="2004"/>
      <c r="AB447" s="2004"/>
      <c r="AC447" s="2004"/>
      <c r="AD447" s="2004"/>
      <c r="AE447" s="2004"/>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4"/>
      <c r="G448" s="2004"/>
      <c r="H448" s="2004"/>
      <c r="I448" s="2004"/>
      <c r="J448" s="2004"/>
      <c r="K448" s="2004"/>
      <c r="L448" s="2004"/>
      <c r="M448" s="2004"/>
      <c r="N448" s="2004"/>
      <c r="O448" s="2004"/>
      <c r="P448" s="2004"/>
      <c r="Q448" s="2004"/>
      <c r="R448" s="2004"/>
      <c r="S448" s="2004"/>
      <c r="T448" s="2004"/>
      <c r="U448" s="2004"/>
      <c r="V448" s="2004"/>
      <c r="W448" s="2004"/>
      <c r="X448" s="2004"/>
      <c r="Y448" s="2004"/>
      <c r="Z448" s="2004"/>
      <c r="AA448" s="2004"/>
      <c r="AB448" s="2004"/>
      <c r="AC448" s="2004"/>
      <c r="AD448" s="2004"/>
      <c r="AE448" s="2004"/>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19"/>
      <c r="G449" s="2019"/>
      <c r="H449" s="2019"/>
      <c r="I449" s="2019"/>
      <c r="J449" s="2019"/>
      <c r="K449" s="2019"/>
      <c r="L449" s="2019"/>
      <c r="M449" s="2019"/>
      <c r="N449" s="2019"/>
      <c r="O449" s="2019"/>
      <c r="P449" s="2019"/>
      <c r="Q449" s="2019"/>
      <c r="R449" s="2019"/>
      <c r="S449" s="2019"/>
      <c r="T449" s="2019"/>
      <c r="U449" s="2019"/>
      <c r="V449" s="2019"/>
      <c r="W449" s="2019"/>
      <c r="X449" s="2019"/>
      <c r="Y449" s="2019"/>
      <c r="Z449" s="2019"/>
      <c r="AA449" s="2019"/>
      <c r="AB449" s="2019"/>
      <c r="AC449" s="2019"/>
      <c r="AD449" s="2019"/>
      <c r="AE449" s="201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2003" t="s">
        <v>1686</v>
      </c>
      <c r="G451" s="2003"/>
      <c r="H451" s="2003"/>
      <c r="I451" s="2003"/>
      <c r="J451" s="2003"/>
      <c r="K451" s="2003"/>
      <c r="L451" s="2003"/>
      <c r="M451" s="2003"/>
      <c r="N451" s="2003"/>
      <c r="O451" s="2003"/>
      <c r="P451" s="2003"/>
      <c r="Q451" s="2003"/>
      <c r="R451" s="2003"/>
      <c r="S451" s="2003"/>
      <c r="T451" s="2003"/>
      <c r="U451" s="2003"/>
      <c r="V451" s="2003"/>
      <c r="W451" s="2003"/>
      <c r="X451" s="2003"/>
      <c r="Y451" s="2003"/>
      <c r="Z451" s="2003"/>
      <c r="AA451" s="2003"/>
      <c r="AB451" s="2003"/>
      <c r="AC451" s="2003"/>
      <c r="AD451" s="2003"/>
      <c r="AE451" s="2003"/>
      <c r="AF451" s="2003"/>
      <c r="AG451" s="779"/>
      <c r="AH451" s="749"/>
      <c r="AI451" s="749"/>
      <c r="AJ451" s="749"/>
      <c r="AK451" s="749"/>
      <c r="AL451" s="780"/>
      <c r="AM451" s="605"/>
      <c r="AN451" s="632"/>
    </row>
    <row r="452" spans="1:49" s="585" customFormat="1" ht="12.75" customHeight="1">
      <c r="A452" s="571"/>
      <c r="B452" s="14"/>
      <c r="C452" s="766"/>
      <c r="D452" s="14"/>
      <c r="E452" s="726"/>
      <c r="F452" s="2004"/>
      <c r="G452" s="2004"/>
      <c r="H452" s="2004"/>
      <c r="I452" s="2004"/>
      <c r="J452" s="2004"/>
      <c r="K452" s="2004"/>
      <c r="L452" s="2004"/>
      <c r="M452" s="2004"/>
      <c r="N452" s="2004"/>
      <c r="O452" s="2004"/>
      <c r="P452" s="2004"/>
      <c r="Q452" s="2004"/>
      <c r="R452" s="2004"/>
      <c r="S452" s="2004"/>
      <c r="T452" s="2004"/>
      <c r="U452" s="2004"/>
      <c r="V452" s="2004"/>
      <c r="W452" s="2004"/>
      <c r="X452" s="2004"/>
      <c r="Y452" s="2004"/>
      <c r="Z452" s="2004"/>
      <c r="AA452" s="2004"/>
      <c r="AB452" s="2004"/>
      <c r="AC452" s="2004"/>
      <c r="AD452" s="2004"/>
      <c r="AE452" s="2004"/>
      <c r="AF452" s="2004"/>
      <c r="AL452" s="767"/>
      <c r="AM452" s="605"/>
      <c r="AN452" s="632"/>
    </row>
    <row r="453" spans="1:49" s="585" customFormat="1" ht="12.75" customHeight="1">
      <c r="A453" s="571"/>
      <c r="B453" s="14"/>
      <c r="C453" s="774"/>
      <c r="F453" s="2004"/>
      <c r="G453" s="2004"/>
      <c r="H453" s="2004"/>
      <c r="I453" s="2004"/>
      <c r="J453" s="2004"/>
      <c r="K453" s="2004"/>
      <c r="L453" s="2004"/>
      <c r="M453" s="2004"/>
      <c r="N453" s="2004"/>
      <c r="O453" s="2004"/>
      <c r="P453" s="2004"/>
      <c r="Q453" s="2004"/>
      <c r="R453" s="2004"/>
      <c r="S453" s="2004"/>
      <c r="T453" s="2004"/>
      <c r="U453" s="2004"/>
      <c r="V453" s="2004"/>
      <c r="W453" s="2004"/>
      <c r="X453" s="2004"/>
      <c r="Y453" s="2004"/>
      <c r="Z453" s="2004"/>
      <c r="AA453" s="2004"/>
      <c r="AB453" s="2004"/>
      <c r="AC453" s="2004"/>
      <c r="AD453" s="2004"/>
      <c r="AE453" s="2004"/>
      <c r="AF453" s="2004"/>
      <c r="AL453" s="767"/>
      <c r="AM453" s="605"/>
      <c r="AN453" s="632"/>
    </row>
    <row r="454" spans="1:49" s="585" customFormat="1" ht="12.75" customHeight="1">
      <c r="A454" s="571"/>
      <c r="B454" s="14"/>
      <c r="C454" s="774"/>
      <c r="F454" s="2004"/>
      <c r="G454" s="2004"/>
      <c r="H454" s="2004"/>
      <c r="I454" s="2004"/>
      <c r="J454" s="2004"/>
      <c r="K454" s="2004"/>
      <c r="L454" s="2004"/>
      <c r="M454" s="2004"/>
      <c r="N454" s="2004"/>
      <c r="O454" s="2004"/>
      <c r="P454" s="2004"/>
      <c r="Q454" s="2004"/>
      <c r="R454" s="2004"/>
      <c r="S454" s="2004"/>
      <c r="T454" s="2004"/>
      <c r="U454" s="2004"/>
      <c r="V454" s="2004"/>
      <c r="W454" s="2004"/>
      <c r="X454" s="2004"/>
      <c r="Y454" s="2004"/>
      <c r="Z454" s="2004"/>
      <c r="AA454" s="2004"/>
      <c r="AB454" s="2004"/>
      <c r="AC454" s="2004"/>
      <c r="AD454" s="2004"/>
      <c r="AE454" s="2004"/>
      <c r="AF454" s="2004"/>
      <c r="AL454" s="767"/>
      <c r="AM454" s="605"/>
      <c r="AN454" s="632"/>
    </row>
    <row r="455" spans="1:49" s="585" customFormat="1" ht="12.75" customHeight="1">
      <c r="A455" s="571"/>
      <c r="B455" s="14"/>
      <c r="C455" s="2000" t="s">
        <v>600</v>
      </c>
      <c r="D455" s="1957"/>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01" t="s">
        <v>1640</v>
      </c>
      <c r="AG455" s="2001"/>
      <c r="AH455" s="2001"/>
      <c r="AI455" s="2001"/>
      <c r="AJ455" s="2001"/>
      <c r="AK455" s="2001"/>
      <c r="AL455" s="200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60">
        <f>IF(Application!D213="N/A",AS347,AS349)</f>
        <v>15</v>
      </c>
      <c r="AL458" s="1961"/>
      <c r="AM458" s="196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1689</v>
      </c>
      <c r="C461" s="574"/>
      <c r="E461" s="631"/>
      <c r="AE461" s="2001" t="s">
        <v>1690</v>
      </c>
      <c r="AF461" s="2001"/>
      <c r="AG461" s="2001"/>
      <c r="AH461" s="2001"/>
      <c r="AI461" s="2001"/>
      <c r="AJ461" s="2001"/>
      <c r="AK461" s="2001"/>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22" t="s">
        <v>600</v>
      </c>
      <c r="D467" s="2023"/>
      <c r="E467" s="797" t="s">
        <v>516</v>
      </c>
      <c r="F467" s="2024" t="s">
        <v>1696</v>
      </c>
      <c r="G467" s="2024"/>
      <c r="H467" s="2024"/>
      <c r="I467" s="2024"/>
      <c r="J467" s="2024"/>
      <c r="K467" s="2024"/>
      <c r="L467" s="2024"/>
      <c r="M467" s="2024"/>
      <c r="N467" s="2024"/>
      <c r="O467" s="2024"/>
      <c r="P467" s="2024"/>
      <c r="Q467" s="2024"/>
      <c r="R467" s="2024"/>
      <c r="S467" s="2024"/>
      <c r="T467" s="2024"/>
      <c r="U467" s="2024"/>
      <c r="V467" s="2024"/>
      <c r="W467" s="2024"/>
      <c r="X467" s="2024"/>
      <c r="Y467" s="2024"/>
      <c r="Z467" s="2024"/>
      <c r="AA467" s="2024"/>
      <c r="AB467" s="2024"/>
      <c r="AC467" s="2024"/>
      <c r="AD467" s="2024"/>
      <c r="AE467" s="2024"/>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25"/>
      <c r="G468" s="2025"/>
      <c r="H468" s="2025"/>
      <c r="I468" s="2025"/>
      <c r="J468" s="2025"/>
      <c r="K468" s="2025"/>
      <c r="L468" s="2025"/>
      <c r="M468" s="2025"/>
      <c r="N468" s="2025"/>
      <c r="O468" s="2025"/>
      <c r="P468" s="2025"/>
      <c r="Q468" s="2025"/>
      <c r="R468" s="2025"/>
      <c r="S468" s="2025"/>
      <c r="T468" s="2025"/>
      <c r="U468" s="2025"/>
      <c r="V468" s="2025"/>
      <c r="W468" s="2025"/>
      <c r="X468" s="2025"/>
      <c r="Y468" s="2025"/>
      <c r="Z468" s="2025"/>
      <c r="AA468" s="2025"/>
      <c r="AB468" s="2025"/>
      <c r="AC468" s="2025"/>
      <c r="AD468" s="2025"/>
      <c r="AE468" s="2025"/>
      <c r="AG468" s="586"/>
      <c r="AH468" s="586"/>
      <c r="AI468" s="586"/>
      <c r="AJ468" s="586"/>
      <c r="AK468" s="767"/>
      <c r="AN468" s="632"/>
      <c r="AO468" s="585" t="s">
        <v>1678</v>
      </c>
      <c r="AP468" s="585">
        <v>1</v>
      </c>
    </row>
    <row r="469" spans="1:50" s="585" customFormat="1" ht="12.75" hidden="1" customHeight="1">
      <c r="C469" s="800"/>
      <c r="D469" s="762"/>
      <c r="E469" s="801"/>
      <c r="F469" s="2026" t="s">
        <v>600</v>
      </c>
      <c r="G469" s="2026"/>
      <c r="H469" s="2026"/>
      <c r="I469" s="2026"/>
      <c r="J469" s="2026"/>
      <c r="K469" s="2026"/>
      <c r="L469" s="2026"/>
      <c r="M469" s="2026"/>
      <c r="N469" s="2026"/>
      <c r="O469" s="2026"/>
      <c r="P469" s="2026"/>
      <c r="Q469" s="2026"/>
      <c r="R469" s="2026"/>
      <c r="S469" s="2026"/>
      <c r="T469" s="2026"/>
      <c r="U469" s="2026"/>
      <c r="V469" s="2026"/>
      <c r="W469" s="2026"/>
      <c r="X469" s="2026"/>
      <c r="Y469" s="2026"/>
      <c r="Z469" s="2026"/>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27" t="s">
        <v>554</v>
      </c>
      <c r="D471" s="2028"/>
      <c r="E471" s="797" t="s">
        <v>769</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34" t="s">
        <v>600</v>
      </c>
      <c r="W474" s="2034"/>
      <c r="X474" s="2034"/>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34" t="s">
        <v>600</v>
      </c>
      <c r="W476" s="2034"/>
      <c r="X476" s="2034"/>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34" t="s">
        <v>600</v>
      </c>
      <c r="W481" s="2034"/>
      <c r="X481" s="2034"/>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33"/>
      <c r="E484" s="2033"/>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34" t="s">
        <v>600</v>
      </c>
      <c r="W485" s="2034"/>
      <c r="X485" s="2034"/>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34" t="s">
        <v>600</v>
      </c>
      <c r="W487" s="2034"/>
      <c r="X487" s="2034"/>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22" t="s">
        <v>600</v>
      </c>
      <c r="D490" s="2023"/>
      <c r="E490" s="797" t="s">
        <v>516</v>
      </c>
      <c r="F490" s="2024" t="s">
        <v>1696</v>
      </c>
      <c r="G490" s="2024"/>
      <c r="H490" s="2024"/>
      <c r="I490" s="2024"/>
      <c r="J490" s="2024"/>
      <c r="K490" s="2024"/>
      <c r="L490" s="2024"/>
      <c r="M490" s="2024"/>
      <c r="N490" s="2024"/>
      <c r="O490" s="2024"/>
      <c r="P490" s="2024"/>
      <c r="Q490" s="2024"/>
      <c r="R490" s="2024"/>
      <c r="S490" s="2024"/>
      <c r="T490" s="2024"/>
      <c r="U490" s="2024"/>
      <c r="V490" s="2024"/>
      <c r="W490" s="2024"/>
      <c r="X490" s="2024"/>
      <c r="Y490" s="2024"/>
      <c r="Z490" s="2024"/>
      <c r="AA490" s="2024"/>
      <c r="AB490" s="2024"/>
      <c r="AC490" s="2024"/>
      <c r="AD490" s="2024"/>
      <c r="AE490" s="202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5"/>
      <c r="G491" s="2025"/>
      <c r="H491" s="2025"/>
      <c r="I491" s="2025"/>
      <c r="J491" s="2025"/>
      <c r="K491" s="2025"/>
      <c r="L491" s="2025"/>
      <c r="M491" s="2025"/>
      <c r="N491" s="2025"/>
      <c r="O491" s="2025"/>
      <c r="P491" s="2025"/>
      <c r="Q491" s="2025"/>
      <c r="R491" s="2025"/>
      <c r="S491" s="2025"/>
      <c r="T491" s="2025"/>
      <c r="U491" s="2025"/>
      <c r="V491" s="2025"/>
      <c r="W491" s="2025"/>
      <c r="X491" s="2025"/>
      <c r="Y491" s="2025"/>
      <c r="Z491" s="2025"/>
      <c r="AA491" s="2025"/>
      <c r="AB491" s="2025"/>
      <c r="AC491" s="2025"/>
      <c r="AD491" s="2025"/>
      <c r="AE491" s="202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9" t="s">
        <v>600</v>
      </c>
      <c r="G492" s="2029"/>
      <c r="H492" s="2029"/>
      <c r="I492" s="2029"/>
      <c r="J492" s="2029"/>
      <c r="K492" s="2029"/>
      <c r="L492" s="2029"/>
      <c r="M492" s="2029"/>
      <c r="N492" s="2029"/>
      <c r="O492" s="2029"/>
      <c r="P492" s="2029"/>
      <c r="Q492" s="2029"/>
      <c r="R492" s="2029"/>
      <c r="S492" s="2029"/>
      <c r="T492" s="2029"/>
      <c r="U492" s="2029"/>
      <c r="V492" s="2029"/>
      <c r="W492" s="2029"/>
      <c r="X492" s="2029"/>
      <c r="Y492" s="2029"/>
      <c r="Z492" s="2029"/>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22" t="s">
        <v>600</v>
      </c>
      <c r="D494" s="2023"/>
      <c r="E494" s="797" t="s">
        <v>769</v>
      </c>
      <c r="F494" s="2030" t="s">
        <v>1718</v>
      </c>
      <c r="G494" s="2030"/>
      <c r="H494" s="2030"/>
      <c r="I494" s="2030"/>
      <c r="J494" s="2030"/>
      <c r="K494" s="2030"/>
      <c r="L494" s="2030"/>
      <c r="M494" s="2030"/>
      <c r="N494" s="2030"/>
      <c r="O494" s="2030"/>
      <c r="P494" s="2030"/>
      <c r="Q494" s="2030"/>
      <c r="R494" s="2030"/>
      <c r="S494" s="2030"/>
      <c r="T494" s="2030"/>
      <c r="U494" s="2030"/>
      <c r="V494" s="2030"/>
      <c r="W494" s="2030"/>
      <c r="X494" s="2030"/>
      <c r="Y494" s="2030"/>
      <c r="Z494" s="2030"/>
      <c r="AA494" s="2030"/>
      <c r="AB494" s="2030"/>
      <c r="AC494" s="2030"/>
      <c r="AD494" s="2030"/>
      <c r="AE494" s="203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31"/>
      <c r="G495" s="2031"/>
      <c r="H495" s="2031"/>
      <c r="I495" s="2031"/>
      <c r="J495" s="2031"/>
      <c r="K495" s="2031"/>
      <c r="L495" s="2031"/>
      <c r="M495" s="2031"/>
      <c r="N495" s="2031"/>
      <c r="O495" s="2031"/>
      <c r="P495" s="2031"/>
      <c r="Q495" s="2031"/>
      <c r="R495" s="2031"/>
      <c r="S495" s="2031"/>
      <c r="T495" s="2031"/>
      <c r="U495" s="2031"/>
      <c r="V495" s="2031"/>
      <c r="W495" s="2031"/>
      <c r="X495" s="2031"/>
      <c r="Y495" s="2031"/>
      <c r="Z495" s="2031"/>
      <c r="AA495" s="2031"/>
      <c r="AB495" s="2031"/>
      <c r="AC495" s="2031"/>
      <c r="AD495" s="2031"/>
      <c r="AE495" s="203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32" t="s">
        <v>600</v>
      </c>
      <c r="G497" s="2032"/>
      <c r="H497" s="203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22" t="s">
        <v>600</v>
      </c>
      <c r="D499" s="2023"/>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45"/>
      <c r="D501" s="2033"/>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46" t="s">
        <v>600</v>
      </c>
      <c r="H502" s="2046"/>
      <c r="I502" s="2046"/>
      <c r="J502" s="2046"/>
      <c r="K502" s="2046"/>
      <c r="L502" s="2046"/>
      <c r="M502" s="2046"/>
      <c r="N502" s="2046"/>
      <c r="O502" s="2046"/>
      <c r="P502" s="2046"/>
      <c r="Q502" s="2046"/>
      <c r="R502" s="2046"/>
      <c r="S502" s="2046"/>
      <c r="T502" s="2046"/>
      <c r="U502" s="2046"/>
      <c r="V502" s="2046"/>
      <c r="W502" s="2046"/>
      <c r="X502" s="2046"/>
      <c r="Y502" s="2046"/>
      <c r="Z502" s="2046"/>
      <c r="AA502" s="2046"/>
      <c r="AB502" s="2046"/>
      <c r="AC502" s="2046"/>
      <c r="AD502" s="2046"/>
      <c r="AE502" s="2046"/>
      <c r="AF502" s="204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7" t="s">
        <v>600</v>
      </c>
      <c r="D504" s="2048"/>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7" t="s">
        <v>600</v>
      </c>
      <c r="D508" s="2048"/>
      <c r="F508" s="831" t="s">
        <v>1726</v>
      </c>
      <c r="G508" s="2004" t="s">
        <v>1727</v>
      </c>
      <c r="H508" s="2004"/>
      <c r="I508" s="2004"/>
      <c r="J508" s="2004"/>
      <c r="K508" s="2004"/>
      <c r="L508" s="2004"/>
      <c r="M508" s="2004"/>
      <c r="N508" s="2004"/>
      <c r="O508" s="2004"/>
      <c r="P508" s="2004"/>
      <c r="Q508" s="2004"/>
      <c r="R508" s="2004"/>
      <c r="S508" s="2004"/>
      <c r="T508" s="2004"/>
      <c r="U508" s="2004"/>
      <c r="V508" s="2004"/>
      <c r="W508" s="2004"/>
      <c r="X508" s="2004"/>
      <c r="Y508" s="2004"/>
      <c r="Z508" s="2004"/>
      <c r="AA508" s="2004"/>
      <c r="AB508" s="2004"/>
      <c r="AC508" s="2004"/>
      <c r="AD508" s="2004"/>
      <c r="AE508" s="2004"/>
      <c r="AF508" s="2004"/>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9"/>
      <c r="H509" s="2019"/>
      <c r="I509" s="2019"/>
      <c r="J509" s="2019"/>
      <c r="K509" s="2019"/>
      <c r="L509" s="2019"/>
      <c r="M509" s="2019"/>
      <c r="N509" s="2019"/>
      <c r="O509" s="2019"/>
      <c r="P509" s="2019"/>
      <c r="Q509" s="2019"/>
      <c r="R509" s="2019"/>
      <c r="S509" s="2019"/>
      <c r="T509" s="2019"/>
      <c r="U509" s="2019"/>
      <c r="V509" s="2019"/>
      <c r="W509" s="2019"/>
      <c r="X509" s="2019"/>
      <c r="Y509" s="2019"/>
      <c r="Z509" s="2019"/>
      <c r="AA509" s="2019"/>
      <c r="AB509" s="2019"/>
      <c r="AC509" s="2019"/>
      <c r="AD509" s="2019"/>
      <c r="AE509" s="2019"/>
      <c r="AF509" s="201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5" t="s">
        <v>600</v>
      </c>
      <c r="D512" s="2036"/>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7" t="s">
        <v>600</v>
      </c>
      <c r="G513" s="2037"/>
      <c r="H513" s="2037"/>
      <c r="I513" s="2037"/>
      <c r="J513" s="2037"/>
      <c r="K513" s="2037"/>
      <c r="L513" s="2037"/>
      <c r="M513" s="2037"/>
      <c r="N513" s="2037"/>
      <c r="O513" s="2037"/>
      <c r="P513" s="2037"/>
      <c r="Q513" s="2037"/>
      <c r="R513" s="2037"/>
      <c r="S513" s="2037"/>
      <c r="T513" s="2037"/>
      <c r="U513" s="2037"/>
      <c r="V513" s="2037"/>
      <c r="W513" s="2037"/>
      <c r="X513" s="2037"/>
      <c r="Y513" s="2037"/>
      <c r="Z513" s="2037"/>
      <c r="AA513" s="2037"/>
      <c r="AB513" s="2037"/>
      <c r="AC513" s="2037"/>
      <c r="AD513" s="2037"/>
      <c r="AE513" s="2037"/>
      <c r="AF513" s="203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8"/>
      <c r="G514" s="2038"/>
      <c r="H514" s="2038"/>
      <c r="I514" s="2038"/>
      <c r="J514" s="2038"/>
      <c r="K514" s="2038"/>
      <c r="L514" s="2038"/>
      <c r="M514" s="2038"/>
      <c r="N514" s="2038"/>
      <c r="O514" s="2038"/>
      <c r="P514" s="2038"/>
      <c r="Q514" s="2038"/>
      <c r="R514" s="2038"/>
      <c r="S514" s="2038"/>
      <c r="T514" s="2038"/>
      <c r="U514" s="2038"/>
      <c r="V514" s="2038"/>
      <c r="W514" s="2038"/>
      <c r="X514" s="2038"/>
      <c r="Y514" s="2038"/>
      <c r="Z514" s="2038"/>
      <c r="AA514" s="2038"/>
      <c r="AB514" s="2038"/>
      <c r="AC514" s="2038"/>
      <c r="AD514" s="2038"/>
      <c r="AE514" s="2038"/>
      <c r="AF514" s="203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60">
        <f>SUM(AG468:AG513)</f>
        <v>0</v>
      </c>
      <c r="AL524" s="1961"/>
      <c r="AM524" s="196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5" t="s">
        <v>1739</v>
      </c>
      <c r="AF527" s="1895"/>
      <c r="AG527" s="1895"/>
      <c r="AH527" s="1895"/>
      <c r="AI527" s="1895"/>
      <c r="AJ527" s="1895"/>
      <c r="AK527" s="1895"/>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7" t="s">
        <v>600</v>
      </c>
      <c r="D530" s="1957"/>
      <c r="E530" s="586"/>
      <c r="F530" s="2039" t="s">
        <v>1740</v>
      </c>
      <c r="G530" s="2040"/>
      <c r="H530" s="2040"/>
      <c r="I530" s="2040"/>
      <c r="J530" s="2040"/>
      <c r="K530" s="2040"/>
      <c r="L530" s="2040"/>
      <c r="M530" s="2040"/>
      <c r="N530" s="2040"/>
      <c r="O530" s="2040"/>
      <c r="P530" s="2040"/>
      <c r="Q530" s="2040"/>
      <c r="R530" s="2040"/>
      <c r="S530" s="2040"/>
      <c r="T530" s="2040"/>
      <c r="U530" s="2040"/>
      <c r="V530" s="2040"/>
      <c r="W530" s="2040"/>
      <c r="X530" s="2040"/>
      <c r="Y530" s="2040"/>
      <c r="Z530" s="2040"/>
      <c r="AA530" s="2040"/>
      <c r="AB530" s="2040"/>
      <c r="AC530" s="2040"/>
      <c r="AD530" s="2040"/>
      <c r="AE530" s="2040"/>
      <c r="AF530" s="2040"/>
      <c r="AG530" s="2040"/>
      <c r="AH530" s="2040"/>
      <c r="AI530" s="2040"/>
      <c r="AJ530" s="2040"/>
      <c r="AK530" s="2040"/>
      <c r="AL530" s="2041"/>
      <c r="AM530" s="630"/>
      <c r="AN530" s="632"/>
    </row>
    <row r="531" spans="1:49" s="585" customFormat="1" ht="12.75" customHeight="1">
      <c r="A531" s="574"/>
      <c r="B531" s="574"/>
      <c r="C531" s="586"/>
      <c r="D531" s="586"/>
      <c r="E531" s="586"/>
      <c r="F531" s="2042"/>
      <c r="G531" s="2043"/>
      <c r="H531" s="2043"/>
      <c r="I531" s="2043"/>
      <c r="J531" s="2043"/>
      <c r="K531" s="2043"/>
      <c r="L531" s="2043"/>
      <c r="M531" s="2043"/>
      <c r="N531" s="2043"/>
      <c r="O531" s="2043"/>
      <c r="P531" s="2043"/>
      <c r="Q531" s="2043"/>
      <c r="R531" s="2043"/>
      <c r="S531" s="2043"/>
      <c r="T531" s="2043"/>
      <c r="U531" s="2043"/>
      <c r="V531" s="2043"/>
      <c r="W531" s="2043"/>
      <c r="X531" s="2043"/>
      <c r="Y531" s="2043"/>
      <c r="Z531" s="2043"/>
      <c r="AA531" s="2043"/>
      <c r="AB531" s="2043"/>
      <c r="AC531" s="2043"/>
      <c r="AD531" s="2043"/>
      <c r="AE531" s="2043"/>
      <c r="AF531" s="2043"/>
      <c r="AG531" s="2043"/>
      <c r="AH531" s="2043"/>
      <c r="AI531" s="2043"/>
      <c r="AJ531" s="2043"/>
      <c r="AK531" s="2043"/>
      <c r="AL531" s="204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7" t="s">
        <v>554</v>
      </c>
      <c r="D533" s="1957"/>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9" t="s">
        <v>1742</v>
      </c>
      <c r="G534" s="1980"/>
      <c r="H534" s="1980"/>
      <c r="I534" s="1980"/>
      <c r="J534" s="1980"/>
      <c r="K534" s="1980"/>
      <c r="L534" s="1980"/>
      <c r="M534" s="1980"/>
      <c r="N534" s="1980"/>
      <c r="O534" s="1980"/>
      <c r="P534" s="1980"/>
      <c r="Q534" s="1980"/>
      <c r="R534" s="1980"/>
      <c r="S534" s="1980"/>
      <c r="T534" s="1980"/>
      <c r="U534" s="1980"/>
      <c r="V534" s="1980"/>
      <c r="W534" s="1980"/>
      <c r="X534" s="1980"/>
      <c r="Y534" s="1980"/>
      <c r="Z534" s="1980"/>
      <c r="AA534" s="1980"/>
      <c r="AB534" s="1980"/>
      <c r="AC534" s="1980"/>
      <c r="AD534" s="1980"/>
      <c r="AE534" s="1980"/>
      <c r="AF534" s="1980"/>
      <c r="AG534" s="1980"/>
      <c r="AH534" s="1980"/>
      <c r="AI534" s="1980"/>
      <c r="AJ534" s="1980"/>
      <c r="AK534" s="1980"/>
      <c r="AL534" s="1981"/>
      <c r="AM534" s="630"/>
      <c r="AN534" s="632"/>
      <c r="AS534" s="906"/>
      <c r="AT534" s="906"/>
      <c r="AU534" s="906"/>
      <c r="AV534" s="906"/>
      <c r="AW534" s="906"/>
    </row>
    <row r="535" spans="1:49" s="585" customFormat="1" ht="12.75" customHeight="1">
      <c r="B535" s="842"/>
      <c r="C535" s="842"/>
      <c r="D535" s="842"/>
      <c r="E535" s="842"/>
      <c r="F535" s="1979"/>
      <c r="G535" s="1980"/>
      <c r="H535" s="1980"/>
      <c r="I535" s="1980"/>
      <c r="J535" s="1980"/>
      <c r="K535" s="1980"/>
      <c r="L535" s="1980"/>
      <c r="M535" s="1980"/>
      <c r="N535" s="1980"/>
      <c r="O535" s="1980"/>
      <c r="P535" s="1980"/>
      <c r="Q535" s="1980"/>
      <c r="R535" s="1980"/>
      <c r="S535" s="1980"/>
      <c r="T535" s="1980"/>
      <c r="U535" s="1980"/>
      <c r="V535" s="1980"/>
      <c r="W535" s="1980"/>
      <c r="X535" s="1980"/>
      <c r="Y535" s="1980"/>
      <c r="Z535" s="1980"/>
      <c r="AA535" s="1980"/>
      <c r="AB535" s="1980"/>
      <c r="AC535" s="1980"/>
      <c r="AD535" s="1980"/>
      <c r="AE535" s="1980"/>
      <c r="AF535" s="1980"/>
      <c r="AG535" s="1980"/>
      <c r="AH535" s="1980"/>
      <c r="AI535" s="1980"/>
      <c r="AJ535" s="1980"/>
      <c r="AK535" s="1980"/>
      <c r="AL535" s="1981"/>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9" t="s">
        <v>1743</v>
      </c>
      <c r="G537" s="1980"/>
      <c r="H537" s="1980"/>
      <c r="I537" s="1980"/>
      <c r="J537" s="1980"/>
      <c r="K537" s="1980"/>
      <c r="L537" s="1980"/>
      <c r="M537" s="1980"/>
      <c r="N537" s="1980"/>
      <c r="O537" s="1980"/>
      <c r="P537" s="1980"/>
      <c r="Q537" s="1980"/>
      <c r="R537" s="1980"/>
      <c r="S537" s="1980"/>
      <c r="T537" s="1980"/>
      <c r="U537" s="1980"/>
      <c r="V537" s="1980"/>
      <c r="W537" s="1980"/>
      <c r="X537" s="1980"/>
      <c r="Y537" s="1980"/>
      <c r="Z537" s="1980"/>
      <c r="AA537" s="1980"/>
      <c r="AB537" s="1980"/>
      <c r="AC537" s="1980"/>
      <c r="AD537" s="1980"/>
      <c r="AE537" s="1980"/>
      <c r="AF537" s="1980"/>
      <c r="AG537" s="1980"/>
      <c r="AH537" s="1980"/>
      <c r="AI537" s="1980"/>
      <c r="AJ537" s="1980"/>
      <c r="AK537" s="1980"/>
      <c r="AL537" s="849"/>
      <c r="AM537" s="630"/>
      <c r="AN537" s="632"/>
    </row>
    <row r="538" spans="1:49" s="585" customFormat="1" ht="12.75" customHeight="1">
      <c r="B538" s="842"/>
      <c r="C538" s="842"/>
      <c r="D538" s="842"/>
      <c r="E538" s="842"/>
      <c r="F538" s="1982"/>
      <c r="G538" s="1983"/>
      <c r="H538" s="1983"/>
      <c r="I538" s="1983"/>
      <c r="J538" s="1983"/>
      <c r="K538" s="1983"/>
      <c r="L538" s="1983"/>
      <c r="M538" s="1983"/>
      <c r="N538" s="1983"/>
      <c r="O538" s="1983"/>
      <c r="P538" s="1983"/>
      <c r="Q538" s="1983"/>
      <c r="R538" s="1983"/>
      <c r="S538" s="1983"/>
      <c r="T538" s="1983"/>
      <c r="U538" s="1983"/>
      <c r="V538" s="1983"/>
      <c r="W538" s="1983"/>
      <c r="X538" s="1983"/>
      <c r="Y538" s="1983"/>
      <c r="Z538" s="1983"/>
      <c r="AA538" s="1983"/>
      <c r="AB538" s="1983"/>
      <c r="AC538" s="1983"/>
      <c r="AD538" s="1983"/>
      <c r="AE538" s="1983"/>
      <c r="AF538" s="1983"/>
      <c r="AG538" s="1983"/>
      <c r="AH538" s="1983"/>
      <c r="AI538" s="1983"/>
      <c r="AJ538" s="1983"/>
      <c r="AK538" s="1983"/>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3">
        <f>Application!AJ961</f>
        <v>55625518</v>
      </c>
      <c r="AQ539" s="2103"/>
      <c r="AR539" s="2103"/>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3">
        <f>'Sources and Uses Budget'!S107+'Sources and Uses Budget'!T107</f>
        <v>70310363</v>
      </c>
      <c r="AG540" s="1963"/>
      <c r="AH540" s="1963"/>
      <c r="AI540" s="1963"/>
      <c r="AJ540" s="1963"/>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8">
        <f>IFERROR(AP548,0)</f>
        <v>109947760.31999999</v>
      </c>
      <c r="AG541" s="2108"/>
      <c r="AH541" s="2108"/>
      <c r="AI541" s="2108"/>
      <c r="AJ541" s="2108"/>
      <c r="AK541" s="630"/>
      <c r="AL541" s="630"/>
      <c r="AM541" s="630"/>
      <c r="AN541" s="632"/>
      <c r="AP541" s="2103">
        <f>Application!AJ1010</f>
        <v>0</v>
      </c>
      <c r="AQ541" s="2103"/>
      <c r="AR541" s="210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9">
        <f>IFERROR(ROUNDDOWN(IF(C533="YES",((1-(AF540/AF541))*2),(1-(AF540/AF541))),2),0)</f>
        <v>0.72</v>
      </c>
      <c r="AG542" s="2109"/>
      <c r="AH542" s="2109"/>
      <c r="AI542" s="2109"/>
      <c r="AJ542" s="2109"/>
      <c r="AK542" s="630"/>
      <c r="AL542" s="630"/>
      <c r="AM542" s="630"/>
      <c r="AN542" s="632"/>
      <c r="AP542" s="2106">
        <f>Application!AJ1014</f>
        <v>41162883.32</v>
      </c>
      <c r="AQ542" s="2106"/>
      <c r="AR542" s="2106"/>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02">
        <f>IF(((AP541+AP542)/AP539)&gt;0.8,0.8,((AP541+AP542)/AP539))</f>
        <v>0.74</v>
      </c>
      <c r="AQ543" s="2102"/>
      <c r="AR543" s="2102"/>
    </row>
    <row r="544" spans="1:49" s="585" customFormat="1" ht="12.75" customHeight="1">
      <c r="A544" s="659"/>
      <c r="B544" s="2055" t="s">
        <v>2431</v>
      </c>
      <c r="C544" s="2056"/>
      <c r="D544" s="2056"/>
      <c r="E544" s="2056"/>
      <c r="F544" s="2056"/>
      <c r="G544" s="2056"/>
      <c r="H544" s="2056"/>
      <c r="I544" s="2056"/>
      <c r="J544" s="2056"/>
      <c r="K544" s="2056"/>
      <c r="L544" s="2056"/>
      <c r="M544" s="2056"/>
      <c r="N544" s="2056"/>
      <c r="O544" s="2056"/>
      <c r="P544" s="2056"/>
      <c r="Q544" s="2056"/>
      <c r="R544" s="2056"/>
      <c r="S544" s="2056"/>
      <c r="T544" s="2056"/>
      <c r="U544" s="2056"/>
      <c r="V544" s="2056"/>
      <c r="W544" s="2056"/>
      <c r="X544" s="2056"/>
      <c r="Y544" s="2056"/>
      <c r="Z544" s="2056"/>
      <c r="AA544" s="2056"/>
      <c r="AB544" s="2056"/>
      <c r="AC544" s="2056"/>
      <c r="AD544" s="2056"/>
      <c r="AE544" s="2056"/>
      <c r="AF544" s="2056"/>
      <c r="AG544" s="2056"/>
      <c r="AH544" s="2056"/>
      <c r="AI544" s="2056"/>
      <c r="AJ544" s="2057"/>
      <c r="AK544" s="630"/>
      <c r="AL544" s="630"/>
      <c r="AM544" s="630"/>
      <c r="AN544" s="632"/>
    </row>
    <row r="545" spans="1:44" s="585" customFormat="1" ht="12.75" customHeight="1">
      <c r="A545" s="659"/>
      <c r="B545" s="2058"/>
      <c r="C545" s="2059"/>
      <c r="D545" s="2059"/>
      <c r="E545" s="2059"/>
      <c r="F545" s="2059"/>
      <c r="G545" s="2059"/>
      <c r="H545" s="2059"/>
      <c r="I545" s="2059"/>
      <c r="J545" s="2059"/>
      <c r="K545" s="2059"/>
      <c r="L545" s="2059"/>
      <c r="M545" s="2059"/>
      <c r="N545" s="2059"/>
      <c r="O545" s="2059"/>
      <c r="P545" s="2059"/>
      <c r="Q545" s="2059"/>
      <c r="R545" s="2059"/>
      <c r="S545" s="2059"/>
      <c r="T545" s="2059"/>
      <c r="U545" s="2059"/>
      <c r="V545" s="2059"/>
      <c r="W545" s="2059"/>
      <c r="X545" s="2059"/>
      <c r="Y545" s="2059"/>
      <c r="Z545" s="2059"/>
      <c r="AA545" s="2059"/>
      <c r="AB545" s="2059"/>
      <c r="AC545" s="2059"/>
      <c r="AD545" s="2059"/>
      <c r="AE545" s="2059"/>
      <c r="AF545" s="2059"/>
      <c r="AG545" s="2059"/>
      <c r="AH545" s="2059"/>
      <c r="AI545" s="2059"/>
      <c r="AJ545" s="2060"/>
      <c r="AK545" s="630"/>
      <c r="AL545" s="630"/>
      <c r="AM545" s="630"/>
      <c r="AN545" s="632"/>
      <c r="AP545" s="2103">
        <f>AP546-AP541-AP542</f>
        <v>68784877</v>
      </c>
      <c r="AQ545" s="2012"/>
      <c r="AR545" s="2012"/>
    </row>
    <row r="546" spans="1:44" s="585" customFormat="1" ht="12.75" customHeight="1">
      <c r="A546" s="659"/>
      <c r="B546" s="2061"/>
      <c r="C546" s="2062"/>
      <c r="D546" s="2062"/>
      <c r="E546" s="2062"/>
      <c r="F546" s="2062"/>
      <c r="G546" s="2062"/>
      <c r="H546" s="2062"/>
      <c r="I546" s="2062"/>
      <c r="J546" s="2062"/>
      <c r="K546" s="2062"/>
      <c r="L546" s="2062"/>
      <c r="M546" s="2062"/>
      <c r="N546" s="2062"/>
      <c r="O546" s="2062"/>
      <c r="P546" s="2062"/>
      <c r="Q546" s="2062"/>
      <c r="R546" s="2062"/>
      <c r="S546" s="2062"/>
      <c r="T546" s="2062"/>
      <c r="U546" s="2062"/>
      <c r="V546" s="2062"/>
      <c r="W546" s="2062"/>
      <c r="X546" s="2062"/>
      <c r="Y546" s="2062"/>
      <c r="Z546" s="2062"/>
      <c r="AA546" s="2062"/>
      <c r="AB546" s="2062"/>
      <c r="AC546" s="2062"/>
      <c r="AD546" s="2062"/>
      <c r="AE546" s="2062"/>
      <c r="AF546" s="2062"/>
      <c r="AG546" s="2062"/>
      <c r="AH546" s="2062"/>
      <c r="AI546" s="2062"/>
      <c r="AJ546" s="2063"/>
      <c r="AK546" s="630"/>
      <c r="AL546" s="630"/>
      <c r="AM546" s="630"/>
      <c r="AN546" s="632"/>
      <c r="AP546" s="2103">
        <f>Application!AJ1018</f>
        <v>109947760.31999999</v>
      </c>
      <c r="AQ546" s="2103"/>
      <c r="AR546" s="210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64">
        <f>IFERROR(IF(AND(C530="N/A",C533="N/A"),0,IF(AF542=0,0,IF((AF542*100)&gt;12,12,(AF542*100)))),0)</f>
        <v>12</v>
      </c>
      <c r="AL548" s="2064"/>
      <c r="AM548" s="2065"/>
      <c r="AN548" s="632"/>
      <c r="AP548" s="2119">
        <f>AP545+(AP539*AP543)</f>
        <v>109947760.31999999</v>
      </c>
      <c r="AQ548" s="2120"/>
      <c r="AR548" s="212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5" t="s">
        <v>1488</v>
      </c>
      <c r="AF551" s="1895"/>
      <c r="AG551" s="1895"/>
      <c r="AH551" s="1895"/>
      <c r="AI551" s="1895"/>
      <c r="AJ551" s="1895"/>
      <c r="AK551" s="189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80" t="s">
        <v>2422</v>
      </c>
      <c r="C553" s="1980"/>
      <c r="D553" s="1980"/>
      <c r="E553" s="1980"/>
      <c r="F553" s="1980"/>
      <c r="G553" s="1980"/>
      <c r="H553" s="1980"/>
      <c r="I553" s="1980"/>
      <c r="J553" s="1980"/>
      <c r="K553" s="1980"/>
      <c r="L553" s="1980"/>
      <c r="M553" s="1980"/>
      <c r="N553" s="1980"/>
      <c r="O553" s="1980"/>
      <c r="P553" s="1980"/>
      <c r="Q553" s="1980"/>
      <c r="R553" s="1980"/>
      <c r="S553" s="1980"/>
      <c r="T553" s="1980"/>
      <c r="U553" s="1980"/>
      <c r="V553" s="1980"/>
      <c r="W553" s="1980"/>
      <c r="X553" s="1980"/>
      <c r="Y553" s="1980"/>
      <c r="Z553" s="1980"/>
      <c r="AA553" s="1980"/>
      <c r="AB553" s="1980"/>
      <c r="AC553" s="1980"/>
      <c r="AD553" s="1980"/>
      <c r="AE553" s="1980"/>
      <c r="AF553" s="1980"/>
      <c r="AG553" s="1980"/>
      <c r="AH553" s="1980"/>
      <c r="AI553" s="1980"/>
      <c r="AJ553" s="1980"/>
      <c r="AK553" s="677"/>
      <c r="AL553" s="608"/>
      <c r="AM553" s="638"/>
      <c r="AN553" s="632"/>
    </row>
    <row r="554" spans="1:44" s="585" customFormat="1" ht="12.75" customHeight="1">
      <c r="A554" s="638"/>
      <c r="B554" s="1980"/>
      <c r="C554" s="1980"/>
      <c r="D554" s="1980"/>
      <c r="E554" s="1980"/>
      <c r="F554" s="1980"/>
      <c r="G554" s="1980"/>
      <c r="H554" s="1980"/>
      <c r="I554" s="1980"/>
      <c r="J554" s="1980"/>
      <c r="K554" s="1980"/>
      <c r="L554" s="1980"/>
      <c r="M554" s="1980"/>
      <c r="N554" s="1980"/>
      <c r="O554" s="1980"/>
      <c r="P554" s="1980"/>
      <c r="Q554" s="1980"/>
      <c r="R554" s="1980"/>
      <c r="S554" s="1980"/>
      <c r="T554" s="1980"/>
      <c r="U554" s="1980"/>
      <c r="V554" s="1980"/>
      <c r="W554" s="1980"/>
      <c r="X554" s="1980"/>
      <c r="Y554" s="1980"/>
      <c r="Z554" s="1980"/>
      <c r="AA554" s="1980"/>
      <c r="AB554" s="1980"/>
      <c r="AC554" s="1980"/>
      <c r="AD554" s="1980"/>
      <c r="AE554" s="1980"/>
      <c r="AF554" s="1980"/>
      <c r="AG554" s="1980"/>
      <c r="AH554" s="1980"/>
      <c r="AI554" s="1980"/>
      <c r="AJ554" s="1980"/>
      <c r="AK554" s="677"/>
      <c r="AL554" s="608"/>
      <c r="AM554" s="638"/>
      <c r="AN554" s="632"/>
    </row>
    <row r="555" spans="1:44" s="585" customFormat="1" ht="12.75" customHeight="1">
      <c r="A555" s="638"/>
      <c r="B555" s="1980"/>
      <c r="C555" s="1980"/>
      <c r="D555" s="1980"/>
      <c r="E555" s="1980"/>
      <c r="F555" s="1980"/>
      <c r="G555" s="1980"/>
      <c r="H555" s="1980"/>
      <c r="I555" s="1980"/>
      <c r="J555" s="1980"/>
      <c r="K555" s="1980"/>
      <c r="L555" s="1980"/>
      <c r="M555" s="1980"/>
      <c r="N555" s="1980"/>
      <c r="O555" s="1980"/>
      <c r="P555" s="1980"/>
      <c r="Q555" s="1980"/>
      <c r="R555" s="1980"/>
      <c r="S555" s="1980"/>
      <c r="T555" s="1980"/>
      <c r="U555" s="1980"/>
      <c r="V555" s="1980"/>
      <c r="W555" s="1980"/>
      <c r="X555" s="1980"/>
      <c r="Y555" s="1980"/>
      <c r="Z555" s="1980"/>
      <c r="AA555" s="1980"/>
      <c r="AB555" s="1980"/>
      <c r="AC555" s="1980"/>
      <c r="AD555" s="1980"/>
      <c r="AE555" s="1980"/>
      <c r="AF555" s="1980"/>
      <c r="AG555" s="1980"/>
      <c r="AH555" s="1980"/>
      <c r="AI555" s="1980"/>
      <c r="AJ555" s="1980"/>
      <c r="AK555" s="677"/>
      <c r="AL555" s="608"/>
      <c r="AM555" s="638"/>
      <c r="AN555" s="632"/>
    </row>
    <row r="556" spans="1:44" s="585" customFormat="1" ht="12.75" customHeight="1">
      <c r="A556" s="638"/>
      <c r="B556" s="1980"/>
      <c r="C556" s="1980"/>
      <c r="D556" s="1980"/>
      <c r="E556" s="1980"/>
      <c r="F556" s="1980"/>
      <c r="G556" s="1980"/>
      <c r="H556" s="1980"/>
      <c r="I556" s="1980"/>
      <c r="J556" s="1980"/>
      <c r="K556" s="1980"/>
      <c r="L556" s="1980"/>
      <c r="M556" s="1980"/>
      <c r="N556" s="1980"/>
      <c r="O556" s="1980"/>
      <c r="P556" s="1980"/>
      <c r="Q556" s="1980"/>
      <c r="R556" s="1980"/>
      <c r="S556" s="1980"/>
      <c r="T556" s="1980"/>
      <c r="U556" s="1980"/>
      <c r="V556" s="1980"/>
      <c r="W556" s="1980"/>
      <c r="X556" s="1980"/>
      <c r="Y556" s="1980"/>
      <c r="Z556" s="1980"/>
      <c r="AA556" s="1980"/>
      <c r="AB556" s="1980"/>
      <c r="AC556" s="1980"/>
      <c r="AD556" s="1980"/>
      <c r="AE556" s="1980"/>
      <c r="AF556" s="1980"/>
      <c r="AG556" s="1980"/>
      <c r="AH556" s="1980"/>
      <c r="AI556" s="1980"/>
      <c r="AJ556" s="1980"/>
      <c r="AK556" s="677"/>
      <c r="AL556" s="608"/>
      <c r="AM556" s="638"/>
      <c r="AN556" s="632"/>
    </row>
    <row r="557" spans="1:44" s="585" customFormat="1" ht="12.75" customHeight="1">
      <c r="A557" s="638"/>
      <c r="B557" s="1980"/>
      <c r="C557" s="1980"/>
      <c r="D557" s="1980"/>
      <c r="E557" s="1980"/>
      <c r="F557" s="1980"/>
      <c r="G557" s="1980"/>
      <c r="H557" s="1980"/>
      <c r="I557" s="1980"/>
      <c r="J557" s="1980"/>
      <c r="K557" s="1980"/>
      <c r="L557" s="1980"/>
      <c r="M557" s="1980"/>
      <c r="N557" s="1980"/>
      <c r="O557" s="1980"/>
      <c r="P557" s="1980"/>
      <c r="Q557" s="1980"/>
      <c r="R557" s="1980"/>
      <c r="S557" s="1980"/>
      <c r="T557" s="1980"/>
      <c r="U557" s="1980"/>
      <c r="V557" s="1980"/>
      <c r="W557" s="1980"/>
      <c r="X557" s="1980"/>
      <c r="Y557" s="1980"/>
      <c r="Z557" s="1980"/>
      <c r="AA557" s="1980"/>
      <c r="AB557" s="1980"/>
      <c r="AC557" s="1980"/>
      <c r="AD557" s="1980"/>
      <c r="AE557" s="1980"/>
      <c r="AF557" s="1980"/>
      <c r="AG557" s="1980"/>
      <c r="AH557" s="1980"/>
      <c r="AI557" s="1980"/>
      <c r="AJ557" s="1980"/>
      <c r="AK557" s="677"/>
      <c r="AL557" s="608"/>
      <c r="AM557" s="638"/>
      <c r="AN557" s="632"/>
    </row>
    <row r="558" spans="1:44" s="585" customFormat="1" ht="12.75" customHeight="1">
      <c r="A558" s="638"/>
      <c r="B558" s="1980"/>
      <c r="C558" s="1980"/>
      <c r="D558" s="1980"/>
      <c r="E558" s="1980"/>
      <c r="F558" s="1980"/>
      <c r="G558" s="1980"/>
      <c r="H558" s="1980"/>
      <c r="I558" s="1980"/>
      <c r="J558" s="1980"/>
      <c r="K558" s="1980"/>
      <c r="L558" s="1980"/>
      <c r="M558" s="1980"/>
      <c r="N558" s="1980"/>
      <c r="O558" s="1980"/>
      <c r="P558" s="1980"/>
      <c r="Q558" s="1980"/>
      <c r="R558" s="1980"/>
      <c r="S558" s="1980"/>
      <c r="T558" s="1980"/>
      <c r="U558" s="1980"/>
      <c r="V558" s="1980"/>
      <c r="W558" s="1980"/>
      <c r="X558" s="1980"/>
      <c r="Y558" s="1980"/>
      <c r="Z558" s="1980"/>
      <c r="AA558" s="1980"/>
      <c r="AB558" s="1980"/>
      <c r="AC558" s="1980"/>
      <c r="AD558" s="1980"/>
      <c r="AE558" s="1980"/>
      <c r="AF558" s="1980"/>
      <c r="AG558" s="1980"/>
      <c r="AH558" s="1980"/>
      <c r="AI558" s="1980"/>
      <c r="AJ558" s="1980"/>
      <c r="AK558" s="677"/>
      <c r="AL558" s="608"/>
      <c r="AM558" s="638"/>
      <c r="AN558" s="632"/>
    </row>
    <row r="559" spans="1:44" s="585" customFormat="1" ht="12.75" customHeight="1">
      <c r="A559" s="638"/>
      <c r="B559" s="1980"/>
      <c r="C559" s="1980"/>
      <c r="D559" s="1980"/>
      <c r="E559" s="1980"/>
      <c r="F559" s="1980"/>
      <c r="G559" s="1980"/>
      <c r="H559" s="1980"/>
      <c r="I559" s="1980"/>
      <c r="J559" s="1980"/>
      <c r="K559" s="1980"/>
      <c r="L559" s="1980"/>
      <c r="M559" s="1980"/>
      <c r="N559" s="1980"/>
      <c r="O559" s="1980"/>
      <c r="P559" s="1980"/>
      <c r="Q559" s="1980"/>
      <c r="R559" s="1980"/>
      <c r="S559" s="1980"/>
      <c r="T559" s="1980"/>
      <c r="U559" s="1980"/>
      <c r="V559" s="1980"/>
      <c r="W559" s="1980"/>
      <c r="X559" s="1980"/>
      <c r="Y559" s="1980"/>
      <c r="Z559" s="1980"/>
      <c r="AA559" s="1980"/>
      <c r="AB559" s="1980"/>
      <c r="AC559" s="1980"/>
      <c r="AD559" s="1980"/>
      <c r="AE559" s="1980"/>
      <c r="AF559" s="1980"/>
      <c r="AG559" s="1980"/>
      <c r="AH559" s="1980"/>
      <c r="AI559" s="1980"/>
      <c r="AJ559" s="1980"/>
      <c r="AK559" s="677"/>
      <c r="AL559" s="608"/>
      <c r="AM559" s="638"/>
      <c r="AN559" s="632"/>
    </row>
    <row r="560" spans="1:44" ht="12.75" customHeight="1">
      <c r="A560" s="638"/>
      <c r="B560" s="1980"/>
      <c r="C560" s="1980"/>
      <c r="D560" s="1980"/>
      <c r="E560" s="1980"/>
      <c r="F560" s="1980"/>
      <c r="G560" s="1980"/>
      <c r="H560" s="1980"/>
      <c r="I560" s="1980"/>
      <c r="J560" s="1980"/>
      <c r="K560" s="1980"/>
      <c r="L560" s="1980"/>
      <c r="M560" s="1980"/>
      <c r="N560" s="1980"/>
      <c r="O560" s="1980"/>
      <c r="P560" s="1980"/>
      <c r="Q560" s="1980"/>
      <c r="R560" s="1980"/>
      <c r="S560" s="1980"/>
      <c r="T560" s="1980"/>
      <c r="U560" s="1980"/>
      <c r="V560" s="1980"/>
      <c r="W560" s="1980"/>
      <c r="X560" s="1980"/>
      <c r="Y560" s="1980"/>
      <c r="Z560" s="1980"/>
      <c r="AA560" s="1980"/>
      <c r="AB560" s="1980"/>
      <c r="AC560" s="1980"/>
      <c r="AD560" s="1980"/>
      <c r="AE560" s="1980"/>
      <c r="AF560" s="1980"/>
      <c r="AG560" s="1980"/>
      <c r="AH560" s="1980"/>
      <c r="AI560" s="1980"/>
      <c r="AJ560" s="1980"/>
      <c r="AK560" s="677"/>
      <c r="AL560" s="608"/>
      <c r="AM560" s="638"/>
    </row>
    <row r="561" spans="1:42" s="585" customFormat="1" ht="12.75" customHeight="1">
      <c r="B561" s="1980"/>
      <c r="C561" s="1980"/>
      <c r="D561" s="1980"/>
      <c r="E561" s="1980"/>
      <c r="F561" s="1980"/>
      <c r="G561" s="1980"/>
      <c r="H561" s="1980"/>
      <c r="I561" s="1980"/>
      <c r="J561" s="1980"/>
      <c r="K561" s="1980"/>
      <c r="L561" s="1980"/>
      <c r="M561" s="1980"/>
      <c r="N561" s="1980"/>
      <c r="O561" s="1980"/>
      <c r="P561" s="1980"/>
      <c r="Q561" s="1980"/>
      <c r="R561" s="1980"/>
      <c r="S561" s="1980"/>
      <c r="T561" s="1980"/>
      <c r="U561" s="1980"/>
      <c r="V561" s="1980"/>
      <c r="W561" s="1980"/>
      <c r="X561" s="1980"/>
      <c r="Y561" s="1980"/>
      <c r="Z561" s="1980"/>
      <c r="AA561" s="1980"/>
      <c r="AB561" s="1980"/>
      <c r="AC561" s="1980"/>
      <c r="AD561" s="1980"/>
      <c r="AE561" s="1980"/>
      <c r="AF561" s="1980"/>
      <c r="AG561" s="1980"/>
      <c r="AH561" s="1980"/>
      <c r="AI561" s="1980"/>
      <c r="AJ561" s="1980"/>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7" t="s">
        <v>1512</v>
      </c>
      <c r="AG567" s="1927"/>
      <c r="AH567" s="1927"/>
      <c r="AI567" s="1927"/>
      <c r="AJ567" s="1927"/>
      <c r="AK567" s="1927"/>
      <c r="AL567" s="1927"/>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7" t="s">
        <v>1570</v>
      </c>
      <c r="AG574" s="1927"/>
      <c r="AH574" s="1927"/>
      <c r="AI574" s="1927"/>
      <c r="AJ574" s="1927"/>
      <c r="AK574" s="1927"/>
      <c r="AL574" s="1927"/>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279</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7" t="s">
        <v>1552</v>
      </c>
      <c r="AG580" s="1927"/>
      <c r="AH580" s="1927"/>
      <c r="AI580" s="1927"/>
      <c r="AJ580" s="1927"/>
      <c r="AK580" s="1927"/>
      <c r="AL580" s="1927"/>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7" t="s">
        <v>1573</v>
      </c>
      <c r="AG586" s="1927"/>
      <c r="AH586" s="1927"/>
      <c r="AI586" s="1927"/>
      <c r="AJ586" s="1927"/>
      <c r="AK586" s="1927"/>
      <c r="AL586" s="1927"/>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11" t="s">
        <v>1327</v>
      </c>
      <c r="P590" s="2011"/>
      <c r="Q590" s="2011"/>
      <c r="R590" s="2011"/>
      <c r="S590" s="2011"/>
      <c r="T590" s="2011"/>
      <c r="U590" s="2011"/>
      <c r="V590" s="2011"/>
      <c r="W590" s="2011"/>
      <c r="X590" s="2011"/>
      <c r="Y590" s="2011"/>
      <c r="Z590" s="2011"/>
      <c r="AA590" s="2011"/>
      <c r="AB590" s="201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7" t="s">
        <v>1526</v>
      </c>
      <c r="AG592" s="1927"/>
      <c r="AH592" s="1927"/>
      <c r="AI592" s="1927"/>
      <c r="AJ592" s="1927"/>
      <c r="AK592" s="1927"/>
      <c r="AL592" s="1927"/>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1574</v>
      </c>
      <c r="E595" s="973"/>
      <c r="F595" s="973"/>
      <c r="G595" s="973"/>
      <c r="H595" s="2009" t="s">
        <v>1572</v>
      </c>
      <c r="I595" s="200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1574</v>
      </c>
      <c r="F603" s="973"/>
      <c r="G603" s="973"/>
      <c r="I603" s="2010" t="s">
        <v>600</v>
      </c>
      <c r="J603" s="2010"/>
      <c r="K603" s="2010"/>
      <c r="L603" s="2010"/>
      <c r="M603" s="2010"/>
      <c r="N603" s="2010"/>
      <c r="O603" s="2010"/>
      <c r="P603" s="2010"/>
      <c r="Q603" s="2010"/>
      <c r="R603" s="2010"/>
      <c r="S603" s="2010"/>
      <c r="T603" s="2010"/>
      <c r="U603" s="2010"/>
      <c r="V603" s="2010"/>
      <c r="W603" s="2010"/>
      <c r="X603" s="2010"/>
      <c r="Y603" s="2010"/>
      <c r="Z603" s="2010"/>
      <c r="AA603" s="2010"/>
      <c r="AB603" s="2010"/>
      <c r="AC603" s="2010"/>
      <c r="AD603" s="2010"/>
      <c r="AE603" s="2010"/>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54" t="s">
        <v>600</v>
      </c>
      <c r="C605" s="1954"/>
      <c r="D605" s="677"/>
      <c r="E605" s="1980" t="s">
        <v>1577</v>
      </c>
      <c r="F605" s="1980"/>
      <c r="G605" s="1980"/>
      <c r="H605" s="1980"/>
      <c r="I605" s="1980"/>
      <c r="J605" s="1980"/>
      <c r="K605" s="1980"/>
      <c r="L605" s="1980"/>
      <c r="M605" s="1980"/>
      <c r="N605" s="1980"/>
      <c r="O605" s="1980"/>
      <c r="P605" s="1980"/>
      <c r="Q605" s="1980"/>
      <c r="R605" s="1980"/>
      <c r="S605" s="1980"/>
      <c r="T605" s="1980"/>
      <c r="U605" s="1980"/>
      <c r="V605" s="1980"/>
      <c r="W605" s="1980"/>
      <c r="X605" s="1980"/>
      <c r="Y605" s="1980"/>
      <c r="Z605" s="1980"/>
      <c r="AA605" s="1980"/>
      <c r="AB605" s="1980"/>
      <c r="AC605" s="1980"/>
      <c r="AD605" s="1980"/>
      <c r="AE605" s="1980"/>
      <c r="AF605" s="1980"/>
      <c r="AG605" s="1980"/>
      <c r="AH605" s="677"/>
      <c r="AI605" s="677"/>
      <c r="AJ605" s="677"/>
      <c r="AK605" s="677"/>
      <c r="AL605" s="677"/>
      <c r="AN605" s="632"/>
    </row>
    <row r="606" spans="2:47" s="585" customFormat="1" ht="12.75" customHeight="1">
      <c r="B606" s="571"/>
      <c r="C606" s="970"/>
      <c r="D606" s="677"/>
      <c r="E606" s="1980"/>
      <c r="F606" s="1980"/>
      <c r="G606" s="1980"/>
      <c r="H606" s="1980"/>
      <c r="I606" s="1980"/>
      <c r="J606" s="1980"/>
      <c r="K606" s="1980"/>
      <c r="L606" s="1980"/>
      <c r="M606" s="1980"/>
      <c r="N606" s="1980"/>
      <c r="O606" s="1980"/>
      <c r="P606" s="1980"/>
      <c r="Q606" s="1980"/>
      <c r="R606" s="1980"/>
      <c r="S606" s="1980"/>
      <c r="T606" s="1980"/>
      <c r="U606" s="1980"/>
      <c r="V606" s="1980"/>
      <c r="W606" s="1980"/>
      <c r="X606" s="1980"/>
      <c r="Y606" s="1980"/>
      <c r="Z606" s="1980"/>
      <c r="AA606" s="1980"/>
      <c r="AB606" s="1980"/>
      <c r="AC606" s="1980"/>
      <c r="AD606" s="1980"/>
      <c r="AE606" s="1980"/>
      <c r="AF606" s="1980"/>
      <c r="AG606" s="1980"/>
      <c r="AH606" s="677"/>
      <c r="AI606" s="677"/>
      <c r="AJ606" s="677"/>
      <c r="AK606" s="677"/>
      <c r="AL606" s="677"/>
      <c r="AN606" s="632"/>
    </row>
    <row r="607" spans="2:47" s="585" customFormat="1" ht="12.75" customHeight="1">
      <c r="B607" s="571"/>
      <c r="C607" s="970"/>
      <c r="D607" s="677"/>
      <c r="E607" s="1980"/>
      <c r="F607" s="1980"/>
      <c r="G607" s="1980"/>
      <c r="H607" s="1980"/>
      <c r="I607" s="1980"/>
      <c r="J607" s="1980"/>
      <c r="K607" s="1980"/>
      <c r="L607" s="1980"/>
      <c r="M607" s="1980"/>
      <c r="N607" s="1980"/>
      <c r="O607" s="1980"/>
      <c r="P607" s="1980"/>
      <c r="Q607" s="1980"/>
      <c r="R607" s="1980"/>
      <c r="S607" s="1980"/>
      <c r="T607" s="1980"/>
      <c r="U607" s="1980"/>
      <c r="V607" s="1980"/>
      <c r="W607" s="1980"/>
      <c r="X607" s="1980"/>
      <c r="Y607" s="1980"/>
      <c r="Z607" s="1980"/>
      <c r="AA607" s="1980"/>
      <c r="AB607" s="1980"/>
      <c r="AC607" s="1980"/>
      <c r="AD607" s="1980"/>
      <c r="AE607" s="1980"/>
      <c r="AF607" s="1980"/>
      <c r="AG607" s="1980"/>
      <c r="AH607" s="677"/>
      <c r="AI607" s="677"/>
      <c r="AJ607" s="677"/>
      <c r="AK607" s="677"/>
      <c r="AL607" s="677"/>
      <c r="AN607" s="632"/>
    </row>
    <row r="608" spans="2:47" s="585" customFormat="1" ht="12.75" customHeight="1">
      <c r="B608" s="571"/>
      <c r="C608" s="970"/>
      <c r="D608" s="677"/>
      <c r="E608" s="1980"/>
      <c r="F608" s="1980"/>
      <c r="G608" s="1980"/>
      <c r="H608" s="1980"/>
      <c r="I608" s="1980"/>
      <c r="J608" s="1980"/>
      <c r="K608" s="1980"/>
      <c r="L608" s="1980"/>
      <c r="M608" s="1980"/>
      <c r="N608" s="1980"/>
      <c r="O608" s="1980"/>
      <c r="P608" s="1980"/>
      <c r="Q608" s="1980"/>
      <c r="R608" s="1980"/>
      <c r="S608" s="1980"/>
      <c r="T608" s="1980"/>
      <c r="U608" s="1980"/>
      <c r="V608" s="1980"/>
      <c r="W608" s="1980"/>
      <c r="X608" s="1980"/>
      <c r="Y608" s="1980"/>
      <c r="Z608" s="1980"/>
      <c r="AA608" s="1980"/>
      <c r="AB608" s="1980"/>
      <c r="AC608" s="1980"/>
      <c r="AD608" s="1980"/>
      <c r="AE608" s="1980"/>
      <c r="AF608" s="1980"/>
      <c r="AG608" s="1980"/>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60">
        <f>VLOOKUP($H$595,$AO$575:$AP$580,2,FALSE)+VLOOKUP($I$603,$AO$602:$AP$604,2,FALSE)</f>
        <v>3</v>
      </c>
      <c r="AK610" s="196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08" t="s">
        <v>1956</v>
      </c>
      <c r="F614" s="2008"/>
      <c r="G614" s="2008"/>
      <c r="H614" s="2008"/>
      <c r="I614" s="2008"/>
      <c r="J614" s="2008"/>
      <c r="K614" s="2008"/>
      <c r="L614" s="2008"/>
      <c r="M614" s="2008"/>
      <c r="N614" s="2008"/>
      <c r="O614" s="2008"/>
      <c r="P614" s="2008"/>
      <c r="Q614" s="2008"/>
      <c r="R614" s="2008"/>
      <c r="S614" s="2008"/>
      <c r="T614" s="2008"/>
      <c r="U614" s="2008"/>
      <c r="V614" s="2008"/>
      <c r="W614" s="2008"/>
      <c r="X614" s="2008"/>
      <c r="Y614" s="2008"/>
      <c r="Z614" s="2008"/>
      <c r="AA614" s="2008"/>
      <c r="AB614" s="2008"/>
      <c r="AC614" s="2008"/>
      <c r="AD614" s="2008"/>
      <c r="AE614" s="574"/>
      <c r="AF614" s="1927" t="s">
        <v>1526</v>
      </c>
      <c r="AG614" s="1927"/>
      <c r="AH614" s="1927"/>
      <c r="AI614" s="1927"/>
      <c r="AJ614" s="1927"/>
      <c r="AK614" s="1927"/>
      <c r="AL614" s="1927"/>
      <c r="AM614" s="585"/>
      <c r="AN614" s="713"/>
    </row>
    <row r="615" spans="1:42" s="585" customFormat="1" ht="12.75" customHeight="1">
      <c r="A615" s="714"/>
      <c r="B615" s="571"/>
      <c r="C615" s="970"/>
      <c r="D615" s="698"/>
      <c r="E615" s="2008"/>
      <c r="F615" s="2008"/>
      <c r="G615" s="2008"/>
      <c r="H615" s="2008"/>
      <c r="I615" s="2008"/>
      <c r="J615" s="2008"/>
      <c r="K615" s="2008"/>
      <c r="L615" s="2008"/>
      <c r="M615" s="2008"/>
      <c r="N615" s="2008"/>
      <c r="O615" s="2008"/>
      <c r="P615" s="2008"/>
      <c r="Q615" s="2008"/>
      <c r="R615" s="2008"/>
      <c r="S615" s="2008"/>
      <c r="T615" s="2008"/>
      <c r="U615" s="2008"/>
      <c r="V615" s="2008"/>
      <c r="W615" s="2008"/>
      <c r="X615" s="2008"/>
      <c r="Y615" s="2008"/>
      <c r="Z615" s="2008"/>
      <c r="AA615" s="2008"/>
      <c r="AB615" s="2008"/>
      <c r="AC615" s="2008"/>
      <c r="AD615" s="2008"/>
      <c r="AE615" s="571"/>
      <c r="AF615" s="571"/>
      <c r="AG615" s="571"/>
      <c r="AH615" s="571"/>
      <c r="AI615" s="571"/>
      <c r="AJ615" s="571"/>
      <c r="AK615" s="571"/>
      <c r="AL615" s="571"/>
      <c r="AN615" s="632"/>
    </row>
    <row r="616" spans="1:42" s="585" customFormat="1" ht="12.75" customHeight="1">
      <c r="B616" s="571"/>
      <c r="C616" s="968"/>
      <c r="D616" s="698"/>
      <c r="E616" s="2008"/>
      <c r="F616" s="2008"/>
      <c r="G616" s="2008"/>
      <c r="H616" s="2008"/>
      <c r="I616" s="2008"/>
      <c r="J616" s="2008"/>
      <c r="K616" s="2008"/>
      <c r="L616" s="2008"/>
      <c r="M616" s="2008"/>
      <c r="N616" s="2008"/>
      <c r="O616" s="2008"/>
      <c r="P616" s="2008"/>
      <c r="Q616" s="2008"/>
      <c r="R616" s="2008"/>
      <c r="S616" s="2008"/>
      <c r="T616" s="2008"/>
      <c r="U616" s="2008"/>
      <c r="V616" s="2008"/>
      <c r="W616" s="2008"/>
      <c r="X616" s="2008"/>
      <c r="Y616" s="2008"/>
      <c r="Z616" s="2008"/>
      <c r="AA616" s="2008"/>
      <c r="AB616" s="2008"/>
      <c r="AC616" s="2008"/>
      <c r="AD616" s="2008"/>
      <c r="AE616" s="571"/>
      <c r="AF616" s="571"/>
      <c r="AG616" s="571"/>
      <c r="AH616" s="571"/>
      <c r="AI616" s="571"/>
      <c r="AJ616" s="571"/>
      <c r="AK616" s="571"/>
      <c r="AL616" s="571"/>
      <c r="AN616" s="632"/>
    </row>
    <row r="617" spans="1:42" s="585" customFormat="1" ht="12.75" customHeight="1">
      <c r="B617" s="571"/>
      <c r="C617" s="968"/>
      <c r="D617" s="698"/>
      <c r="E617" s="2008"/>
      <c r="F617" s="2008"/>
      <c r="G617" s="2008"/>
      <c r="H617" s="2008"/>
      <c r="I617" s="2008"/>
      <c r="J617" s="2008"/>
      <c r="K617" s="2008"/>
      <c r="L617" s="2008"/>
      <c r="M617" s="2008"/>
      <c r="N617" s="2008"/>
      <c r="O617" s="2008"/>
      <c r="P617" s="2008"/>
      <c r="Q617" s="2008"/>
      <c r="R617" s="2008"/>
      <c r="S617" s="2008"/>
      <c r="T617" s="2008"/>
      <c r="U617" s="2008"/>
      <c r="V617" s="2008"/>
      <c r="W617" s="2008"/>
      <c r="X617" s="2008"/>
      <c r="Y617" s="2008"/>
      <c r="Z617" s="2008"/>
      <c r="AA617" s="2008"/>
      <c r="AB617" s="2008"/>
      <c r="AC617" s="2008"/>
      <c r="AD617" s="2008"/>
      <c r="AE617" s="571"/>
      <c r="AF617" s="571"/>
      <c r="AG617" s="571"/>
      <c r="AH617" s="571"/>
      <c r="AI617" s="571"/>
      <c r="AJ617" s="571"/>
      <c r="AK617" s="571"/>
      <c r="AL617" s="571"/>
      <c r="AN617" s="632"/>
    </row>
    <row r="618" spans="1:42" s="585" customFormat="1" ht="12.75" customHeight="1">
      <c r="B618" s="571"/>
      <c r="C618" s="968"/>
      <c r="D618" s="698"/>
      <c r="E618" s="2008"/>
      <c r="F618" s="2008"/>
      <c r="G618" s="2008"/>
      <c r="H618" s="2008"/>
      <c r="I618" s="2008"/>
      <c r="J618" s="2008"/>
      <c r="K618" s="2008"/>
      <c r="L618" s="2008"/>
      <c r="M618" s="2008"/>
      <c r="N618" s="2008"/>
      <c r="O618" s="2008"/>
      <c r="P618" s="2008"/>
      <c r="Q618" s="2008"/>
      <c r="R618" s="2008"/>
      <c r="S618" s="2008"/>
      <c r="T618" s="2008"/>
      <c r="U618" s="2008"/>
      <c r="V618" s="2008"/>
      <c r="W618" s="2008"/>
      <c r="X618" s="2008"/>
      <c r="Y618" s="2008"/>
      <c r="Z618" s="2008"/>
      <c r="AA618" s="2008"/>
      <c r="AB618" s="2008"/>
      <c r="AC618" s="2008"/>
      <c r="AD618" s="2008"/>
      <c r="AE618" s="571"/>
      <c r="AF618" s="571"/>
      <c r="AG618" s="571"/>
      <c r="AH618" s="571"/>
      <c r="AI618" s="571"/>
      <c r="AJ618" s="571"/>
      <c r="AK618" s="571"/>
      <c r="AL618" s="571"/>
      <c r="AN618" s="632"/>
    </row>
    <row r="619" spans="1:42" s="585" customFormat="1" ht="12.75" customHeight="1">
      <c r="B619" s="571"/>
      <c r="C619" s="968"/>
      <c r="D619" s="698"/>
      <c r="E619" s="2008"/>
      <c r="F619" s="2008"/>
      <c r="G619" s="2008"/>
      <c r="H619" s="2008"/>
      <c r="I619" s="2008"/>
      <c r="J619" s="2008"/>
      <c r="K619" s="2008"/>
      <c r="L619" s="2008"/>
      <c r="M619" s="2008"/>
      <c r="N619" s="2008"/>
      <c r="O619" s="2008"/>
      <c r="P619" s="2008"/>
      <c r="Q619" s="2008"/>
      <c r="R619" s="2008"/>
      <c r="S619" s="2008"/>
      <c r="T619" s="2008"/>
      <c r="U619" s="2008"/>
      <c r="V619" s="2008"/>
      <c r="W619" s="2008"/>
      <c r="X619" s="2008"/>
      <c r="Y619" s="2008"/>
      <c r="Z619" s="2008"/>
      <c r="AA619" s="2008"/>
      <c r="AB619" s="2008"/>
      <c r="AC619" s="2008"/>
      <c r="AD619" s="2008"/>
      <c r="AE619" s="571"/>
      <c r="AF619" s="571"/>
      <c r="AG619" s="571"/>
      <c r="AH619" s="571"/>
      <c r="AI619" s="571"/>
      <c r="AJ619" s="571"/>
      <c r="AK619" s="571"/>
      <c r="AL619" s="571"/>
      <c r="AN619" s="632"/>
    </row>
    <row r="620" spans="1:42" s="585" customFormat="1" ht="12.75" customHeight="1">
      <c r="A620" s="672"/>
      <c r="B620" s="651"/>
      <c r="C620" s="977"/>
      <c r="D620" s="698"/>
      <c r="E620" s="2008"/>
      <c r="F620" s="2008"/>
      <c r="G620" s="2008"/>
      <c r="H620" s="2008"/>
      <c r="I620" s="2008"/>
      <c r="J620" s="2008"/>
      <c r="K620" s="2008"/>
      <c r="L620" s="2008"/>
      <c r="M620" s="2008"/>
      <c r="N620" s="2008"/>
      <c r="O620" s="2008"/>
      <c r="P620" s="2008"/>
      <c r="Q620" s="2008"/>
      <c r="R620" s="2008"/>
      <c r="S620" s="2008"/>
      <c r="T620" s="2008"/>
      <c r="U620" s="2008"/>
      <c r="V620" s="2008"/>
      <c r="W620" s="2008"/>
      <c r="X620" s="2008"/>
      <c r="Y620" s="2008"/>
      <c r="Z620" s="2008"/>
      <c r="AA620" s="2008"/>
      <c r="AB620" s="2008"/>
      <c r="AC620" s="2008"/>
      <c r="AD620" s="2008"/>
      <c r="AE620" s="651"/>
      <c r="AF620" s="651"/>
      <c r="AG620" s="651"/>
      <c r="AH620" s="651"/>
      <c r="AI620" s="651"/>
      <c r="AJ620" s="651"/>
      <c r="AK620" s="571"/>
      <c r="AL620" s="571"/>
      <c r="AN620" s="632"/>
    </row>
    <row r="621" spans="1:42" s="585" customFormat="1" ht="12.75" customHeight="1">
      <c r="B621" s="651"/>
      <c r="C621" s="977"/>
      <c r="D621" s="698"/>
      <c r="E621" s="2008"/>
      <c r="F621" s="2008"/>
      <c r="G621" s="2008"/>
      <c r="H621" s="2008"/>
      <c r="I621" s="2008"/>
      <c r="J621" s="2008"/>
      <c r="K621" s="2008"/>
      <c r="L621" s="2008"/>
      <c r="M621" s="2008"/>
      <c r="N621" s="2008"/>
      <c r="O621" s="2008"/>
      <c r="P621" s="2008"/>
      <c r="Q621" s="2008"/>
      <c r="R621" s="2008"/>
      <c r="S621" s="2008"/>
      <c r="T621" s="2008"/>
      <c r="U621" s="2008"/>
      <c r="V621" s="2008"/>
      <c r="W621" s="2008"/>
      <c r="X621" s="2008"/>
      <c r="Y621" s="2008"/>
      <c r="Z621" s="2008"/>
      <c r="AA621" s="2008"/>
      <c r="AB621" s="2008"/>
      <c r="AC621" s="2008"/>
      <c r="AD621" s="2008"/>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54" t="s">
        <v>600</v>
      </c>
      <c r="Y623" s="1954"/>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7" t="s">
        <v>1582</v>
      </c>
      <c r="AG625" s="1927"/>
      <c r="AH625" s="1927"/>
      <c r="AI625" s="1927"/>
      <c r="AJ625" s="1927"/>
      <c r="AK625" s="1927"/>
      <c r="AL625" s="1927"/>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2009" t="s">
        <v>518</v>
      </c>
      <c r="I627" s="200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60">
        <f>VLOOKUP($H$627,$AO$594:$AP$596,2,FALSE)</f>
        <v>2</v>
      </c>
      <c r="AK629" s="1962"/>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80" t="s">
        <v>2526</v>
      </c>
      <c r="F633" s="1980"/>
      <c r="G633" s="1980"/>
      <c r="H633" s="1980"/>
      <c r="I633" s="1980"/>
      <c r="J633" s="1980"/>
      <c r="K633" s="1980"/>
      <c r="L633" s="1980"/>
      <c r="M633" s="1980"/>
      <c r="N633" s="1980"/>
      <c r="O633" s="1980"/>
      <c r="P633" s="1980"/>
      <c r="Q633" s="1980"/>
      <c r="R633" s="1980"/>
      <c r="S633" s="1980"/>
      <c r="T633" s="1980"/>
      <c r="U633" s="1980"/>
      <c r="V633" s="1980"/>
      <c r="W633" s="1980"/>
      <c r="X633" s="1980"/>
      <c r="Y633" s="1980"/>
      <c r="Z633" s="1980"/>
      <c r="AA633" s="1980"/>
      <c r="AB633" s="1980"/>
      <c r="AC633" s="1980"/>
      <c r="AD633" s="1980"/>
      <c r="AE633" s="571"/>
      <c r="AF633" s="1927" t="s">
        <v>1526</v>
      </c>
      <c r="AG633" s="1927"/>
      <c r="AH633" s="1927"/>
      <c r="AI633" s="1927"/>
      <c r="AJ633" s="1927"/>
      <c r="AK633" s="1927"/>
      <c r="AL633" s="1927"/>
      <c r="AN633" s="632"/>
    </row>
    <row r="634" spans="1:42" s="585" customFormat="1" ht="12.75" customHeight="1">
      <c r="B634" s="571"/>
      <c r="C634" s="571"/>
      <c r="D634" s="698"/>
      <c r="E634" s="1980"/>
      <c r="F634" s="1980"/>
      <c r="G634" s="1980"/>
      <c r="H634" s="1980"/>
      <c r="I634" s="1980"/>
      <c r="J634" s="1980"/>
      <c r="K634" s="1980"/>
      <c r="L634" s="1980"/>
      <c r="M634" s="1980"/>
      <c r="N634" s="1980"/>
      <c r="O634" s="1980"/>
      <c r="P634" s="1980"/>
      <c r="Q634" s="1980"/>
      <c r="R634" s="1980"/>
      <c r="S634" s="1980"/>
      <c r="T634" s="1980"/>
      <c r="U634" s="1980"/>
      <c r="V634" s="1980"/>
      <c r="W634" s="1980"/>
      <c r="X634" s="1980"/>
      <c r="Y634" s="1980"/>
      <c r="Z634" s="1980"/>
      <c r="AA634" s="1980"/>
      <c r="AB634" s="1980"/>
      <c r="AC634" s="1980"/>
      <c r="AD634" s="1980"/>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7" t="s">
        <v>1582</v>
      </c>
      <c r="AG636" s="1927"/>
      <c r="AH636" s="1927"/>
      <c r="AI636" s="1927"/>
      <c r="AJ636" s="1927"/>
      <c r="AK636" s="1927"/>
      <c r="AL636" s="1927"/>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2009" t="s">
        <v>600</v>
      </c>
      <c r="I639" s="200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60">
        <f>VLOOKUP(H639,AT594:AU596,2,FALSE)</f>
        <v>0</v>
      </c>
      <c r="AK641" s="1962"/>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80" t="s">
        <v>1592</v>
      </c>
      <c r="F646" s="1980"/>
      <c r="G646" s="1980"/>
      <c r="H646" s="1980"/>
      <c r="I646" s="1980"/>
      <c r="J646" s="1980"/>
      <c r="K646" s="1980"/>
      <c r="L646" s="1980"/>
      <c r="M646" s="1980"/>
      <c r="N646" s="1980"/>
      <c r="O646" s="1980"/>
      <c r="P646" s="1980"/>
      <c r="Q646" s="1980"/>
      <c r="R646" s="1980"/>
      <c r="S646" s="1980"/>
      <c r="T646" s="1980"/>
      <c r="U646" s="1980"/>
      <c r="V646" s="1980"/>
      <c r="W646" s="1980"/>
      <c r="X646" s="1980"/>
      <c r="Y646" s="1980"/>
      <c r="Z646" s="1980"/>
      <c r="AA646" s="1980"/>
      <c r="AB646" s="1980"/>
      <c r="AC646" s="1980"/>
      <c r="AD646" s="571"/>
      <c r="AE646" s="571"/>
      <c r="AF646" s="1927" t="s">
        <v>1552</v>
      </c>
      <c r="AG646" s="1927"/>
      <c r="AH646" s="1927"/>
      <c r="AI646" s="1927"/>
      <c r="AJ646" s="1927"/>
      <c r="AK646" s="1927"/>
      <c r="AL646" s="1927"/>
      <c r="AN646" s="632"/>
    </row>
    <row r="647" spans="1:42" s="585" customFormat="1" ht="12.75" customHeight="1">
      <c r="B647" s="571"/>
      <c r="C647" s="574"/>
      <c r="D647" s="571"/>
      <c r="E647" s="1980"/>
      <c r="F647" s="1980"/>
      <c r="G647" s="1980"/>
      <c r="H647" s="1980"/>
      <c r="I647" s="1980"/>
      <c r="J647" s="1980"/>
      <c r="K647" s="1980"/>
      <c r="L647" s="1980"/>
      <c r="M647" s="1980"/>
      <c r="N647" s="1980"/>
      <c r="O647" s="1980"/>
      <c r="P647" s="1980"/>
      <c r="Q647" s="1980"/>
      <c r="R647" s="1980"/>
      <c r="S647" s="1980"/>
      <c r="T647" s="1980"/>
      <c r="U647" s="1980"/>
      <c r="V647" s="1980"/>
      <c r="W647" s="1980"/>
      <c r="X647" s="1980"/>
      <c r="Y647" s="1980"/>
      <c r="Z647" s="1980"/>
      <c r="AA647" s="1980"/>
      <c r="AB647" s="1980"/>
      <c r="AC647" s="1980"/>
      <c r="AD647" s="571"/>
      <c r="AE647" s="571"/>
      <c r="AF647" s="571"/>
      <c r="AG647" s="571"/>
      <c r="AH647" s="571"/>
      <c r="AI647" s="571"/>
      <c r="AJ647" s="571"/>
      <c r="AK647" s="571"/>
      <c r="AL647" s="571"/>
      <c r="AN647" s="632"/>
    </row>
    <row r="648" spans="1:42" s="585" customFormat="1" ht="12.75" customHeight="1">
      <c r="B648" s="571"/>
      <c r="C648" s="574"/>
      <c r="D648" s="698"/>
      <c r="E648" s="1980"/>
      <c r="F648" s="1980"/>
      <c r="G648" s="1980"/>
      <c r="H648" s="1980"/>
      <c r="I648" s="1980"/>
      <c r="J648" s="1980"/>
      <c r="K648" s="1980"/>
      <c r="L648" s="1980"/>
      <c r="M648" s="1980"/>
      <c r="N648" s="1980"/>
      <c r="O648" s="1980"/>
      <c r="P648" s="1980"/>
      <c r="Q648" s="1980"/>
      <c r="R648" s="1980"/>
      <c r="S648" s="1980"/>
      <c r="T648" s="1980"/>
      <c r="U648" s="1980"/>
      <c r="V648" s="1980"/>
      <c r="W648" s="1980"/>
      <c r="X648" s="1980"/>
      <c r="Y648" s="1980"/>
      <c r="Z648" s="1980"/>
      <c r="AA648" s="1980"/>
      <c r="AB648" s="1980"/>
      <c r="AC648" s="1980"/>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80" t="s">
        <v>1593</v>
      </c>
      <c r="F650" s="1980"/>
      <c r="G650" s="1980"/>
      <c r="H650" s="1980"/>
      <c r="I650" s="1980"/>
      <c r="J650" s="1980"/>
      <c r="K650" s="1980"/>
      <c r="L650" s="1980"/>
      <c r="M650" s="1980"/>
      <c r="N650" s="1980"/>
      <c r="O650" s="1980"/>
      <c r="P650" s="1980"/>
      <c r="Q650" s="1980"/>
      <c r="R650" s="1980"/>
      <c r="S650" s="1980"/>
      <c r="T650" s="1980"/>
      <c r="U650" s="1980"/>
      <c r="V650" s="1980"/>
      <c r="W650" s="1980"/>
      <c r="X650" s="1980"/>
      <c r="Y650" s="1980"/>
      <c r="Z650" s="1980"/>
      <c r="AA650" s="1980"/>
      <c r="AB650" s="1980"/>
      <c r="AC650" s="1980"/>
      <c r="AD650" s="571"/>
      <c r="AE650" s="571"/>
      <c r="AF650" s="1927" t="s">
        <v>1573</v>
      </c>
      <c r="AG650" s="1927"/>
      <c r="AH650" s="1927"/>
      <c r="AI650" s="1927"/>
      <c r="AJ650" s="1927"/>
      <c r="AK650" s="1927"/>
      <c r="AL650" s="1927"/>
      <c r="AN650" s="632"/>
    </row>
    <row r="651" spans="1:42" s="585" customFormat="1" ht="12.75" customHeight="1">
      <c r="B651" s="571"/>
      <c r="C651" s="574"/>
      <c r="D651" s="571"/>
      <c r="E651" s="1980"/>
      <c r="F651" s="1980"/>
      <c r="G651" s="1980"/>
      <c r="H651" s="1980"/>
      <c r="I651" s="1980"/>
      <c r="J651" s="1980"/>
      <c r="K651" s="1980"/>
      <c r="L651" s="1980"/>
      <c r="M651" s="1980"/>
      <c r="N651" s="1980"/>
      <c r="O651" s="1980"/>
      <c r="P651" s="1980"/>
      <c r="Q651" s="1980"/>
      <c r="R651" s="1980"/>
      <c r="S651" s="1980"/>
      <c r="T651" s="1980"/>
      <c r="U651" s="1980"/>
      <c r="V651" s="1980"/>
      <c r="W651" s="1980"/>
      <c r="X651" s="1980"/>
      <c r="Y651" s="1980"/>
      <c r="Z651" s="1980"/>
      <c r="AA651" s="1980"/>
      <c r="AB651" s="1980"/>
      <c r="AC651" s="1980"/>
      <c r="AD651" s="571"/>
      <c r="AE651" s="571"/>
      <c r="AF651" s="571"/>
      <c r="AG651" s="571"/>
      <c r="AH651" s="571"/>
      <c r="AI651" s="571"/>
      <c r="AJ651" s="571"/>
      <c r="AK651" s="571"/>
      <c r="AL651" s="571"/>
      <c r="AN651" s="632"/>
    </row>
    <row r="652" spans="1:42" s="585" customFormat="1" ht="15" customHeight="1">
      <c r="B652" s="571"/>
      <c r="C652" s="574"/>
      <c r="D652" s="698"/>
      <c r="E652" s="1980"/>
      <c r="F652" s="1980"/>
      <c r="G652" s="1980"/>
      <c r="H652" s="1980"/>
      <c r="I652" s="1980"/>
      <c r="J652" s="1980"/>
      <c r="K652" s="1980"/>
      <c r="L652" s="1980"/>
      <c r="M652" s="1980"/>
      <c r="N652" s="1980"/>
      <c r="O652" s="1980"/>
      <c r="P652" s="1980"/>
      <c r="Q652" s="1980"/>
      <c r="R652" s="1980"/>
      <c r="S652" s="1980"/>
      <c r="T652" s="1980"/>
      <c r="U652" s="1980"/>
      <c r="V652" s="1980"/>
      <c r="W652" s="1980"/>
      <c r="X652" s="1980"/>
      <c r="Y652" s="1980"/>
      <c r="Z652" s="1980"/>
      <c r="AA652" s="1980"/>
      <c r="AB652" s="1980"/>
      <c r="AC652" s="1980"/>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80" t="s">
        <v>1594</v>
      </c>
      <c r="F654" s="1980"/>
      <c r="G654" s="1980"/>
      <c r="H654" s="1980"/>
      <c r="I654" s="1980"/>
      <c r="J654" s="1980"/>
      <c r="K654" s="1980"/>
      <c r="L654" s="1980"/>
      <c r="M654" s="1980"/>
      <c r="N654" s="1980"/>
      <c r="O654" s="1980"/>
      <c r="P654" s="1980"/>
      <c r="Q654" s="1980"/>
      <c r="R654" s="1980"/>
      <c r="S654" s="1980"/>
      <c r="T654" s="1980"/>
      <c r="U654" s="1980"/>
      <c r="V654" s="1980"/>
      <c r="W654" s="1980"/>
      <c r="X654" s="1980"/>
      <c r="Y654" s="1980"/>
      <c r="Z654" s="1980"/>
      <c r="AA654" s="1980"/>
      <c r="AB654" s="1980"/>
      <c r="AC654" s="1980"/>
      <c r="AD654" s="571"/>
      <c r="AE654" s="571"/>
      <c r="AF654" s="1927" t="s">
        <v>1526</v>
      </c>
      <c r="AG654" s="1927"/>
      <c r="AH654" s="1927"/>
      <c r="AI654" s="1927"/>
      <c r="AJ654" s="1927"/>
      <c r="AK654" s="1927"/>
      <c r="AL654" s="1927"/>
      <c r="AN654" s="632"/>
    </row>
    <row r="655" spans="1:42" s="585" customFormat="1" ht="12.75" customHeight="1">
      <c r="B655" s="571"/>
      <c r="C655" s="968"/>
      <c r="D655" s="571"/>
      <c r="E655" s="1980"/>
      <c r="F655" s="1980"/>
      <c r="G655" s="1980"/>
      <c r="H655" s="1980"/>
      <c r="I655" s="1980"/>
      <c r="J655" s="1980"/>
      <c r="K655" s="1980"/>
      <c r="L655" s="1980"/>
      <c r="M655" s="1980"/>
      <c r="N655" s="1980"/>
      <c r="O655" s="1980"/>
      <c r="P655" s="1980"/>
      <c r="Q655" s="1980"/>
      <c r="R655" s="1980"/>
      <c r="S655" s="1980"/>
      <c r="T655" s="1980"/>
      <c r="U655" s="1980"/>
      <c r="V655" s="1980"/>
      <c r="W655" s="1980"/>
      <c r="X655" s="1980"/>
      <c r="Y655" s="1980"/>
      <c r="Z655" s="1980"/>
      <c r="AA655" s="1980"/>
      <c r="AB655" s="1980"/>
      <c r="AC655" s="1980"/>
      <c r="AD655" s="571"/>
      <c r="AE655" s="1927"/>
      <c r="AF655" s="1927"/>
      <c r="AG655" s="1927"/>
      <c r="AH655" s="1927"/>
      <c r="AI655" s="1927"/>
      <c r="AJ655" s="1927"/>
      <c r="AK655" s="1927"/>
      <c r="AL655" s="629"/>
      <c r="AN655" s="632"/>
      <c r="AO655" s="585" t="s">
        <v>600</v>
      </c>
      <c r="AP655" s="708">
        <v>0</v>
      </c>
    </row>
    <row r="656" spans="1:42" s="585" customFormat="1" ht="12.75" customHeight="1">
      <c r="A656" s="714"/>
      <c r="B656" s="571"/>
      <c r="C656" s="571"/>
      <c r="D656" s="698"/>
      <c r="E656" s="1980"/>
      <c r="F656" s="1980"/>
      <c r="G656" s="1980"/>
      <c r="H656" s="1980"/>
      <c r="I656" s="1980"/>
      <c r="J656" s="1980"/>
      <c r="K656" s="1980"/>
      <c r="L656" s="1980"/>
      <c r="M656" s="1980"/>
      <c r="N656" s="1980"/>
      <c r="O656" s="1980"/>
      <c r="P656" s="1980"/>
      <c r="Q656" s="1980"/>
      <c r="R656" s="1980"/>
      <c r="S656" s="1980"/>
      <c r="T656" s="1980"/>
      <c r="U656" s="1980"/>
      <c r="V656" s="1980"/>
      <c r="W656" s="1980"/>
      <c r="X656" s="1980"/>
      <c r="Y656" s="1980"/>
      <c r="Z656" s="1980"/>
      <c r="AA656" s="1980"/>
      <c r="AB656" s="1980"/>
      <c r="AC656" s="1980"/>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1571</v>
      </c>
      <c r="E658" s="1980" t="s">
        <v>1595</v>
      </c>
      <c r="F658" s="1980"/>
      <c r="G658" s="1980"/>
      <c r="H658" s="1980"/>
      <c r="I658" s="1980"/>
      <c r="J658" s="1980"/>
      <c r="K658" s="1980"/>
      <c r="L658" s="1980"/>
      <c r="M658" s="1980"/>
      <c r="N658" s="1980"/>
      <c r="O658" s="1980"/>
      <c r="P658" s="1980"/>
      <c r="Q658" s="1980"/>
      <c r="R658" s="1980"/>
      <c r="S658" s="1980"/>
      <c r="T658" s="1980"/>
      <c r="U658" s="1980"/>
      <c r="V658" s="1980"/>
      <c r="W658" s="1980"/>
      <c r="X658" s="1980"/>
      <c r="Y658" s="1980"/>
      <c r="Z658" s="1980"/>
      <c r="AA658" s="1980"/>
      <c r="AB658" s="1980"/>
      <c r="AC658" s="1980"/>
      <c r="AD658" s="571"/>
      <c r="AE658" s="571"/>
      <c r="AF658" s="1927" t="s">
        <v>1573</v>
      </c>
      <c r="AG658" s="1927"/>
      <c r="AH658" s="1927"/>
      <c r="AI658" s="1927"/>
      <c r="AJ658" s="1927"/>
      <c r="AK658" s="1927"/>
      <c r="AL658" s="1927"/>
      <c r="AN658" s="632"/>
    </row>
    <row r="659" spans="1:42" s="585" customFormat="1" ht="12.75" customHeight="1">
      <c r="A659" s="705"/>
      <c r="B659" s="571"/>
      <c r="C659" s="984"/>
      <c r="D659" s="698"/>
      <c r="E659" s="1980"/>
      <c r="F659" s="1980"/>
      <c r="G659" s="1980"/>
      <c r="H659" s="1980"/>
      <c r="I659" s="1980"/>
      <c r="J659" s="1980"/>
      <c r="K659" s="1980"/>
      <c r="L659" s="1980"/>
      <c r="M659" s="1980"/>
      <c r="N659" s="1980"/>
      <c r="O659" s="1980"/>
      <c r="P659" s="1980"/>
      <c r="Q659" s="1980"/>
      <c r="R659" s="1980"/>
      <c r="S659" s="1980"/>
      <c r="T659" s="1980"/>
      <c r="U659" s="1980"/>
      <c r="V659" s="1980"/>
      <c r="W659" s="1980"/>
      <c r="X659" s="1980"/>
      <c r="Y659" s="1980"/>
      <c r="Z659" s="1980"/>
      <c r="AA659" s="1980"/>
      <c r="AB659" s="1980"/>
      <c r="AC659" s="1980"/>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80"/>
      <c r="F660" s="1980"/>
      <c r="G660" s="1980"/>
      <c r="H660" s="1980"/>
      <c r="I660" s="1980"/>
      <c r="J660" s="1980"/>
      <c r="K660" s="1980"/>
      <c r="L660" s="1980"/>
      <c r="M660" s="1980"/>
      <c r="N660" s="1980"/>
      <c r="O660" s="1980"/>
      <c r="P660" s="1980"/>
      <c r="Q660" s="1980"/>
      <c r="R660" s="1980"/>
      <c r="S660" s="1980"/>
      <c r="T660" s="1980"/>
      <c r="U660" s="1980"/>
      <c r="V660" s="1980"/>
      <c r="W660" s="1980"/>
      <c r="X660" s="1980"/>
      <c r="Y660" s="1980"/>
      <c r="Z660" s="1980"/>
      <c r="AA660" s="1980"/>
      <c r="AB660" s="1980"/>
      <c r="AC660" s="1980"/>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80" t="s">
        <v>1596</v>
      </c>
      <c r="F662" s="1980"/>
      <c r="G662" s="1980"/>
      <c r="H662" s="1980"/>
      <c r="I662" s="1980"/>
      <c r="J662" s="1980"/>
      <c r="K662" s="1980"/>
      <c r="L662" s="1980"/>
      <c r="M662" s="1980"/>
      <c r="N662" s="1980"/>
      <c r="O662" s="1980"/>
      <c r="P662" s="1980"/>
      <c r="Q662" s="1980"/>
      <c r="R662" s="1980"/>
      <c r="S662" s="1980"/>
      <c r="T662" s="1980"/>
      <c r="U662" s="1980"/>
      <c r="V662" s="1980"/>
      <c r="W662" s="1980"/>
      <c r="X662" s="1980"/>
      <c r="Y662" s="1980"/>
      <c r="Z662" s="1980"/>
      <c r="AA662" s="1980"/>
      <c r="AB662" s="1980"/>
      <c r="AC662" s="1980"/>
      <c r="AD662" s="571"/>
      <c r="AE662" s="571"/>
      <c r="AF662" s="1927" t="s">
        <v>1526</v>
      </c>
      <c r="AG662" s="1927"/>
      <c r="AH662" s="1927"/>
      <c r="AI662" s="1927"/>
      <c r="AJ662" s="1927"/>
      <c r="AK662" s="1927"/>
      <c r="AL662" s="1927"/>
      <c r="AM662" s="631"/>
      <c r="AN662" s="632"/>
    </row>
    <row r="663" spans="1:42" s="585" customFormat="1" ht="12.75" customHeight="1">
      <c r="B663" s="571"/>
      <c r="C663" s="968"/>
      <c r="D663" s="698"/>
      <c r="E663" s="1980"/>
      <c r="F663" s="1980"/>
      <c r="G663" s="1980"/>
      <c r="H663" s="1980"/>
      <c r="I663" s="1980"/>
      <c r="J663" s="1980"/>
      <c r="K663" s="1980"/>
      <c r="L663" s="1980"/>
      <c r="M663" s="1980"/>
      <c r="N663" s="1980"/>
      <c r="O663" s="1980"/>
      <c r="P663" s="1980"/>
      <c r="Q663" s="1980"/>
      <c r="R663" s="1980"/>
      <c r="S663" s="1980"/>
      <c r="T663" s="1980"/>
      <c r="U663" s="1980"/>
      <c r="V663" s="1980"/>
      <c r="W663" s="1980"/>
      <c r="X663" s="1980"/>
      <c r="Y663" s="1980"/>
      <c r="Z663" s="1980"/>
      <c r="AA663" s="1980"/>
      <c r="AB663" s="1980"/>
      <c r="AC663" s="1980"/>
      <c r="AD663" s="571"/>
      <c r="AE663" s="571"/>
      <c r="AF663" s="571"/>
      <c r="AG663" s="571"/>
      <c r="AH663" s="571"/>
      <c r="AI663" s="571"/>
      <c r="AJ663" s="571"/>
      <c r="AK663" s="571"/>
      <c r="AL663" s="571"/>
      <c r="AM663" s="631"/>
      <c r="AN663" s="632"/>
    </row>
    <row r="664" spans="1:42" s="585" customFormat="1" ht="12.75" customHeight="1">
      <c r="B664" s="571"/>
      <c r="C664" s="968"/>
      <c r="D664" s="698"/>
      <c r="E664" s="1980"/>
      <c r="F664" s="1980"/>
      <c r="G664" s="1980"/>
      <c r="H664" s="1980"/>
      <c r="I664" s="1980"/>
      <c r="J664" s="1980"/>
      <c r="K664" s="1980"/>
      <c r="L664" s="1980"/>
      <c r="M664" s="1980"/>
      <c r="N664" s="1980"/>
      <c r="O664" s="1980"/>
      <c r="P664" s="1980"/>
      <c r="Q664" s="1980"/>
      <c r="R664" s="1980"/>
      <c r="S664" s="1980"/>
      <c r="T664" s="1980"/>
      <c r="U664" s="1980"/>
      <c r="V664" s="1980"/>
      <c r="W664" s="1980"/>
      <c r="X664" s="1980"/>
      <c r="Y664" s="1980"/>
      <c r="Z664" s="1980"/>
      <c r="AA664" s="1980"/>
      <c r="AB664" s="1980"/>
      <c r="AC664" s="1980"/>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80" t="s">
        <v>1597</v>
      </c>
      <c r="F666" s="1980"/>
      <c r="G666" s="1980"/>
      <c r="H666" s="1980"/>
      <c r="I666" s="1980"/>
      <c r="J666" s="1980"/>
      <c r="K666" s="1980"/>
      <c r="L666" s="1980"/>
      <c r="M666" s="1980"/>
      <c r="N666" s="1980"/>
      <c r="O666" s="1980"/>
      <c r="P666" s="1980"/>
      <c r="Q666" s="1980"/>
      <c r="R666" s="1980"/>
      <c r="S666" s="1980"/>
      <c r="T666" s="1980"/>
      <c r="U666" s="1980"/>
      <c r="V666" s="1980"/>
      <c r="W666" s="1980"/>
      <c r="X666" s="1980"/>
      <c r="Y666" s="1980"/>
      <c r="Z666" s="1980"/>
      <c r="AA666" s="1980"/>
      <c r="AB666" s="1980"/>
      <c r="AC666" s="1980"/>
      <c r="AD666" s="571"/>
      <c r="AE666" s="571"/>
      <c r="AF666" s="1927" t="s">
        <v>1582</v>
      </c>
      <c r="AG666" s="1927"/>
      <c r="AH666" s="1927"/>
      <c r="AI666" s="1927"/>
      <c r="AJ666" s="1927"/>
      <c r="AK666" s="1927"/>
      <c r="AL666" s="1927"/>
      <c r="AM666" s="631"/>
      <c r="AN666" s="632"/>
    </row>
    <row r="667" spans="1:42" s="585" customFormat="1" ht="12.75" customHeight="1">
      <c r="A667" s="714"/>
      <c r="B667" s="571"/>
      <c r="C667" s="968"/>
      <c r="D667" s="698"/>
      <c r="E667" s="1980"/>
      <c r="F667" s="1980"/>
      <c r="G667" s="1980"/>
      <c r="H667" s="1980"/>
      <c r="I667" s="1980"/>
      <c r="J667" s="1980"/>
      <c r="K667" s="1980"/>
      <c r="L667" s="1980"/>
      <c r="M667" s="1980"/>
      <c r="N667" s="1980"/>
      <c r="O667" s="1980"/>
      <c r="P667" s="1980"/>
      <c r="Q667" s="1980"/>
      <c r="R667" s="1980"/>
      <c r="S667" s="1980"/>
      <c r="T667" s="1980"/>
      <c r="U667" s="1980"/>
      <c r="V667" s="1980"/>
      <c r="W667" s="1980"/>
      <c r="X667" s="1980"/>
      <c r="Y667" s="1980"/>
      <c r="Z667" s="1980"/>
      <c r="AA667" s="1980"/>
      <c r="AB667" s="1980"/>
      <c r="AC667" s="1980"/>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80"/>
      <c r="F668" s="1980"/>
      <c r="G668" s="1980"/>
      <c r="H668" s="1980"/>
      <c r="I668" s="1980"/>
      <c r="J668" s="1980"/>
      <c r="K668" s="1980"/>
      <c r="L668" s="1980"/>
      <c r="M668" s="1980"/>
      <c r="N668" s="1980"/>
      <c r="O668" s="1980"/>
      <c r="P668" s="1980"/>
      <c r="Q668" s="1980"/>
      <c r="R668" s="1980"/>
      <c r="S668" s="1980"/>
      <c r="T668" s="1980"/>
      <c r="U668" s="1980"/>
      <c r="V668" s="1980"/>
      <c r="W668" s="1980"/>
      <c r="X668" s="1980"/>
      <c r="Y668" s="1980"/>
      <c r="Z668" s="1980"/>
      <c r="AA668" s="1980"/>
      <c r="AB668" s="1980"/>
      <c r="AC668" s="1980"/>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1585</v>
      </c>
      <c r="E670" s="1980" t="s">
        <v>1598</v>
      </c>
      <c r="F670" s="1980"/>
      <c r="G670" s="1980"/>
      <c r="H670" s="1980"/>
      <c r="I670" s="1980"/>
      <c r="J670" s="1980"/>
      <c r="K670" s="1980"/>
      <c r="L670" s="1980"/>
      <c r="M670" s="1980"/>
      <c r="N670" s="1980"/>
      <c r="O670" s="1980"/>
      <c r="P670" s="1980"/>
      <c r="Q670" s="1980"/>
      <c r="R670" s="1980"/>
      <c r="S670" s="1980"/>
      <c r="T670" s="1980"/>
      <c r="U670" s="1980"/>
      <c r="V670" s="1980"/>
      <c r="W670" s="1980"/>
      <c r="X670" s="1980"/>
      <c r="Y670" s="1980"/>
      <c r="Z670" s="1980"/>
      <c r="AA670" s="1980"/>
      <c r="AB670" s="1980"/>
      <c r="AC670" s="1980"/>
      <c r="AD670" s="571"/>
      <c r="AE670" s="571"/>
      <c r="AF670" s="1927" t="s">
        <v>1599</v>
      </c>
      <c r="AG670" s="1927"/>
      <c r="AH670" s="1927"/>
      <c r="AI670" s="1927"/>
      <c r="AJ670" s="1927"/>
      <c r="AK670" s="1927"/>
      <c r="AL670" s="1927"/>
      <c r="AM670" s="631"/>
      <c r="AN670" s="632"/>
      <c r="AO670" s="646" t="s">
        <v>697</v>
      </c>
      <c r="AP670" s="585">
        <v>3</v>
      </c>
    </row>
    <row r="671" spans="1:42" s="585" customFormat="1" ht="12.75" customHeight="1">
      <c r="A671" s="714"/>
      <c r="B671" s="571"/>
      <c r="C671" s="968"/>
      <c r="D671" s="698"/>
      <c r="E671" s="1980"/>
      <c r="F671" s="1980"/>
      <c r="G671" s="1980"/>
      <c r="H671" s="1980"/>
      <c r="I671" s="1980"/>
      <c r="J671" s="1980"/>
      <c r="K671" s="1980"/>
      <c r="L671" s="1980"/>
      <c r="M671" s="1980"/>
      <c r="N671" s="1980"/>
      <c r="O671" s="1980"/>
      <c r="P671" s="1980"/>
      <c r="Q671" s="1980"/>
      <c r="R671" s="1980"/>
      <c r="S671" s="1980"/>
      <c r="T671" s="1980"/>
      <c r="U671" s="1980"/>
      <c r="V671" s="1980"/>
      <c r="W671" s="1980"/>
      <c r="X671" s="1980"/>
      <c r="Y671" s="1980"/>
      <c r="Z671" s="1980"/>
      <c r="AA671" s="1980"/>
      <c r="AB671" s="1980"/>
      <c r="AC671" s="1980"/>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80"/>
      <c r="F672" s="1980"/>
      <c r="G672" s="1980"/>
      <c r="H672" s="1980"/>
      <c r="I672" s="1980"/>
      <c r="J672" s="1980"/>
      <c r="K672" s="1980"/>
      <c r="L672" s="1980"/>
      <c r="M672" s="1980"/>
      <c r="N672" s="1980"/>
      <c r="O672" s="1980"/>
      <c r="P672" s="1980"/>
      <c r="Q672" s="1980"/>
      <c r="R672" s="1980"/>
      <c r="S672" s="1980"/>
      <c r="T672" s="1980"/>
      <c r="U672" s="1980"/>
      <c r="V672" s="1980"/>
      <c r="W672" s="1980"/>
      <c r="X672" s="1980"/>
      <c r="Y672" s="1980"/>
      <c r="Z672" s="1980"/>
      <c r="AA672" s="1980"/>
      <c r="AB672" s="1980"/>
      <c r="AC672" s="1980"/>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2009" t="s">
        <v>279</v>
      </c>
      <c r="I674" s="200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60">
        <f>VLOOKUP($H$674,$AO$622:$AP$629,2,FALSE)</f>
        <v>3</v>
      </c>
      <c r="AK676" s="196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80" t="s">
        <v>2563</v>
      </c>
      <c r="F680" s="1980"/>
      <c r="G680" s="1980"/>
      <c r="H680" s="1980"/>
      <c r="I680" s="1980"/>
      <c r="J680" s="1980"/>
      <c r="K680" s="1980"/>
      <c r="L680" s="1980"/>
      <c r="M680" s="1980"/>
      <c r="N680" s="1980"/>
      <c r="O680" s="1980"/>
      <c r="P680" s="1980"/>
      <c r="Q680" s="1980"/>
      <c r="R680" s="1980"/>
      <c r="S680" s="1980"/>
      <c r="T680" s="1980"/>
      <c r="U680" s="1980"/>
      <c r="V680" s="1980"/>
      <c r="W680" s="1980"/>
      <c r="X680" s="1980"/>
      <c r="Y680" s="1980"/>
      <c r="Z680" s="1980"/>
      <c r="AA680" s="1980"/>
      <c r="AB680" s="1980"/>
      <c r="AC680" s="571"/>
      <c r="AD680" s="571"/>
      <c r="AE680" s="571"/>
      <c r="AF680" s="1927" t="s">
        <v>1526</v>
      </c>
      <c r="AG680" s="1927"/>
      <c r="AH680" s="1927"/>
      <c r="AI680" s="1927"/>
      <c r="AJ680" s="1927"/>
      <c r="AK680" s="1927"/>
      <c r="AL680" s="1927"/>
      <c r="AN680" s="632"/>
    </row>
    <row r="681" spans="1:42" s="585" customFormat="1" ht="12.75" customHeight="1">
      <c r="B681" s="571"/>
      <c r="C681" s="977"/>
      <c r="D681" s="698"/>
      <c r="E681" s="1980"/>
      <c r="F681" s="1980"/>
      <c r="G681" s="1980"/>
      <c r="H681" s="1980"/>
      <c r="I681" s="1980"/>
      <c r="J681" s="1980"/>
      <c r="K681" s="1980"/>
      <c r="L681" s="1980"/>
      <c r="M681" s="1980"/>
      <c r="N681" s="1980"/>
      <c r="O681" s="1980"/>
      <c r="P681" s="1980"/>
      <c r="Q681" s="1980"/>
      <c r="R681" s="1980"/>
      <c r="S681" s="1980"/>
      <c r="T681" s="1980"/>
      <c r="U681" s="1980"/>
      <c r="V681" s="1980"/>
      <c r="W681" s="1980"/>
      <c r="X681" s="1980"/>
      <c r="Y681" s="1980"/>
      <c r="Z681" s="1980"/>
      <c r="AA681" s="1980"/>
      <c r="AB681" s="1980"/>
      <c r="AC681" s="571"/>
      <c r="AD681" s="571"/>
      <c r="AE681" s="651"/>
      <c r="AF681" s="571"/>
      <c r="AG681" s="571"/>
      <c r="AH681" s="571"/>
      <c r="AI681" s="571"/>
      <c r="AJ681" s="571"/>
      <c r="AK681" s="571"/>
      <c r="AL681" s="571"/>
      <c r="AN681" s="632"/>
      <c r="AO681" s="2012"/>
      <c r="AP681" s="2012"/>
    </row>
    <row r="682" spans="1:42" s="585" customFormat="1" ht="12.75" customHeight="1">
      <c r="B682" s="571"/>
      <c r="C682" s="977"/>
      <c r="D682" s="698"/>
      <c r="E682" s="1980"/>
      <c r="F682" s="1980"/>
      <c r="G682" s="1980"/>
      <c r="H682" s="1980"/>
      <c r="I682" s="1980"/>
      <c r="J682" s="1980"/>
      <c r="K682" s="1980"/>
      <c r="L682" s="1980"/>
      <c r="M682" s="1980"/>
      <c r="N682" s="1980"/>
      <c r="O682" s="1980"/>
      <c r="P682" s="1980"/>
      <c r="Q682" s="1980"/>
      <c r="R682" s="1980"/>
      <c r="S682" s="1980"/>
      <c r="T682" s="1980"/>
      <c r="U682" s="1980"/>
      <c r="V682" s="1980"/>
      <c r="W682" s="1980"/>
      <c r="X682" s="1980"/>
      <c r="Y682" s="1980"/>
      <c r="Z682" s="1980"/>
      <c r="AA682" s="1980"/>
      <c r="AB682" s="1980"/>
      <c r="AC682" s="571"/>
      <c r="AD682" s="571"/>
      <c r="AE682" s="651"/>
      <c r="AF682" s="651"/>
      <c r="AG682" s="651"/>
      <c r="AH682" s="651"/>
      <c r="AI682" s="651"/>
      <c r="AJ682" s="651"/>
      <c r="AK682" s="651"/>
      <c r="AL682" s="651"/>
      <c r="AN682" s="632"/>
    </row>
    <row r="683" spans="1:42" s="585" customFormat="1" ht="28.5" customHeight="1">
      <c r="B683" s="571"/>
      <c r="C683" s="977"/>
      <c r="D683" s="698"/>
      <c r="E683" s="1980"/>
      <c r="F683" s="1980"/>
      <c r="G683" s="1980"/>
      <c r="H683" s="1980"/>
      <c r="I683" s="1980"/>
      <c r="J683" s="1980"/>
      <c r="K683" s="1980"/>
      <c r="L683" s="1980"/>
      <c r="M683" s="1980"/>
      <c r="N683" s="1980"/>
      <c r="O683" s="1980"/>
      <c r="P683" s="1980"/>
      <c r="Q683" s="1980"/>
      <c r="R683" s="1980"/>
      <c r="S683" s="1980"/>
      <c r="T683" s="1980"/>
      <c r="U683" s="1980"/>
      <c r="V683" s="1980"/>
      <c r="W683" s="1980"/>
      <c r="X683" s="1980"/>
      <c r="Y683" s="1980"/>
      <c r="Z683" s="1980"/>
      <c r="AA683" s="1980"/>
      <c r="AB683" s="1980"/>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80" t="s">
        <v>2564</v>
      </c>
      <c r="F685" s="1980"/>
      <c r="G685" s="1980"/>
      <c r="H685" s="1980"/>
      <c r="I685" s="1980"/>
      <c r="J685" s="1980"/>
      <c r="K685" s="1980"/>
      <c r="L685" s="1980"/>
      <c r="M685" s="1980"/>
      <c r="N685" s="1980"/>
      <c r="O685" s="1980"/>
      <c r="P685" s="1980"/>
      <c r="Q685" s="1980"/>
      <c r="R685" s="1980"/>
      <c r="S685" s="1980"/>
      <c r="T685" s="1980"/>
      <c r="U685" s="1980"/>
      <c r="V685" s="1980"/>
      <c r="W685" s="1980"/>
      <c r="X685" s="1980"/>
      <c r="Y685" s="1980"/>
      <c r="Z685" s="1980"/>
      <c r="AA685" s="1980"/>
      <c r="AB685" s="1980"/>
      <c r="AC685" s="571"/>
      <c r="AD685" s="571"/>
      <c r="AE685" s="571"/>
      <c r="AF685" s="1927" t="s">
        <v>1582</v>
      </c>
      <c r="AG685" s="1927"/>
      <c r="AH685" s="1927"/>
      <c r="AI685" s="1927"/>
      <c r="AJ685" s="1927"/>
      <c r="AK685" s="1927"/>
      <c r="AL685" s="1927"/>
      <c r="AN685" s="632"/>
      <c r="AO685" s="646" t="s">
        <v>518</v>
      </c>
      <c r="AP685" s="585">
        <v>1</v>
      </c>
    </row>
    <row r="686" spans="1:42" s="585" customFormat="1" ht="12" customHeight="1">
      <c r="B686" s="571"/>
      <c r="C686" s="968"/>
      <c r="D686" s="571"/>
      <c r="E686" s="1980"/>
      <c r="F686" s="1980"/>
      <c r="G686" s="1980"/>
      <c r="H686" s="1980"/>
      <c r="I686" s="1980"/>
      <c r="J686" s="1980"/>
      <c r="K686" s="1980"/>
      <c r="L686" s="1980"/>
      <c r="M686" s="1980"/>
      <c r="N686" s="1980"/>
      <c r="O686" s="1980"/>
      <c r="P686" s="1980"/>
      <c r="Q686" s="1980"/>
      <c r="R686" s="1980"/>
      <c r="S686" s="1980"/>
      <c r="T686" s="1980"/>
      <c r="U686" s="1980"/>
      <c r="V686" s="1980"/>
      <c r="W686" s="1980"/>
      <c r="X686" s="1980"/>
      <c r="Y686" s="1980"/>
      <c r="Z686" s="1980"/>
      <c r="AA686" s="1980"/>
      <c r="AB686" s="1980"/>
      <c r="AC686" s="571"/>
      <c r="AD686" s="571"/>
      <c r="AE686" s="651"/>
      <c r="AF686" s="571"/>
      <c r="AG686" s="571"/>
      <c r="AH686" s="571"/>
      <c r="AI686" s="571"/>
      <c r="AJ686" s="571"/>
      <c r="AK686" s="571"/>
      <c r="AL686" s="571"/>
      <c r="AN686" s="632"/>
    </row>
    <row r="687" spans="1:42" s="585" customFormat="1" ht="12" customHeight="1">
      <c r="B687" s="571"/>
      <c r="C687" s="968"/>
      <c r="D687" s="571"/>
      <c r="E687" s="1980"/>
      <c r="F687" s="1980"/>
      <c r="G687" s="1980"/>
      <c r="H687" s="1980"/>
      <c r="I687" s="1980"/>
      <c r="J687" s="1980"/>
      <c r="K687" s="1980"/>
      <c r="L687" s="1980"/>
      <c r="M687" s="1980"/>
      <c r="N687" s="1980"/>
      <c r="O687" s="1980"/>
      <c r="P687" s="1980"/>
      <c r="Q687" s="1980"/>
      <c r="R687" s="1980"/>
      <c r="S687" s="1980"/>
      <c r="T687" s="1980"/>
      <c r="U687" s="1980"/>
      <c r="V687" s="1980"/>
      <c r="W687" s="1980"/>
      <c r="X687" s="1980"/>
      <c r="Y687" s="1980"/>
      <c r="Z687" s="1980"/>
      <c r="AA687" s="1980"/>
      <c r="AB687" s="1980"/>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80"/>
      <c r="F688" s="1980"/>
      <c r="G688" s="1980"/>
      <c r="H688" s="1980"/>
      <c r="I688" s="1980"/>
      <c r="J688" s="1980"/>
      <c r="K688" s="1980"/>
      <c r="L688" s="1980"/>
      <c r="M688" s="1980"/>
      <c r="N688" s="1980"/>
      <c r="O688" s="1980"/>
      <c r="P688" s="1980"/>
      <c r="Q688" s="1980"/>
      <c r="R688" s="1980"/>
      <c r="S688" s="1980"/>
      <c r="T688" s="1980"/>
      <c r="U688" s="1980"/>
      <c r="V688" s="1980"/>
      <c r="W688" s="1980"/>
      <c r="X688" s="1980"/>
      <c r="Y688" s="1980"/>
      <c r="Z688" s="1980"/>
      <c r="AA688" s="1980"/>
      <c r="AB688" s="1980"/>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80" t="s">
        <v>1955</v>
      </c>
      <c r="F690" s="1980"/>
      <c r="G690" s="1980"/>
      <c r="H690" s="1980"/>
      <c r="I690" s="1980"/>
      <c r="J690" s="1980"/>
      <c r="K690" s="1980"/>
      <c r="L690" s="1980"/>
      <c r="M690" s="1980"/>
      <c r="N690" s="1980"/>
      <c r="O690" s="1980"/>
      <c r="P690" s="1980"/>
      <c r="Q690" s="1980"/>
      <c r="R690" s="1980"/>
      <c r="S690" s="1980"/>
      <c r="T690" s="1980"/>
      <c r="U690" s="1980"/>
      <c r="V690" s="1980"/>
      <c r="W690" s="1980"/>
      <c r="X690" s="1980"/>
      <c r="Y690" s="1980"/>
      <c r="Z690" s="1980"/>
      <c r="AA690" s="1980"/>
      <c r="AB690" s="1980"/>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80"/>
      <c r="F691" s="1980"/>
      <c r="G691" s="1980"/>
      <c r="H691" s="1980"/>
      <c r="I691" s="1980"/>
      <c r="J691" s="1980"/>
      <c r="K691" s="1980"/>
      <c r="L691" s="1980"/>
      <c r="M691" s="1980"/>
      <c r="N691" s="1980"/>
      <c r="O691" s="1980"/>
      <c r="P691" s="1980"/>
      <c r="Q691" s="1980"/>
      <c r="R691" s="1980"/>
      <c r="S691" s="1980"/>
      <c r="T691" s="1980"/>
      <c r="U691" s="1980"/>
      <c r="V691" s="1980"/>
      <c r="W691" s="1980"/>
      <c r="X691" s="1980"/>
      <c r="Y691" s="1980"/>
      <c r="Z691" s="1980"/>
      <c r="AA691" s="1980"/>
      <c r="AB691" s="1980"/>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80"/>
      <c r="F692" s="1980"/>
      <c r="G692" s="1980"/>
      <c r="H692" s="1980"/>
      <c r="I692" s="1980"/>
      <c r="J692" s="1980"/>
      <c r="K692" s="1980"/>
      <c r="L692" s="1980"/>
      <c r="M692" s="1980"/>
      <c r="N692" s="1980"/>
      <c r="O692" s="1980"/>
      <c r="P692" s="1980"/>
      <c r="Q692" s="1980"/>
      <c r="R692" s="1980"/>
      <c r="S692" s="1980"/>
      <c r="T692" s="1980"/>
      <c r="U692" s="1980"/>
      <c r="V692" s="1980"/>
      <c r="W692" s="1980"/>
      <c r="X692" s="1980"/>
      <c r="Y692" s="1980"/>
      <c r="Z692" s="1980"/>
      <c r="AA692" s="1980"/>
      <c r="AB692" s="1980"/>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2009" t="s">
        <v>600</v>
      </c>
      <c r="I694" s="200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2566</v>
      </c>
      <c r="AJ696" s="1960">
        <f>VLOOKUP($H$694,$AO$641:$AP$643,2,FALSE)</f>
        <v>0</v>
      </c>
      <c r="AK696" s="1962"/>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697</v>
      </c>
      <c r="E700" s="2013" t="s">
        <v>1957</v>
      </c>
      <c r="F700" s="2013"/>
      <c r="G700" s="2013"/>
      <c r="H700" s="2013"/>
      <c r="I700" s="2013"/>
      <c r="J700" s="2013"/>
      <c r="K700" s="2013"/>
      <c r="L700" s="2013"/>
      <c r="M700" s="2013"/>
      <c r="N700" s="2013"/>
      <c r="O700" s="2013"/>
      <c r="P700" s="2013"/>
      <c r="Q700" s="2013"/>
      <c r="R700" s="2013"/>
      <c r="S700" s="2013"/>
      <c r="T700" s="2013"/>
      <c r="U700" s="2013"/>
      <c r="V700" s="2013"/>
      <c r="W700" s="2013"/>
      <c r="X700" s="2013"/>
      <c r="Y700" s="2013"/>
      <c r="Z700" s="2013"/>
      <c r="AA700" s="2013"/>
      <c r="AB700" s="2013"/>
      <c r="AC700" s="571"/>
      <c r="AD700" s="571"/>
      <c r="AE700" s="571"/>
      <c r="AF700" s="1927" t="s">
        <v>1526</v>
      </c>
      <c r="AG700" s="1927"/>
      <c r="AH700" s="1927"/>
      <c r="AI700" s="1927"/>
      <c r="AJ700" s="1927"/>
      <c r="AK700" s="1927"/>
      <c r="AL700" s="1927"/>
      <c r="AM700" s="585"/>
      <c r="AN700" s="719"/>
      <c r="AP700" s="605" t="s">
        <v>1606</v>
      </c>
    </row>
    <row r="701" spans="1:42" s="605" customFormat="1" ht="11.85" customHeight="1">
      <c r="A701" s="585"/>
      <c r="B701" s="571"/>
      <c r="C701" s="970"/>
      <c r="D701" s="698"/>
      <c r="E701" s="2013"/>
      <c r="F701" s="2013"/>
      <c r="G701" s="2013"/>
      <c r="H701" s="2013"/>
      <c r="I701" s="2013"/>
      <c r="J701" s="2013"/>
      <c r="K701" s="2013"/>
      <c r="L701" s="2013"/>
      <c r="M701" s="2013"/>
      <c r="N701" s="2013"/>
      <c r="O701" s="2013"/>
      <c r="P701" s="2013"/>
      <c r="Q701" s="2013"/>
      <c r="R701" s="2013"/>
      <c r="S701" s="2013"/>
      <c r="T701" s="2013"/>
      <c r="U701" s="2013"/>
      <c r="V701" s="2013"/>
      <c r="W701" s="2013"/>
      <c r="X701" s="2013"/>
      <c r="Y701" s="2013"/>
      <c r="Z701" s="2013"/>
      <c r="AA701" s="2013"/>
      <c r="AB701" s="2013"/>
      <c r="AC701" s="571"/>
      <c r="AD701" s="571"/>
      <c r="AE701" s="571"/>
      <c r="AF701" s="571"/>
      <c r="AG701" s="571"/>
      <c r="AH701" s="571"/>
      <c r="AI701" s="571"/>
      <c r="AJ701" s="571"/>
      <c r="AK701" s="571"/>
      <c r="AL701" s="571"/>
      <c r="AM701" s="585"/>
      <c r="AN701" s="719"/>
      <c r="AP701" s="605" t="s">
        <v>1607</v>
      </c>
    </row>
    <row r="702" spans="1:42" s="605" customFormat="1" ht="13.9" customHeight="1">
      <c r="A702" s="585"/>
      <c r="B702" s="645"/>
      <c r="C702" s="968"/>
      <c r="D702" s="698"/>
      <c r="E702" s="2013"/>
      <c r="F702" s="2013"/>
      <c r="G702" s="2013"/>
      <c r="H702" s="2013"/>
      <c r="I702" s="2013"/>
      <c r="J702" s="2013"/>
      <c r="K702" s="2013"/>
      <c r="L702" s="2013"/>
      <c r="M702" s="2013"/>
      <c r="N702" s="2013"/>
      <c r="O702" s="2013"/>
      <c r="P702" s="2013"/>
      <c r="Q702" s="2013"/>
      <c r="R702" s="2013"/>
      <c r="S702" s="2013"/>
      <c r="T702" s="2013"/>
      <c r="U702" s="2013"/>
      <c r="V702" s="2013"/>
      <c r="W702" s="2013"/>
      <c r="X702" s="2013"/>
      <c r="Y702" s="2013"/>
      <c r="Z702" s="2013"/>
      <c r="AA702" s="2013"/>
      <c r="AB702" s="2013"/>
      <c r="AC702" s="571"/>
      <c r="AD702" s="571"/>
      <c r="AE702" s="651"/>
      <c r="AF702" s="571"/>
      <c r="AG702" s="571"/>
      <c r="AH702" s="571"/>
      <c r="AI702" s="571"/>
      <c r="AJ702" s="571"/>
      <c r="AK702" s="571"/>
      <c r="AL702" s="571"/>
      <c r="AM702" s="585"/>
      <c r="AN702" s="719"/>
      <c r="AP702" s="605" t="s">
        <v>1608</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 customHeight="1">
      <c r="A704" s="585"/>
      <c r="B704" s="571"/>
      <c r="C704" s="968"/>
      <c r="D704" s="698" t="s">
        <v>518</v>
      </c>
      <c r="E704" s="2014" t="s">
        <v>1609</v>
      </c>
      <c r="F704" s="2014"/>
      <c r="G704" s="2014"/>
      <c r="H704" s="2014"/>
      <c r="I704" s="2014"/>
      <c r="J704" s="2014"/>
      <c r="K704" s="2014"/>
      <c r="L704" s="2014"/>
      <c r="M704" s="2014"/>
      <c r="N704" s="2014"/>
      <c r="O704" s="2014"/>
      <c r="P704" s="2014"/>
      <c r="Q704" s="2014"/>
      <c r="R704" s="2014"/>
      <c r="S704" s="2014"/>
      <c r="T704" s="2014"/>
      <c r="U704" s="2014"/>
      <c r="V704" s="2014"/>
      <c r="W704" s="2014"/>
      <c r="X704" s="2014"/>
      <c r="Y704" s="2014"/>
      <c r="Z704" s="2014"/>
      <c r="AA704" s="2014"/>
      <c r="AB704" s="2014"/>
      <c r="AC704" s="571"/>
      <c r="AD704" s="571"/>
      <c r="AE704" s="571"/>
      <c r="AF704" s="1927" t="s">
        <v>1582</v>
      </c>
      <c r="AG704" s="1927"/>
      <c r="AH704" s="1927"/>
      <c r="AI704" s="1927"/>
      <c r="AJ704" s="1927"/>
      <c r="AK704" s="1927"/>
      <c r="AL704" s="1927"/>
      <c r="AM704" s="585"/>
      <c r="AN704" s="720"/>
    </row>
    <row r="705" spans="1:52" s="605" customFormat="1" ht="12.75" customHeight="1">
      <c r="A705" s="585"/>
      <c r="B705" s="571"/>
      <c r="C705" s="970"/>
      <c r="D705" s="571"/>
      <c r="E705" s="2014"/>
      <c r="F705" s="2014"/>
      <c r="G705" s="2014"/>
      <c r="H705" s="2014"/>
      <c r="I705" s="2014"/>
      <c r="J705" s="2014"/>
      <c r="K705" s="2014"/>
      <c r="L705" s="2014"/>
      <c r="M705" s="2014"/>
      <c r="N705" s="2014"/>
      <c r="O705" s="2014"/>
      <c r="P705" s="2014"/>
      <c r="Q705" s="2014"/>
      <c r="R705" s="2014"/>
      <c r="S705" s="2014"/>
      <c r="T705" s="2014"/>
      <c r="U705" s="2014"/>
      <c r="V705" s="2014"/>
      <c r="W705" s="2014"/>
      <c r="X705" s="2014"/>
      <c r="Y705" s="2014"/>
      <c r="Z705" s="2014"/>
      <c r="AA705" s="2014"/>
      <c r="AB705" s="2014"/>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14"/>
      <c r="F706" s="2014"/>
      <c r="G706" s="2014"/>
      <c r="H706" s="2014"/>
      <c r="I706" s="2014"/>
      <c r="J706" s="2014"/>
      <c r="K706" s="2014"/>
      <c r="L706" s="2014"/>
      <c r="M706" s="2014"/>
      <c r="N706" s="2014"/>
      <c r="O706" s="2014"/>
      <c r="P706" s="2014"/>
      <c r="Q706" s="2014"/>
      <c r="R706" s="2014"/>
      <c r="S706" s="2014"/>
      <c r="T706" s="2014"/>
      <c r="U706" s="2014"/>
      <c r="V706" s="2014"/>
      <c r="W706" s="2014"/>
      <c r="X706" s="2014"/>
      <c r="Y706" s="2014"/>
      <c r="Z706" s="2014"/>
      <c r="AA706" s="2014"/>
      <c r="AB706" s="2014"/>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1574</v>
      </c>
      <c r="E708" s="973"/>
      <c r="F708" s="973"/>
      <c r="G708" s="973"/>
      <c r="H708" s="2009" t="s">
        <v>600</v>
      </c>
      <c r="I708" s="200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60">
        <f>VLOOKUP($H$708,$AO$641:$AP$643,2,FALSE)</f>
        <v>0</v>
      </c>
      <c r="AK710" s="1962"/>
      <c r="AL710" s="630"/>
      <c r="AM710" s="585"/>
      <c r="AN710" s="719"/>
      <c r="AP710" s="1960"/>
      <c r="AQ710" s="196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80" t="s">
        <v>1958</v>
      </c>
      <c r="F714" s="1980"/>
      <c r="G714" s="1980"/>
      <c r="H714" s="1980"/>
      <c r="I714" s="1980"/>
      <c r="J714" s="1980"/>
      <c r="K714" s="1980"/>
      <c r="L714" s="1980"/>
      <c r="M714" s="1980"/>
      <c r="N714" s="1980"/>
      <c r="O714" s="1980"/>
      <c r="P714" s="1980"/>
      <c r="Q714" s="1980"/>
      <c r="R714" s="1980"/>
      <c r="S714" s="1980"/>
      <c r="T714" s="1980"/>
      <c r="U714" s="1980"/>
      <c r="V714" s="1980"/>
      <c r="W714" s="1980"/>
      <c r="X714" s="1980"/>
      <c r="Y714" s="1980"/>
      <c r="Z714" s="1980"/>
      <c r="AA714" s="1980"/>
      <c r="AB714" s="1980"/>
      <c r="AC714" s="571"/>
      <c r="AD714" s="571"/>
      <c r="AE714" s="571"/>
      <c r="AF714" s="1927" t="s">
        <v>1526</v>
      </c>
      <c r="AG714" s="1927"/>
      <c r="AH714" s="1927"/>
      <c r="AI714" s="1927"/>
      <c r="AJ714" s="1927"/>
      <c r="AK714" s="1927"/>
      <c r="AL714" s="1927"/>
      <c r="AM714" s="585"/>
      <c r="AN714" s="719"/>
      <c r="AT714" s="14"/>
      <c r="AU714" s="14"/>
      <c r="AV714" s="14"/>
      <c r="AW714" s="14"/>
      <c r="AX714" s="14"/>
      <c r="AY714" s="14"/>
      <c r="AZ714" s="14"/>
    </row>
    <row r="715" spans="1:52" s="605" customFormat="1">
      <c r="A715" s="585"/>
      <c r="B715" s="571"/>
      <c r="C715" s="970"/>
      <c r="D715" s="698"/>
      <c r="E715" s="1980"/>
      <c r="F715" s="1980"/>
      <c r="G715" s="1980"/>
      <c r="H715" s="1980"/>
      <c r="I715" s="1980"/>
      <c r="J715" s="1980"/>
      <c r="K715" s="1980"/>
      <c r="L715" s="1980"/>
      <c r="M715" s="1980"/>
      <c r="N715" s="1980"/>
      <c r="O715" s="1980"/>
      <c r="P715" s="1980"/>
      <c r="Q715" s="1980"/>
      <c r="R715" s="1980"/>
      <c r="S715" s="1980"/>
      <c r="T715" s="1980"/>
      <c r="U715" s="1980"/>
      <c r="V715" s="1980"/>
      <c r="W715" s="1980"/>
      <c r="X715" s="1980"/>
      <c r="Y715" s="1980"/>
      <c r="Z715" s="1980"/>
      <c r="AA715" s="1980"/>
      <c r="AB715" s="1980"/>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80" t="s">
        <v>1613</v>
      </c>
      <c r="F717" s="1980"/>
      <c r="G717" s="1980"/>
      <c r="H717" s="1980"/>
      <c r="I717" s="1980"/>
      <c r="J717" s="1980"/>
      <c r="K717" s="1980"/>
      <c r="L717" s="1980"/>
      <c r="M717" s="1980"/>
      <c r="N717" s="1980"/>
      <c r="O717" s="1980"/>
      <c r="P717" s="1980"/>
      <c r="Q717" s="1980"/>
      <c r="R717" s="1980"/>
      <c r="S717" s="1980"/>
      <c r="T717" s="1980"/>
      <c r="U717" s="1980"/>
      <c r="V717" s="1980"/>
      <c r="W717" s="1980"/>
      <c r="X717" s="1980"/>
      <c r="Y717" s="1980"/>
      <c r="Z717" s="1980"/>
      <c r="AA717" s="1980"/>
      <c r="AB717" s="1980"/>
      <c r="AC717" s="571"/>
      <c r="AD717" s="571"/>
      <c r="AE717" s="571"/>
      <c r="AF717" s="1927" t="s">
        <v>1582</v>
      </c>
      <c r="AG717" s="1927"/>
      <c r="AH717" s="1927"/>
      <c r="AI717" s="1927"/>
      <c r="AJ717" s="1927"/>
      <c r="AK717" s="1927"/>
      <c r="AL717" s="1927"/>
      <c r="AM717" s="585"/>
      <c r="AN717" s="719"/>
      <c r="AT717" s="14"/>
      <c r="AU717" s="14"/>
      <c r="AV717" s="14"/>
      <c r="AW717" s="14"/>
      <c r="AX717" s="14"/>
      <c r="AY717" s="14"/>
      <c r="AZ717" s="14"/>
    </row>
    <row r="718" spans="1:52" s="605" customFormat="1">
      <c r="A718" s="585"/>
      <c r="B718" s="571"/>
      <c r="C718" s="970"/>
      <c r="D718" s="571"/>
      <c r="E718" s="1980"/>
      <c r="F718" s="1980"/>
      <c r="G718" s="1980"/>
      <c r="H718" s="1980"/>
      <c r="I718" s="1980"/>
      <c r="J718" s="1980"/>
      <c r="K718" s="1980"/>
      <c r="L718" s="1980"/>
      <c r="M718" s="1980"/>
      <c r="N718" s="1980"/>
      <c r="O718" s="1980"/>
      <c r="P718" s="1980"/>
      <c r="Q718" s="1980"/>
      <c r="R718" s="1980"/>
      <c r="S718" s="1980"/>
      <c r="T718" s="1980"/>
      <c r="U718" s="1980"/>
      <c r="V718" s="1980"/>
      <c r="W718" s="1980"/>
      <c r="X718" s="1980"/>
      <c r="Y718" s="1980"/>
      <c r="Z718" s="1980"/>
      <c r="AA718" s="1980"/>
      <c r="AB718" s="1980"/>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2009" t="s">
        <v>600</v>
      </c>
      <c r="I720" s="200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60">
        <f>VLOOKUP($H$720,$AO$655:$AP$657,2,FALSE)</f>
        <v>0</v>
      </c>
      <c r="AK722" s="196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80" t="s">
        <v>1616</v>
      </c>
      <c r="F726" s="1980"/>
      <c r="G726" s="1980"/>
      <c r="H726" s="1980"/>
      <c r="I726" s="1980"/>
      <c r="J726" s="1980"/>
      <c r="K726" s="1980"/>
      <c r="L726" s="1980"/>
      <c r="M726" s="1980"/>
      <c r="N726" s="1980"/>
      <c r="O726" s="1980"/>
      <c r="P726" s="1980"/>
      <c r="Q726" s="1980"/>
      <c r="R726" s="1980"/>
      <c r="S726" s="1980"/>
      <c r="T726" s="1980"/>
      <c r="U726" s="1980"/>
      <c r="V726" s="1980"/>
      <c r="W726" s="1980"/>
      <c r="X726" s="1980"/>
      <c r="Y726" s="1980"/>
      <c r="Z726" s="1980"/>
      <c r="AA726" s="1980"/>
      <c r="AB726" s="1980"/>
      <c r="AC726" s="571"/>
      <c r="AD726" s="571"/>
      <c r="AE726" s="571"/>
      <c r="AF726" s="1927" t="s">
        <v>1526</v>
      </c>
      <c r="AG726" s="1927"/>
      <c r="AH726" s="1927"/>
      <c r="AI726" s="1927"/>
      <c r="AJ726" s="1927"/>
      <c r="AK726" s="1927"/>
      <c r="AL726" s="1927"/>
      <c r="AM726" s="585"/>
      <c r="AN726" s="719"/>
      <c r="AT726" s="14"/>
      <c r="AU726" s="14"/>
      <c r="AV726" s="14"/>
      <c r="AW726" s="14"/>
      <c r="AX726" s="14"/>
      <c r="AY726" s="14"/>
      <c r="AZ726" s="14"/>
    </row>
    <row r="727" spans="1:81" s="605" customFormat="1">
      <c r="A727" s="585"/>
      <c r="B727" s="571"/>
      <c r="C727" s="968"/>
      <c r="D727" s="698"/>
      <c r="E727" s="1980"/>
      <c r="F727" s="1980"/>
      <c r="G727" s="1980"/>
      <c r="H727" s="1980"/>
      <c r="I727" s="1980"/>
      <c r="J727" s="1980"/>
      <c r="K727" s="1980"/>
      <c r="L727" s="1980"/>
      <c r="M727" s="1980"/>
      <c r="N727" s="1980"/>
      <c r="O727" s="1980"/>
      <c r="P727" s="1980"/>
      <c r="Q727" s="1980"/>
      <c r="R727" s="1980"/>
      <c r="S727" s="1980"/>
      <c r="T727" s="1980"/>
      <c r="U727" s="1980"/>
      <c r="V727" s="1980"/>
      <c r="W727" s="1980"/>
      <c r="X727" s="1980"/>
      <c r="Y727" s="1980"/>
      <c r="Z727" s="1980"/>
      <c r="AA727" s="1980"/>
      <c r="AB727" s="1980"/>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80"/>
      <c r="F728" s="1980"/>
      <c r="G728" s="1980"/>
      <c r="H728" s="1980"/>
      <c r="I728" s="1980"/>
      <c r="J728" s="1980"/>
      <c r="K728" s="1980"/>
      <c r="L728" s="1980"/>
      <c r="M728" s="1980"/>
      <c r="N728" s="1980"/>
      <c r="O728" s="1980"/>
      <c r="P728" s="1980"/>
      <c r="Q728" s="1980"/>
      <c r="R728" s="1980"/>
      <c r="S728" s="1980"/>
      <c r="T728" s="1980"/>
      <c r="U728" s="1980"/>
      <c r="V728" s="1980"/>
      <c r="W728" s="1980"/>
      <c r="X728" s="1980"/>
      <c r="Y728" s="1980"/>
      <c r="Z728" s="1980"/>
      <c r="AA728" s="1980"/>
      <c r="AB728" s="1980"/>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80"/>
      <c r="F729" s="1980"/>
      <c r="G729" s="1980"/>
      <c r="H729" s="1980"/>
      <c r="I729" s="1980"/>
      <c r="J729" s="1980"/>
      <c r="K729" s="1980"/>
      <c r="L729" s="1980"/>
      <c r="M729" s="1980"/>
      <c r="N729" s="1980"/>
      <c r="O729" s="1980"/>
      <c r="P729" s="1980"/>
      <c r="Q729" s="1980"/>
      <c r="R729" s="1980"/>
      <c r="S729" s="1980"/>
      <c r="T729" s="1980"/>
      <c r="U729" s="1980"/>
      <c r="V729" s="1980"/>
      <c r="W729" s="1980"/>
      <c r="X729" s="1980"/>
      <c r="Y729" s="1980"/>
      <c r="Z729" s="1980"/>
      <c r="AA729" s="1980"/>
      <c r="AB729" s="1980"/>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80" t="s">
        <v>1617</v>
      </c>
      <c r="F731" s="1980"/>
      <c r="G731" s="1980"/>
      <c r="H731" s="1980"/>
      <c r="I731" s="1980"/>
      <c r="J731" s="1980"/>
      <c r="K731" s="1980"/>
      <c r="L731" s="1980"/>
      <c r="M731" s="1980"/>
      <c r="N731" s="1980"/>
      <c r="O731" s="1980"/>
      <c r="P731" s="1980"/>
      <c r="Q731" s="1980"/>
      <c r="R731" s="1980"/>
      <c r="S731" s="1980"/>
      <c r="T731" s="1980"/>
      <c r="U731" s="1980"/>
      <c r="V731" s="1980"/>
      <c r="W731" s="1980"/>
      <c r="X731" s="1980"/>
      <c r="Y731" s="1980"/>
      <c r="Z731" s="1980"/>
      <c r="AA731" s="1980"/>
      <c r="AB731" s="610"/>
      <c r="AC731" s="571"/>
      <c r="AD731" s="571"/>
      <c r="AE731" s="571"/>
      <c r="AF731" s="1927" t="s">
        <v>1582</v>
      </c>
      <c r="AG731" s="1927"/>
      <c r="AH731" s="1927"/>
      <c r="AI731" s="1927"/>
      <c r="AJ731" s="1927"/>
      <c r="AK731" s="1927"/>
      <c r="AL731" s="1927"/>
      <c r="AM731" s="585"/>
      <c r="AN731" s="719"/>
      <c r="AO731" s="30"/>
      <c r="AP731" s="14"/>
    </row>
    <row r="732" spans="1:81" s="605" customFormat="1">
      <c r="A732" s="585"/>
      <c r="B732" s="571"/>
      <c r="C732" s="968"/>
      <c r="D732" s="698"/>
      <c r="E732" s="1980"/>
      <c r="F732" s="1980"/>
      <c r="G732" s="1980"/>
      <c r="H732" s="1980"/>
      <c r="I732" s="1980"/>
      <c r="J732" s="1980"/>
      <c r="K732" s="1980"/>
      <c r="L732" s="1980"/>
      <c r="M732" s="1980"/>
      <c r="N732" s="1980"/>
      <c r="O732" s="1980"/>
      <c r="P732" s="1980"/>
      <c r="Q732" s="1980"/>
      <c r="R732" s="1980"/>
      <c r="S732" s="1980"/>
      <c r="T732" s="1980"/>
      <c r="U732" s="1980"/>
      <c r="V732" s="1980"/>
      <c r="W732" s="1980"/>
      <c r="X732" s="1980"/>
      <c r="Y732" s="1980"/>
      <c r="Z732" s="1980"/>
      <c r="AA732" s="1980"/>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80"/>
      <c r="F733" s="1980"/>
      <c r="G733" s="1980"/>
      <c r="H733" s="1980"/>
      <c r="I733" s="1980"/>
      <c r="J733" s="1980"/>
      <c r="K733" s="1980"/>
      <c r="L733" s="1980"/>
      <c r="M733" s="1980"/>
      <c r="N733" s="1980"/>
      <c r="O733" s="1980"/>
      <c r="P733" s="1980"/>
      <c r="Q733" s="1980"/>
      <c r="R733" s="1980"/>
      <c r="S733" s="1980"/>
      <c r="T733" s="1980"/>
      <c r="U733" s="1980"/>
      <c r="V733" s="1980"/>
      <c r="W733" s="1980"/>
      <c r="X733" s="1980"/>
      <c r="Y733" s="1980"/>
      <c r="Z733" s="1980"/>
      <c r="AA733" s="1980"/>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80"/>
      <c r="F734" s="1980"/>
      <c r="G734" s="1980"/>
      <c r="H734" s="1980"/>
      <c r="I734" s="1980"/>
      <c r="J734" s="1980"/>
      <c r="K734" s="1980"/>
      <c r="L734" s="1980"/>
      <c r="M734" s="1980"/>
      <c r="N734" s="1980"/>
      <c r="O734" s="1980"/>
      <c r="P734" s="1980"/>
      <c r="Q734" s="1980"/>
      <c r="R734" s="1980"/>
      <c r="S734" s="1980"/>
      <c r="T734" s="1980"/>
      <c r="U734" s="1980"/>
      <c r="V734" s="1980"/>
      <c r="W734" s="1980"/>
      <c r="X734" s="1980"/>
      <c r="Y734" s="1980"/>
      <c r="Z734" s="1980"/>
      <c r="AA734" s="1980"/>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2009" t="s">
        <v>518</v>
      </c>
      <c r="I736" s="200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60">
        <f>VLOOKUP($H$736,$AO$669:$AP$671,2,FALSE)</f>
        <v>2</v>
      </c>
      <c r="AK738" s="196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80" t="s">
        <v>1619</v>
      </c>
      <c r="F742" s="1980"/>
      <c r="G742" s="1980"/>
      <c r="H742" s="1980"/>
      <c r="I742" s="1980"/>
      <c r="J742" s="1980"/>
      <c r="K742" s="1980"/>
      <c r="L742" s="1980"/>
      <c r="M742" s="1980"/>
      <c r="N742" s="1980"/>
      <c r="O742" s="1980"/>
      <c r="P742" s="1980"/>
      <c r="Q742" s="1980"/>
      <c r="R742" s="1980"/>
      <c r="S742" s="1980"/>
      <c r="T742" s="1980"/>
      <c r="U742" s="1980"/>
      <c r="V742" s="1980"/>
      <c r="W742" s="1980"/>
      <c r="X742" s="1980"/>
      <c r="Y742" s="1980"/>
      <c r="Z742" s="1980"/>
      <c r="AA742" s="1980"/>
      <c r="AB742" s="1980"/>
      <c r="AC742" s="571"/>
      <c r="AD742" s="571"/>
      <c r="AE742" s="571"/>
      <c r="AF742" s="1927" t="s">
        <v>1582</v>
      </c>
      <c r="AG742" s="1927"/>
      <c r="AH742" s="1927"/>
      <c r="AI742" s="1927"/>
      <c r="AJ742" s="1927"/>
      <c r="AK742" s="1927"/>
      <c r="AL742" s="192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80"/>
      <c r="F743" s="1980"/>
      <c r="G743" s="1980"/>
      <c r="H743" s="1980"/>
      <c r="I743" s="1980"/>
      <c r="J743" s="1980"/>
      <c r="K743" s="1980"/>
      <c r="L743" s="1980"/>
      <c r="M743" s="1980"/>
      <c r="N743" s="1980"/>
      <c r="O743" s="1980"/>
      <c r="P743" s="1980"/>
      <c r="Q743" s="1980"/>
      <c r="R743" s="1980"/>
      <c r="S743" s="1980"/>
      <c r="T743" s="1980"/>
      <c r="U743" s="1980"/>
      <c r="V743" s="1980"/>
      <c r="W743" s="1980"/>
      <c r="X743" s="1980"/>
      <c r="Y743" s="1980"/>
      <c r="Z743" s="1980"/>
      <c r="AA743" s="1980"/>
      <c r="AB743" s="1980"/>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80" t="s">
        <v>1620</v>
      </c>
      <c r="F745" s="1980"/>
      <c r="G745" s="1980"/>
      <c r="H745" s="1980"/>
      <c r="I745" s="1980"/>
      <c r="J745" s="1980"/>
      <c r="K745" s="1980"/>
      <c r="L745" s="1980"/>
      <c r="M745" s="1980"/>
      <c r="N745" s="1980"/>
      <c r="O745" s="1980"/>
      <c r="P745" s="1980"/>
      <c r="Q745" s="1980"/>
      <c r="R745" s="1980"/>
      <c r="S745" s="1980"/>
      <c r="T745" s="1980"/>
      <c r="U745" s="1980"/>
      <c r="V745" s="1980"/>
      <c r="W745" s="1980"/>
      <c r="X745" s="1980"/>
      <c r="Y745" s="1980"/>
      <c r="Z745" s="1980"/>
      <c r="AA745" s="1980"/>
      <c r="AB745" s="1980"/>
      <c r="AC745" s="571"/>
      <c r="AD745" s="571"/>
      <c r="AE745" s="571"/>
      <c r="AF745" s="1927" t="s">
        <v>1599</v>
      </c>
      <c r="AG745" s="1927"/>
      <c r="AH745" s="1927"/>
      <c r="AI745" s="1927"/>
      <c r="AJ745" s="1927"/>
      <c r="AK745" s="1927"/>
      <c r="AL745" s="192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80"/>
      <c r="F746" s="1980"/>
      <c r="G746" s="1980"/>
      <c r="H746" s="1980"/>
      <c r="I746" s="1980"/>
      <c r="J746" s="1980"/>
      <c r="K746" s="1980"/>
      <c r="L746" s="1980"/>
      <c r="M746" s="1980"/>
      <c r="N746" s="1980"/>
      <c r="O746" s="1980"/>
      <c r="P746" s="1980"/>
      <c r="Q746" s="1980"/>
      <c r="R746" s="1980"/>
      <c r="S746" s="1980"/>
      <c r="T746" s="1980"/>
      <c r="U746" s="1980"/>
      <c r="V746" s="1980"/>
      <c r="W746" s="1980"/>
      <c r="X746" s="1980"/>
      <c r="Y746" s="1980"/>
      <c r="Z746" s="1980"/>
      <c r="AA746" s="1980"/>
      <c r="AB746" s="1980"/>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2009" t="s">
        <v>518</v>
      </c>
      <c r="I748" s="200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60">
        <f>VLOOKUP($H$748,$AO$683:$AP$685,2,FALSE)</f>
        <v>1</v>
      </c>
      <c r="AK750" s="196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80" t="s">
        <v>1954</v>
      </c>
      <c r="F754" s="1980"/>
      <c r="G754" s="1980"/>
      <c r="H754" s="1980"/>
      <c r="I754" s="1980"/>
      <c r="J754" s="1980"/>
      <c r="K754" s="1980"/>
      <c r="L754" s="1980"/>
      <c r="M754" s="1980"/>
      <c r="N754" s="1980"/>
      <c r="O754" s="1980"/>
      <c r="P754" s="1980"/>
      <c r="Q754" s="1980"/>
      <c r="R754" s="1980"/>
      <c r="S754" s="1980"/>
      <c r="T754" s="1980"/>
      <c r="U754" s="1980"/>
      <c r="V754" s="1980"/>
      <c r="W754" s="1980"/>
      <c r="X754" s="1980"/>
      <c r="Y754" s="1980"/>
      <c r="Z754" s="1980"/>
      <c r="AA754" s="1980"/>
      <c r="AB754" s="1980"/>
      <c r="AC754" s="1980"/>
      <c r="AD754" s="1980"/>
      <c r="AE754" s="571"/>
      <c r="AF754" s="1927" t="s">
        <v>1582</v>
      </c>
      <c r="AG754" s="1927"/>
      <c r="AH754" s="1927"/>
      <c r="AI754" s="1927"/>
      <c r="AJ754" s="1927"/>
      <c r="AK754" s="1927"/>
      <c r="AL754" s="1927"/>
      <c r="AM754" s="648"/>
      <c r="AN754" s="719"/>
    </row>
    <row r="755" spans="1:81" s="605" customFormat="1" ht="13.7" customHeight="1">
      <c r="A755" s="585"/>
      <c r="B755" s="651"/>
      <c r="C755" s="977"/>
      <c r="D755" s="698"/>
      <c r="E755" s="1980"/>
      <c r="F755" s="1980"/>
      <c r="G755" s="1980"/>
      <c r="H755" s="1980"/>
      <c r="I755" s="1980"/>
      <c r="J755" s="1980"/>
      <c r="K755" s="1980"/>
      <c r="L755" s="1980"/>
      <c r="M755" s="1980"/>
      <c r="N755" s="1980"/>
      <c r="O755" s="1980"/>
      <c r="P755" s="1980"/>
      <c r="Q755" s="1980"/>
      <c r="R755" s="1980"/>
      <c r="S755" s="1980"/>
      <c r="T755" s="1980"/>
      <c r="U755" s="1980"/>
      <c r="V755" s="1980"/>
      <c r="W755" s="1980"/>
      <c r="X755" s="1980"/>
      <c r="Y755" s="1980"/>
      <c r="Z755" s="1980"/>
      <c r="AA755" s="1980"/>
      <c r="AB755" s="1980"/>
      <c r="AC755" s="1980"/>
      <c r="AD755" s="1980"/>
      <c r="AE755" s="571"/>
      <c r="AF755" s="629"/>
      <c r="AG755" s="629"/>
      <c r="AH755" s="629"/>
      <c r="AI755" s="629"/>
      <c r="AJ755" s="629"/>
      <c r="AK755" s="629"/>
      <c r="AL755" s="629"/>
      <c r="AM755" s="648"/>
      <c r="AN755" s="719"/>
    </row>
    <row r="756" spans="1:81" s="605" customFormat="1">
      <c r="A756" s="585"/>
      <c r="B756" s="651"/>
      <c r="C756" s="977"/>
      <c r="D756" s="698"/>
      <c r="E756" s="1980"/>
      <c r="F756" s="1980"/>
      <c r="G756" s="1980"/>
      <c r="H756" s="1980"/>
      <c r="I756" s="1980"/>
      <c r="J756" s="1980"/>
      <c r="K756" s="1980"/>
      <c r="L756" s="1980"/>
      <c r="M756" s="1980"/>
      <c r="N756" s="1980"/>
      <c r="O756" s="1980"/>
      <c r="P756" s="1980"/>
      <c r="Q756" s="1980"/>
      <c r="R756" s="1980"/>
      <c r="S756" s="1980"/>
      <c r="T756" s="1980"/>
      <c r="U756" s="1980"/>
      <c r="V756" s="1980"/>
      <c r="W756" s="1980"/>
      <c r="X756" s="1980"/>
      <c r="Y756" s="1980"/>
      <c r="Z756" s="1980"/>
      <c r="AA756" s="1980"/>
      <c r="AB756" s="1980"/>
      <c r="AC756" s="1980"/>
      <c r="AD756" s="1980"/>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80"/>
      <c r="F757" s="1980"/>
      <c r="G757" s="1980"/>
      <c r="H757" s="1980"/>
      <c r="I757" s="1980"/>
      <c r="J757" s="1980"/>
      <c r="K757" s="1980"/>
      <c r="L757" s="1980"/>
      <c r="M757" s="1980"/>
      <c r="N757" s="1980"/>
      <c r="O757" s="1980"/>
      <c r="P757" s="1980"/>
      <c r="Q757" s="1980"/>
      <c r="R757" s="1980"/>
      <c r="S757" s="1980"/>
      <c r="T757" s="1980"/>
      <c r="U757" s="1980"/>
      <c r="V757" s="1980"/>
      <c r="W757" s="1980"/>
      <c r="X757" s="1980"/>
      <c r="Y757" s="1980"/>
      <c r="Z757" s="1980"/>
      <c r="AA757" s="1980"/>
      <c r="AB757" s="1980"/>
      <c r="AC757" s="1980"/>
      <c r="AD757" s="1980"/>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5" t="s">
        <v>1959</v>
      </c>
      <c r="F759" s="2015"/>
      <c r="G759" s="2015"/>
      <c r="H759" s="2015"/>
      <c r="I759" s="2015"/>
      <c r="J759" s="2015"/>
      <c r="K759" s="2015"/>
      <c r="L759" s="2015"/>
      <c r="M759" s="2015"/>
      <c r="N759" s="2015"/>
      <c r="O759" s="2015"/>
      <c r="P759" s="2015"/>
      <c r="Q759" s="2015"/>
      <c r="R759" s="2015"/>
      <c r="S759" s="2015"/>
      <c r="T759" s="2015"/>
      <c r="U759" s="2015"/>
      <c r="V759" s="2015"/>
      <c r="W759" s="2015"/>
      <c r="X759" s="2015"/>
      <c r="Y759" s="2015"/>
      <c r="Z759" s="2015"/>
      <c r="AA759" s="2015"/>
      <c r="AB759" s="2015"/>
      <c r="AC759" s="2015"/>
      <c r="AD759" s="2015"/>
      <c r="AE759" s="571"/>
      <c r="AF759" s="1927" t="s">
        <v>1526</v>
      </c>
      <c r="AG759" s="1927"/>
      <c r="AH759" s="1927"/>
      <c r="AI759" s="1927"/>
      <c r="AJ759" s="1927"/>
      <c r="AK759" s="1927"/>
      <c r="AL759" s="1927"/>
      <c r="AM759" s="648"/>
      <c r="AN759" s="632"/>
    </row>
    <row r="760" spans="1:81" s="585" customFormat="1" ht="12.75" customHeight="1">
      <c r="B760" s="651"/>
      <c r="C760" s="977"/>
      <c r="D760" s="698"/>
      <c r="E760" s="2015"/>
      <c r="F760" s="2015"/>
      <c r="G760" s="2015"/>
      <c r="H760" s="2015"/>
      <c r="I760" s="2015"/>
      <c r="J760" s="2015"/>
      <c r="K760" s="2015"/>
      <c r="L760" s="2015"/>
      <c r="M760" s="2015"/>
      <c r="N760" s="2015"/>
      <c r="O760" s="2015"/>
      <c r="P760" s="2015"/>
      <c r="Q760" s="2015"/>
      <c r="R760" s="2015"/>
      <c r="S760" s="2015"/>
      <c r="T760" s="2015"/>
      <c r="U760" s="2015"/>
      <c r="V760" s="2015"/>
      <c r="W760" s="2015"/>
      <c r="X760" s="2015"/>
      <c r="Y760" s="2015"/>
      <c r="Z760" s="2015"/>
      <c r="AA760" s="2015"/>
      <c r="AB760" s="2015"/>
      <c r="AC760" s="2015"/>
      <c r="AD760" s="2015"/>
      <c r="AE760" s="629"/>
      <c r="AF760" s="629"/>
      <c r="AG760" s="629"/>
      <c r="AH760" s="629"/>
      <c r="AI760" s="629"/>
      <c r="AJ760" s="629"/>
      <c r="AK760" s="629"/>
      <c r="AL760" s="629"/>
      <c r="AM760" s="648"/>
      <c r="AN760" s="632"/>
    </row>
    <row r="761" spans="1:81" s="585" customFormat="1" ht="12.75" customHeight="1">
      <c r="B761" s="651"/>
      <c r="C761" s="977"/>
      <c r="D761" s="698"/>
      <c r="E761" s="2015"/>
      <c r="F761" s="2015"/>
      <c r="G761" s="2015"/>
      <c r="H761" s="2015"/>
      <c r="I761" s="2015"/>
      <c r="J761" s="2015"/>
      <c r="K761" s="2015"/>
      <c r="L761" s="2015"/>
      <c r="M761" s="2015"/>
      <c r="N761" s="2015"/>
      <c r="O761" s="2015"/>
      <c r="P761" s="2015"/>
      <c r="Q761" s="2015"/>
      <c r="R761" s="2015"/>
      <c r="S761" s="2015"/>
      <c r="T761" s="2015"/>
      <c r="U761" s="2015"/>
      <c r="V761" s="2015"/>
      <c r="W761" s="2015"/>
      <c r="X761" s="2015"/>
      <c r="Y761" s="2015"/>
      <c r="Z761" s="2015"/>
      <c r="AA761" s="2015"/>
      <c r="AB761" s="2015"/>
      <c r="AC761" s="2015"/>
      <c r="AD761" s="2015"/>
      <c r="AE761" s="629"/>
      <c r="AF761" s="629"/>
      <c r="AG761" s="629"/>
      <c r="AH761" s="629"/>
      <c r="AI761" s="629"/>
      <c r="AJ761" s="629"/>
      <c r="AK761" s="629"/>
      <c r="AL761" s="629"/>
      <c r="AM761" s="648"/>
      <c r="AN761" s="632"/>
    </row>
    <row r="762" spans="1:81" s="585" customFormat="1" ht="12.75" customHeight="1">
      <c r="B762" s="651"/>
      <c r="C762" s="977"/>
      <c r="D762" s="698"/>
      <c r="E762" s="2015"/>
      <c r="F762" s="2015"/>
      <c r="G762" s="2015"/>
      <c r="H762" s="2015"/>
      <c r="I762" s="2015"/>
      <c r="J762" s="2015"/>
      <c r="K762" s="2015"/>
      <c r="L762" s="2015"/>
      <c r="M762" s="2015"/>
      <c r="N762" s="2015"/>
      <c r="O762" s="2015"/>
      <c r="P762" s="2015"/>
      <c r="Q762" s="2015"/>
      <c r="R762" s="2015"/>
      <c r="S762" s="2015"/>
      <c r="T762" s="2015"/>
      <c r="U762" s="2015"/>
      <c r="V762" s="2015"/>
      <c r="W762" s="2015"/>
      <c r="X762" s="2015"/>
      <c r="Y762" s="2015"/>
      <c r="Z762" s="2015"/>
      <c r="AA762" s="2015"/>
      <c r="AB762" s="2015"/>
      <c r="AC762" s="2015"/>
      <c r="AD762" s="201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2009" t="s">
        <v>600</v>
      </c>
      <c r="I764" s="200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60">
        <f>VLOOKUP($H$764,$AP$705:$AQ$707,2,FALSE)</f>
        <v>0</v>
      </c>
      <c r="AK766" s="1962"/>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80" t="s">
        <v>2432</v>
      </c>
      <c r="F770" s="1980"/>
      <c r="G770" s="1980"/>
      <c r="H770" s="1980"/>
      <c r="I770" s="1980"/>
      <c r="J770" s="1980"/>
      <c r="K770" s="1980"/>
      <c r="L770" s="1980"/>
      <c r="M770" s="1980"/>
      <c r="N770" s="1980"/>
      <c r="O770" s="1980"/>
      <c r="P770" s="1980"/>
      <c r="Q770" s="1980"/>
      <c r="R770" s="1980"/>
      <c r="S770" s="1980"/>
      <c r="T770" s="1980"/>
      <c r="U770" s="1980"/>
      <c r="V770" s="1980"/>
      <c r="W770" s="1980"/>
      <c r="X770" s="1980"/>
      <c r="Y770" s="1980"/>
      <c r="Z770" s="1980"/>
      <c r="AA770" s="1980"/>
      <c r="AB770" s="1980"/>
      <c r="AC770" s="1980"/>
      <c r="AD770" s="1980"/>
      <c r="AE770" s="571"/>
      <c r="AF770" s="1927" t="s">
        <v>1526</v>
      </c>
      <c r="AG770" s="1927"/>
      <c r="AH770" s="1927"/>
      <c r="AI770" s="1927"/>
      <c r="AJ770" s="1927"/>
      <c r="AK770" s="1927"/>
      <c r="AL770" s="1927"/>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80"/>
      <c r="F771" s="1980"/>
      <c r="G771" s="1980"/>
      <c r="H771" s="1980"/>
      <c r="I771" s="1980"/>
      <c r="J771" s="1980"/>
      <c r="K771" s="1980"/>
      <c r="L771" s="1980"/>
      <c r="M771" s="1980"/>
      <c r="N771" s="1980"/>
      <c r="O771" s="1980"/>
      <c r="P771" s="1980"/>
      <c r="Q771" s="1980"/>
      <c r="R771" s="1980"/>
      <c r="S771" s="1980"/>
      <c r="T771" s="1980"/>
      <c r="U771" s="1980"/>
      <c r="V771" s="1980"/>
      <c r="W771" s="1980"/>
      <c r="X771" s="1980"/>
      <c r="Y771" s="1980"/>
      <c r="Z771" s="1980"/>
      <c r="AA771" s="1980"/>
      <c r="AB771" s="1980"/>
      <c r="AC771" s="1980"/>
      <c r="AD771" s="1980"/>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80"/>
      <c r="F772" s="1980"/>
      <c r="G772" s="1980"/>
      <c r="H772" s="1980"/>
      <c r="I772" s="1980"/>
      <c r="J772" s="1980"/>
      <c r="K772" s="1980"/>
      <c r="L772" s="1980"/>
      <c r="M772" s="1980"/>
      <c r="N772" s="1980"/>
      <c r="O772" s="1980"/>
      <c r="P772" s="1980"/>
      <c r="Q772" s="1980"/>
      <c r="R772" s="1980"/>
      <c r="S772" s="1980"/>
      <c r="T772" s="1980"/>
      <c r="U772" s="1980"/>
      <c r="V772" s="1980"/>
      <c r="W772" s="1980"/>
      <c r="X772" s="1980"/>
      <c r="Y772" s="1980"/>
      <c r="Z772" s="1980"/>
      <c r="AA772" s="1980"/>
      <c r="AB772" s="1980"/>
      <c r="AC772" s="1980"/>
      <c r="AD772" s="1980"/>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80"/>
      <c r="F773" s="1980"/>
      <c r="G773" s="1980"/>
      <c r="H773" s="1980"/>
      <c r="I773" s="1980"/>
      <c r="J773" s="1980"/>
      <c r="K773" s="1980"/>
      <c r="L773" s="1980"/>
      <c r="M773" s="1980"/>
      <c r="N773" s="1980"/>
      <c r="O773" s="1980"/>
      <c r="P773" s="1980"/>
      <c r="Q773" s="1980"/>
      <c r="R773" s="1980"/>
      <c r="S773" s="1980"/>
      <c r="T773" s="1980"/>
      <c r="U773" s="1980"/>
      <c r="V773" s="1980"/>
      <c r="W773" s="1980"/>
      <c r="X773" s="1980"/>
      <c r="Y773" s="1980"/>
      <c r="Z773" s="1980"/>
      <c r="AA773" s="1980"/>
      <c r="AB773" s="1980"/>
      <c r="AC773" s="1980"/>
      <c r="AD773" s="1980"/>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2009" t="s">
        <v>554</v>
      </c>
      <c r="I775" s="200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60">
        <f>VLOOKUP($H$775,$AO$769:$AP$770,2,FALSE)</f>
        <v>3</v>
      </c>
      <c r="AK777" s="196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60">
        <f>IF(($AJ$610+$AJ$629+$AJ$641+$AJ$676+$AJ$696+$AJ$710+$AJ$722+$AJ$738+$AJ$750+$AJ$766+AJ777)&gt;10,10,($AJ$610+$AJ$629+$AJ$641+$AJ$676+$AJ$696+$AJ$710+$AJ$722+$AJ$738+$AJ$750+$AJ$766+AJ777))</f>
        <v>10</v>
      </c>
      <c r="AL779" s="1961"/>
      <c r="AM779" s="196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6" t="s">
        <v>1747</v>
      </c>
      <c r="B782" s="2067"/>
      <c r="C782" s="2067"/>
      <c r="D782" s="2067"/>
      <c r="E782" s="2067"/>
      <c r="F782" s="2067"/>
      <c r="G782" s="2067"/>
      <c r="H782" s="2067"/>
      <c r="I782" s="2067"/>
      <c r="J782" s="2067"/>
      <c r="K782" s="2067"/>
      <c r="L782" s="2067"/>
      <c r="M782" s="2067"/>
      <c r="N782" s="2067"/>
      <c r="O782" s="2067"/>
      <c r="P782" s="2067"/>
      <c r="Q782" s="2067"/>
      <c r="R782" s="2067"/>
      <c r="S782" s="2067"/>
      <c r="T782" s="2067"/>
      <c r="U782" s="2067"/>
      <c r="V782" s="2067"/>
      <c r="W782" s="2067"/>
      <c r="X782" s="2067"/>
      <c r="Y782" s="2067"/>
      <c r="Z782" s="2067"/>
      <c r="AA782" s="2067"/>
      <c r="AB782" s="2067"/>
      <c r="AC782" s="2067"/>
      <c r="AD782" s="2067"/>
      <c r="AE782" s="2067"/>
      <c r="AF782" s="2067"/>
      <c r="AG782" s="2067"/>
      <c r="AH782" s="2067"/>
      <c r="AI782" s="2067"/>
      <c r="AJ782" s="2067"/>
      <c r="AK782" s="2067"/>
      <c r="AL782" s="2067"/>
      <c r="AM782" s="2067"/>
    </row>
    <row r="783" spans="1:81">
      <c r="A783" s="2068"/>
      <c r="B783" s="2068"/>
      <c r="C783" s="2068"/>
      <c r="D783" s="2068"/>
      <c r="E783" s="2068"/>
      <c r="F783" s="2068"/>
      <c r="G783" s="2068"/>
      <c r="H783" s="2068"/>
      <c r="I783" s="2068"/>
      <c r="J783" s="2068"/>
      <c r="K783" s="2068"/>
      <c r="L783" s="2068"/>
      <c r="M783" s="2068"/>
      <c r="N783" s="2068"/>
      <c r="O783" s="2068"/>
      <c r="P783" s="2068"/>
      <c r="Q783" s="2068"/>
      <c r="R783" s="2068"/>
      <c r="S783" s="2068"/>
      <c r="T783" s="2068"/>
      <c r="U783" s="2068"/>
      <c r="V783" s="2068"/>
      <c r="W783" s="2068"/>
      <c r="X783" s="2068"/>
      <c r="Y783" s="2068"/>
      <c r="Z783" s="2068"/>
      <c r="AA783" s="2068"/>
      <c r="AB783" s="2068"/>
      <c r="AC783" s="2068"/>
      <c r="AD783" s="2068"/>
      <c r="AE783" s="2068"/>
      <c r="AF783" s="2068"/>
      <c r="AG783" s="2068"/>
      <c r="AH783" s="2068"/>
      <c r="AI783" s="2068"/>
      <c r="AJ783" s="2068"/>
      <c r="AK783" s="2068"/>
      <c r="AL783" s="2068"/>
      <c r="AM783" s="2068"/>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01"/>
      <c r="B785" s="2001"/>
      <c r="C785" s="2001"/>
      <c r="D785" s="2001"/>
      <c r="E785" s="2001"/>
      <c r="F785" s="2001"/>
      <c r="G785" s="2001"/>
      <c r="H785" s="2001"/>
      <c r="I785" s="2001"/>
      <c r="J785" s="2001"/>
      <c r="K785" s="2001"/>
      <c r="L785" s="2001"/>
      <c r="M785" s="2001"/>
      <c r="N785" s="2001"/>
      <c r="O785" s="2001"/>
      <c r="P785" s="2001"/>
      <c r="Q785" s="2001"/>
      <c r="R785" s="2001"/>
      <c r="S785" s="2001"/>
      <c r="T785" s="2001"/>
      <c r="U785" s="2001"/>
      <c r="V785" s="2001"/>
      <c r="W785" s="2001"/>
      <c r="X785" s="2001"/>
      <c r="Y785" s="2001"/>
      <c r="Z785" s="2001"/>
      <c r="AA785" s="2001"/>
      <c r="AB785" s="2001"/>
      <c r="AC785" s="2001"/>
      <c r="AD785" s="2001"/>
      <c r="AE785" s="2001"/>
      <c r="AF785" s="2001"/>
      <c r="AG785" s="2001"/>
      <c r="AH785" s="2001"/>
      <c r="AI785" s="2001"/>
      <c r="AJ785" s="2001"/>
      <c r="AK785" s="2001"/>
      <c r="AL785" s="2001"/>
      <c r="AM785" s="2001"/>
      <c r="AP785" s="852"/>
      <c r="AQ785" s="852"/>
    </row>
    <row r="786" spans="1:81">
      <c r="A786" s="2001"/>
      <c r="B786" s="2001"/>
      <c r="C786" s="2001"/>
      <c r="D786" s="2001"/>
      <c r="E786" s="2001"/>
      <c r="F786" s="2001"/>
      <c r="G786" s="2001"/>
      <c r="H786" s="2001"/>
      <c r="I786" s="2001"/>
      <c r="J786" s="2001"/>
      <c r="K786" s="2001"/>
      <c r="L786" s="2001"/>
      <c r="M786" s="2001"/>
      <c r="N786" s="2001"/>
      <c r="O786" s="2001"/>
      <c r="P786" s="2001"/>
      <c r="Q786" s="2001"/>
      <c r="R786" s="2001"/>
      <c r="S786" s="2001"/>
      <c r="T786" s="2001"/>
      <c r="U786" s="2001"/>
      <c r="V786" s="2001"/>
      <c r="W786" s="2001"/>
      <c r="X786" s="2001"/>
      <c r="Y786" s="2001"/>
      <c r="Z786" s="2001"/>
      <c r="AA786" s="2001"/>
      <c r="AB786" s="2001"/>
      <c r="AC786" s="2001"/>
      <c r="AD786" s="2001"/>
      <c r="AE786" s="2001"/>
      <c r="AF786" s="2001"/>
      <c r="AG786" s="2001"/>
      <c r="AH786" s="2001"/>
      <c r="AI786" s="2001"/>
      <c r="AJ786" s="2001"/>
      <c r="AK786" s="2001"/>
      <c r="AL786" s="2001"/>
      <c r="AM786" s="2001"/>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9" t="s">
        <v>1748</v>
      </c>
      <c r="U787" s="2070"/>
      <c r="V787" s="2070"/>
      <c r="W787" s="2070"/>
      <c r="X787" s="2070"/>
      <c r="Y787" s="2071"/>
      <c r="Z787" s="2069" t="s">
        <v>1749</v>
      </c>
      <c r="AA787" s="2070"/>
      <c r="AB787" s="2070"/>
      <c r="AC787" s="2070"/>
      <c r="AD787" s="2070"/>
      <c r="AE787" s="2071"/>
      <c r="AF787" s="2069" t="s">
        <v>1750</v>
      </c>
      <c r="AG787" s="2070"/>
      <c r="AH787" s="2070"/>
      <c r="AI787" s="2070"/>
      <c r="AJ787" s="2070"/>
      <c r="AK787" s="2071"/>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72"/>
      <c r="U788" s="2073"/>
      <c r="V788" s="2073"/>
      <c r="W788" s="2073"/>
      <c r="X788" s="2073"/>
      <c r="Y788" s="2074"/>
      <c r="Z788" s="2072"/>
      <c r="AA788" s="2073"/>
      <c r="AB788" s="2073"/>
      <c r="AC788" s="2073"/>
      <c r="AD788" s="2073"/>
      <c r="AE788" s="2074"/>
      <c r="AF788" s="2072"/>
      <c r="AG788" s="2073"/>
      <c r="AH788" s="2073"/>
      <c r="AI788" s="2073"/>
      <c r="AJ788" s="2073"/>
      <c r="AK788" s="2074"/>
      <c r="AL788" s="854"/>
      <c r="AM788" s="631"/>
      <c r="AO788" s="852"/>
      <c r="AP788" s="852"/>
      <c r="AQ788" s="852"/>
    </row>
    <row r="789" spans="1:81">
      <c r="A789" s="855" t="s">
        <v>769</v>
      </c>
      <c r="B789" s="2049" t="s">
        <v>1478</v>
      </c>
      <c r="C789" s="2049"/>
      <c r="D789" s="2049"/>
      <c r="E789" s="2049"/>
      <c r="F789" s="2049"/>
      <c r="G789" s="2049"/>
      <c r="H789" s="2049"/>
      <c r="I789" s="2049"/>
      <c r="J789" s="2049"/>
      <c r="K789" s="2049"/>
      <c r="L789" s="2049"/>
      <c r="M789" s="2049"/>
      <c r="N789" s="2049"/>
      <c r="O789" s="2049"/>
      <c r="P789" s="2049"/>
      <c r="Q789" s="2049"/>
      <c r="R789" s="2049"/>
      <c r="S789" s="2050"/>
      <c r="T789" s="2051">
        <f>AK56</f>
        <v>0</v>
      </c>
      <c r="U789" s="2052"/>
      <c r="V789" s="2052"/>
      <c r="W789" s="2052"/>
      <c r="X789" s="2052"/>
      <c r="Y789" s="2053"/>
      <c r="Z789" s="2054">
        <v>20</v>
      </c>
      <c r="AA789" s="2052"/>
      <c r="AB789" s="2052"/>
      <c r="AC789" s="2052"/>
      <c r="AD789" s="2052"/>
      <c r="AE789" s="2053"/>
      <c r="AF789" s="2018">
        <f>IF(T789&gt;Z789,Z789,T789)</f>
        <v>0</v>
      </c>
      <c r="AG789" s="2018"/>
      <c r="AH789" s="2018"/>
      <c r="AI789" s="2018"/>
      <c r="AJ789" s="2018"/>
      <c r="AK789" s="2018"/>
      <c r="AL789" s="854"/>
      <c r="AM789" s="631"/>
      <c r="AO789" s="852"/>
      <c r="AP789" s="852"/>
      <c r="AQ789" s="852"/>
    </row>
    <row r="790" spans="1:81">
      <c r="A790" s="855" t="s">
        <v>1720</v>
      </c>
      <c r="B790" s="2049" t="s">
        <v>1487</v>
      </c>
      <c r="C790" s="2049"/>
      <c r="D790" s="2049"/>
      <c r="E790" s="2049"/>
      <c r="F790" s="2049"/>
      <c r="G790" s="2049"/>
      <c r="H790" s="2049"/>
      <c r="I790" s="2049"/>
      <c r="J790" s="2049"/>
      <c r="K790" s="2049"/>
      <c r="L790" s="2049"/>
      <c r="M790" s="2049"/>
      <c r="N790" s="2049"/>
      <c r="O790" s="2049"/>
      <c r="P790" s="2049"/>
      <c r="Q790" s="2049"/>
      <c r="R790" s="2049"/>
      <c r="S790" s="2050"/>
      <c r="T790" s="2051">
        <f>AK78</f>
        <v>10</v>
      </c>
      <c r="U790" s="2052"/>
      <c r="V790" s="2052"/>
      <c r="W790" s="2052"/>
      <c r="X790" s="2052"/>
      <c r="Y790" s="2053"/>
      <c r="Z790" s="2054">
        <v>10</v>
      </c>
      <c r="AA790" s="2052"/>
      <c r="AB790" s="2052"/>
      <c r="AC790" s="2052"/>
      <c r="AD790" s="2052"/>
      <c r="AE790" s="2053"/>
      <c r="AF790" s="2018">
        <f>IF(T790&gt;Z790,Z790,T790)</f>
        <v>10</v>
      </c>
      <c r="AG790" s="2018"/>
      <c r="AH790" s="2018"/>
      <c r="AI790" s="2018"/>
      <c r="AJ790" s="2018"/>
      <c r="AK790" s="2018"/>
      <c r="AL790" s="854"/>
      <c r="AM790" s="631"/>
      <c r="AO790" s="852"/>
      <c r="AP790" s="852"/>
      <c r="AQ790" s="852"/>
    </row>
    <row r="791" spans="1:81">
      <c r="A791" s="855" t="s">
        <v>1729</v>
      </c>
      <c r="B791" s="2049" t="s">
        <v>1497</v>
      </c>
      <c r="C791" s="2049"/>
      <c r="D791" s="2049"/>
      <c r="E791" s="2049"/>
      <c r="F791" s="2049"/>
      <c r="G791" s="2049"/>
      <c r="H791" s="2049"/>
      <c r="I791" s="2049"/>
      <c r="J791" s="2049"/>
      <c r="K791" s="2049"/>
      <c r="L791" s="2049"/>
      <c r="M791" s="2049"/>
      <c r="N791" s="2049"/>
      <c r="O791" s="2049"/>
      <c r="P791" s="2049"/>
      <c r="Q791" s="2049"/>
      <c r="R791" s="2049"/>
      <c r="S791" s="2050"/>
      <c r="T791" s="2051">
        <f>AK103</f>
        <v>20</v>
      </c>
      <c r="U791" s="2052"/>
      <c r="V791" s="2052"/>
      <c r="W791" s="2052"/>
      <c r="X791" s="2052"/>
      <c r="Y791" s="2053"/>
      <c r="Z791" s="2054">
        <v>20</v>
      </c>
      <c r="AA791" s="2052"/>
      <c r="AB791" s="2052"/>
      <c r="AC791" s="2052"/>
      <c r="AD791" s="2052"/>
      <c r="AE791" s="2053"/>
      <c r="AF791" s="2018">
        <f>IF(T791&gt;Z791,Z791,T791)</f>
        <v>20</v>
      </c>
      <c r="AG791" s="2018"/>
      <c r="AH791" s="2018"/>
      <c r="AI791" s="2018"/>
      <c r="AJ791" s="2018"/>
      <c r="AK791" s="2018"/>
      <c r="AL791" s="854"/>
      <c r="AM791" s="631"/>
      <c r="AO791" s="852"/>
      <c r="AP791" s="852"/>
      <c r="AQ791" s="852"/>
    </row>
    <row r="792" spans="1:81">
      <c r="A792" s="855" t="s">
        <v>1751</v>
      </c>
      <c r="B792" s="2049" t="s">
        <v>1507</v>
      </c>
      <c r="C792" s="2049"/>
      <c r="D792" s="2049"/>
      <c r="E792" s="2049"/>
      <c r="F792" s="2049"/>
      <c r="G792" s="2049"/>
      <c r="H792" s="2049"/>
      <c r="I792" s="2049"/>
      <c r="J792" s="2049"/>
      <c r="K792" s="2049"/>
      <c r="L792" s="2049"/>
      <c r="M792" s="2049"/>
      <c r="N792" s="2049"/>
      <c r="O792" s="2049"/>
      <c r="P792" s="2049"/>
      <c r="Q792" s="2049"/>
      <c r="R792" s="2049"/>
      <c r="S792" s="2050"/>
      <c r="T792" s="2051">
        <f>AK137</f>
        <v>10</v>
      </c>
      <c r="U792" s="2052"/>
      <c r="V792" s="2052"/>
      <c r="W792" s="2052"/>
      <c r="X792" s="2052"/>
      <c r="Y792" s="2053"/>
      <c r="Z792" s="2054">
        <v>10</v>
      </c>
      <c r="AA792" s="2052"/>
      <c r="AB792" s="2052"/>
      <c r="AC792" s="2052"/>
      <c r="AD792" s="2052"/>
      <c r="AE792" s="2053"/>
      <c r="AF792" s="2018">
        <f>IF(T792&gt;Z792,Z792,T792)</f>
        <v>10</v>
      </c>
      <c r="AG792" s="2018"/>
      <c r="AH792" s="2018"/>
      <c r="AI792" s="2018"/>
      <c r="AJ792" s="2018"/>
      <c r="AK792" s="2018"/>
      <c r="AL792" s="854"/>
      <c r="AM792" s="631"/>
      <c r="AO792" s="852"/>
      <c r="AP792" s="852"/>
      <c r="AQ792" s="852"/>
    </row>
    <row r="793" spans="1:81">
      <c r="A793" s="856" t="s">
        <v>1752</v>
      </c>
      <c r="B793" s="2049" t="s">
        <v>1753</v>
      </c>
      <c r="C793" s="2049"/>
      <c r="D793" s="2049"/>
      <c r="E793" s="2049"/>
      <c r="F793" s="2049"/>
      <c r="G793" s="2049"/>
      <c r="H793" s="2049"/>
      <c r="I793" s="2049"/>
      <c r="J793" s="2049"/>
      <c r="K793" s="2049"/>
      <c r="L793" s="2049"/>
      <c r="M793" s="2049"/>
      <c r="N793" s="2049"/>
      <c r="O793" s="2049"/>
      <c r="P793" s="2049"/>
      <c r="Q793" s="2049"/>
      <c r="R793" s="2049"/>
      <c r="S793" s="2050"/>
      <c r="T793" s="2075">
        <f>SUM(T794:Y795)</f>
        <v>10</v>
      </c>
      <c r="U793" s="2075"/>
      <c r="V793" s="2075"/>
      <c r="W793" s="2075"/>
      <c r="X793" s="2075"/>
      <c r="Y793" s="2075"/>
      <c r="Z793" s="2018">
        <v>10</v>
      </c>
      <c r="AA793" s="2018"/>
      <c r="AB793" s="2018"/>
      <c r="AC793" s="2018"/>
      <c r="AD793" s="2018"/>
      <c r="AE793" s="2018"/>
      <c r="AF793" s="2018">
        <f>IF(T793&gt;Z793,Z793,T793)</f>
        <v>10</v>
      </c>
      <c r="AG793" s="2018"/>
      <c r="AH793" s="2018"/>
      <c r="AI793" s="2018"/>
      <c r="AJ793" s="2018"/>
      <c r="AK793" s="2018"/>
      <c r="AL793" s="854"/>
      <c r="AM793" s="631"/>
    </row>
    <row r="794" spans="1:81">
      <c r="A794" s="570"/>
      <c r="B794" s="636"/>
      <c r="C794" s="2076" t="s">
        <v>1754</v>
      </c>
      <c r="D794" s="2076"/>
      <c r="E794" s="2076"/>
      <c r="F794" s="2076"/>
      <c r="G794" s="2076"/>
      <c r="H794" s="2076"/>
      <c r="I794" s="2076"/>
      <c r="J794" s="2076"/>
      <c r="K794" s="2076"/>
      <c r="L794" s="2076"/>
      <c r="M794" s="2076"/>
      <c r="N794" s="2076"/>
      <c r="O794" s="2076"/>
      <c r="P794" s="2076"/>
      <c r="Q794" s="2076"/>
      <c r="R794" s="2076"/>
      <c r="S794" s="2077"/>
      <c r="T794" s="1955">
        <f>AJ155</f>
        <v>7</v>
      </c>
      <c r="U794" s="1955"/>
      <c r="V794" s="1955"/>
      <c r="W794" s="1955"/>
      <c r="X794" s="1955"/>
      <c r="Y794" s="1955"/>
      <c r="Z794" s="1956">
        <v>7</v>
      </c>
      <c r="AA794" s="1956"/>
      <c r="AB794" s="1956"/>
      <c r="AC794" s="1956"/>
      <c r="AD794" s="1956"/>
      <c r="AE794" s="1956"/>
      <c r="AF794" s="2078"/>
      <c r="AG794" s="2078"/>
      <c r="AH794" s="2078"/>
      <c r="AI794" s="2078"/>
      <c r="AJ794" s="2078"/>
      <c r="AK794" s="2078"/>
      <c r="AL794" s="854"/>
      <c r="AM794" s="631"/>
    </row>
    <row r="795" spans="1:81">
      <c r="A795" s="635"/>
      <c r="B795" s="636"/>
      <c r="C795" s="2076" t="s">
        <v>1755</v>
      </c>
      <c r="D795" s="2076"/>
      <c r="E795" s="2076"/>
      <c r="F795" s="2076"/>
      <c r="G795" s="2076"/>
      <c r="H795" s="2076"/>
      <c r="I795" s="2076"/>
      <c r="J795" s="2076"/>
      <c r="K795" s="2076"/>
      <c r="L795" s="2076"/>
      <c r="M795" s="2076"/>
      <c r="N795" s="2076"/>
      <c r="O795" s="2076"/>
      <c r="P795" s="2076"/>
      <c r="Q795" s="2076"/>
      <c r="R795" s="2076"/>
      <c r="S795" s="2077"/>
      <c r="T795" s="1955">
        <f>AJ169</f>
        <v>3</v>
      </c>
      <c r="U795" s="1955"/>
      <c r="V795" s="1955"/>
      <c r="W795" s="1955"/>
      <c r="X795" s="1955"/>
      <c r="Y795" s="1955"/>
      <c r="Z795" s="1956">
        <v>3</v>
      </c>
      <c r="AA795" s="1956"/>
      <c r="AB795" s="1956"/>
      <c r="AC795" s="1956"/>
      <c r="AD795" s="1956"/>
      <c r="AE795" s="1956"/>
      <c r="AF795" s="2078"/>
      <c r="AG795" s="2078"/>
      <c r="AH795" s="2078"/>
      <c r="AI795" s="2078"/>
      <c r="AJ795" s="2078"/>
      <c r="AK795" s="2078"/>
      <c r="AL795" s="854"/>
      <c r="AM795" s="631"/>
      <c r="AO795" s="585"/>
    </row>
    <row r="796" spans="1:81">
      <c r="A796" s="856" t="s">
        <v>1535</v>
      </c>
      <c r="B796" s="2049" t="s">
        <v>1756</v>
      </c>
      <c r="C796" s="2049"/>
      <c r="D796" s="2049"/>
      <c r="E796" s="2049"/>
      <c r="F796" s="2049"/>
      <c r="G796" s="2049"/>
      <c r="H796" s="2049"/>
      <c r="I796" s="2049"/>
      <c r="J796" s="2049"/>
      <c r="K796" s="2049"/>
      <c r="L796" s="2049"/>
      <c r="M796" s="2049"/>
      <c r="N796" s="2049"/>
      <c r="O796" s="2049"/>
      <c r="P796" s="2049"/>
      <c r="Q796" s="2049"/>
      <c r="R796" s="2049"/>
      <c r="S796" s="2050"/>
      <c r="T796" s="2075">
        <f>AK180</f>
        <v>10</v>
      </c>
      <c r="U796" s="2075"/>
      <c r="V796" s="2075"/>
      <c r="W796" s="2075"/>
      <c r="X796" s="2075"/>
      <c r="Y796" s="2075"/>
      <c r="Z796" s="2018">
        <v>10</v>
      </c>
      <c r="AA796" s="2018"/>
      <c r="AB796" s="2018"/>
      <c r="AC796" s="2018"/>
      <c r="AD796" s="2018"/>
      <c r="AE796" s="2018"/>
      <c r="AF796" s="2018">
        <f>IF(T796&gt;Z796,Z796,T796)</f>
        <v>10</v>
      </c>
      <c r="AG796" s="2018"/>
      <c r="AH796" s="2018"/>
      <c r="AI796" s="2018"/>
      <c r="AJ796" s="2018"/>
      <c r="AK796" s="2018"/>
      <c r="AL796" s="854"/>
      <c r="AM796" s="631"/>
    </row>
    <row r="797" spans="1:81">
      <c r="A797" s="855" t="s">
        <v>1544</v>
      </c>
      <c r="B797" s="2049" t="s">
        <v>1545</v>
      </c>
      <c r="C797" s="2049"/>
      <c r="D797" s="2049"/>
      <c r="E797" s="2049"/>
      <c r="F797" s="2049"/>
      <c r="G797" s="2049"/>
      <c r="H797" s="2049"/>
      <c r="I797" s="2049"/>
      <c r="J797" s="2049"/>
      <c r="K797" s="2049"/>
      <c r="L797" s="2049"/>
      <c r="M797" s="2049"/>
      <c r="N797" s="2049"/>
      <c r="O797" s="2049"/>
      <c r="P797" s="2049"/>
      <c r="Q797" s="2049"/>
      <c r="R797" s="2049"/>
      <c r="S797" s="2050"/>
      <c r="T797" s="2075">
        <f>AK262</f>
        <v>8</v>
      </c>
      <c r="U797" s="2075"/>
      <c r="V797" s="2075"/>
      <c r="W797" s="2075"/>
      <c r="X797" s="2075"/>
      <c r="Y797" s="2075"/>
      <c r="Z797" s="2054">
        <v>8</v>
      </c>
      <c r="AA797" s="2052"/>
      <c r="AB797" s="2052"/>
      <c r="AC797" s="2052"/>
      <c r="AD797" s="2052"/>
      <c r="AE797" s="2053"/>
      <c r="AF797" s="2018">
        <f>IF(T797&gt;Z797,Z797,T797)</f>
        <v>8</v>
      </c>
      <c r="AG797" s="2018"/>
      <c r="AH797" s="2018"/>
      <c r="AI797" s="2018"/>
      <c r="AJ797" s="2018"/>
      <c r="AK797" s="2018"/>
      <c r="AL797" s="854"/>
      <c r="AM797" s="631"/>
    </row>
    <row r="798" spans="1:81" s="569" customFormat="1" hidden="1">
      <c r="A798" s="856" t="s">
        <v>598</v>
      </c>
      <c r="B798" s="2049" t="s">
        <v>1757</v>
      </c>
      <c r="C798" s="2049"/>
      <c r="D798" s="2049"/>
      <c r="E798" s="2049"/>
      <c r="F798" s="2049"/>
      <c r="G798" s="2049"/>
      <c r="H798" s="2049"/>
      <c r="I798" s="2049"/>
      <c r="J798" s="2049"/>
      <c r="K798" s="2049"/>
      <c r="L798" s="2049"/>
      <c r="M798" s="2049"/>
      <c r="N798" s="2049"/>
      <c r="O798" s="2049"/>
      <c r="P798" s="2049"/>
      <c r="Q798" s="2049"/>
      <c r="R798" s="2049"/>
      <c r="S798" s="2050"/>
      <c r="T798" s="2075">
        <f>IF(AK524&gt;5,5,AK524)</f>
        <v>0</v>
      </c>
      <c r="U798" s="2075"/>
      <c r="V798" s="2075"/>
      <c r="W798" s="2075"/>
      <c r="X798" s="2075"/>
      <c r="Y798" s="2075"/>
      <c r="Z798" s="2018">
        <v>5</v>
      </c>
      <c r="AA798" s="2018"/>
      <c r="AB798" s="2018"/>
      <c r="AC798" s="2018"/>
      <c r="AD798" s="2018"/>
      <c r="AE798" s="2018"/>
      <c r="AF798" s="2018">
        <f>IF(T798&gt;Z798,5,T798)</f>
        <v>0</v>
      </c>
      <c r="AG798" s="2018"/>
      <c r="AH798" s="2018"/>
      <c r="AI798" s="2018"/>
      <c r="AJ798" s="2018"/>
      <c r="AK798" s="201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2049" t="s">
        <v>1758</v>
      </c>
      <c r="C799" s="2049"/>
      <c r="D799" s="2049"/>
      <c r="E799" s="2049"/>
      <c r="F799" s="2049"/>
      <c r="G799" s="2049"/>
      <c r="H799" s="2049"/>
      <c r="I799" s="2049"/>
      <c r="J799" s="2049"/>
      <c r="K799" s="2049"/>
      <c r="L799" s="2049"/>
      <c r="M799" s="2049"/>
      <c r="N799" s="2049"/>
      <c r="O799" s="2049"/>
      <c r="P799" s="2049"/>
      <c r="Q799" s="2049"/>
      <c r="R799" s="2049"/>
      <c r="S799" s="2050"/>
      <c r="T799" s="2075">
        <f>AK274</f>
        <v>10</v>
      </c>
      <c r="U799" s="2075"/>
      <c r="V799" s="2075"/>
      <c r="W799" s="2075"/>
      <c r="X799" s="2075"/>
      <c r="Y799" s="2075"/>
      <c r="Z799" s="2018">
        <v>10</v>
      </c>
      <c r="AA799" s="2018"/>
      <c r="AB799" s="2018"/>
      <c r="AC799" s="2018"/>
      <c r="AD799" s="2018"/>
      <c r="AE799" s="2018"/>
      <c r="AF799" s="2081">
        <f>IF(T799&gt;Z799,Z799,T799)</f>
        <v>10</v>
      </c>
      <c r="AG799" s="2082"/>
      <c r="AH799" s="2082"/>
      <c r="AI799" s="2082"/>
      <c r="AJ799" s="2082"/>
      <c r="AK799" s="208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2049" t="s">
        <v>1555</v>
      </c>
      <c r="C800" s="2049"/>
      <c r="D800" s="2049"/>
      <c r="E800" s="2049"/>
      <c r="F800" s="2049"/>
      <c r="G800" s="2049"/>
      <c r="H800" s="2049"/>
      <c r="I800" s="2049"/>
      <c r="J800" s="2049"/>
      <c r="K800" s="2049"/>
      <c r="L800" s="2049"/>
      <c r="M800" s="2049"/>
      <c r="N800" s="2049"/>
      <c r="O800" s="2049"/>
      <c r="P800" s="2049"/>
      <c r="Q800" s="2049"/>
      <c r="R800" s="2049"/>
      <c r="S800" s="2050"/>
      <c r="T800" s="2075">
        <f>AK327</f>
        <v>10</v>
      </c>
      <c r="U800" s="2075"/>
      <c r="V800" s="2075"/>
      <c r="W800" s="2075"/>
      <c r="X800" s="2075"/>
      <c r="Y800" s="2075"/>
      <c r="Z800" s="2081">
        <v>10</v>
      </c>
      <c r="AA800" s="2082"/>
      <c r="AB800" s="2082"/>
      <c r="AC800" s="2082"/>
      <c r="AD800" s="2082"/>
      <c r="AE800" s="2083"/>
      <c r="AF800" s="2081">
        <f>IF(T800&gt;Z800,Z800,T800)</f>
        <v>10</v>
      </c>
      <c r="AG800" s="2082"/>
      <c r="AH800" s="2082"/>
      <c r="AI800" s="2082"/>
      <c r="AJ800" s="2082"/>
      <c r="AK800" s="208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55">
        <f>AK327</f>
        <v>10</v>
      </c>
      <c r="U801" s="1955"/>
      <c r="V801" s="1955"/>
      <c r="W801" s="1955"/>
      <c r="X801" s="1955"/>
      <c r="Y801" s="1955"/>
      <c r="Z801" s="1960">
        <v>20</v>
      </c>
      <c r="AA801" s="1961"/>
      <c r="AB801" s="1961"/>
      <c r="AC801" s="1961"/>
      <c r="AD801" s="1961"/>
      <c r="AE801" s="1962"/>
      <c r="AF801" s="2078"/>
      <c r="AG801" s="2078"/>
      <c r="AH801" s="2078"/>
      <c r="AI801" s="2078"/>
      <c r="AJ801" s="2078"/>
      <c r="AK801" s="2078"/>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2049" t="s">
        <v>873</v>
      </c>
      <c r="C802" s="2049"/>
      <c r="D802" s="2049"/>
      <c r="E802" s="2049"/>
      <c r="F802" s="2049"/>
      <c r="G802" s="2049"/>
      <c r="H802" s="2049"/>
      <c r="I802" s="2049"/>
      <c r="J802" s="2049"/>
      <c r="K802" s="2049"/>
      <c r="L802" s="2049"/>
      <c r="M802" s="2049"/>
      <c r="N802" s="2049"/>
      <c r="O802" s="2049"/>
      <c r="P802" s="2049"/>
      <c r="Q802" s="2049"/>
      <c r="R802" s="2049"/>
      <c r="S802" s="2050"/>
      <c r="T802" s="2075">
        <f>AK458</f>
        <v>15</v>
      </c>
      <c r="U802" s="2075"/>
      <c r="V802" s="2075"/>
      <c r="W802" s="2075"/>
      <c r="X802" s="2075"/>
      <c r="Y802" s="2075"/>
      <c r="Z802" s="2081">
        <v>10</v>
      </c>
      <c r="AA802" s="2082"/>
      <c r="AB802" s="2082"/>
      <c r="AC802" s="2082"/>
      <c r="AD802" s="2082"/>
      <c r="AE802" s="2083"/>
      <c r="AF802" s="2018">
        <f>IF(T802&gt;Z802,Z802,T802)</f>
        <v>10</v>
      </c>
      <c r="AG802" s="2018"/>
      <c r="AH802" s="2018"/>
      <c r="AI802" s="2018"/>
      <c r="AJ802" s="2018"/>
      <c r="AK802" s="201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2049" t="s">
        <v>1738</v>
      </c>
      <c r="C803" s="2049"/>
      <c r="D803" s="2049"/>
      <c r="E803" s="2049"/>
      <c r="F803" s="2049"/>
      <c r="G803" s="2049"/>
      <c r="H803" s="2049"/>
      <c r="I803" s="2049"/>
      <c r="J803" s="2049"/>
      <c r="K803" s="2049"/>
      <c r="L803" s="2049"/>
      <c r="M803" s="2049"/>
      <c r="N803" s="2049"/>
      <c r="O803" s="2049"/>
      <c r="P803" s="2049"/>
      <c r="Q803" s="2049"/>
      <c r="R803" s="2049"/>
      <c r="S803" s="2050"/>
      <c r="T803" s="2075">
        <f>AK548</f>
        <v>12</v>
      </c>
      <c r="U803" s="2075"/>
      <c r="V803" s="2075"/>
      <c r="W803" s="2075"/>
      <c r="X803" s="2075"/>
      <c r="Y803" s="2075"/>
      <c r="Z803" s="2081">
        <v>12</v>
      </c>
      <c r="AA803" s="2082"/>
      <c r="AB803" s="2082"/>
      <c r="AC803" s="2082"/>
      <c r="AD803" s="2082"/>
      <c r="AE803" s="2083"/>
      <c r="AF803" s="2018">
        <f>IF(T803&gt;Z803,Z803,T803)</f>
        <v>12</v>
      </c>
      <c r="AG803" s="2018"/>
      <c r="AH803" s="2018"/>
      <c r="AI803" s="2018"/>
      <c r="AJ803" s="2018"/>
      <c r="AK803" s="201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2420</v>
      </c>
      <c r="B804" s="2049" t="s">
        <v>1760</v>
      </c>
      <c r="C804" s="2049"/>
      <c r="D804" s="2049"/>
      <c r="E804" s="2049"/>
      <c r="F804" s="2049"/>
      <c r="G804" s="2049"/>
      <c r="H804" s="2049"/>
      <c r="I804" s="2049"/>
      <c r="J804" s="2049"/>
      <c r="K804" s="2049"/>
      <c r="L804" s="2049"/>
      <c r="M804" s="2049"/>
      <c r="N804" s="2049"/>
      <c r="O804" s="2049"/>
      <c r="P804" s="2049"/>
      <c r="Q804" s="2049"/>
      <c r="R804" s="2049"/>
      <c r="S804" s="2050"/>
      <c r="T804" s="2075">
        <f>AK779</f>
        <v>10</v>
      </c>
      <c r="U804" s="2075"/>
      <c r="V804" s="2075"/>
      <c r="W804" s="2075"/>
      <c r="X804" s="2075"/>
      <c r="Y804" s="2075"/>
      <c r="Z804" s="2081">
        <v>10</v>
      </c>
      <c r="AA804" s="2082"/>
      <c r="AB804" s="2082"/>
      <c r="AC804" s="2082"/>
      <c r="AD804" s="2082"/>
      <c r="AE804" s="2083"/>
      <c r="AF804" s="2018">
        <f>IF(T804&gt;Z804,Z804,T804)</f>
        <v>10</v>
      </c>
      <c r="AG804" s="2018"/>
      <c r="AH804" s="2018"/>
      <c r="AI804" s="2018"/>
      <c r="AJ804" s="2018"/>
      <c r="AK804" s="201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9" t="s">
        <v>1761</v>
      </c>
      <c r="B805" s="2049"/>
      <c r="C805" s="2049"/>
      <c r="D805" s="2049"/>
      <c r="E805" s="2049"/>
      <c r="F805" s="2049"/>
      <c r="G805" s="2049"/>
      <c r="H805" s="2049"/>
      <c r="I805" s="2049"/>
      <c r="J805" s="2049"/>
      <c r="K805" s="2049"/>
      <c r="L805" s="2049"/>
      <c r="M805" s="2049"/>
      <c r="N805" s="2049"/>
      <c r="O805" s="2049"/>
      <c r="P805" s="2049"/>
      <c r="Q805" s="2049"/>
      <c r="R805" s="2049"/>
      <c r="S805" s="2050"/>
      <c r="T805" s="2080"/>
      <c r="U805" s="2080"/>
      <c r="V805" s="2080"/>
      <c r="W805" s="2080"/>
      <c r="X805" s="2080"/>
      <c r="Y805" s="2080"/>
      <c r="Z805" s="1956" t="s">
        <v>1762</v>
      </c>
      <c r="AA805" s="1956"/>
      <c r="AB805" s="1956"/>
      <c r="AC805" s="1956"/>
      <c r="AD805" s="1956"/>
      <c r="AE805" s="1956"/>
      <c r="AF805" s="2081">
        <f>IF(T805&gt;0,T805,0)</f>
        <v>0</v>
      </c>
      <c r="AG805" s="2082"/>
      <c r="AH805" s="2082"/>
      <c r="AI805" s="2082"/>
      <c r="AJ805" s="2082"/>
      <c r="AK805" s="208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84" t="s">
        <v>1763</v>
      </c>
      <c r="B806" s="2085"/>
      <c r="C806" s="2085"/>
      <c r="D806" s="2085"/>
      <c r="E806" s="2085"/>
      <c r="F806" s="2085"/>
      <c r="G806" s="2085"/>
      <c r="H806" s="2085"/>
      <c r="I806" s="2085"/>
      <c r="J806" s="2085"/>
      <c r="K806" s="2085"/>
      <c r="L806" s="2085"/>
      <c r="M806" s="2085"/>
      <c r="N806" s="2085"/>
      <c r="O806" s="2085"/>
      <c r="P806" s="2085"/>
      <c r="Q806" s="2085"/>
      <c r="R806" s="2085"/>
      <c r="S806" s="2085"/>
      <c r="T806" s="2085"/>
      <c r="U806" s="2085"/>
      <c r="V806" s="2085"/>
      <c r="W806" s="2085"/>
      <c r="X806" s="2085"/>
      <c r="Y806" s="2085"/>
      <c r="Z806" s="2085"/>
      <c r="AA806" s="2085"/>
      <c r="AB806" s="2085"/>
      <c r="AC806" s="2085"/>
      <c r="AD806" s="2085"/>
      <c r="AE806" s="2086"/>
      <c r="AF806" s="2090">
        <f>SUM(AF789:AK804)-AF805</f>
        <v>120</v>
      </c>
      <c r="AG806" s="2091"/>
      <c r="AH806" s="2091"/>
      <c r="AI806" s="2091"/>
      <c r="AJ806" s="2091"/>
      <c r="AK806" s="2092"/>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87"/>
      <c r="B807" s="2088"/>
      <c r="C807" s="2088"/>
      <c r="D807" s="2088"/>
      <c r="E807" s="2088"/>
      <c r="F807" s="2088"/>
      <c r="G807" s="2088"/>
      <c r="H807" s="2088"/>
      <c r="I807" s="2088"/>
      <c r="J807" s="2088"/>
      <c r="K807" s="2088"/>
      <c r="L807" s="2088"/>
      <c r="M807" s="2088"/>
      <c r="N807" s="2088"/>
      <c r="O807" s="2088"/>
      <c r="P807" s="2088"/>
      <c r="Q807" s="2088"/>
      <c r="R807" s="2088"/>
      <c r="S807" s="2088"/>
      <c r="T807" s="2088"/>
      <c r="U807" s="2088"/>
      <c r="V807" s="2088"/>
      <c r="W807" s="2088"/>
      <c r="X807" s="2088"/>
      <c r="Y807" s="2088"/>
      <c r="Z807" s="2088"/>
      <c r="AA807" s="2088"/>
      <c r="AB807" s="2088"/>
      <c r="AC807" s="2088"/>
      <c r="AD807" s="2088"/>
      <c r="AE807" s="2089"/>
      <c r="AF807" s="2093"/>
      <c r="AG807" s="2094"/>
      <c r="AH807" s="2094"/>
      <c r="AI807" s="2094"/>
      <c r="AJ807" s="2094"/>
      <c r="AK807" s="2095"/>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abSelected="1" topLeftCell="A6" zoomScaleNormal="100" workbookViewId="0">
      <selection activeCell="G65" sqref="G65"/>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40" t="s">
        <v>1764</v>
      </c>
      <c r="B1" s="2140"/>
      <c r="C1" s="2140"/>
      <c r="D1" s="2140"/>
      <c r="E1" s="2140"/>
      <c r="F1" s="2140"/>
      <c r="G1" s="2140"/>
      <c r="H1" s="2140"/>
      <c r="I1" s="2140"/>
      <c r="J1" s="2140"/>
    </row>
    <row r="2" spans="1:13" ht="15" customHeight="1" thickBot="1">
      <c r="A2" s="1090"/>
      <c r="B2" s="1090"/>
      <c r="I2" s="1091"/>
      <c r="K2" s="1092"/>
    </row>
    <row r="3" spans="1:13" s="1095" customFormat="1" ht="20.100000000000001" customHeight="1">
      <c r="A3" s="1149"/>
      <c r="B3" s="1150"/>
      <c r="C3" s="1151"/>
      <c r="D3" s="1156"/>
      <c r="E3" s="1151"/>
      <c r="F3" s="1152" t="s">
        <v>2385</v>
      </c>
      <c r="G3" s="1151"/>
      <c r="H3" s="1153">
        <f>E16</f>
        <v>23770068</v>
      </c>
      <c r="I3" s="1154"/>
    </row>
    <row r="4" spans="1:13" s="1095" customFormat="1" ht="20.100000000000001" customHeight="1">
      <c r="B4" s="1143"/>
      <c r="D4" s="1157"/>
      <c r="F4" s="1141" t="s">
        <v>2387</v>
      </c>
      <c r="G4" s="1140" t="s">
        <v>2386</v>
      </c>
      <c r="H4" s="1142">
        <f>I16</f>
        <v>52455967.340522878</v>
      </c>
      <c r="I4" s="1144"/>
      <c r="K4" s="1099"/>
    </row>
    <row r="5" spans="1:13" s="1095" customFormat="1" ht="20.100000000000001" customHeight="1" thickBot="1">
      <c r="B5" s="1145"/>
      <c r="C5" s="1146"/>
      <c r="D5" s="1158"/>
      <c r="E5" s="1147"/>
      <c r="F5" s="1158" t="s">
        <v>2327</v>
      </c>
      <c r="G5" s="1159"/>
      <c r="H5" s="1155">
        <f>H3/H4</f>
        <v>0.45314325910137837</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42" t="s">
        <v>2325</v>
      </c>
      <c r="C8" s="2143"/>
      <c r="D8" s="2143"/>
      <c r="E8" s="2144"/>
      <c r="G8" s="2145" t="s">
        <v>2326</v>
      </c>
      <c r="H8" s="2146"/>
      <c r="I8" s="2147"/>
      <c r="K8" s="1101"/>
    </row>
    <row r="9" spans="1:13" ht="15" customHeight="1">
      <c r="A9" s="1090"/>
      <c r="B9" s="2141" t="s">
        <v>2364</v>
      </c>
      <c r="C9" s="2141"/>
      <c r="D9" s="2141"/>
      <c r="E9" s="1103">
        <f>G31</f>
        <v>7687500</v>
      </c>
      <c r="G9" s="2150" t="s">
        <v>2362</v>
      </c>
      <c r="H9" s="2150"/>
      <c r="I9" s="1104">
        <f>Application!AM550</f>
        <v>38763000</v>
      </c>
      <c r="K9" s="1105"/>
      <c r="M9" s="1106"/>
    </row>
    <row r="10" spans="1:13" ht="15" customHeight="1" thickBot="1">
      <c r="A10" s="1090"/>
      <c r="B10" s="2141" t="s">
        <v>2365</v>
      </c>
      <c r="C10" s="2141"/>
      <c r="D10" s="2141"/>
      <c r="E10" s="1104">
        <f>G40</f>
        <v>13337567.999999998</v>
      </c>
      <c r="G10" s="2150" t="s">
        <v>2328</v>
      </c>
      <c r="H10" s="2150"/>
      <c r="I10" s="1191">
        <f>'Basis &amp; Credits'!AB77</f>
        <v>21080512</v>
      </c>
      <c r="M10" s="1106"/>
    </row>
    <row r="11" spans="1:13" ht="15" customHeight="1">
      <c r="A11" s="1107"/>
      <c r="B11" s="2141" t="s">
        <v>2366</v>
      </c>
      <c r="C11" s="2141"/>
      <c r="D11" s="2141"/>
      <c r="E11" s="1104">
        <f>G49</f>
        <v>0</v>
      </c>
      <c r="G11" s="2150" t="s">
        <v>2377</v>
      </c>
      <c r="H11" s="2150"/>
      <c r="I11" s="1190">
        <f>I9+I10</f>
        <v>59843512</v>
      </c>
      <c r="M11" s="1106"/>
    </row>
    <row r="12" spans="1:13" ht="15" customHeight="1">
      <c r="A12" s="1093"/>
      <c r="B12" s="2141" t="s">
        <v>2367</v>
      </c>
      <c r="C12" s="2141"/>
      <c r="D12" s="2141"/>
      <c r="E12" s="1104">
        <f>G58</f>
        <v>900000</v>
      </c>
      <c r="G12" s="1192" t="s">
        <v>2402</v>
      </c>
      <c r="H12" s="1193"/>
      <c r="M12" s="1106"/>
    </row>
    <row r="13" spans="1:13" ht="15" customHeight="1">
      <c r="A13" s="1090"/>
      <c r="B13" s="2141" t="s">
        <v>2368</v>
      </c>
      <c r="C13" s="2141"/>
      <c r="D13" s="2141"/>
      <c r="E13" s="1109">
        <f>G83</f>
        <v>1845000</v>
      </c>
      <c r="G13" s="2151" t="s">
        <v>140</v>
      </c>
      <c r="H13" s="2151"/>
      <c r="I13" s="1108">
        <f>15%*(Application!AJ963&gt;0)</f>
        <v>0.15</v>
      </c>
      <c r="M13" s="1106"/>
    </row>
    <row r="14" spans="1:13" ht="15" customHeight="1">
      <c r="A14" s="1090"/>
      <c r="B14" s="2141" t="s">
        <v>2369</v>
      </c>
      <c r="C14" s="2141"/>
      <c r="D14" s="2141"/>
      <c r="E14" s="1104">
        <f>IF(G96&gt;G106,G96,0)</f>
        <v>0</v>
      </c>
      <c r="G14" s="1188" t="s">
        <v>2378</v>
      </c>
      <c r="H14" s="1188"/>
      <c r="I14" s="1108">
        <f>IF(Application!AJ997&gt;0,10%,IF(Application!AJ1001&gt;0,5%,0))</f>
        <v>0</v>
      </c>
      <c r="M14" s="1106"/>
    </row>
    <row r="15" spans="1:13" ht="15" customHeight="1" thickBot="1">
      <c r="A15" s="1090"/>
      <c r="B15" s="2148" t="s">
        <v>2388</v>
      </c>
      <c r="C15" s="2148"/>
      <c r="D15" s="2148"/>
      <c r="E15" s="1160">
        <f>IF(E14&gt;0,0,G106)</f>
        <v>0</v>
      </c>
      <c r="G15" s="2154" t="s">
        <v>2379</v>
      </c>
      <c r="H15" s="2155"/>
      <c r="I15" s="1162">
        <f>G114</f>
        <v>-2.6552287581699346E-2</v>
      </c>
      <c r="M15" s="1106"/>
    </row>
    <row r="16" spans="1:13" ht="15" customHeight="1">
      <c r="A16" s="1090"/>
      <c r="B16" s="2149" t="s">
        <v>2324</v>
      </c>
      <c r="C16" s="2149"/>
      <c r="D16" s="2149"/>
      <c r="E16" s="1161">
        <f>SUM(E9:E15)</f>
        <v>23770068</v>
      </c>
      <c r="G16" s="1189" t="s">
        <v>2363</v>
      </c>
      <c r="H16" s="1189"/>
      <c r="I16" s="1163">
        <f>I11-((I11*I13)+(I11*I14)+(I11*I15))</f>
        <v>52455967.340522878</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120</v>
      </c>
      <c r="O18" s="1133" t="s">
        <v>591</v>
      </c>
      <c r="P18" s="1088">
        <f>MATCH(Application!T189,Application!BP656:BP713,0)</f>
        <v>33</v>
      </c>
      <c r="S18" s="1110">
        <f>SUM(Cdlac[Population])</f>
        <v>0</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386</v>
      </c>
    </row>
    <row r="20" spans="1:20" ht="15" customHeight="1">
      <c r="A20" s="1093"/>
      <c r="C20" s="2152" t="s">
        <v>2381</v>
      </c>
      <c r="D20" s="2152" t="s">
        <v>2382</v>
      </c>
      <c r="E20" s="2152" t="s">
        <v>2383</v>
      </c>
      <c r="F20" s="2152" t="s">
        <v>2384</v>
      </c>
      <c r="G20" s="2152" t="s">
        <v>2380</v>
      </c>
      <c r="H20" s="1117"/>
      <c r="I20" s="1116"/>
      <c r="L20" s="1088">
        <f>IFERROR(MIN(4,MATCH(Application!B714,UnitSizes,0)-1),"")</f>
        <v>1</v>
      </c>
      <c r="M20" s="1110">
        <f>Application!G714</f>
        <v>13</v>
      </c>
      <c r="N20" s="1118">
        <f>Application!AC714</f>
        <v>0.3</v>
      </c>
      <c r="O20" s="1118">
        <f>IF(Cdlac[[#This Row],[Quantity]]&gt;0,IF(Cdlac[[#This Row],[Federal]],30%,IF($G$36,40%,Cdlac[[#This Row],[iAMI]])),"")</f>
        <v>0.3</v>
      </c>
      <c r="P20" s="1110" cm="1">
        <f t="array" ref="P20">IF(Cdlac[[#This Row],[Quantity]]&gt;0,INDEX(TcacRents,$P$18,Cdlac[[#This Row],[Bedrooms]]+1)*Cdlac[[#This Row],[AMI]],"")</f>
        <v>495</v>
      </c>
      <c r="Q20" s="1110" cm="1">
        <f t="array" ref="Q20">IF(Cdlac[[#This Row],[Quantity]]&gt;0,INDEX(HudFmrs,$P$18,Cdlac[[#This Row],[Bedrooms]]+1),"")</f>
        <v>1202</v>
      </c>
      <c r="R20" s="1110">
        <f>IF(Cdlac[[#This Row],[Quantity]]&gt;0,MAX(0,Cdlac[[#This Row],[Fair Market Rent]]-Cdlac[[#This Row],[Restricted Rent]]),"")</f>
        <v>707</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53"/>
      <c r="D21" s="2153"/>
      <c r="E21" s="2153"/>
      <c r="F21" s="2153"/>
      <c r="G21" s="2153"/>
      <c r="H21" s="1117"/>
      <c r="I21" s="1116"/>
      <c r="L21" s="1088">
        <f>IFERROR(MIN(4,MATCH(Application!B715,UnitSizes,0)-1),"")</f>
        <v>1</v>
      </c>
      <c r="M21" s="1110">
        <f>Application!G715</f>
        <v>2</v>
      </c>
      <c r="N21" s="1118">
        <f>Application!AC715</f>
        <v>0.3</v>
      </c>
      <c r="O21" s="1118">
        <f>IF(Cdlac[[#This Row],[Quantity]]&gt;0,IF(Cdlac[[#This Row],[Federal]],30%,IF($G$36,40%,Cdlac[[#This Row],[iAMI]])),"")</f>
        <v>0.3</v>
      </c>
      <c r="P21" s="1110" cm="1">
        <f t="array" ref="P21">IF(Cdlac[[#This Row],[Quantity]]&gt;0,INDEX(TcacRents,$P$18,Cdlac[[#This Row],[Bedrooms]]+1)*Cdlac[[#This Row],[AMI]],"")</f>
        <v>495</v>
      </c>
      <c r="Q21" s="1110" cm="1">
        <f t="array" ref="Q21">IF(Cdlac[[#This Row],[Quantity]]&gt;0,INDEX(HudFmrs,$P$18,Cdlac[[#This Row],[Bedrooms]]+1),"")</f>
        <v>1202</v>
      </c>
      <c r="R21" s="1110">
        <f>IF(Cdlac[[#This Row],[Quantity]]&gt;0,MAX(0,Cdlac[[#This Row],[Fair Market Rent]]-Cdlac[[#This Row],[Restricted Rent]]),"")</f>
        <v>707</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21</v>
      </c>
      <c r="N22" s="1118">
        <f>Application!AC716</f>
        <v>0.3</v>
      </c>
      <c r="O22" s="1118">
        <f>IF(Cdlac[[#This Row],[Quantity]]&gt;0,IF(Cdlac[[#This Row],[Federal]],30%,IF($G$36,40%,Cdlac[[#This Row],[iAMI]])),"")</f>
        <v>0.3</v>
      </c>
      <c r="P22" s="1110" cm="1">
        <f t="array" ref="P22">IF(Cdlac[[#This Row],[Quantity]]&gt;0,INDEX(TcacRents,$P$18,Cdlac[[#This Row],[Bedrooms]]+1)*Cdlac[[#This Row],[AMI]],"")</f>
        <v>594</v>
      </c>
      <c r="Q22" s="1110" cm="1">
        <f t="array" ref="Q22">IF(Cdlac[[#This Row],[Quantity]]&gt;0,INDEX(HudFmrs,$P$18,Cdlac[[#This Row],[Bedrooms]]+1),"")</f>
        <v>1509</v>
      </c>
      <c r="R22" s="1110">
        <f>IF(Cdlac[[#This Row],[Quantity]]&gt;0,MAX(0,Cdlac[[#This Row],[Fair Market Rent]]-Cdlac[[#This Row],[Restricted Rent]]),"")</f>
        <v>915</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15</v>
      </c>
      <c r="F23" s="1119">
        <f>E23</f>
        <v>15</v>
      </c>
      <c r="G23" s="1119">
        <f>D23*F23</f>
        <v>15</v>
      </c>
      <c r="L23" s="1088">
        <f>IFERROR(MIN(4,MATCH(Application!B717,UnitSizes,0)-1),"")</f>
        <v>2</v>
      </c>
      <c r="M23" s="1110">
        <f>Application!G717</f>
        <v>54</v>
      </c>
      <c r="N23" s="1118">
        <f>Application!AC717</f>
        <v>0.6</v>
      </c>
      <c r="O23" s="1118">
        <f>IF(Cdlac[[#This Row],[Quantity]]&gt;0,IF(Cdlac[[#This Row],[Federal]],30%,IF($G$36,40%,Cdlac[[#This Row],[iAMI]])),"")</f>
        <v>0.6</v>
      </c>
      <c r="P23" s="1110" cm="1">
        <f t="array" ref="P23">IF(Cdlac[[#This Row],[Quantity]]&gt;0,INDEX(TcacRents,$P$18,Cdlac[[#This Row],[Bedrooms]]+1)*Cdlac[[#This Row],[AMI]],"")</f>
        <v>1188</v>
      </c>
      <c r="Q23" s="1110" cm="1">
        <f t="array" ref="Q23">IF(Cdlac[[#This Row],[Quantity]]&gt;0,INDEX(HudFmrs,$P$18,Cdlac[[#This Row],[Bedrooms]]+1),"")</f>
        <v>1509</v>
      </c>
      <c r="R23" s="1110">
        <f>IF(Cdlac[[#This Row],[Quantity]]&gt;0,MAX(0,Cdlac[[#This Row],[Fair Market Rent]]-Cdlac[[#This Row],[Restricted Rent]]),"")</f>
        <v>321</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75</v>
      </c>
      <c r="F24" s="1122">
        <f>SUM(E24:E26)-SUM(F25:F26)</f>
        <v>75</v>
      </c>
      <c r="G24" s="1119">
        <f>D24*F24</f>
        <v>93.75</v>
      </c>
      <c r="H24" s="1121"/>
      <c r="I24" s="1121"/>
      <c r="L24" s="1088">
        <f>IFERROR(MIN(4,MATCH(Application!B718,UnitSizes,0)-1),"")</f>
        <v>3</v>
      </c>
      <c r="M24" s="1110">
        <f>Application!G718</f>
        <v>7</v>
      </c>
      <c r="N24" s="1118">
        <f>Application!AC718</f>
        <v>0.3</v>
      </c>
      <c r="O24" s="1118">
        <f>IF(Cdlac[[#This Row],[Quantity]]&gt;0,IF(Cdlac[[#This Row],[Federal]],30%,IF($G$36,40%,Cdlac[[#This Row],[iAMI]])),"")</f>
        <v>0.3</v>
      </c>
      <c r="P24" s="1110" cm="1">
        <f t="array" ref="P24">IF(Cdlac[[#This Row],[Quantity]]&gt;0,INDEX(TcacRents,$P$18,Cdlac[[#This Row],[Bedrooms]]+1)*Cdlac[[#This Row],[AMI]],"")</f>
        <v>686.4</v>
      </c>
      <c r="Q24" s="1110" cm="1">
        <f t="array" ref="Q24">IF(Cdlac[[#This Row],[Quantity]]&gt;0,INDEX(HudFmrs,$P$18,Cdlac[[#This Row],[Bedrooms]]+1),"")</f>
        <v>2065</v>
      </c>
      <c r="R24" s="1110">
        <f>IF(Cdlac[[#This Row],[Quantity]]&gt;0,MAX(0,Cdlac[[#This Row],[Fair Market Rent]]-Cdlac[[#This Row],[Restricted Rent]]),"")</f>
        <v>1378.6</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30</v>
      </c>
      <c r="F25" s="1122">
        <f>MIN(E25,ROUNDDOWN(E27*30%,0))</f>
        <v>30</v>
      </c>
      <c r="G25" s="1119">
        <f>D25*F25</f>
        <v>45</v>
      </c>
      <c r="H25" s="1121"/>
      <c r="I25" s="1121"/>
      <c r="L25" s="1088">
        <f>IFERROR(MIN(4,MATCH(Application!B719,UnitSizes,0)-1),"")</f>
        <v>3</v>
      </c>
      <c r="M25" s="1110">
        <f>Application!G719</f>
        <v>21</v>
      </c>
      <c r="N25" s="1118">
        <f>Application!AC719</f>
        <v>0.6</v>
      </c>
      <c r="O25" s="1118">
        <f>IF(Cdlac[[#This Row],[Quantity]]&gt;0,IF(Cdlac[[#This Row],[Federal]],30%,IF($G$36,40%,Cdlac[[#This Row],[iAMI]])),"")</f>
        <v>0.6</v>
      </c>
      <c r="P25" s="1110" cm="1">
        <f t="array" ref="P25">IF(Cdlac[[#This Row],[Quantity]]&gt;0,INDEX(TcacRents,$P$18,Cdlac[[#This Row],[Bedrooms]]+1)*Cdlac[[#This Row],[AMI]],"")</f>
        <v>1372.8</v>
      </c>
      <c r="Q25" s="1110" cm="1">
        <f t="array" ref="Q25">IF(Cdlac[[#This Row],[Quantity]]&gt;0,INDEX(HudFmrs,$P$18,Cdlac[[#This Row],[Bedrooms]]+1),"")</f>
        <v>2065</v>
      </c>
      <c r="R25" s="1110">
        <f>IF(Cdlac[[#This Row],[Quantity]]&gt;0,MAX(0,Cdlac[[#This Row],[Fair Market Rent]]-Cdlac[[#This Row],[Restricted Rent]]),"")</f>
        <v>692.2</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3</v>
      </c>
      <c r="M26" s="1110">
        <f>Application!G720</f>
        <v>2</v>
      </c>
      <c r="N26" s="1118">
        <f>Application!AC720</f>
        <v>0.3</v>
      </c>
      <c r="O26" s="1118">
        <f>IF(Cdlac[[#This Row],[Quantity]]&gt;0,IF(Cdlac[[#This Row],[Federal]],30%,IF($G$36,40%,Cdlac[[#This Row],[iAMI]])),"")</f>
        <v>0.3</v>
      </c>
      <c r="P26" s="1110" cm="1">
        <f t="array" ref="P26">IF(Cdlac[[#This Row],[Quantity]]&gt;0,INDEX(TcacRents,$P$18,Cdlac[[#This Row],[Bedrooms]]+1)*Cdlac[[#This Row],[AMI]],"")</f>
        <v>686.4</v>
      </c>
      <c r="Q26" s="1110" cm="1">
        <f t="array" ref="Q26">IF(Cdlac[[#This Row],[Quantity]]&gt;0,INDEX(HudFmrs,$P$18,Cdlac[[#This Row],[Bedrooms]]+1),"")</f>
        <v>2065</v>
      </c>
      <c r="R26" s="1110">
        <f>IF(Cdlac[[#This Row],[Quantity]]&gt;0,MAX(0,Cdlac[[#This Row],[Fair Market Rent]]-Cdlac[[#This Row],[Restricted Rent]]),"")</f>
        <v>1378.6</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36" t="s">
        <v>1765</v>
      </c>
      <c r="D27" s="2137"/>
      <c r="E27" s="1138">
        <f>SUM(E22:E26)</f>
        <v>120</v>
      </c>
      <c r="F27" s="1138">
        <f>SUM(F22:F26)</f>
        <v>120</v>
      </c>
      <c r="G27" s="1139">
        <f>SUMPRODUCT(D22:D26,F22:F26)</f>
        <v>153.75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2380</v>
      </c>
      <c r="G29" s="1165">
        <f>G27</f>
        <v>153.75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2332</v>
      </c>
      <c r="F30" s="1164" t="s">
        <v>2389</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2373</v>
      </c>
      <c r="F31" s="1090"/>
      <c r="G31" s="1170">
        <f>G30*G29</f>
        <v>7687500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2400</v>
      </c>
      <c r="G35" s="1171" cm="1">
        <f t="array" ref="G35">SUMPRODUCT(Cdlac[Quantity],Cdlac[iAMI],IF(Cdlac[Federal],0,1))/SUMIFS(Cdlac[Quantity],Cdlac[Federal],FALSE)</f>
        <v>0.6</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2395</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74097.599999999991</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13337567.999999998</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60</v>
      </c>
    </row>
    <row r="46" spans="2:20" ht="15" customHeight="1">
      <c r="E46" s="1168"/>
      <c r="G46" s="1176"/>
    </row>
    <row r="47" spans="2:20" ht="15" customHeight="1">
      <c r="E47" s="1168" t="s">
        <v>2342</v>
      </c>
      <c r="G47" s="1165">
        <f>MIN(G44:G45)</f>
        <v>0</v>
      </c>
    </row>
    <row r="48" spans="2:20" ht="15" customHeight="1">
      <c r="E48" s="1168" t="s">
        <v>2332</v>
      </c>
      <c r="F48" s="1164" t="s">
        <v>2389</v>
      </c>
      <c r="G48" s="1175">
        <v>10000</v>
      </c>
    </row>
    <row r="49" spans="2:14" ht="15" customHeight="1">
      <c r="E49" s="1169" t="s">
        <v>2372</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45</v>
      </c>
    </row>
    <row r="54" spans="2:14" ht="15" customHeight="1">
      <c r="E54" s="1168" t="s">
        <v>2391</v>
      </c>
      <c r="G54" s="1126">
        <f>ROUNDDOWN(E27*50%,0)</f>
        <v>60</v>
      </c>
    </row>
    <row r="55" spans="2:14" ht="15" customHeight="1">
      <c r="E55" s="1168"/>
      <c r="G55" s="1126"/>
    </row>
    <row r="56" spans="2:14" ht="15" customHeight="1">
      <c r="E56" s="1168" t="s">
        <v>2342</v>
      </c>
      <c r="G56" s="1165">
        <f>MIN(G53:G54)</f>
        <v>45</v>
      </c>
    </row>
    <row r="57" spans="2:14" ht="15" customHeight="1">
      <c r="E57" s="1168" t="s">
        <v>2332</v>
      </c>
      <c r="F57" s="1164" t="s">
        <v>2389</v>
      </c>
      <c r="G57" s="1175">
        <v>20000</v>
      </c>
    </row>
    <row r="58" spans="2:14" ht="15" customHeight="1">
      <c r="E58" s="1169" t="s">
        <v>2371</v>
      </c>
      <c r="F58" s="1090"/>
      <c r="G58" s="1174">
        <f>G56*G57</f>
        <v>900000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3</v>
      </c>
      <c r="L62" s="1178" t="str">
        <f>'Points System'!H627</f>
        <v>(ii)</v>
      </c>
      <c r="M62" s="2138" t="s">
        <v>1579</v>
      </c>
      <c r="N62" s="2139"/>
    </row>
    <row r="63" spans="2:14" ht="15" customHeight="1">
      <c r="E63" s="1133" t="s">
        <v>2332</v>
      </c>
      <c r="F63" s="1164" t="s">
        <v>2389</v>
      </c>
      <c r="G63" s="1123">
        <v>4000</v>
      </c>
      <c r="L63" s="1179" t="str">
        <f>'Points System'!H639</f>
        <v>N/A</v>
      </c>
      <c r="M63" s="2130" t="s">
        <v>2346</v>
      </c>
      <c r="N63" s="2131"/>
    </row>
    <row r="64" spans="2:14" ht="15" customHeight="1">
      <c r="E64" s="1133" t="s">
        <v>2393</v>
      </c>
      <c r="F64" s="1164" t="s">
        <v>2389</v>
      </c>
      <c r="G64" s="1177">
        <f>G27</f>
        <v>153.75</v>
      </c>
      <c r="L64" s="1179" t="str">
        <f>'Points System'!H674</f>
        <v>(iii)</v>
      </c>
      <c r="M64" s="2130" t="s">
        <v>2347</v>
      </c>
      <c r="N64" s="2131"/>
    </row>
    <row r="65" spans="2:14" ht="15" customHeight="1">
      <c r="E65" s="1169" t="s">
        <v>2351</v>
      </c>
      <c r="F65" s="1090"/>
      <c r="G65" s="1174">
        <f>G62*G63*G64</f>
        <v>1845000</v>
      </c>
      <c r="L65" s="1179" t="str">
        <f>'Points System'!H694</f>
        <v>N/A</v>
      </c>
      <c r="M65" s="2130" t="s">
        <v>2348</v>
      </c>
      <c r="N65" s="2131"/>
    </row>
    <row r="66" spans="2:14" ht="15" customHeight="1">
      <c r="C66" s="1124"/>
      <c r="G66" s="1165"/>
      <c r="L66" s="1180" t="str">
        <f>'Points System'!H708</f>
        <v>N/A</v>
      </c>
      <c r="M66" s="2130" t="s">
        <v>1605</v>
      </c>
      <c r="N66" s="2131"/>
    </row>
    <row r="67" spans="2:14" ht="15" customHeight="1">
      <c r="E67" s="1133" t="s">
        <v>2394</v>
      </c>
      <c r="G67" s="1177">
        <f>COUNTIFS(L62:L69,"(i)")</f>
        <v>0</v>
      </c>
      <c r="L67" s="1179" t="str">
        <f>'Points System'!H720</f>
        <v>N/A</v>
      </c>
      <c r="M67" s="2130" t="s">
        <v>2349</v>
      </c>
      <c r="N67" s="2131"/>
    </row>
    <row r="68" spans="2:14" ht="15" customHeight="1">
      <c r="E68" s="1133" t="s">
        <v>2332</v>
      </c>
      <c r="F68" s="1164" t="s">
        <v>2389</v>
      </c>
      <c r="G68" s="1175">
        <v>4000</v>
      </c>
      <c r="L68" s="1179" t="str">
        <f>'Points System'!H736</f>
        <v>(ii)</v>
      </c>
      <c r="M68" s="2130" t="s">
        <v>2350</v>
      </c>
      <c r="N68" s="2131"/>
    </row>
    <row r="69" spans="2:14" ht="15" customHeight="1" thickBot="1">
      <c r="E69" s="1169" t="s">
        <v>2352</v>
      </c>
      <c r="F69" s="1090"/>
      <c r="G69" s="1174">
        <f>G64*G67*G68</f>
        <v>0</v>
      </c>
      <c r="L69" s="1181" t="str">
        <f>'Points System'!H748</f>
        <v>(ii)</v>
      </c>
      <c r="M69" s="2132" t="s">
        <v>1608</v>
      </c>
      <c r="N69" s="2133"/>
    </row>
    <row r="70" spans="2:14" ht="15" customHeight="1"/>
    <row r="71" spans="2:14" ht="15" customHeight="1">
      <c r="C71" s="1127" t="s">
        <v>2354</v>
      </c>
    </row>
    <row r="72" spans="2:14" ht="15" customHeight="1">
      <c r="C72" s="1124" t="s">
        <v>2355</v>
      </c>
      <c r="G72" s="1087"/>
    </row>
    <row r="73" spans="2:14" ht="15" customHeight="1">
      <c r="C73" s="1124" t="s">
        <v>2356</v>
      </c>
      <c r="G73" s="1087"/>
    </row>
    <row r="74" spans="2:14" ht="15" customHeight="1">
      <c r="C74" s="1124" t="s">
        <v>2617</v>
      </c>
      <c r="G74" s="1087"/>
    </row>
    <row r="75" spans="2:14" ht="15" customHeight="1">
      <c r="C75" s="1124" t="s">
        <v>2618</v>
      </c>
      <c r="G75" s="1087"/>
    </row>
    <row r="76" spans="2:14" ht="15" customHeight="1"/>
    <row r="77" spans="2:14" ht="15" customHeight="1">
      <c r="B77" s="1125"/>
      <c r="C77" s="1124"/>
      <c r="E77" s="1133" t="s">
        <v>2396</v>
      </c>
      <c r="G77" s="1126" t="b">
        <f>COUNTIFS(G72:G75,"Yes")&gt;=1</f>
        <v>0</v>
      </c>
    </row>
    <row r="78" spans="2:14" ht="15" customHeight="1">
      <c r="E78" s="1124"/>
    </row>
    <row r="79" spans="2:14" ht="15" customHeight="1">
      <c r="E79" s="1133" t="s">
        <v>2393</v>
      </c>
      <c r="F79" s="1164" t="s">
        <v>2389</v>
      </c>
      <c r="G79" s="1165">
        <f>G27</f>
        <v>153.75</v>
      </c>
    </row>
    <row r="80" spans="2:14" ht="15" customHeight="1">
      <c r="E80" s="1133" t="s">
        <v>2332</v>
      </c>
      <c r="F80" s="1164" t="s">
        <v>2389</v>
      </c>
      <c r="G80" s="1175">
        <v>25000</v>
      </c>
    </row>
    <row r="81" spans="2:14" ht="15" customHeight="1">
      <c r="E81" s="1169" t="s">
        <v>2353</v>
      </c>
      <c r="F81" s="1090"/>
      <c r="G81" s="1174">
        <f>G77*G80*G64</f>
        <v>0</v>
      </c>
    </row>
    <row r="82" spans="2:14" ht="15" customHeight="1">
      <c r="C82" s="1124"/>
      <c r="E82" s="1124"/>
    </row>
    <row r="83" spans="2:14" ht="15" customHeight="1">
      <c r="E83" s="1169" t="s">
        <v>2330</v>
      </c>
      <c r="G83" s="1174">
        <f>G81+G69+G65</f>
        <v>1845000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t="s">
        <v>554</v>
      </c>
      <c r="L87" s="2134" t="s">
        <v>2359</v>
      </c>
      <c r="M87" s="2135"/>
      <c r="N87" s="1182">
        <v>30000</v>
      </c>
    </row>
    <row r="88" spans="2:14" ht="15" customHeight="1">
      <c r="C88" s="1124" t="s">
        <v>2376</v>
      </c>
      <c r="G88" s="1128" t="str">
        <f>IF(Application!D210="Large Family","Yes","No")</f>
        <v>Yes</v>
      </c>
      <c r="L88" s="2126" t="s">
        <v>2323</v>
      </c>
      <c r="M88" s="2127"/>
      <c r="N88" s="1183">
        <v>20000</v>
      </c>
    </row>
    <row r="89" spans="2:14" ht="15" customHeight="1" thickBot="1">
      <c r="C89" s="1124" t="s">
        <v>2357</v>
      </c>
      <c r="G89" s="1087" t="s">
        <v>678</v>
      </c>
      <c r="L89" s="2128" t="s">
        <v>2360</v>
      </c>
      <c r="M89" s="2129"/>
      <c r="N89" s="1184">
        <v>10000</v>
      </c>
    </row>
    <row r="90" spans="2:14" ht="15" customHeight="1">
      <c r="C90" s="1124" t="s">
        <v>2358</v>
      </c>
      <c r="G90" s="1088">
        <f>Application!T193</f>
        <v>0</v>
      </c>
    </row>
    <row r="91" spans="2:14" ht="15" customHeight="1">
      <c r="C91" s="1124"/>
    </row>
    <row r="92" spans="2:14" ht="15" customHeight="1">
      <c r="E92" s="1133" t="s">
        <v>2396</v>
      </c>
      <c r="G92" s="1126" t="b">
        <f>AND(COUNTIFS(G88:G89,"Yes")&gt;=1,G87="Yes")</f>
        <v>1</v>
      </c>
    </row>
    <row r="93" spans="2:14" ht="15" customHeight="1">
      <c r="E93" s="1133"/>
      <c r="G93" s="1126"/>
    </row>
    <row r="94" spans="2:14" ht="15" customHeight="1">
      <c r="E94" s="1133" t="s">
        <v>2332</v>
      </c>
      <c r="G94" s="1125">
        <f>IFERROR(INDEX(N87:N89,MATCH(LEFT(G90,17),L87:L89,0)),0)</f>
        <v>0</v>
      </c>
    </row>
    <row r="95" spans="2:14" ht="15" customHeight="1">
      <c r="E95" s="1133" t="str">
        <f>E64</f>
        <v>Bedroom-Adjusted Low-Income Units</v>
      </c>
      <c r="F95" s="1164" t="s">
        <v>2389</v>
      </c>
      <c r="G95" s="1165">
        <f>G27</f>
        <v>153.75</v>
      </c>
    </row>
    <row r="96" spans="2:14" ht="15" customHeight="1">
      <c r="D96" s="1090"/>
      <c r="E96" s="1169" t="s">
        <v>2331</v>
      </c>
      <c r="F96" s="1090"/>
      <c r="G96" s="1174">
        <f>G95*G94*G92</f>
        <v>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t="s">
        <v>678</v>
      </c>
    </row>
    <row r="101" spans="2:9" ht="15" customHeight="1">
      <c r="F101" s="1167"/>
    </row>
    <row r="102" spans="2:9" ht="15" customHeight="1">
      <c r="E102" s="1133" t="s">
        <v>2396</v>
      </c>
      <c r="G102" s="1126" t="b">
        <f>G100="Yes"</f>
        <v>0</v>
      </c>
    </row>
    <row r="103" spans="2:9" ht="15" customHeight="1"/>
    <row r="104" spans="2:9" ht="15" customHeight="1">
      <c r="E104" s="1133" t="str">
        <f>E64</f>
        <v>Bedroom-Adjusted Low-Income Units</v>
      </c>
      <c r="G104" s="1165">
        <f>G27</f>
        <v>153.75</v>
      </c>
    </row>
    <row r="105" spans="2:9" ht="15" customHeight="1">
      <c r="E105" s="1133" t="s">
        <v>2332</v>
      </c>
      <c r="F105" s="1164" t="s">
        <v>2389</v>
      </c>
      <c r="G105" s="1094">
        <v>20000</v>
      </c>
    </row>
    <row r="106" spans="2:9" ht="15" customHeight="1">
      <c r="E106" s="1169" t="s">
        <v>2361</v>
      </c>
      <c r="F106" s="1090"/>
      <c r="G106" s="1174">
        <f>G102*G105*G104</f>
        <v>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591</v>
      </c>
      <c r="G110" s="1088" t="str">
        <f>IF(Application!T189="","",Application!T189)</f>
        <v>Riverside</v>
      </c>
    </row>
    <row r="111" spans="2:9" ht="15" customHeight="1">
      <c r="E111" s="1133"/>
      <c r="G111" s="1125"/>
    </row>
    <row r="112" spans="2:9" ht="15" customHeight="1">
      <c r="E112" s="1133" t="str">
        <f>"2-Bedroom "&amp;G110&amp;" County Basis Limit"</f>
        <v>2-Bedroom Riverside County Basis Limit</v>
      </c>
      <c r="G112" s="1125">
        <f>Application!R957</f>
        <v>437600</v>
      </c>
    </row>
    <row r="113" spans="4:9" ht="15" customHeight="1">
      <c r="E113" s="1133" t="s">
        <v>2397</v>
      </c>
      <c r="G113" s="1125">
        <f>MEDIAN((Application!BR795:BR852))</f>
        <v>489600</v>
      </c>
    </row>
    <row r="114" spans="4:9" ht="15" customHeight="1">
      <c r="D114" s="1090"/>
      <c r="E114" s="1169" t="s">
        <v>2399</v>
      </c>
      <c r="F114" s="1185"/>
      <c r="G114" s="1186">
        <f>((G112-G113)/G113)*0.25</f>
        <v>-2.6552287581699346E-2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Patrick</cp:lastModifiedBy>
  <cp:lastPrinted>2023-02-07T04:26:59Z</cp:lastPrinted>
  <dcterms:created xsi:type="dcterms:W3CDTF">2007-12-27T18:26:28Z</dcterms:created>
  <dcterms:modified xsi:type="dcterms:W3CDTF">2023-02-07T21:58:36Z</dcterms:modified>
</cp:coreProperties>
</file>